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filterPrivacy="1"/>
  <xr:revisionPtr revIDLastSave="0" documentId="13_ncr:1_{7C6CB7BE-0904-C148-A990-5FFDCBD95C6F}" xr6:coauthVersionLast="47" xr6:coauthVersionMax="47" xr10:uidLastSave="{00000000-0000-0000-0000-000000000000}"/>
  <bookViews>
    <workbookView xWindow="0" yWindow="500" windowWidth="28800" windowHeight="17500" activeTab="1" xr2:uid="{1CA400F5-88BC-B749-91AA-788E1AE4609E}"/>
  </bookViews>
  <sheets>
    <sheet name="Analyse" sheetId="7" r:id="rId1"/>
    <sheet name="DCF" sheetId="9" r:id="rId2"/>
    <sheet name="Overview" sheetId="13" r:id="rId3"/>
    <sheet name="DATA - Key Stats" sheetId="1" r:id="rId4"/>
    <sheet name="DATA - Income Statement" sheetId="2" r:id="rId5"/>
    <sheet name=" DATA - Balance Sheet" sheetId="3" r:id="rId6"/>
    <sheet name="DATA - Cash Flow" sheetId="4" r:id="rId7"/>
    <sheet name="DATA - Ratios" sheetId="5" r:id="rId8"/>
    <sheet name="DATA - Industry" sheetId="6" r:id="rId9"/>
    <sheet name="DATA - Estimate" sheetId="10" r:id="rId10"/>
    <sheet name="DATA - Credit" sheetId="11" r:id="rId11"/>
    <sheet name="DATA - Merge" sheetId="12" r:id="rId12"/>
    <sheet name="DATA - ANR" sheetId="14" r:id="rId13"/>
  </sheets>
  <definedNames>
    <definedName name="_xlnm.Print_Titles" localSheetId="5">' DATA - Balance Sheet'!$1:$3</definedName>
    <definedName name="_xlnm.Print_Titles" localSheetId="6">'DATA - Cash Flow'!$1:$3</definedName>
    <definedName name="_xlnm.Print_Titles" localSheetId="4">'DATA - Income Statement'!$1:$3</definedName>
    <definedName name="_xlnm.Print_Titles" localSheetId="3">'DATA - Key Stats'!$1:$3</definedName>
    <definedName name="_xlnm.Print_Titles" localSheetId="7">'DATA - Ratios'!$1:$3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3" i="9" l="1"/>
  <c r="G92" i="9"/>
  <c r="C19" i="9"/>
  <c r="C20" i="9"/>
  <c r="M116" i="9"/>
  <c r="N116" i="9"/>
  <c r="L116" i="9"/>
  <c r="E81" i="14"/>
  <c r="E80" i="14"/>
  <c r="G6" i="13" l="1"/>
  <c r="M114" i="9"/>
  <c r="M113" i="9"/>
  <c r="N114" i="9"/>
  <c r="L114" i="9"/>
  <c r="N113" i="9"/>
  <c r="L113" i="9"/>
  <c r="N112" i="9"/>
  <c r="L112" i="9"/>
  <c r="N111" i="9"/>
  <c r="L111" i="9"/>
  <c r="K93" i="9"/>
  <c r="K92" i="9"/>
  <c r="E143" i="9"/>
  <c r="F143" i="9" s="1"/>
  <c r="G143" i="9" s="1"/>
  <c r="H143" i="9" s="1"/>
  <c r="I143" i="9" s="1"/>
  <c r="D143" i="9"/>
  <c r="B146" i="9"/>
  <c r="B147" i="9" s="1"/>
  <c r="B148" i="9" s="1"/>
  <c r="B149" i="9" s="1"/>
  <c r="B150" i="9" s="1"/>
  <c r="B151" i="9" s="1"/>
  <c r="B145" i="9"/>
  <c r="O93" i="9"/>
  <c r="O92" i="9"/>
  <c r="E132" i="9"/>
  <c r="F132" i="9" s="1"/>
  <c r="G132" i="9" s="1"/>
  <c r="H132" i="9" s="1"/>
  <c r="I132" i="9" s="1"/>
  <c r="D132" i="9"/>
  <c r="B135" i="9"/>
  <c r="B136" i="9" s="1"/>
  <c r="B137" i="9" s="1"/>
  <c r="B138" i="9" s="1"/>
  <c r="B139" i="9" s="1"/>
  <c r="B140" i="9" s="1"/>
  <c r="B134" i="9"/>
  <c r="B122" i="9"/>
  <c r="B123" i="9"/>
  <c r="B124" i="9" s="1"/>
  <c r="B125" i="9" s="1"/>
  <c r="B126" i="9" s="1"/>
  <c r="B127" i="9" s="1"/>
  <c r="B128" i="9" s="1"/>
  <c r="B129" i="9" s="1"/>
  <c r="C121" i="9"/>
  <c r="D121" i="9"/>
  <c r="E121" i="9" s="1"/>
  <c r="F121" i="9" s="1"/>
  <c r="G121" i="9" s="1"/>
  <c r="H121" i="9" s="1"/>
  <c r="I121" i="9" s="1"/>
  <c r="E110" i="9"/>
  <c r="F110" i="9" s="1"/>
  <c r="G110" i="9" s="1"/>
  <c r="H110" i="9" s="1"/>
  <c r="I110" i="9" s="1"/>
  <c r="D110" i="9"/>
  <c r="B112" i="9"/>
  <c r="B113" i="9" s="1"/>
  <c r="B114" i="9" s="1"/>
  <c r="B115" i="9" s="1"/>
  <c r="B116" i="9" s="1"/>
  <c r="B117" i="9" s="1"/>
  <c r="B118" i="9" s="1"/>
  <c r="M95" i="9"/>
  <c r="L95" i="9"/>
  <c r="K95" i="9"/>
  <c r="C98" i="9"/>
  <c r="F98" i="9" s="1"/>
  <c r="H93" i="9"/>
  <c r="H94" i="9" s="1"/>
  <c r="F93" i="9"/>
  <c r="H92" i="9"/>
  <c r="F92" i="9"/>
  <c r="J92" i="9"/>
  <c r="J97" i="9"/>
  <c r="O97" i="9"/>
  <c r="N97" i="9"/>
  <c r="M97" i="9"/>
  <c r="L97" i="9"/>
  <c r="K97" i="9"/>
  <c r="C101" i="9" s="1"/>
  <c r="N93" i="9"/>
  <c r="M93" i="9"/>
  <c r="L93" i="9"/>
  <c r="S97" i="9"/>
  <c r="N92" i="9" s="1"/>
  <c r="R97" i="9"/>
  <c r="S96" i="9"/>
  <c r="R96" i="9"/>
  <c r="S95" i="9"/>
  <c r="M92" i="9" s="1"/>
  <c r="M94" i="9" s="1"/>
  <c r="R95" i="9"/>
  <c r="V94" i="9"/>
  <c r="X94" i="9" s="1"/>
  <c r="S94" i="9"/>
  <c r="L92" i="9" s="1"/>
  <c r="L94" i="9" s="1"/>
  <c r="R94" i="9"/>
  <c r="X93" i="9"/>
  <c r="S93" i="9"/>
  <c r="K94" i="9" s="1"/>
  <c r="R93" i="9"/>
  <c r="W77" i="9"/>
  <c r="W76" i="9" s="1"/>
  <c r="W73" i="9"/>
  <c r="W72" i="9" s="1"/>
  <c r="W69" i="9"/>
  <c r="W68" i="9" s="1"/>
  <c r="N115" i="9" l="1"/>
  <c r="R112" i="9" s="1"/>
  <c r="S112" i="9" s="1"/>
  <c r="M111" i="9"/>
  <c r="L115" i="9"/>
  <c r="M112" i="9"/>
  <c r="F94" i="9"/>
  <c r="G94" i="9"/>
  <c r="H100" i="9"/>
  <c r="G100" i="9"/>
  <c r="F100" i="9"/>
  <c r="G98" i="9"/>
  <c r="H98" i="9"/>
  <c r="L96" i="9"/>
  <c r="L98" i="9" s="1"/>
  <c r="M96" i="9"/>
  <c r="M98" i="9" s="1"/>
  <c r="K96" i="9"/>
  <c r="K98" i="9" s="1"/>
  <c r="B143" i="9" s="1"/>
  <c r="X95" i="9"/>
  <c r="K18" i="9" s="1"/>
  <c r="N96" i="9"/>
  <c r="N98" i="9" s="1"/>
  <c r="O96" i="9"/>
  <c r="O98" i="9" s="1"/>
  <c r="B132" i="9" s="1"/>
  <c r="R111" i="9" l="1"/>
  <c r="S111" i="9" s="1"/>
  <c r="S113" i="9" s="1"/>
  <c r="M115" i="9"/>
  <c r="O17" i="9"/>
  <c r="G17" i="9"/>
  <c r="D11" i="13" l="1"/>
  <c r="R115" i="9"/>
  <c r="W59" i="9"/>
  <c r="W61" i="9"/>
  <c r="W60" i="9"/>
  <c r="W54" i="9"/>
  <c r="W55" i="9"/>
  <c r="W53" i="9"/>
  <c r="W52" i="9" s="1"/>
  <c r="W49" i="9"/>
  <c r="W47" i="9"/>
  <c r="W48" i="9"/>
  <c r="C6" i="9"/>
  <c r="C8" i="9" s="1"/>
  <c r="H82" i="9" s="1"/>
  <c r="J82" i="9" s="1"/>
  <c r="K82" i="9" s="1"/>
  <c r="L82" i="9" s="1"/>
  <c r="M82" i="9" s="1"/>
  <c r="N82" i="9" s="1"/>
  <c r="O82" i="9" s="1"/>
  <c r="P82" i="9" s="1"/>
  <c r="Q82" i="9" s="1"/>
  <c r="R82" i="9" s="1"/>
  <c r="S82" i="9" s="1"/>
  <c r="T82" i="9" s="1"/>
  <c r="U82" i="9" s="1"/>
  <c r="V82" i="9" s="1"/>
  <c r="W82" i="9" s="1"/>
  <c r="Q40" i="9"/>
  <c r="P40" i="9"/>
  <c r="O40" i="9"/>
  <c r="N40" i="9"/>
  <c r="M40" i="9"/>
  <c r="L40" i="9"/>
  <c r="K40" i="9"/>
  <c r="J40" i="9"/>
  <c r="I40" i="9"/>
  <c r="H40" i="9"/>
  <c r="H75" i="9" s="1"/>
  <c r="G40" i="9"/>
  <c r="G75" i="9" s="1"/>
  <c r="F40" i="9"/>
  <c r="F75" i="9" s="1"/>
  <c r="E40" i="9"/>
  <c r="E75" i="9" s="1"/>
  <c r="D40" i="9"/>
  <c r="D75" i="9" s="1"/>
  <c r="Q201" i="10"/>
  <c r="P201" i="10"/>
  <c r="O201" i="10"/>
  <c r="N201" i="10"/>
  <c r="M201" i="10"/>
  <c r="L201" i="10"/>
  <c r="K201" i="10"/>
  <c r="J201" i="10"/>
  <c r="I201" i="10"/>
  <c r="H201" i="10"/>
  <c r="G201" i="10"/>
  <c r="F201" i="10"/>
  <c r="E201" i="10"/>
  <c r="R201" i="10"/>
  <c r="D44" i="9"/>
  <c r="D32" i="9"/>
  <c r="R37" i="9"/>
  <c r="Q37" i="9"/>
  <c r="P37" i="9"/>
  <c r="O37" i="9"/>
  <c r="N37" i="9"/>
  <c r="M37" i="9"/>
  <c r="L37" i="9"/>
  <c r="K37" i="9"/>
  <c r="J37" i="9"/>
  <c r="I37" i="9"/>
  <c r="H37" i="9"/>
  <c r="H71" i="9" s="1"/>
  <c r="G37" i="9"/>
  <c r="G71" i="9" s="1"/>
  <c r="F37" i="9"/>
  <c r="F71" i="9" s="1"/>
  <c r="E37" i="9"/>
  <c r="E71" i="9" s="1"/>
  <c r="D37" i="9"/>
  <c r="D71" i="9" s="1"/>
  <c r="Q33" i="9"/>
  <c r="P33" i="9"/>
  <c r="O33" i="9"/>
  <c r="N33" i="9"/>
  <c r="M33" i="9"/>
  <c r="L33" i="9"/>
  <c r="K33" i="9"/>
  <c r="J33" i="9"/>
  <c r="I33" i="9"/>
  <c r="H33" i="9"/>
  <c r="H67" i="9" s="1"/>
  <c r="G33" i="9"/>
  <c r="G67" i="9" s="1"/>
  <c r="F33" i="9"/>
  <c r="F67" i="9" s="1"/>
  <c r="E33" i="9"/>
  <c r="E67" i="9" s="1"/>
  <c r="D33" i="9"/>
  <c r="D67" i="9" s="1"/>
  <c r="Q29" i="9"/>
  <c r="P29" i="9"/>
  <c r="O29" i="9"/>
  <c r="N29" i="9"/>
  <c r="M29" i="9"/>
  <c r="L29" i="9"/>
  <c r="K29" i="9"/>
  <c r="J29" i="9"/>
  <c r="I29" i="9"/>
  <c r="H29" i="9"/>
  <c r="H57" i="9" s="1"/>
  <c r="G29" i="9"/>
  <c r="G57" i="9" s="1"/>
  <c r="F29" i="9"/>
  <c r="F57" i="9" s="1"/>
  <c r="E29" i="9"/>
  <c r="E57" i="9" s="1"/>
  <c r="D29" i="9"/>
  <c r="D57" i="9" s="1"/>
  <c r="F95" i="9" l="1"/>
  <c r="H95" i="9"/>
  <c r="G95" i="9"/>
  <c r="W46" i="9"/>
  <c r="W58" i="9"/>
  <c r="K35" i="9"/>
  <c r="H35" i="9"/>
  <c r="J35" i="9"/>
  <c r="F35" i="9"/>
  <c r="G35" i="9"/>
  <c r="I35" i="9"/>
  <c r="D35" i="9"/>
  <c r="L35" i="9"/>
  <c r="E35" i="9"/>
  <c r="M35" i="9"/>
  <c r="Q26" i="9" l="1"/>
  <c r="Q30" i="9" s="1"/>
  <c r="P26" i="9"/>
  <c r="P30" i="9" s="1"/>
  <c r="O26" i="9"/>
  <c r="O30" i="9" s="1"/>
  <c r="N26" i="9"/>
  <c r="N30" i="9" s="1"/>
  <c r="N60" i="9" s="1"/>
  <c r="M26" i="9"/>
  <c r="M30" i="9" s="1"/>
  <c r="M60" i="9" s="1"/>
  <c r="L26" i="9"/>
  <c r="L30" i="9" s="1"/>
  <c r="L60" i="9" s="1"/>
  <c r="K26" i="9"/>
  <c r="K30" i="9" s="1"/>
  <c r="K60" i="9" s="1"/>
  <c r="J26" i="9"/>
  <c r="J30" i="9" s="1"/>
  <c r="J60" i="9" s="1"/>
  <c r="I26" i="9"/>
  <c r="I30" i="9" s="1"/>
  <c r="I60" i="9" s="1"/>
  <c r="H26" i="9"/>
  <c r="G26" i="9"/>
  <c r="F26" i="9"/>
  <c r="E26" i="9"/>
  <c r="D26" i="9"/>
  <c r="Q23" i="9"/>
  <c r="P23" i="9"/>
  <c r="N23" i="9"/>
  <c r="M23" i="9"/>
  <c r="J23" i="9"/>
  <c r="I23" i="9"/>
  <c r="F23" i="9"/>
  <c r="F45" i="9" s="1"/>
  <c r="E23" i="9"/>
  <c r="E45" i="9" s="1"/>
  <c r="R62" i="10"/>
  <c r="Q62" i="10"/>
  <c r="P62" i="10"/>
  <c r="O23" i="9" s="1"/>
  <c r="O62" i="10"/>
  <c r="N62" i="10"/>
  <c r="M62" i="10"/>
  <c r="L23" i="9" s="1"/>
  <c r="L62" i="10"/>
  <c r="K23" i="9" s="1"/>
  <c r="K62" i="10"/>
  <c r="J62" i="10"/>
  <c r="I62" i="10"/>
  <c r="H23" i="9" s="1"/>
  <c r="H45" i="9" s="1"/>
  <c r="H62" i="10"/>
  <c r="G23" i="9" s="1"/>
  <c r="G45" i="9" s="1"/>
  <c r="G62" i="10"/>
  <c r="F62" i="10"/>
  <c r="E62" i="10"/>
  <c r="D23" i="9" s="1"/>
  <c r="D45" i="9" s="1"/>
  <c r="M59" i="9" l="1"/>
  <c r="M58" i="9" s="1"/>
  <c r="M61" i="9"/>
  <c r="J61" i="9"/>
  <c r="J59" i="9"/>
  <c r="J58" i="9" s="1"/>
  <c r="F46" i="9"/>
  <c r="N61" i="9"/>
  <c r="N59" i="9"/>
  <c r="L59" i="9"/>
  <c r="L58" i="9" s="1"/>
  <c r="L61" i="9"/>
  <c r="K59" i="9"/>
  <c r="K58" i="9" s="1"/>
  <c r="K61" i="9"/>
  <c r="I59" i="9"/>
  <c r="I58" i="9" s="1"/>
  <c r="I61" i="9"/>
  <c r="E46" i="9"/>
  <c r="D30" i="9"/>
  <c r="D51" i="9"/>
  <c r="G30" i="9"/>
  <c r="G51" i="9"/>
  <c r="G46" i="9"/>
  <c r="E30" i="9"/>
  <c r="E51" i="9"/>
  <c r="F30" i="9"/>
  <c r="F51" i="9"/>
  <c r="H30" i="9"/>
  <c r="H51" i="9"/>
  <c r="H46" i="9"/>
  <c r="N27" i="9"/>
  <c r="N54" i="9" s="1"/>
  <c r="H27" i="9"/>
  <c r="M27" i="9"/>
  <c r="M54" i="9" s="1"/>
  <c r="G27" i="9"/>
  <c r="F27" i="9"/>
  <c r="O27" i="9"/>
  <c r="Q38" i="9"/>
  <c r="Q73" i="9" s="1"/>
  <c r="Q41" i="9"/>
  <c r="Q77" i="9" s="1"/>
  <c r="P41" i="9"/>
  <c r="P77" i="9" s="1"/>
  <c r="P76" i="9" s="1"/>
  <c r="P38" i="9"/>
  <c r="P73" i="9" s="1"/>
  <c r="P72" i="9" s="1"/>
  <c r="D27" i="9"/>
  <c r="L27" i="9"/>
  <c r="L54" i="9" s="1"/>
  <c r="E38" i="9"/>
  <c r="E34" i="9"/>
  <c r="E41" i="9"/>
  <c r="E27" i="9"/>
  <c r="L41" i="9"/>
  <c r="L77" i="9" s="1"/>
  <c r="L76" i="9" s="1"/>
  <c r="L34" i="9"/>
  <c r="L69" i="9" s="1"/>
  <c r="L68" i="9" s="1"/>
  <c r="L38" i="9"/>
  <c r="L73" i="9" s="1"/>
  <c r="L72" i="9" s="1"/>
  <c r="P27" i="9"/>
  <c r="M41" i="9"/>
  <c r="M77" i="9" s="1"/>
  <c r="M76" i="9" s="1"/>
  <c r="M38" i="9"/>
  <c r="M73" i="9" s="1"/>
  <c r="M72" i="9" s="1"/>
  <c r="M34" i="9"/>
  <c r="M69" i="9" s="1"/>
  <c r="I27" i="9"/>
  <c r="I54" i="9" s="1"/>
  <c r="Q27" i="9"/>
  <c r="K24" i="9"/>
  <c r="K48" i="9" s="1"/>
  <c r="K38" i="9"/>
  <c r="K73" i="9" s="1"/>
  <c r="K72" i="9" s="1"/>
  <c r="K34" i="9"/>
  <c r="K69" i="9" s="1"/>
  <c r="K68" i="9" s="1"/>
  <c r="K41" i="9"/>
  <c r="K77" i="9" s="1"/>
  <c r="K76" i="9" s="1"/>
  <c r="D41" i="9"/>
  <c r="D34" i="9"/>
  <c r="D38" i="9"/>
  <c r="J24" i="9"/>
  <c r="J34" i="9"/>
  <c r="J69" i="9" s="1"/>
  <c r="J68" i="9" s="1"/>
  <c r="J41" i="9"/>
  <c r="J77" i="9" s="1"/>
  <c r="J76" i="9" s="1"/>
  <c r="J38" i="9"/>
  <c r="J73" i="9" s="1"/>
  <c r="J72" i="9" s="1"/>
  <c r="O41" i="9"/>
  <c r="O77" i="9" s="1"/>
  <c r="O76" i="9" s="1"/>
  <c r="O38" i="9"/>
  <c r="O73" i="9" s="1"/>
  <c r="O72" i="9" s="1"/>
  <c r="J27" i="9"/>
  <c r="J54" i="9" s="1"/>
  <c r="F24" i="9"/>
  <c r="F34" i="9"/>
  <c r="F38" i="9"/>
  <c r="F41" i="9"/>
  <c r="I24" i="9"/>
  <c r="I48" i="9" s="1"/>
  <c r="I38" i="9"/>
  <c r="I73" i="9" s="1"/>
  <c r="I72" i="9" s="1"/>
  <c r="I34" i="9"/>
  <c r="I69" i="9" s="1"/>
  <c r="I68" i="9" s="1"/>
  <c r="I41" i="9"/>
  <c r="I77" i="9" s="1"/>
  <c r="I76" i="9" s="1"/>
  <c r="G24" i="9"/>
  <c r="G34" i="9"/>
  <c r="G41" i="9"/>
  <c r="G38" i="9"/>
  <c r="N24" i="9"/>
  <c r="N38" i="9"/>
  <c r="N73" i="9" s="1"/>
  <c r="N72" i="9" s="1"/>
  <c r="N41" i="9"/>
  <c r="N77" i="9" s="1"/>
  <c r="N76" i="9" s="1"/>
  <c r="H24" i="9"/>
  <c r="H41" i="9"/>
  <c r="H38" i="9"/>
  <c r="H34" i="9"/>
  <c r="Q24" i="9"/>
  <c r="K27" i="9"/>
  <c r="K54" i="9" s="1"/>
  <c r="M24" i="9"/>
  <c r="N48" i="9" s="1"/>
  <c r="L24" i="9"/>
  <c r="P24" i="9"/>
  <c r="O24" i="9"/>
  <c r="E24" i="9"/>
  <c r="R77" i="9" l="1"/>
  <c r="Q76" i="9"/>
  <c r="M68" i="9"/>
  <c r="N69" i="9"/>
  <c r="Q72" i="9"/>
  <c r="R73" i="9"/>
  <c r="K53" i="9"/>
  <c r="K52" i="9" s="1"/>
  <c r="K55" i="9"/>
  <c r="L53" i="9"/>
  <c r="L52" i="9" s="1"/>
  <c r="L55" i="9"/>
  <c r="N58" i="9"/>
  <c r="N55" i="9"/>
  <c r="N53" i="9"/>
  <c r="M55" i="9"/>
  <c r="M53" i="9"/>
  <c r="M52" i="9" s="1"/>
  <c r="J55" i="9"/>
  <c r="J53" i="9"/>
  <c r="J52" i="9" s="1"/>
  <c r="E52" i="9"/>
  <c r="E58" i="9"/>
  <c r="H52" i="9"/>
  <c r="H58" i="9"/>
  <c r="D52" i="9"/>
  <c r="D58" i="9"/>
  <c r="G52" i="9"/>
  <c r="G58" i="9"/>
  <c r="F52" i="9"/>
  <c r="F58" i="9"/>
  <c r="K49" i="9"/>
  <c r="K47" i="9"/>
  <c r="K46" i="9" s="1"/>
  <c r="I55" i="9"/>
  <c r="I53" i="9"/>
  <c r="I52" i="9" s="1"/>
  <c r="N47" i="9"/>
  <c r="N49" i="9"/>
  <c r="J48" i="9"/>
  <c r="I47" i="9"/>
  <c r="I46" i="9" s="1"/>
  <c r="I45" i="9" s="1"/>
  <c r="I75" i="9" s="1"/>
  <c r="I49" i="9"/>
  <c r="N68" i="9" l="1"/>
  <c r="O69" i="9"/>
  <c r="R72" i="9"/>
  <c r="S73" i="9"/>
  <c r="R76" i="9"/>
  <c r="S77" i="9"/>
  <c r="I67" i="9"/>
  <c r="I71" i="9"/>
  <c r="I51" i="9"/>
  <c r="I57" i="9" s="1"/>
  <c r="I64" i="9" s="1"/>
  <c r="N52" i="9"/>
  <c r="N46" i="9"/>
  <c r="J47" i="9"/>
  <c r="J46" i="9" s="1"/>
  <c r="J45" i="9" s="1"/>
  <c r="J75" i="9" s="1"/>
  <c r="J49" i="9"/>
  <c r="T77" i="9" l="1"/>
  <c r="S76" i="9"/>
  <c r="T73" i="9"/>
  <c r="S72" i="9"/>
  <c r="P69" i="9"/>
  <c r="O68" i="9"/>
  <c r="I80" i="9"/>
  <c r="H80" i="9" s="1"/>
  <c r="J67" i="9"/>
  <c r="J71" i="9"/>
  <c r="K45" i="9"/>
  <c r="K75" i="9" s="1"/>
  <c r="J51" i="9"/>
  <c r="H84" i="9" l="1"/>
  <c r="Q69" i="9"/>
  <c r="P68" i="9"/>
  <c r="U73" i="9"/>
  <c r="T72" i="9"/>
  <c r="U77" i="9"/>
  <c r="T76" i="9"/>
  <c r="K67" i="9"/>
  <c r="K71" i="9"/>
  <c r="J57" i="9"/>
  <c r="J64" i="9" s="1"/>
  <c r="J80" i="9" s="1"/>
  <c r="J84" i="9" s="1"/>
  <c r="K51" i="9"/>
  <c r="R69" i="9" l="1"/>
  <c r="Q68" i="9"/>
  <c r="V77" i="9"/>
  <c r="V76" i="9" s="1"/>
  <c r="U76" i="9"/>
  <c r="V73" i="9"/>
  <c r="V72" i="9" s="1"/>
  <c r="U72" i="9"/>
  <c r="K57" i="9"/>
  <c r="K64" i="9" s="1"/>
  <c r="K80" i="9" s="1"/>
  <c r="K84" i="9" s="1"/>
  <c r="S69" i="9" l="1"/>
  <c r="R68" i="9"/>
  <c r="T69" i="9" l="1"/>
  <c r="S68" i="9"/>
  <c r="E44" i="9"/>
  <c r="F44" i="9" s="1"/>
  <c r="G44" i="9" s="1"/>
  <c r="H44" i="9" s="1"/>
  <c r="I44" i="9" s="1"/>
  <c r="J44" i="9" s="1"/>
  <c r="K44" i="9" s="1"/>
  <c r="L44" i="9" s="1"/>
  <c r="M44" i="9" s="1"/>
  <c r="N44" i="9" s="1"/>
  <c r="E32" i="9"/>
  <c r="F32" i="9" s="1"/>
  <c r="G32" i="9" s="1"/>
  <c r="H32" i="9" s="1"/>
  <c r="I32" i="9" s="1"/>
  <c r="J32" i="9" s="1"/>
  <c r="K32" i="9" s="1"/>
  <c r="L32" i="9" s="1"/>
  <c r="M32" i="9" s="1"/>
  <c r="N32" i="9" s="1"/>
  <c r="O32" i="9" s="1"/>
  <c r="P32" i="9" s="1"/>
  <c r="Q32" i="9" s="1"/>
  <c r="R32" i="9" s="1"/>
  <c r="S32" i="9" s="1"/>
  <c r="T32" i="9" s="1"/>
  <c r="U32" i="9" s="1"/>
  <c r="V32" i="9" s="1"/>
  <c r="W32" i="9" s="1"/>
  <c r="E22" i="9"/>
  <c r="F22" i="9" s="1"/>
  <c r="G22" i="9" s="1"/>
  <c r="H22" i="9" s="1"/>
  <c r="I22" i="9" s="1"/>
  <c r="J22" i="9" s="1"/>
  <c r="K22" i="9" s="1"/>
  <c r="L22" i="9" s="1"/>
  <c r="M22" i="9" s="1"/>
  <c r="N22" i="9" s="1"/>
  <c r="O22" i="9" s="1"/>
  <c r="P22" i="9" s="1"/>
  <c r="Q22" i="9" s="1"/>
  <c r="R22" i="9" s="1"/>
  <c r="S22" i="9" s="1"/>
  <c r="T22" i="9" s="1"/>
  <c r="U22" i="9" s="1"/>
  <c r="V22" i="9" s="1"/>
  <c r="W22" i="9" s="1"/>
  <c r="G31" i="7"/>
  <c r="B20" i="5"/>
  <c r="U69" i="9" l="1"/>
  <c r="T68" i="9"/>
  <c r="O44" i="9"/>
  <c r="P44" i="9" s="1"/>
  <c r="Q44" i="9" s="1"/>
  <c r="R44" i="9" s="1"/>
  <c r="S44" i="9" s="1"/>
  <c r="T44" i="9" s="1"/>
  <c r="U44" i="9" s="1"/>
  <c r="V44" i="9" s="1"/>
  <c r="W44" i="9" s="1"/>
  <c r="L48" i="9"/>
  <c r="L46" i="9" s="1"/>
  <c r="L45" i="9" s="1"/>
  <c r="L75" i="9" l="1"/>
  <c r="L51" i="9"/>
  <c r="L57" i="9" s="1"/>
  <c r="L64" i="9" s="1"/>
  <c r="L67" i="9"/>
  <c r="L71" i="9"/>
  <c r="V69" i="9"/>
  <c r="V68" i="9" s="1"/>
  <c r="U68" i="9"/>
  <c r="O60" i="9"/>
  <c r="P60" i="9" s="1"/>
  <c r="Q60" i="9" s="1"/>
  <c r="R60" i="9" s="1"/>
  <c r="S60" i="9" s="1"/>
  <c r="T60" i="9" s="1"/>
  <c r="U60" i="9" s="1"/>
  <c r="V60" i="9" s="1"/>
  <c r="O59" i="9"/>
  <c r="O61" i="9"/>
  <c r="P61" i="9" s="1"/>
  <c r="Q61" i="9" s="1"/>
  <c r="R61" i="9" s="1"/>
  <c r="S61" i="9" s="1"/>
  <c r="T61" i="9" s="1"/>
  <c r="U61" i="9" s="1"/>
  <c r="V61" i="9" s="1"/>
  <c r="O54" i="9"/>
  <c r="P54" i="9" s="1"/>
  <c r="Q54" i="9" s="1"/>
  <c r="R54" i="9" s="1"/>
  <c r="S54" i="9" s="1"/>
  <c r="T54" i="9" s="1"/>
  <c r="U54" i="9" s="1"/>
  <c r="V54" i="9" s="1"/>
  <c r="O55" i="9"/>
  <c r="P55" i="9" s="1"/>
  <c r="Q55" i="9" s="1"/>
  <c r="R55" i="9" s="1"/>
  <c r="S55" i="9" s="1"/>
  <c r="T55" i="9" s="1"/>
  <c r="U55" i="9" s="1"/>
  <c r="V55" i="9" s="1"/>
  <c r="O53" i="9"/>
  <c r="M48" i="9"/>
  <c r="L49" i="9"/>
  <c r="O48" i="9"/>
  <c r="P48" i="9" s="1"/>
  <c r="Q48" i="9" s="1"/>
  <c r="R48" i="9" s="1"/>
  <c r="S48" i="9" s="1"/>
  <c r="T48" i="9" s="1"/>
  <c r="U48" i="9" s="1"/>
  <c r="V48" i="9" s="1"/>
  <c r="O47" i="9"/>
  <c r="O49" i="9"/>
  <c r="P49" i="9" s="1"/>
  <c r="Q49" i="9" s="1"/>
  <c r="R49" i="9" s="1"/>
  <c r="S49" i="9" s="1"/>
  <c r="T49" i="9" s="1"/>
  <c r="U49" i="9" s="1"/>
  <c r="V49" i="9" s="1"/>
  <c r="M49" i="9" l="1"/>
  <c r="M46" i="9"/>
  <c r="M45" i="9" s="1"/>
  <c r="L80" i="9"/>
  <c r="L84" i="9" s="1"/>
  <c r="P53" i="9"/>
  <c r="O52" i="9"/>
  <c r="P59" i="9"/>
  <c r="O58" i="9"/>
  <c r="O46" i="9"/>
  <c r="P47" i="9"/>
  <c r="H44" i="2"/>
  <c r="J44" i="2"/>
  <c r="I44" i="2"/>
  <c r="G35" i="5"/>
  <c r="G31" i="5"/>
  <c r="K15" i="6"/>
  <c r="J15" i="6"/>
  <c r="H15" i="6"/>
  <c r="F15" i="6"/>
  <c r="D15" i="6"/>
  <c r="B15" i="6"/>
  <c r="G28" i="5"/>
  <c r="G14" i="5"/>
  <c r="I35" i="7"/>
  <c r="E35" i="7"/>
  <c r="F14" i="5"/>
  <c r="E14" i="5"/>
  <c r="H35" i="7" s="1"/>
  <c r="D14" i="5"/>
  <c r="G35" i="7" s="1"/>
  <c r="C14" i="5"/>
  <c r="F35" i="7" s="1"/>
  <c r="B14" i="5"/>
  <c r="M75" i="9" l="1"/>
  <c r="M67" i="9"/>
  <c r="M71" i="9"/>
  <c r="M51" i="9"/>
  <c r="M57" i="9" s="1"/>
  <c r="M64" i="9" s="1"/>
  <c r="N45" i="9"/>
  <c r="Q59" i="9"/>
  <c r="P58" i="9"/>
  <c r="Q53" i="9"/>
  <c r="P52" i="9"/>
  <c r="Q47" i="9"/>
  <c r="P46" i="9"/>
  <c r="J35" i="7"/>
  <c r="I22" i="7"/>
  <c r="H22" i="7"/>
  <c r="G22" i="7"/>
  <c r="F22" i="7"/>
  <c r="I20" i="7"/>
  <c r="H20" i="7"/>
  <c r="G20" i="7"/>
  <c r="F20" i="7"/>
  <c r="I33" i="7"/>
  <c r="H33" i="7"/>
  <c r="G33" i="7"/>
  <c r="F33" i="7"/>
  <c r="I36" i="7"/>
  <c r="H36" i="7"/>
  <c r="G36" i="7"/>
  <c r="F36" i="7"/>
  <c r="I34" i="7"/>
  <c r="H34" i="7"/>
  <c r="G34" i="7"/>
  <c r="F34" i="7"/>
  <c r="I32" i="7"/>
  <c r="I30" i="7"/>
  <c r="I31" i="7"/>
  <c r="H31" i="7"/>
  <c r="F31" i="7"/>
  <c r="H32" i="7"/>
  <c r="G32" i="7"/>
  <c r="F32" i="7"/>
  <c r="H30" i="7"/>
  <c r="G30" i="7"/>
  <c r="F30" i="7"/>
  <c r="E33" i="7"/>
  <c r="E31" i="7"/>
  <c r="I29" i="7"/>
  <c r="H29" i="7"/>
  <c r="G29" i="7"/>
  <c r="F29" i="7"/>
  <c r="E29" i="7"/>
  <c r="F18" i="5"/>
  <c r="E18" i="5"/>
  <c r="D18" i="5"/>
  <c r="C18" i="5"/>
  <c r="B18" i="5"/>
  <c r="M80" i="9" l="1"/>
  <c r="M84" i="9" s="1"/>
  <c r="N75" i="9"/>
  <c r="N51" i="9"/>
  <c r="N57" i="9" s="1"/>
  <c r="N64" i="9" s="1"/>
  <c r="N67" i="9"/>
  <c r="N71" i="9"/>
  <c r="O45" i="9"/>
  <c r="R53" i="9"/>
  <c r="Q52" i="9"/>
  <c r="R59" i="9"/>
  <c r="Q58" i="9"/>
  <c r="R47" i="9"/>
  <c r="Q46" i="9"/>
  <c r="J33" i="7"/>
  <c r="J29" i="7"/>
  <c r="J31" i="7"/>
  <c r="J32" i="7"/>
  <c r="J36" i="7"/>
  <c r="J30" i="7"/>
  <c r="E20" i="5"/>
  <c r="F20" i="5"/>
  <c r="G20" i="5" s="1"/>
  <c r="D20" i="5"/>
  <c r="C20" i="5"/>
  <c r="F19" i="5"/>
  <c r="E19" i="5"/>
  <c r="D19" i="5"/>
  <c r="C19" i="5"/>
  <c r="B19" i="5"/>
  <c r="F17" i="5"/>
  <c r="E17" i="5"/>
  <c r="D17" i="5"/>
  <c r="C17" i="5"/>
  <c r="B17" i="5"/>
  <c r="F16" i="5"/>
  <c r="E16" i="5"/>
  <c r="D16" i="5"/>
  <c r="C16" i="5"/>
  <c r="B16" i="5"/>
  <c r="F15" i="5"/>
  <c r="E15" i="5"/>
  <c r="D15" i="5"/>
  <c r="C15" i="5"/>
  <c r="B15" i="5"/>
  <c r="O75" i="9" l="1"/>
  <c r="O51" i="9"/>
  <c r="O57" i="9" s="1"/>
  <c r="O64" i="9" s="1"/>
  <c r="O71" i="9"/>
  <c r="O67" i="9"/>
  <c r="N80" i="9"/>
  <c r="N84" i="9" s="1"/>
  <c r="P45" i="9"/>
  <c r="S59" i="9"/>
  <c r="R58" i="9"/>
  <c r="S53" i="9"/>
  <c r="R52" i="9"/>
  <c r="S47" i="9"/>
  <c r="R46" i="9"/>
  <c r="G16" i="5"/>
  <c r="G19" i="5"/>
  <c r="G15" i="5"/>
  <c r="G17" i="5"/>
  <c r="O80" i="9" l="1"/>
  <c r="O84" i="9" s="1"/>
  <c r="P75" i="9"/>
  <c r="P71" i="9"/>
  <c r="P67" i="9"/>
  <c r="P51" i="9"/>
  <c r="P57" i="9" s="1"/>
  <c r="P64" i="9" s="1"/>
  <c r="Q45" i="9"/>
  <c r="T53" i="9"/>
  <c r="S52" i="9"/>
  <c r="T59" i="9"/>
  <c r="S58" i="9"/>
  <c r="T47" i="9"/>
  <c r="S46" i="9"/>
  <c r="P80" i="9" l="1"/>
  <c r="P84" i="9" s="1"/>
  <c r="Q75" i="9"/>
  <c r="Q67" i="9"/>
  <c r="Q51" i="9"/>
  <c r="Q57" i="9" s="1"/>
  <c r="Q64" i="9" s="1"/>
  <c r="Q71" i="9"/>
  <c r="R45" i="9"/>
  <c r="S45" i="9" s="1"/>
  <c r="S75" i="9" s="1"/>
  <c r="U59" i="9"/>
  <c r="T58" i="9"/>
  <c r="U53" i="9"/>
  <c r="T52" i="9"/>
  <c r="U47" i="9"/>
  <c r="T46" i="9"/>
  <c r="T45" i="9" l="1"/>
  <c r="T75" i="9" s="1"/>
  <c r="S67" i="9"/>
  <c r="R75" i="9"/>
  <c r="R67" i="9"/>
  <c r="R71" i="9"/>
  <c r="R51" i="9"/>
  <c r="R57" i="9" s="1"/>
  <c r="R64" i="9" s="1"/>
  <c r="Q80" i="9"/>
  <c r="Q84" i="9" s="1"/>
  <c r="S51" i="9"/>
  <c r="S57" i="9" s="1"/>
  <c r="S64" i="9" s="1"/>
  <c r="S71" i="9"/>
  <c r="V53" i="9"/>
  <c r="V52" i="9" s="1"/>
  <c r="U52" i="9"/>
  <c r="V59" i="9"/>
  <c r="V58" i="9" s="1"/>
  <c r="U58" i="9"/>
  <c r="V47" i="9"/>
  <c r="V46" i="9" s="1"/>
  <c r="U46" i="9"/>
  <c r="R80" i="9" l="1"/>
  <c r="R84" i="9" s="1"/>
  <c r="T51" i="9"/>
  <c r="T57" i="9" s="1"/>
  <c r="T64" i="9" s="1"/>
  <c r="T71" i="9"/>
  <c r="U45" i="9"/>
  <c r="U75" i="9" s="1"/>
  <c r="T67" i="9"/>
  <c r="S80" i="9"/>
  <c r="S84" i="9" s="1"/>
  <c r="U67" i="9" l="1"/>
  <c r="T80" i="9"/>
  <c r="T84" i="9" s="1"/>
  <c r="U71" i="9"/>
  <c r="V45" i="9"/>
  <c r="V75" i="9" s="1"/>
  <c r="U51" i="9"/>
  <c r="U57" i="9" s="1"/>
  <c r="U64" i="9" s="1"/>
  <c r="U80" i="9" l="1"/>
  <c r="U84" i="9" s="1"/>
  <c r="V67" i="9"/>
  <c r="W45" i="9"/>
  <c r="W71" i="9" s="1"/>
  <c r="V71" i="9"/>
  <c r="V51" i="9"/>
  <c r="V57" i="9" s="1"/>
  <c r="V64" i="9" s="1"/>
  <c r="W75" i="9" l="1"/>
  <c r="W51" i="9"/>
  <c r="W57" i="9" s="1"/>
  <c r="W64" i="9" s="1"/>
  <c r="W67" i="9"/>
  <c r="V80" i="9"/>
  <c r="V84" i="9" s="1"/>
  <c r="W80" i="9" l="1"/>
  <c r="W84" i="9" s="1"/>
  <c r="C94" i="9" s="1"/>
  <c r="F96" i="9" l="1"/>
  <c r="F97" i="9" s="1"/>
  <c r="F99" i="9" s="1"/>
  <c r="F101" i="9" s="1"/>
  <c r="H96" i="9"/>
  <c r="H97" i="9" s="1"/>
  <c r="H99" i="9" s="1"/>
  <c r="H101" i="9" s="1"/>
  <c r="G96" i="9"/>
  <c r="G97" i="9" s="1"/>
  <c r="G99" i="9" s="1"/>
  <c r="G101" i="9" s="1"/>
  <c r="B121" i="9" s="1"/>
  <c r="C91" i="9"/>
  <c r="C92" i="9" s="1"/>
  <c r="C95" i="9" l="1"/>
  <c r="C97" i="9" s="1"/>
  <c r="C99" i="9" s="1"/>
  <c r="C103" i="9" s="1"/>
  <c r="B110" i="9" s="1"/>
</calcChain>
</file>

<file path=xl/sharedStrings.xml><?xml version="1.0" encoding="utf-8"?>
<sst xmlns="http://schemas.openxmlformats.org/spreadsheetml/2006/main" count="3435" uniqueCount="1420">
  <si>
    <t>Currency:</t>
  </si>
  <si>
    <t>Trading Currency</t>
  </si>
  <si>
    <t> </t>
  </si>
  <si>
    <t>Conversion:</t>
  </si>
  <si>
    <t>Historical</t>
  </si>
  <si>
    <t>Order:</t>
  </si>
  <si>
    <t>Latest on Right</t>
  </si>
  <si>
    <t>Units:</t>
  </si>
  <si>
    <t>S&amp;P Capital IQ (Default)</t>
  </si>
  <si>
    <t>Decimals:</t>
  </si>
  <si>
    <t>Capital IQ (Default)</t>
  </si>
  <si>
    <t>Dilution:</t>
  </si>
  <si>
    <t>Basic</t>
  </si>
  <si>
    <t>Key Financials¹</t>
  </si>
  <si>
    <t xml:space="preserve">For the Fiscal Period Ending
</t>
  </si>
  <si>
    <t>12 months
Dec-31-2018A</t>
  </si>
  <si>
    <t>12 months
Dec-31-2019A</t>
  </si>
  <si>
    <t>12 months
Dec-31-2020A</t>
  </si>
  <si>
    <t>12 months
Dec-31-2021A</t>
  </si>
  <si>
    <t>12 months
Dec-31-2022A</t>
  </si>
  <si>
    <t>Currency</t>
  </si>
  <si>
    <t>USD</t>
  </si>
  <si>
    <t>Total Revenue</t>
  </si>
  <si>
    <t xml:space="preserve">  Growth Over Prior Year</t>
  </si>
  <si>
    <t>Gross Profit</t>
  </si>
  <si>
    <t xml:space="preserve">  Margin %</t>
  </si>
  <si>
    <t>EBITDA</t>
  </si>
  <si>
    <t>EBIT</t>
  </si>
  <si>
    <t>Net Income</t>
  </si>
  <si>
    <t xml:space="preserve"> </t>
  </si>
  <si>
    <t>Exchange Rate</t>
  </si>
  <si>
    <t>Conversion Method</t>
  </si>
  <si>
    <t>H</t>
  </si>
  <si>
    <t>Current Capitalization (Millions of USD)</t>
  </si>
  <si>
    <t>Share Price</t>
  </si>
  <si>
    <t>Market Capitalization</t>
  </si>
  <si>
    <t>- Cash &amp; Short Term Investments</t>
  </si>
  <si>
    <t>+ Total Debt</t>
  </si>
  <si>
    <t>-</t>
  </si>
  <si>
    <t>+ Total Minority Interest</t>
  </si>
  <si>
    <t>- Long Term Marketable Securities</t>
  </si>
  <si>
    <t>= Total Enterprise Value (TEV)</t>
  </si>
  <si>
    <t>Book Value of Common Equity</t>
  </si>
  <si>
    <t>= Total Capital</t>
  </si>
  <si>
    <t>Valuation Multiples based on Current Capitalization</t>
  </si>
  <si>
    <t>TEV/Total Revenue</t>
  </si>
  <si>
    <t>TEV/EBITDA</t>
  </si>
  <si>
    <t>TEV/EBIT</t>
  </si>
  <si>
    <t>P/Diluted EPS Before Extra</t>
  </si>
  <si>
    <t>P/BV</t>
  </si>
  <si>
    <t>Price/Tang BV</t>
  </si>
  <si>
    <t xml:space="preserve">
               </t>
  </si>
  <si>
    <t>Template:</t>
  </si>
  <si>
    <t>Standard</t>
  </si>
  <si>
    <t>Restatement:</t>
  </si>
  <si>
    <t>Latest Filings</t>
  </si>
  <si>
    <t>Period Type:</t>
  </si>
  <si>
    <t>Annual</t>
  </si>
  <si>
    <t>Order:</t>
  </si>
  <si>
    <t>Currency:</t>
  </si>
  <si>
    <t>Reported Currency</t>
  </si>
  <si>
    <t>Conversion:</t>
  </si>
  <si>
    <t>Units:</t>
  </si>
  <si>
    <t>Decimals:</t>
  </si>
  <si>
    <t>Income Statement</t>
  </si>
  <si>
    <t>Reclassified
12 months
Dec-31-2018</t>
  </si>
  <si>
    <t>Reclassified
12 months
Dec-31-2019</t>
  </si>
  <si>
    <t>12 months
Dec-31-2020</t>
  </si>
  <si>
    <t>12 months
Dec-31-2021</t>
  </si>
  <si>
    <t>12 months
Dec-31-2022</t>
  </si>
  <si>
    <t>Revenue</t>
  </si>
  <si>
    <t>Other Revenue</t>
  </si>
  <si>
    <t xml:space="preserve">  Total Revenue</t>
  </si>
  <si>
    <t>Cost Of Goods Sold</t>
  </si>
  <si>
    <t xml:space="preserve">  Gross Profit</t>
  </si>
  <si>
    <t>Other Operating Expense/(Income)</t>
  </si>
  <si>
    <t xml:space="preserve">  Operating Income</t>
  </si>
  <si>
    <t>Interest Expense</t>
  </si>
  <si>
    <t>Currency Exchange Gains (Loss)</t>
  </si>
  <si>
    <t>Restructuring Charges</t>
  </si>
  <si>
    <t>Impairment of Goodwill</t>
  </si>
  <si>
    <t>Asset Writedown</t>
  </si>
  <si>
    <t>Other Unusual Items</t>
  </si>
  <si>
    <t>Income Tax Expense</t>
  </si>
  <si>
    <t xml:space="preserve">  Net Income to Company</t>
  </si>
  <si>
    <t xml:space="preserve">  Net Income</t>
  </si>
  <si>
    <t xml:space="preserve">  NI to Common Incl Extra Items</t>
  </si>
  <si>
    <t>Per Share Items</t>
  </si>
  <si>
    <t>Basic EPS</t>
  </si>
  <si>
    <t>Diluted EPS</t>
  </si>
  <si>
    <t>Normalized Basic EPS</t>
  </si>
  <si>
    <t>Normalized Diluted EPS</t>
  </si>
  <si>
    <t>Dividends per Share</t>
  </si>
  <si>
    <t>NA</t>
  </si>
  <si>
    <t>Shares per Depository Receipt</t>
  </si>
  <si>
    <t>Supplemental Items</t>
  </si>
  <si>
    <t>EBITA</t>
  </si>
  <si>
    <t>EBITDAR</t>
  </si>
  <si>
    <t>Effective Tax Rate %</t>
  </si>
  <si>
    <t>NM</t>
  </si>
  <si>
    <t>Current Domestic Taxes</t>
  </si>
  <si>
    <t>Current Foreign Taxes</t>
  </si>
  <si>
    <t>Total Current Taxes</t>
  </si>
  <si>
    <t>Deferred Domestic Taxes</t>
  </si>
  <si>
    <t>Deferred Foreign Taxes</t>
  </si>
  <si>
    <t>Total Deferred Taxes</t>
  </si>
  <si>
    <t>Normalized Net Income</t>
  </si>
  <si>
    <t>Interest on Long Term Debt</t>
  </si>
  <si>
    <t>Filing Date</t>
  </si>
  <si>
    <t>Restatement Type</t>
  </si>
  <si>
    <t>RC</t>
  </si>
  <si>
    <t>NC</t>
  </si>
  <si>
    <t>O</t>
  </si>
  <si>
    <t>Calculation Type</t>
  </si>
  <si>
    <t>REP</t>
  </si>
  <si>
    <t>Supplemental Operating Expense Items</t>
  </si>
  <si>
    <t>Template:</t>
  </si>
  <si>
    <t>Restatement:</t>
  </si>
  <si>
    <t>Period Type:</t>
  </si>
  <si>
    <t>Order:</t>
  </si>
  <si>
    <t>Currency:</t>
  </si>
  <si>
    <t>Conversion:</t>
  </si>
  <si>
    <t>Units:</t>
  </si>
  <si>
    <t>Decimals:</t>
  </si>
  <si>
    <t>Balance Sheet</t>
  </si>
  <si>
    <t xml:space="preserve">Balance Sheet as of:
</t>
  </si>
  <si>
    <t>ASSETS</t>
  </si>
  <si>
    <t>Cash And Equivalents</t>
  </si>
  <si>
    <t>Short Term Investments</t>
  </si>
  <si>
    <t xml:space="preserve">  Total Cash &amp; ST Investments</t>
  </si>
  <si>
    <t>Accounts Receivable</t>
  </si>
  <si>
    <t>Other Receivables</t>
  </si>
  <si>
    <t>Notes Receivable</t>
  </si>
  <si>
    <t xml:space="preserve">  Total Receivables</t>
  </si>
  <si>
    <t>Restricted Cash</t>
  </si>
  <si>
    <t>Other Current Assets</t>
  </si>
  <si>
    <t xml:space="preserve">  Total Current Assets</t>
  </si>
  <si>
    <t>Gross Property, Plant &amp; Equipment</t>
  </si>
  <si>
    <t>Accumulated Depreciation</t>
  </si>
  <si>
    <t xml:space="preserve">  Net Property, Plant &amp; Equipment</t>
  </si>
  <si>
    <t>Long-term Investments</t>
  </si>
  <si>
    <t>Goodwill</t>
  </si>
  <si>
    <t>Other Intangibles</t>
  </si>
  <si>
    <t>Deferred Tax Assets, LT</t>
  </si>
  <si>
    <t>Other Long-Term Assets</t>
  </si>
  <si>
    <t>Total Assets</t>
  </si>
  <si>
    <t>LIABILITIES</t>
  </si>
  <si>
    <t>Accounts Payable</t>
  </si>
  <si>
    <t>Short-term Borrowings</t>
  </si>
  <si>
    <t>Other Current Liabilities</t>
  </si>
  <si>
    <t xml:space="preserve">  Total Current Liabilities</t>
  </si>
  <si>
    <t>Long-Term Debt</t>
  </si>
  <si>
    <t>Long-Term Leases</t>
  </si>
  <si>
    <t>Other Non-Current Liabilities</t>
  </si>
  <si>
    <t>Total Liabilities</t>
  </si>
  <si>
    <t>Common Stock</t>
  </si>
  <si>
    <t>Additional Paid In Capital</t>
  </si>
  <si>
    <t>Retained Earnings</t>
  </si>
  <si>
    <t>Treasury Stock</t>
  </si>
  <si>
    <t xml:space="preserve">  Total Common Equity</t>
  </si>
  <si>
    <t>Minority Interest</t>
  </si>
  <si>
    <t>Total Equity</t>
  </si>
  <si>
    <t>Total Liabilities And Equity</t>
  </si>
  <si>
    <t>Book Value/Share</t>
  </si>
  <si>
    <t>Tangible Book Value</t>
  </si>
  <si>
    <t>Tangible Book Value/Share</t>
  </si>
  <si>
    <t>Total Debt</t>
  </si>
  <si>
    <t>Net Debt</t>
  </si>
  <si>
    <t>Total Minority Interest</t>
  </si>
  <si>
    <t>Inventory Method</t>
  </si>
  <si>
    <t>Land</t>
  </si>
  <si>
    <t>Machinery</t>
  </si>
  <si>
    <t>Construction in Progress</t>
  </si>
  <si>
    <t>Leasehold Improvements</t>
  </si>
  <si>
    <t>Full Time Employees</t>
  </si>
  <si>
    <t>RUP</t>
  </si>
  <si>
    <t>Template:</t>
  </si>
  <si>
    <t>Restatement:</t>
  </si>
  <si>
    <t>Period Type:</t>
  </si>
  <si>
    <t>Order:</t>
  </si>
  <si>
    <t>Currency:</t>
  </si>
  <si>
    <t>Conversion:</t>
  </si>
  <si>
    <t>Units:</t>
  </si>
  <si>
    <t>Decimals:</t>
  </si>
  <si>
    <t>Cash Flow</t>
  </si>
  <si>
    <t>Restated
12 months
Dec-31-2018</t>
  </si>
  <si>
    <t>Restated
12 months
Dec-31-2019</t>
  </si>
  <si>
    <t>Restated
12 months
Dec-31-2020</t>
  </si>
  <si>
    <t>Restated
12 months
Dec-31-2021</t>
  </si>
  <si>
    <t>Other Amortization</t>
  </si>
  <si>
    <t>(Gain) Loss From Sale Of Assets</t>
  </si>
  <si>
    <t>Stock-Based Compensation</t>
  </si>
  <si>
    <t>Other Operating Activities</t>
  </si>
  <si>
    <t>Change in Other Net Operating Assets</t>
  </si>
  <si>
    <t>Capital Expenditure</t>
  </si>
  <si>
    <t>Sale of Property, Plant, and Equipment</t>
  </si>
  <si>
    <t>Cash Acquisitions</t>
  </si>
  <si>
    <t>Divestitures</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</si>
  <si>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</si>
  <si>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</si>
  <si>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</si>
  <si>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</si>
  <si>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</si>
  <si>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</si>
  <si>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</si>
  <si>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</si>
  <si>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</si>
  <si>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Repurchase of Common Stock</t>
  </si>
  <si>
    <t>Total Dividends Paid</t>
  </si>
  <si>
    <t>Special Dividend Paid</t>
  </si>
  <si>
    <t>Other Financing Activities</t>
  </si>
  <si>
    <t xml:space="preserve">  Cash from Financing</t>
  </si>
  <si>
    <t xml:space="preserve">  Net Change in Cash</t>
  </si>
  <si>
    <t>Cash Interest Paid</t>
  </si>
  <si>
    <t>Cash Taxes Paid</t>
  </si>
  <si>
    <t>Levered Free Cash Flow</t>
  </si>
  <si>
    <t>Unlevered Free Cash Flow</t>
  </si>
  <si>
    <t>Change in Net Working Capital</t>
  </si>
  <si>
    <t>Net Debt Issued</t>
  </si>
  <si>
    <t>RS</t>
  </si>
  <si>
    <t>Restatement:</t>
  </si>
  <si>
    <t>Period Type:</t>
  </si>
  <si>
    <t>Order:</t>
  </si>
  <si>
    <t>Decimals:</t>
  </si>
  <si>
    <t>Ratios</t>
  </si>
  <si>
    <t>12 months
Dec-31-2018</t>
  </si>
  <si>
    <t>12 months
Dec-31-2019</t>
  </si>
  <si>
    <t>Profitability</t>
  </si>
  <si>
    <t xml:space="preserve">  Return on Assets %</t>
  </si>
  <si>
    <t xml:space="preserve">  Return on Capital %</t>
  </si>
  <si>
    <t xml:space="preserve">  Return on Equity %</t>
  </si>
  <si>
    <t xml:space="preserve">  Return on Common Equity %</t>
  </si>
  <si>
    <t>Margin Analysis</t>
  </si>
  <si>
    <t xml:space="preserve">  Gross Margin %</t>
  </si>
  <si>
    <t xml:space="preserve">  SG&amp;A Margin %</t>
  </si>
  <si>
    <t xml:space="preserve">  EBITDA Margin %</t>
  </si>
  <si>
    <t xml:space="preserve">  EBITA Margin %</t>
  </si>
  <si>
    <t xml:space="preserve">  EBIT Margin %</t>
  </si>
  <si>
    <t xml:space="preserve">  Net Income Margin %</t>
  </si>
  <si>
    <t xml:space="preserve">  Normalized Net Income Margin %</t>
  </si>
  <si>
    <t xml:space="preserve">  Levered Free Cash Flow Margin %</t>
  </si>
  <si>
    <t xml:space="preserve">  Unlevered Free Cash Flow Margin %</t>
  </si>
  <si>
    <t>Asset Turnover</t>
  </si>
  <si>
    <t xml:space="preserve">  Total Asset Turnover</t>
  </si>
  <si>
    <t xml:space="preserve">  Fixed Asset Turnover</t>
  </si>
  <si>
    <t xml:space="preserve">  Accounts Receivable Turnover</t>
  </si>
  <si>
    <t xml:space="preserve">  Inventory Turnover</t>
  </si>
  <si>
    <t>Short Term Liquidity</t>
  </si>
  <si>
    <t>Long Term Solvency</t>
  </si>
  <si>
    <t xml:space="preserve">  Total Debt/Equity</t>
  </si>
  <si>
    <t xml:space="preserve">  Total Debt/Capital</t>
  </si>
  <si>
    <t xml:space="preserve">  LT Debt/Equity</t>
  </si>
  <si>
    <t xml:space="preserve">  LT Debt/Capital</t>
  </si>
  <si>
    <t xml:space="preserve">  Total Liabilities/Total Assets</t>
  </si>
  <si>
    <t xml:space="preserve">  Total Debt/EBITDA</t>
  </si>
  <si>
    <t xml:space="preserve">  Net Debt/EBITDA</t>
  </si>
  <si>
    <t xml:space="preserve">  Total Debt/(EBITDA-CAPEX)</t>
  </si>
  <si>
    <t xml:space="preserve">  Net Debt/(EBITDA-CAPEX)</t>
  </si>
  <si>
    <t xml:space="preserve">  Altman Z Score</t>
  </si>
  <si>
    <t>Growth Over Prior Year</t>
  </si>
  <si>
    <t xml:space="preserve">  EBITDA</t>
  </si>
  <si>
    <t xml:space="preserve">  EBITA</t>
  </si>
  <si>
    <t xml:space="preserve">  EBIT</t>
  </si>
  <si>
    <t xml:space="preserve">  Normalized Net Income</t>
  </si>
  <si>
    <t xml:space="preserve">  Diluted EPS before Extra</t>
  </si>
  <si>
    <t xml:space="preserve">  Accounts Receivable</t>
  </si>
  <si>
    <t xml:space="preserve">  Inventory</t>
  </si>
  <si>
    <t xml:space="preserve">  Net PP&amp;E</t>
  </si>
  <si>
    <t xml:space="preserve">  Total Assets</t>
  </si>
  <si>
    <t xml:space="preserve">  Tangible Book Value</t>
  </si>
  <si>
    <t xml:space="preserve">  Common Equity</t>
  </si>
  <si>
    <t xml:space="preserve">  Capital Expenditures</t>
  </si>
  <si>
    <t xml:space="preserve">  Levered Free Cash Flow</t>
  </si>
  <si>
    <t xml:space="preserve">  Unlevered Free Cash Flow</t>
  </si>
  <si>
    <t xml:space="preserve">  Dividend per Share</t>
  </si>
  <si>
    <t>Compound Annual Growth Rate Over Two Years</t>
  </si>
  <si>
    <t>Compound Annual Growth Rate Over Three Years</t>
  </si>
  <si>
    <t>Compound Annual Growth Rate Over Five Years</t>
  </si>
  <si>
    <t>Data Processing and Outsourced Services &gt; Key Stats &amp; RatiosKey Stats &amp; Ratios</t>
  </si>
  <si>
    <t>Latest As of March-11-2023</t>
  </si>
  <si>
    <t>Trading Multiples</t>
  </si>
  <si>
    <t>CY2019</t>
  </si>
  <si>
    <t>Count</t>
  </si>
  <si>
    <t>CY2020</t>
  </si>
  <si>
    <t>CY2021</t>
  </si>
  <si>
    <t>CY2022</t>
  </si>
  <si>
    <t>Latest</t>
  </si>
  <si>
    <t>P/E</t>
  </si>
  <si>
    <t>P/TangBV</t>
  </si>
  <si>
    <t>Return on Assets %</t>
  </si>
  <si>
    <t>Return on Capital %</t>
  </si>
  <si>
    <t>Return on Equity %</t>
  </si>
  <si>
    <t>Gross Margin %</t>
  </si>
  <si>
    <t>SG&amp;A Margin %</t>
  </si>
  <si>
    <t>EBITDA Margin %</t>
  </si>
  <si>
    <t>EBITA Margin %</t>
  </si>
  <si>
    <t>EBIT Margin %</t>
  </si>
  <si>
    <t>Net Income Margin %</t>
  </si>
  <si>
    <t>Normalized Net Income Margin %</t>
  </si>
  <si>
    <t xml:space="preserve">   Levered Free Cash Flow Margin %</t>
  </si>
  <si>
    <t xml:space="preserve">   Unlevered Free Cash Flow Margin %</t>
  </si>
  <si>
    <t>Total Asset Turnover</t>
  </si>
  <si>
    <t>Accounts Receivable Turnover</t>
  </si>
  <si>
    <t>Inventory Turnover</t>
  </si>
  <si>
    <t>Current Ratio</t>
  </si>
  <si>
    <t>Avg Days Inventory Outstanding</t>
  </si>
  <si>
    <t>Quick Ratio</t>
  </si>
  <si>
    <t>Avg Days Payable Outstanding</t>
  </si>
  <si>
    <t>Avg Days Sales Outstanding</t>
  </si>
  <si>
    <t>Avg Cash Conversion Cycle</t>
  </si>
  <si>
    <t>Cash from Operations to Current Liabilities</t>
  </si>
  <si>
    <t>Total Debt/Equity</t>
  </si>
  <si>
    <t>Total Debt/Capital</t>
  </si>
  <si>
    <t>LT Debt/Equity</t>
  </si>
  <si>
    <t>LT Debt/Capital</t>
  </si>
  <si>
    <t>Total Liabilities/Total Assets</t>
  </si>
  <si>
    <t>Total Debt/EBITDA</t>
  </si>
  <si>
    <t>Net Debt/EBITDA</t>
  </si>
  <si>
    <t>Total Revenue, 1 Yr Growth %</t>
  </si>
  <si>
    <t>Gross Profit, 1 Yr Growth %</t>
  </si>
  <si>
    <t>EBITDA, 1 Yr Growth %</t>
  </si>
  <si>
    <t>EBITA, 1 Yr Growth %</t>
  </si>
  <si>
    <t>EBIT, 1 Yr Growth %</t>
  </si>
  <si>
    <t>Net Income, 1 Yr Growth %</t>
  </si>
  <si>
    <t>Normalized Net Income, 1 Yr Growth %</t>
  </si>
  <si>
    <t>Accounts Receivable, 1 Yr Growth %</t>
  </si>
  <si>
    <t>Inventory, 1 Yr Growth %</t>
  </si>
  <si>
    <t>Net PP&amp;E, 1 Yr Growth %</t>
  </si>
  <si>
    <t>Common Equity, 1 Yr Growth %</t>
  </si>
  <si>
    <t>Total Assets, 1 Yr Growth %</t>
  </si>
  <si>
    <t>Tangible Book Value, 1 Yr Growth %</t>
  </si>
  <si>
    <t>Cash from Operations, 1 Yr Growth %</t>
  </si>
  <si>
    <t>Levered Free Cash Flow, 1 Yr Growth %</t>
  </si>
  <si>
    <t>Unlevered Free Cash Flow, 1 Yr Growth %</t>
  </si>
  <si>
    <t>Total Revenue, 2 Yr CAGR %</t>
  </si>
  <si>
    <t>Gross Profit, 2 Yr CAGR %</t>
  </si>
  <si>
    <t>EBITDA, 2 Yr CAGR %</t>
  </si>
  <si>
    <t>EBITA, 2 Yr CAGR %</t>
  </si>
  <si>
    <t>EBIT, 2 Yr CAGR %</t>
  </si>
  <si>
    <t>Net Income, 2 Yr CAGR %</t>
  </si>
  <si>
    <t>Normalized Net Income, 2 Yr CAGR %</t>
  </si>
  <si>
    <t>Accounts Receivable, 2 Yr CAGR %</t>
  </si>
  <si>
    <t>Inventory, 2 Yr CAGR %</t>
  </si>
  <si>
    <t>Net PP&amp;E, 2 Yr CAGR %</t>
  </si>
  <si>
    <t>Common Equity, 2 Yr CAGR %</t>
  </si>
  <si>
    <t>Total Assets, 2 Yr CAGR %</t>
  </si>
  <si>
    <t>Tangible Book Value, 2 Yr CAGR %</t>
  </si>
  <si>
    <t>Cash from Operations, 2 Yr CAGR %</t>
  </si>
  <si>
    <t>Levered Free Cash Flow, 2 Yr Growth %</t>
  </si>
  <si>
    <t>Unlevered Free Cash Flow, 2 Yr Growth %</t>
  </si>
  <si>
    <t>Total Revenue, 3 Yr CAGR %</t>
  </si>
  <si>
    <t>Gross Profit, 3 Yr CAGR %</t>
  </si>
  <si>
    <t>EBITDA, 3 Yr CAGR %</t>
  </si>
  <si>
    <t>EBITA, 3 Yr CAGR %</t>
  </si>
  <si>
    <t>EBIT, 3 Yr CAGR %</t>
  </si>
  <si>
    <t>Net Income, 3 Yr CAGR %</t>
  </si>
  <si>
    <t>Normalized Net Income, 3 Yr CAGR %</t>
  </si>
  <si>
    <t>Accounts Receivable, 3 Yr CAGR %</t>
  </si>
  <si>
    <t>Inventory, 3 Yr CAGR %</t>
  </si>
  <si>
    <t>Net PP&amp;E, 3 Yr CAGR %</t>
  </si>
  <si>
    <t>Common Equity, 3 Yr CAGR %</t>
  </si>
  <si>
    <t>Total Assets, 3 Yr CAGR %</t>
  </si>
  <si>
    <t>Tangible Book Value, 3 Yr CAGR %</t>
  </si>
  <si>
    <t>Cash from Operations, 3 Yr CAGR %</t>
  </si>
  <si>
    <t>Levered Free Cash Flow, 3 Yr Growth %</t>
  </si>
  <si>
    <t>Unlevered Free Cash Flow, 3 Yr Growth %</t>
  </si>
  <si>
    <t>ROE</t>
  </si>
  <si>
    <t>Marge nette</t>
  </si>
  <si>
    <t>Levier Financier</t>
  </si>
  <si>
    <t>Autre Ratio</t>
  </si>
  <si>
    <t>Ratio amortissement</t>
  </si>
  <si>
    <t>Ratio frais financier</t>
  </si>
  <si>
    <t>Tax rate</t>
  </si>
  <si>
    <t>Interest/Passif (Cout des passifs)</t>
  </si>
  <si>
    <t>Ratio de couverture Fardeau Financier</t>
  </si>
  <si>
    <t xml:space="preserve">  Current Ratio (Liquidité Generale)</t>
  </si>
  <si>
    <t xml:space="preserve">  Quick Ratio (Restreint)</t>
  </si>
  <si>
    <t>(En millions USD)</t>
  </si>
  <si>
    <t>2023 Est</t>
  </si>
  <si>
    <t>2024 Est</t>
  </si>
  <si>
    <t>TPV</t>
  </si>
  <si>
    <t>Croissance</t>
  </si>
  <si>
    <t>Transaction par compte actif</t>
  </si>
  <si>
    <t>Active account</t>
  </si>
  <si>
    <t>Ratio</t>
  </si>
  <si>
    <t>Chiffre d'affaire</t>
  </si>
  <si>
    <t>BPA</t>
  </si>
  <si>
    <t xml:space="preserve">     Industrie</t>
  </si>
  <si>
    <t xml:space="preserve">    Industrie</t>
  </si>
  <si>
    <t>Rotation d'actif</t>
  </si>
  <si>
    <t>Variation</t>
  </si>
  <si>
    <t>Earnings from Cont, Ops Margin %</t>
  </si>
  <si>
    <t>Net Income Avail, for Common Margin %</t>
  </si>
  <si>
    <t>Earnings from Cont, Ops,, 1 Yr Growth %</t>
  </si>
  <si>
    <t>Earnings from Cont, Ops,, 2 Yr CAGR %</t>
  </si>
  <si>
    <t>Earnings from Cont, Ops,, 3 Yr CAGR %</t>
  </si>
  <si>
    <t>Note: Aggregate Financials are calculated by Capital IQ based upon the current constituents of the Watch List, Banks are not included in Watch List calculations for any financials using TEV, EBIT, EBITDA and EBITA,</t>
  </si>
  <si>
    <t>PayPal Holdings, Inc, (NasdaqGS:PYPL) &gt; Financials &gt; Key Stats</t>
  </si>
  <si>
    <t>In Millions of the trading currency, except per share items,</t>
  </si>
  <si>
    <t>Earnings from Cont, Ops,</t>
  </si>
  <si>
    <t>Diluted EPS Excl, Extra Items³</t>
  </si>
  <si>
    <t>¹All results are taken from the most recently filed statement for each period, When there has been more than one, earlier filings can be viewed on the individual statement pages,</t>
  </si>
  <si>
    <t>Growth Rates are calculated in originally reported currency only and will not reflect any currency conversion selected above,</t>
  </si>
  <si>
    <t>Shares Out,</t>
  </si>
  <si>
    <t>+ Pref, Equity</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</si>
  <si>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</si>
  <si>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</si>
  <si>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</si>
  <si>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</si>
  <si>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</si>
  <si>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PayPal Holdings, Inc, (NasdaqGS:PYPL) &gt; Financials &gt; Income Statement</t>
  </si>
  <si>
    <t>In Millions of the reported currency, except per share items,</t>
  </si>
  <si>
    <t>Selling General &amp; Admin Exp,</t>
  </si>
  <si>
    <t>R &amp; D Exp,</t>
  </si>
  <si>
    <t>Depreciation &amp; Amort,</t>
  </si>
  <si>
    <t xml:space="preserve">  Other Operating Exp,, Total</t>
  </si>
  <si>
    <t>Interest and Invest, Income</t>
  </si>
  <si>
    <t xml:space="preserve">  Net Interest Exp,</t>
  </si>
  <si>
    <t>Other Non-Operating Inc, (Exp,)</t>
  </si>
  <si>
    <t xml:space="preserve">  EBT Excl, Unusual Items</t>
  </si>
  <si>
    <t>Gain (Loss) On Sale Of Invest,</t>
  </si>
  <si>
    <t xml:space="preserve">  EBT Incl, Unusual Items</t>
  </si>
  <si>
    <t xml:space="preserve">  Earnings from Cont, Ops,</t>
  </si>
  <si>
    <t>Earnings of Discontinued Ops,</t>
  </si>
  <si>
    <t>Extraord, Item &amp; Account, Change</t>
  </si>
  <si>
    <t>Minority Int, in Earnings</t>
  </si>
  <si>
    <t>Pref, Dividends and Other Adj,</t>
  </si>
  <si>
    <t xml:space="preserve">  NI to Common Excl, Extra Items</t>
  </si>
  <si>
    <t>Basic EPS Excl, Extra Items</t>
  </si>
  <si>
    <t>Weighted Avg, Basic Shares Out,</t>
  </si>
  <si>
    <t>Diluted EPS Excl, Extra Items</t>
  </si>
  <si>
    <t>Weighted Avg, Diluted Shares Out,</t>
  </si>
  <si>
    <t>Advertising Exp,</t>
  </si>
  <si>
    <t>Selling and Marketing Exp,</t>
  </si>
  <si>
    <t>General and Administrative Exp,</t>
  </si>
  <si>
    <t>R&amp;D Exp,</t>
  </si>
  <si>
    <t>Net Rental Exp,</t>
  </si>
  <si>
    <t>Imputed Oper, Lease Interest Exp,</t>
  </si>
  <si>
    <t>Imputed Oper, Lease Depreciation</t>
  </si>
  <si>
    <t>Stock-Based Comp,, COGS</t>
  </si>
  <si>
    <t>Stock-Based Comp,, R&amp;D Exp,</t>
  </si>
  <si>
    <t>Stock-Based Comp,, S&amp;M Exp,</t>
  </si>
  <si>
    <t>Stock-Based Comp,, G&amp;A Exp,</t>
  </si>
  <si>
    <t xml:space="preserve">  Stock-Based Comp,, Total</t>
  </si>
  <si>
    <t>Note: For multiple class companies, per share items are primary class equivalent, and for foreign companies listed as primary ADRs, per share items are ADR-equivalent,</t>
  </si>
  <si>
    <t>PayPal Holdings, Inc, (NasdaqGS:PYPL) &gt; Financials &gt; Balance Sheet</t>
  </si>
  <si>
    <t>Prepaid Exp,</t>
  </si>
  <si>
    <t>Accrued Exp,</t>
  </si>
  <si>
    <t>Curr, Port, of LT Debt</t>
  </si>
  <si>
    <t>Curr, Port, of Leases</t>
  </si>
  <si>
    <t>Curr, Income Taxes Payable</t>
  </si>
  <si>
    <t>Def, Tax Liability, Non-Curr,</t>
  </si>
  <si>
    <t>Comprehensive Inc, and Other</t>
  </si>
  <si>
    <t>Total Shares Out, on Filing Date</t>
  </si>
  <si>
    <t>Total Shares Out, on Balance Sheet Date</t>
  </si>
  <si>
    <t>Debt Equivalent Oper, Leases</t>
  </si>
  <si>
    <t>Note: For multiple class companies, total share counts are primary class equivalent, and for foreign companies listed as primary ADRs, total share counts are ADR-equivalent,</t>
  </si>
  <si>
    <t>PayPal Holdings, Inc, (NasdaqGS:PYPL) &gt; Financials &gt; Cash Flow</t>
  </si>
  <si>
    <t>Amort, of Goodwill and Intangibles</t>
  </si>
  <si>
    <t>Depreciation &amp; Amort,, Total</t>
  </si>
  <si>
    <t>(Gain) Loss On Sale Of Invest,</t>
  </si>
  <si>
    <t>Change in Acc, Receivable</t>
  </si>
  <si>
    <t>Change in Acc, Payable</t>
  </si>
  <si>
    <t>Change in Inc, Taxes</t>
  </si>
  <si>
    <t xml:space="preserve">  Cash from Ops,</t>
  </si>
  <si>
    <t>Invest, in Marketable &amp; Equity Securt,</t>
  </si>
  <si>
    <t>Net (Inc,) Dec, in Loans Originated/Sold</t>
  </si>
  <si>
    <t>Foreign Exchange Rate Adj,</t>
  </si>
  <si>
    <t>PayPal Holdings, Inc, (NasdaqGS:PYPL) &gt; Financials &gt; Ratios</t>
  </si>
  <si>
    <t xml:space="preserve">  Earnings from Cont, Ops Margin %</t>
  </si>
  <si>
    <t xml:space="preserve">  Net Income Avail, for Common Margin %</t>
  </si>
  <si>
    <t xml:space="preserve">  Cash from Ops, to Curr, Liab,</t>
  </si>
  <si>
    <t xml:space="preserve">  Avg, Days Sales Out, (Perception Client)</t>
  </si>
  <si>
    <t xml:space="preserve">  Avg, Days Inventory Out, (Écoulement Stock)</t>
  </si>
  <si>
    <t xml:space="preserve">  Avg, Days Payable Out, (Pmt compte fournisseurs)</t>
  </si>
  <si>
    <t xml:space="preserve">  Avg, Cash Conversion Cycle (Cycle)</t>
  </si>
  <si>
    <t xml:space="preserve">  EBIT / Interest Exp, (Ratio couverture interet)</t>
  </si>
  <si>
    <t xml:space="preserve">  EBITDA / Interest Exp,</t>
  </si>
  <si>
    <t xml:space="preserve">  (EBITDA-CAPEX) / Interest Exp,</t>
  </si>
  <si>
    <t>Fied Asset Turnover</t>
  </si>
  <si>
    <t>EBIT / Interest Epenses</t>
  </si>
  <si>
    <t>EBITDA / Interest Ep,</t>
  </si>
  <si>
    <t>(EBITDA-CAPE) / Interest Ep,</t>
  </si>
  <si>
    <t>Capital Ependitures, 1 Yr Growth %</t>
  </si>
  <si>
    <t>Capital Ependitures, 2 Yr CAGR %</t>
  </si>
  <si>
    <t>Capital Ependitures, 3 Yr CAGR %</t>
  </si>
  <si>
    <t>Paypal</t>
  </si>
  <si>
    <t>Industry</t>
  </si>
  <si>
    <t>EV/Sales</t>
  </si>
  <si>
    <t>EV/EBITDA</t>
  </si>
  <si>
    <t>EV/EBIT</t>
  </si>
  <si>
    <t>Multiples</t>
  </si>
  <si>
    <t>EV/ Sales</t>
  </si>
  <si>
    <t>EV / EBITDA</t>
  </si>
  <si>
    <t>EV / EBIT</t>
  </si>
  <si>
    <t>P / BV</t>
  </si>
  <si>
    <t xml:space="preserve">P / E </t>
  </si>
  <si>
    <t>End of Last year estimator</t>
  </si>
  <si>
    <t>EV</t>
  </si>
  <si>
    <t>(-) Net debt</t>
  </si>
  <si>
    <t>Equity value</t>
  </si>
  <si>
    <t>Equity value / share</t>
  </si>
  <si>
    <t>WACC</t>
  </si>
  <si>
    <t>Stock</t>
  </si>
  <si>
    <t>Bonds</t>
  </si>
  <si>
    <t>Ponderation</t>
  </si>
  <si>
    <t>Cost</t>
  </si>
  <si>
    <t>Poids * Cost</t>
  </si>
  <si>
    <t>Tableau Multiple</t>
  </si>
  <si>
    <t>Tableau WACC</t>
  </si>
  <si>
    <t>Taxes</t>
  </si>
  <si>
    <t>D&amp;A</t>
  </si>
  <si>
    <t>Capex</t>
  </si>
  <si>
    <t>Change in NWC</t>
  </si>
  <si>
    <t>Il n'ont pas de stock</t>
  </si>
  <si>
    <t>??</t>
  </si>
  <si>
    <t>x</t>
  </si>
  <si>
    <t>Assumptions</t>
  </si>
  <si>
    <t>Switches</t>
  </si>
  <si>
    <t>Conservative Case</t>
  </si>
  <si>
    <t>Optimistic Case</t>
  </si>
  <si>
    <t>Revenue Growth</t>
  </si>
  <si>
    <t>EBIT Margin</t>
  </si>
  <si>
    <t>EBIT Step</t>
  </si>
  <si>
    <t>TGR</t>
  </si>
  <si>
    <t>Valuation Assumptions</t>
  </si>
  <si>
    <t>% growth</t>
  </si>
  <si>
    <t>% of sales</t>
  </si>
  <si>
    <t>% of EBIT</t>
  </si>
  <si>
    <t>Cash Flow Items</t>
  </si>
  <si>
    <t>% of CapEx</t>
  </si>
  <si>
    <t>CapEx</t>
  </si>
  <si>
    <t>DCF</t>
  </si>
  <si>
    <t>Street Case</t>
  </si>
  <si>
    <t>PayPal Holdings Inc- Etats financiers de société (Périodes multiples)</t>
  </si>
  <si>
    <t>PYPL US Equity    Périodicité:A    Devise:USD    Estimation Source:BST    Source de chiffres réels: Bloomberg</t>
  </si>
  <si>
    <t>En Millions de USD</t>
  </si>
  <si>
    <t>2018 A (Rep)</t>
  </si>
  <si>
    <t>2019 A (Rep)</t>
  </si>
  <si>
    <t>2020 A (Rep)</t>
  </si>
  <si>
    <t>2021 A (Rep)</t>
  </si>
  <si>
    <t>2022 A (Rep)</t>
  </si>
  <si>
    <t>2023 A (Fwd)</t>
  </si>
  <si>
    <t>2024 A (Fwd)</t>
  </si>
  <si>
    <t>2025 A (Fwd)</t>
  </si>
  <si>
    <t>2026 A (Fwd)</t>
  </si>
  <si>
    <t>2027 A (Fwd)</t>
  </si>
  <si>
    <t>2028 A (Fwd)</t>
  </si>
  <si>
    <t>2029 A (Fwd)</t>
  </si>
  <si>
    <t>2030 A (Fwd)</t>
  </si>
  <si>
    <t>2031 A (Fwd)</t>
  </si>
  <si>
    <t>2032 A (Fwd)</t>
  </si>
  <si>
    <t>2033 A (Fwd)</t>
  </si>
  <si>
    <t>2034 A (Fwd)</t>
  </si>
  <si>
    <t>12 mois qui se terminent</t>
  </si>
  <si>
    <t>Expression de champ</t>
  </si>
  <si>
    <t>Champ Calcrt</t>
  </si>
  <si>
    <t>ID de segment</t>
  </si>
  <si>
    <t xml:space="preserve">  Highlights</t>
  </si>
  <si>
    <t>Highlights</t>
  </si>
  <si>
    <t xml:space="preserve">  Estimation Comparable BPA  hors rémunération en action</t>
  </si>
  <si>
    <t>IS_COMP_EPS_EXCL_STOCK_COMP</t>
  </si>
  <si>
    <t>Non-GAAP Diluted EPS</t>
  </si>
  <si>
    <t/>
  </si>
  <si>
    <t xml:space="preserve">  Estimation Comparable ventes</t>
  </si>
  <si>
    <t>IS_COMP_SALES</t>
  </si>
  <si>
    <t xml:space="preserve">  </t>
  </si>
  <si>
    <t xml:space="preserve">  Regional Breakdown</t>
  </si>
  <si>
    <t xml:space="preserve">    United States</t>
  </si>
  <si>
    <t xml:space="preserve">      Revenue</t>
  </si>
  <si>
    <t>SALES_REV_TURN</t>
  </si>
  <si>
    <t>SEG0000208007 Segment</t>
  </si>
  <si>
    <t xml:space="preserve">    International</t>
  </si>
  <si>
    <t>SEG0000208005 Segment</t>
  </si>
  <si>
    <t xml:space="preserve">  Nombre de comptes actifs</t>
  </si>
  <si>
    <t>NUM_ACTIVE_ACCOUNTS</t>
  </si>
  <si>
    <t>Active Accounts</t>
  </si>
  <si>
    <t xml:space="preserve">  Nouveaux comptes nets</t>
  </si>
  <si>
    <t>NET_NEW_ACCOUNTS</t>
  </si>
  <si>
    <t>Net New Active Accounts</t>
  </si>
  <si>
    <t xml:space="preserve">  Volume total de dépense du réseau de carte</t>
  </si>
  <si>
    <t>TOTAL_CARD_NTWK_SPND_VOLUME</t>
  </si>
  <si>
    <t>Total Payment Volume (TPV)</t>
  </si>
  <si>
    <t xml:space="preserve">    Venmo Payment Volume</t>
  </si>
  <si>
    <t>Venmo Payment Volume</t>
  </si>
  <si>
    <t>SEG0000208003 Segment</t>
  </si>
  <si>
    <t xml:space="preserve">  Transactions traitées dans le réseau - Total</t>
  </si>
  <si>
    <t>NTWK_PROCESSED_TRANS_TOTAL</t>
  </si>
  <si>
    <t xml:space="preserve">  EBIT comparable</t>
  </si>
  <si>
    <t>IS_COMPARABLE_EBIT</t>
  </si>
  <si>
    <t xml:space="preserve">    Adjusted Operating Margin</t>
  </si>
  <si>
    <t>CB_IS_ADJ_OPERATING_MARGIN</t>
  </si>
  <si>
    <t>Adjusted Operating Margin (%)</t>
  </si>
  <si>
    <t xml:space="preserve">  Total des charges d'exploitation</t>
  </si>
  <si>
    <t>IS_TOT_OPER_EXP</t>
  </si>
  <si>
    <t xml:space="preserve">  Company Operating Metrics</t>
  </si>
  <si>
    <t>Company Operating Metrics</t>
  </si>
  <si>
    <t xml:space="preserve">  Company-Level Industry Statistics</t>
  </si>
  <si>
    <t>Company-Level Industry Statistics</t>
  </si>
  <si>
    <t xml:space="preserve">    Nouveaux comptes nets</t>
  </si>
  <si>
    <t>Number of Payment Transactions</t>
  </si>
  <si>
    <t xml:space="preserve">  Payment Transactions per Active Account</t>
  </si>
  <si>
    <t>PYMT_TRANS_PER_ACTV_ACCT</t>
  </si>
  <si>
    <t>Number of Transactions per Active Account</t>
  </si>
  <si>
    <t xml:space="preserve">  Taux de charges pour traitement de transaction</t>
  </si>
  <si>
    <t>TRANS_PROCESSING_EXPENSE_RT</t>
  </si>
  <si>
    <t>Processing Expense Rate (%)</t>
  </si>
  <si>
    <t xml:space="preserve">  Taux de passage en charge net - géré</t>
  </si>
  <si>
    <t>NET_CHGOFF_RATE_MGD_BASIS</t>
  </si>
  <si>
    <t>Loss Rate (%)</t>
  </si>
  <si>
    <t xml:space="preserve">    Ebay</t>
  </si>
  <si>
    <t>Ebay</t>
  </si>
  <si>
    <t xml:space="preserve">    P2P</t>
  </si>
  <si>
    <t>P2P</t>
  </si>
  <si>
    <t>SEG0000208008 Segment</t>
  </si>
  <si>
    <t xml:space="preserve">      Venmo</t>
  </si>
  <si>
    <t>Venmo</t>
  </si>
  <si>
    <t>United States</t>
  </si>
  <si>
    <t>International</t>
  </si>
  <si>
    <t xml:space="preserve">  Prêts par carte de crédit gérés</t>
  </si>
  <si>
    <t>MANAGED_CARD_LOANS</t>
  </si>
  <si>
    <t>Total Merchant Receivables</t>
  </si>
  <si>
    <t xml:space="preserve">  Prior Disclosures</t>
  </si>
  <si>
    <t>Prior Disclosures</t>
  </si>
  <si>
    <t xml:space="preserve">    Volume de paiement mobile</t>
  </si>
  <si>
    <t>MOBILE_PAYMENT_VOLUME</t>
  </si>
  <si>
    <t>Mobile Total Payment Volume</t>
  </si>
  <si>
    <t xml:space="preserve">  Balance Sheet &amp; Cash Flow Metrics</t>
  </si>
  <si>
    <t>Balance Sheet &amp; Cash Flow Metrics</t>
  </si>
  <si>
    <t xml:space="preserve">  Loan Receivable - Short Term</t>
  </si>
  <si>
    <t>CB_BS_LOANS_RECEIVABLE_ST</t>
  </si>
  <si>
    <t>Loans &amp; Interest Receivable</t>
  </si>
  <si>
    <t xml:space="preserve">  Other Receivable</t>
  </si>
  <si>
    <t>BS_OTHR_RECVBLE</t>
  </si>
  <si>
    <t>Funds Receivable &amp; Customer Accounts</t>
  </si>
  <si>
    <t xml:space="preserve">  Other Current Liabilities Company Basis</t>
  </si>
  <si>
    <t>CB_BS_OTHER_CURRENT_LIABS</t>
  </si>
  <si>
    <t>Funds Payable &amp; Amounts Due to Customers</t>
  </si>
  <si>
    <t xml:space="preserve">  Estimation des dépenses en capital comparables</t>
  </si>
  <si>
    <t>HEADLINE_CAPEX</t>
  </si>
  <si>
    <t>Capital Expenditures</t>
  </si>
  <si>
    <t xml:space="preserve">  Business Breakdown</t>
  </si>
  <si>
    <t>Business Breakdown</t>
  </si>
  <si>
    <t xml:space="preserve">  Transaction</t>
  </si>
  <si>
    <t>Transaction</t>
  </si>
  <si>
    <t xml:space="preserve">    Revenue</t>
  </si>
  <si>
    <t>SEG0000208011 Segment</t>
  </si>
  <si>
    <t xml:space="preserve">      As % of Revenue</t>
  </si>
  <si>
    <t>IS_PERCENTAGE_OF_REVENUE</t>
  </si>
  <si>
    <t>As % of Revenue</t>
  </si>
  <si>
    <t xml:space="preserve">  Other Value Added Services</t>
  </si>
  <si>
    <t>Other Value Added Services</t>
  </si>
  <si>
    <t>SEG0000207998 Segment</t>
  </si>
  <si>
    <t>Total</t>
  </si>
  <si>
    <t>Regional Breakdown</t>
  </si>
  <si>
    <t xml:space="preserve">  United States</t>
  </si>
  <si>
    <t xml:space="preserve">  International</t>
  </si>
  <si>
    <t xml:space="preserve">    United Kingdom</t>
  </si>
  <si>
    <t>United Kingdom</t>
  </si>
  <si>
    <t>SEG0000208006 Segment</t>
  </si>
  <si>
    <t xml:space="preserve">    Rest of the World</t>
  </si>
  <si>
    <t>Rest of the World</t>
  </si>
  <si>
    <t>SEG0000208012 Segment</t>
  </si>
  <si>
    <t xml:space="preserve">  Income Statement</t>
  </si>
  <si>
    <t xml:space="preserve">  Comparable Gross Profit</t>
  </si>
  <si>
    <t>COMPARABLE_GROSS_PROF</t>
  </si>
  <si>
    <t xml:space="preserve">    Comp Gross Margin Percentage</t>
  </si>
  <si>
    <t>IS_COMP_GROSS_MARGIN_PERCENTAGE</t>
  </si>
  <si>
    <t>Gross Margin (%)</t>
  </si>
  <si>
    <t>Total Operating Expenses (GAAP)</t>
  </si>
  <si>
    <t xml:space="preserve">    Charges d'exploitation sur Ventes nettes</t>
  </si>
  <si>
    <t>OPERATING_EXPENSES_TO_NET_SALES</t>
  </si>
  <si>
    <t xml:space="preserve">    Autres dépenses pour cartes de crédit</t>
  </si>
  <si>
    <t>CREDIT_CARD_OTHER_EXPENSES</t>
  </si>
  <si>
    <t>Customer Support &amp; Operations</t>
  </si>
  <si>
    <t xml:space="preserve">    Selling and Marketing Expense Company Basis</t>
  </si>
  <si>
    <t>CB_IS_S_AND_M_EXPENSE</t>
  </si>
  <si>
    <t>Sales &amp; Marketing</t>
  </si>
  <si>
    <t xml:space="preserve">    General and Administrative Expense Company Basis</t>
  </si>
  <si>
    <t>CB_IS_GENL_AND_ADMIN_EXPN</t>
  </si>
  <si>
    <t>General &amp; Administrative</t>
  </si>
  <si>
    <t xml:space="preserve">    Operating Expenses R&amp;D</t>
  </si>
  <si>
    <t>IS_OPEX_R_AND_D_GAAP</t>
  </si>
  <si>
    <t>Technology &amp; Development</t>
  </si>
  <si>
    <t xml:space="preserve">      Dépenses de R&amp;D sur Ventes nettes</t>
  </si>
  <si>
    <t>RD_EXPEND_TO_NET_SALES</t>
  </si>
  <si>
    <t xml:space="preserve">    Total Transaction Related Expenses</t>
  </si>
  <si>
    <t>Total Transaction Related Expenses</t>
  </si>
  <si>
    <t xml:space="preserve">      Segment cartes Passages charge nets - géré</t>
  </si>
  <si>
    <t>CARD_SEG_NET_CHGOFFS_MGD_BAS</t>
  </si>
  <si>
    <t>Transaction &amp; Loan Losses</t>
  </si>
  <si>
    <t xml:space="preserve">        Dépenses totales de carte gérées</t>
  </si>
  <si>
    <t>CARD_MANAGED_TOTAL_EXPENSES</t>
  </si>
  <si>
    <t>Transaction Expense</t>
  </si>
  <si>
    <t xml:space="preserve">          Taux de charges pour traitement de transaction</t>
  </si>
  <si>
    <t>As % of TPV</t>
  </si>
  <si>
    <t xml:space="preserve">    Non-Transaction Related Expenses</t>
  </si>
  <si>
    <t>Non-Transaction Related Expenses</t>
  </si>
  <si>
    <t xml:space="preserve">      Taux de passage en charge net - géré</t>
  </si>
  <si>
    <t xml:space="preserve">  Marge de bénéfices avant intérêts et impôts tel que publié</t>
  </si>
  <si>
    <t>IS_EBIT_AS_REPORTED</t>
  </si>
  <si>
    <t>Operating Income</t>
  </si>
  <si>
    <t xml:space="preserve">    Marge d'exploitation</t>
  </si>
  <si>
    <t>OPER_MARGIN</t>
  </si>
  <si>
    <t>Operating Margin (%)</t>
  </si>
  <si>
    <t xml:space="preserve">  Dépréciation et amortissement</t>
  </si>
  <si>
    <t>CF_DEPR_AMORT</t>
  </si>
  <si>
    <t>Depreciation &amp; Amortization</t>
  </si>
  <si>
    <t xml:space="preserve">    Ratio Dépréciation et amortissement-Ventes</t>
  </si>
  <si>
    <t>D_AND_A_TO_SALES</t>
  </si>
  <si>
    <t xml:space="preserve">  Other Non Operating Income Expense CB</t>
  </si>
  <si>
    <t>CB_IS_OTHER_NON_OPER_INC_EXPN</t>
  </si>
  <si>
    <t>Other Income / (Expense), Net</t>
  </si>
  <si>
    <t xml:space="preserve">    Revenus d'intérêts</t>
  </si>
  <si>
    <t>IS_INT_INC</t>
  </si>
  <si>
    <t xml:space="preserve">  Résultats avant impôts</t>
  </si>
  <si>
    <t>PRETAX_INC</t>
  </si>
  <si>
    <t>Pre-Tax Income</t>
  </si>
  <si>
    <t xml:space="preserve">    Résultat avant impôts/Ventes nettes</t>
  </si>
  <si>
    <t>PRETAX_INC_TO_NET_SALES</t>
  </si>
  <si>
    <t>Pre-Tax Margin (%)</t>
  </si>
  <si>
    <t xml:space="preserve">  Charges (crédits) d'impôts sur le revenu</t>
  </si>
  <si>
    <t>IS_INC_TAX_EXP</t>
  </si>
  <si>
    <t xml:space="preserve">    Taux d'imposition effectif</t>
  </si>
  <si>
    <t>EFF_TAX_RATE</t>
  </si>
  <si>
    <t>Tax Rate (%)</t>
  </si>
  <si>
    <t xml:space="preserve">  Estimation du résultat net GAAP comparable</t>
  </si>
  <si>
    <t>IS_COMP_NET_INCOME_GAAP</t>
  </si>
  <si>
    <t xml:space="preserve">    Marge de profit</t>
  </si>
  <si>
    <t>PROF_MARGIN</t>
  </si>
  <si>
    <t>Net Margin (%)</t>
  </si>
  <si>
    <t xml:space="preserve">  Nombre moyen pondéré d'actions non diluées</t>
  </si>
  <si>
    <t>IS_AVG_NUM_SH_FOR_EPS</t>
  </si>
  <si>
    <t>Basic Weighted Avg. Shares</t>
  </si>
  <si>
    <t xml:space="preserve">  BPA des activités poursuivies Non dilué</t>
  </si>
  <si>
    <t>IS_EARN_BEF_XO_ITEMS_PER_SH</t>
  </si>
  <si>
    <t xml:space="preserve">  Nombre moyen pondéré d'actions Dilué</t>
  </si>
  <si>
    <t>IS_SH_FOR_DILUTED_EPS</t>
  </si>
  <si>
    <t>Diluted Weighted Avg. Shares</t>
  </si>
  <si>
    <t xml:space="preserve">  Comparables BPA GAAP</t>
  </si>
  <si>
    <t>IS_COMP_EPS_GAAP</t>
  </si>
  <si>
    <t xml:space="preserve">  Adjusted Results</t>
  </si>
  <si>
    <t>Non-GAAP Results</t>
  </si>
  <si>
    <t xml:space="preserve">    Charges d'exploitations ajustées Selon société</t>
  </si>
  <si>
    <t>CB_IS_ADJUSTED_OPEX</t>
  </si>
  <si>
    <t>Total Operating Expenses</t>
  </si>
  <si>
    <t xml:space="preserve">      Charges d'exploitation et maintenance ajustées Selon société</t>
  </si>
  <si>
    <t>CB_IS_ADJ_OPER_AND_MAIN_EXPN</t>
  </si>
  <si>
    <t xml:space="preserve">      Frais généraux et marketing ajustés - As Reported</t>
  </si>
  <si>
    <t>IS_ADJ_SELLING_AND_MRKTG_EXPN_AR</t>
  </si>
  <si>
    <t xml:space="preserve">      Frais généraux et administratifs ajustés - As Reported</t>
  </si>
  <si>
    <t>IS_ADJ_GENL_AND_ADMIN_EXPN_AR</t>
  </si>
  <si>
    <t xml:space="preserve">      Recherche et développement ajusté - tel que publié</t>
  </si>
  <si>
    <t>IS_ADJ_R_AND_D_AS_REPORTED</t>
  </si>
  <si>
    <t xml:space="preserve">    EBIT comparable</t>
  </si>
  <si>
    <t xml:space="preserve">      Adjusted Operating Margin</t>
  </si>
  <si>
    <t xml:space="preserve">    Estimation des charges d'amortissement comparables</t>
  </si>
  <si>
    <t>HEADLINE_DEPR_EXPN</t>
  </si>
  <si>
    <t xml:space="preserve">    EBITDA comparable</t>
  </si>
  <si>
    <t>IS_COMPARABLE_EBITDA</t>
  </si>
  <si>
    <t xml:space="preserve">    Comparable PTP Excluding Stock Based Compensation</t>
  </si>
  <si>
    <t>IS_COMP_PTP_EX_STK_BASED_COMP</t>
  </si>
  <si>
    <t xml:space="preserve">      Adjusted ETR Percentage - Company Basis</t>
  </si>
  <si>
    <t>CB_IS_ADJUSTED_ETR_PCT</t>
  </si>
  <si>
    <t xml:space="preserve">    Estimation Comparable résultat net hors rémunération en action</t>
  </si>
  <si>
    <t>IS_COMP_NET_INC_EXCL_STOCK_COMP</t>
  </si>
  <si>
    <t xml:space="preserve">      Marge bénéficiaire ajustée</t>
  </si>
  <si>
    <t>ADJ_PROFIT_MARGIN</t>
  </si>
  <si>
    <t xml:space="preserve">    BPA ajusté - as reported</t>
  </si>
  <si>
    <t>IS_ADJUSTED_EPS_AS_REPORTED</t>
  </si>
  <si>
    <t xml:space="preserve">    Estimation Comparable BPA  hors rémunération en action</t>
  </si>
  <si>
    <t xml:space="preserve">  Company Specific Adjustments</t>
  </si>
  <si>
    <t>Company Specific Adjustments</t>
  </si>
  <si>
    <t xml:space="preserve">    Adjustments</t>
  </si>
  <si>
    <t>Total Non-GAAP Adjustments</t>
  </si>
  <si>
    <t xml:space="preserve">      Revenus hors exploitation ajustés Selon société</t>
  </si>
  <si>
    <t>CB_IS_ADJ_NONOP_INC_EXPN</t>
  </si>
  <si>
    <t xml:space="preserve">      Charges de la rémunération par actions</t>
  </si>
  <si>
    <t>IS_EXPENSE_STOCK_BASED_COMP</t>
  </si>
  <si>
    <t>Stock-Based Compensation Expense</t>
  </si>
  <si>
    <t xml:space="preserve">        Ratio Rémunération en actions non-GAAP-Ventes</t>
  </si>
  <si>
    <t>SBC_NON_GAAP_TO_SALES</t>
  </si>
  <si>
    <t xml:space="preserve">        Restructuring &amp; Acquisition</t>
  </si>
  <si>
    <t>CB_IS_OTHER_ONE_TIME_CHARGES</t>
  </si>
  <si>
    <t>Restructuring &amp; Acquisition</t>
  </si>
  <si>
    <t xml:space="preserve">          Ajustement de première page</t>
  </si>
  <si>
    <t>IS_ADJUSTMENT_FACE</t>
  </si>
  <si>
    <t xml:space="preserve">        Charges d'amortissement</t>
  </si>
  <si>
    <t>IS_AMORTIZATION_EXPENSE</t>
  </si>
  <si>
    <t>Amortization of Acquired Intangible Assets</t>
  </si>
  <si>
    <t xml:space="preserve">      Income Tax Effect NonGAAP Reconciliation</t>
  </si>
  <si>
    <t>IS_INC_TAX_EFFECT_NONGAAP_REC</t>
  </si>
  <si>
    <t>Tax Effect of Adjustments</t>
  </si>
  <si>
    <t xml:space="preserve">  Condensed Balance Sheet</t>
  </si>
  <si>
    <t>Condensed Balance Sheet</t>
  </si>
  <si>
    <t xml:space="preserve">  Assets</t>
  </si>
  <si>
    <t>Assets</t>
  </si>
  <si>
    <t xml:space="preserve">    Total des actifs circulants</t>
  </si>
  <si>
    <t>BS_CUR_ASSET_REPORT</t>
  </si>
  <si>
    <t>Current Assets</t>
  </si>
  <si>
    <t xml:space="preserve">      Cash, équiv cash et investissements court terme</t>
  </si>
  <si>
    <t>BS_CASH_CASH_EQUIVALENTS_AND_STI</t>
  </si>
  <si>
    <t>Cash &amp; Cash Equivalents &amp; Investments</t>
  </si>
  <si>
    <t xml:space="preserve">        Cash et équivalents</t>
  </si>
  <si>
    <t>BS_CASH_NEAR_CASH_ITEM</t>
  </si>
  <si>
    <t>Cash &amp; Cash Equivalents</t>
  </si>
  <si>
    <t xml:space="preserve">        Investissements court terme</t>
  </si>
  <si>
    <t>BS_MKT_SEC_OTHER_ST_INVEST</t>
  </si>
  <si>
    <t>Short-Term Investments</t>
  </si>
  <si>
    <t xml:space="preserve">      Comptes clients - Net</t>
  </si>
  <si>
    <t>BS_ACCTS_REC_EXCL_NOTES_REC</t>
  </si>
  <si>
    <t xml:space="preserve">      Loan Receivable - Short Term</t>
  </si>
  <si>
    <t xml:space="preserve">      Other Receivable</t>
  </si>
  <si>
    <t xml:space="preserve">      Prepaid Expenses And Other</t>
  </si>
  <si>
    <t>PREPAID_EXPNSS_AND_OTHR</t>
  </si>
  <si>
    <t xml:space="preserve">    Total des actifs non circulants</t>
  </si>
  <si>
    <t>BS_TOTAL_NON_CURRENT_ASSETS</t>
  </si>
  <si>
    <t xml:space="preserve">      Immobilisations nettes CB</t>
  </si>
  <si>
    <t>CB_BS_PP_AND_E_NET</t>
  </si>
  <si>
    <t>Property, Equipment &amp; Technology, Net</t>
  </si>
  <si>
    <t xml:space="preserve">      Goodwill</t>
  </si>
  <si>
    <t>BS_GOODWILL</t>
  </si>
  <si>
    <t xml:space="preserve">      Investissements long terme</t>
  </si>
  <si>
    <t>BS_LONG_TERM_INVESTMENTS</t>
  </si>
  <si>
    <t xml:space="preserve">      Autres actifs incorporels</t>
  </si>
  <si>
    <t>BS_OTHER_INTANGIBLE_ASSETS</t>
  </si>
  <si>
    <t xml:space="preserve">      Other Noncurrent Assets Company Basis</t>
  </si>
  <si>
    <t>CB_BS_OTHER_NONCURRENT_ASSETS</t>
  </si>
  <si>
    <t>Other Non-Current Assets</t>
  </si>
  <si>
    <t xml:space="preserve">    Total des actifs</t>
  </si>
  <si>
    <t>BS_TOT_ASSET</t>
  </si>
  <si>
    <t xml:space="preserve">  Liabilities &amp; Shareholders' Equity</t>
  </si>
  <si>
    <t>Liabilities &amp; Shareholders' Equity</t>
  </si>
  <si>
    <t xml:space="preserve">    Total du passif circulant</t>
  </si>
  <si>
    <t>BS_CUR_LIAB</t>
  </si>
  <si>
    <t>Current Liabilities</t>
  </si>
  <si>
    <t xml:space="preserve">      Comptes fournisseurs</t>
  </si>
  <si>
    <t>BS_ACCT_PAYABLE</t>
  </si>
  <si>
    <t xml:space="preserve">      Other Current Liabilities Company Basis</t>
  </si>
  <si>
    <t xml:space="preserve">      Accrued Expenses and Other</t>
  </si>
  <si>
    <t>BS_ACCRUD_EXPNSS_AND_OTHR</t>
  </si>
  <si>
    <t>Accrued Expenses &amp; Other Current Liabilities</t>
  </si>
  <si>
    <t xml:space="preserve">      Impôts accumulés</t>
  </si>
  <si>
    <t>BS_TAXES_PAYABLE</t>
  </si>
  <si>
    <t>Income Taxes Payable</t>
  </si>
  <si>
    <t xml:space="preserve">    Other Noncurrent Liabilities Company Basis</t>
  </si>
  <si>
    <t>CB_BS_OTHER_NONCURRENT_LIABS</t>
  </si>
  <si>
    <t>Non-Current Liabilities</t>
  </si>
  <si>
    <t xml:space="preserve">      Total des passifs à long terme</t>
  </si>
  <si>
    <t>BS_ADJ_TOTAL_LT_LIABILITIES</t>
  </si>
  <si>
    <t>Deferred Tax Liabilities</t>
  </si>
  <si>
    <t xml:space="preserve">      Emprunts long terme</t>
  </si>
  <si>
    <t>BS_LONG_TERM_BORROWINGS</t>
  </si>
  <si>
    <t xml:space="preserve">    Passif total</t>
  </si>
  <si>
    <t>BS_TOTAL_LIABILITIES</t>
  </si>
  <si>
    <t xml:space="preserve">    Estimation de valeur de l'actif net comparable</t>
  </si>
  <si>
    <t>HEADLINE_NAV</t>
  </si>
  <si>
    <t>Shareholders' Equity</t>
  </si>
  <si>
    <t xml:space="preserve">      Estimation de valeur de l'actif net comparable</t>
  </si>
  <si>
    <t>Equity before Minority Interest</t>
  </si>
  <si>
    <t xml:space="preserve">        Intérêts minoritaires/sans contrôle</t>
  </si>
  <si>
    <t>MINORITY_NONCONTROLLING_INTEREST</t>
  </si>
  <si>
    <t>Non Controlling Interest</t>
  </si>
  <si>
    <t xml:space="preserve">        Primes d'émission et autres</t>
  </si>
  <si>
    <t>BS_ADD_PAID_IN_CAP</t>
  </si>
  <si>
    <t>Additional Paid-in Capital</t>
  </si>
  <si>
    <t xml:space="preserve">        Montant des actions en propre</t>
  </si>
  <si>
    <t>BS_AMT_OF_TSY_STOCK</t>
  </si>
  <si>
    <t xml:space="preserve">        Bénéfices non distribués</t>
  </si>
  <si>
    <t>BS_PURE_RETAINED_EARNINGS</t>
  </si>
  <si>
    <t xml:space="preserve">        Résultat global cumulé autre</t>
  </si>
  <si>
    <t>BS_ACCUMULATED_OTHER_COMP_INC</t>
  </si>
  <si>
    <t>Other Equity</t>
  </si>
  <si>
    <t>Total Liabilities &amp; Shareholders' Equity</t>
  </si>
  <si>
    <t xml:space="preserve">  Special Company Reference Items</t>
  </si>
  <si>
    <t>Special Company Reference Items</t>
  </si>
  <si>
    <t xml:space="preserve">    Capital ordinaire - corporel</t>
  </si>
  <si>
    <t>TANGIBLE_EQUITY</t>
  </si>
  <si>
    <t>Tangible Equity</t>
  </si>
  <si>
    <t xml:space="preserve">    Actif total sur actif total</t>
  </si>
  <si>
    <t>TOT_ASSET_TO_TOT_ASSET</t>
  </si>
  <si>
    <t xml:space="preserve">    Actif/Capitaux propres</t>
  </si>
  <si>
    <t>ASSET_TO_EQY</t>
  </si>
  <si>
    <t xml:space="preserve">    Délai moyen de recouvrement annualisé</t>
  </si>
  <si>
    <t>ANNUALIZED_DAYS_SALES_OUTSTDG</t>
  </si>
  <si>
    <t xml:space="preserve">    Actions en circulation</t>
  </si>
  <si>
    <t>BS_SH_OUT</t>
  </si>
  <si>
    <t xml:space="preserve">    Estimation d'actif net par action comparable</t>
  </si>
  <si>
    <t>HEADLINE_BVPS</t>
  </si>
  <si>
    <t>Book Value per Share</t>
  </si>
  <si>
    <t xml:space="preserve">    Actif net par action diluée pondérée</t>
  </si>
  <si>
    <t>BV_PER_WEIGHTED_DILUTED_SHARE</t>
  </si>
  <si>
    <t>Book Value per Diluted Share</t>
  </si>
  <si>
    <t xml:space="preserve">    Valeur comptable des corporels par action</t>
  </si>
  <si>
    <t>TANG_BOOK_VAL_PER_SH</t>
  </si>
  <si>
    <t xml:space="preserve">    Nombre maximum d'actions rachetées</t>
  </si>
  <si>
    <t>BS_SHARES_REPURCHASED_NUMBER</t>
  </si>
  <si>
    <t>Shares Repurchased</t>
  </si>
  <si>
    <t xml:space="preserve">      Prix moyen payé pour le rachat</t>
  </si>
  <si>
    <t>BS_AVG_PX_PAID_FOR_REPURCHASE</t>
  </si>
  <si>
    <t>Avg. Price per Share</t>
  </si>
  <si>
    <t xml:space="preserve">      Estimation du retour sur actifs comparable</t>
  </si>
  <si>
    <t>HEADLINE_ROA</t>
  </si>
  <si>
    <t>Return on Avg. Assets (%)</t>
  </si>
  <si>
    <t xml:space="preserve">      Estimation du retour sur capitaux propres comparable</t>
  </si>
  <si>
    <t>HEADLINE_ROE</t>
  </si>
  <si>
    <t>Return on Avg. Equity (%)</t>
  </si>
  <si>
    <t xml:space="preserve">  Condensed Cash Flow Statement</t>
  </si>
  <si>
    <t>Condensed Cash Flow Statement</t>
  </si>
  <si>
    <t xml:space="preserve">  Cash from Operating Activities</t>
  </si>
  <si>
    <t>Cash from Operating Activities</t>
  </si>
  <si>
    <t xml:space="preserve">    Estimation du résultat net GAAP comparable</t>
  </si>
  <si>
    <t xml:space="preserve">    Rémunération en actions</t>
  </si>
  <si>
    <t>CF_STOCK_BASED_COMPENSATION</t>
  </si>
  <si>
    <t xml:space="preserve">    Cash payé pour impôts</t>
  </si>
  <si>
    <t>CF_CASH_PAID_FOR_TAX</t>
  </si>
  <si>
    <t>Cash Paid for Taxes</t>
  </si>
  <si>
    <t xml:space="preserve">    Impôts différés</t>
  </si>
  <si>
    <t>CF_DEF_INC_TAX</t>
  </si>
  <si>
    <t>Deferred Income Taxes</t>
  </si>
  <si>
    <t xml:space="preserve">    Changes in Working Capital</t>
  </si>
  <si>
    <t>Changes in Working Capital</t>
  </si>
  <si>
    <t xml:space="preserve">      Change In Accounts Receivable</t>
  </si>
  <si>
    <t>CB_CF_CHANGE_IN_ACCOUNTS_RECEIVABLE</t>
  </si>
  <si>
    <t xml:space="preserve">      Variation des comptes fournisseurs</t>
  </si>
  <si>
    <t>CF_CHANGE_IN_ACCOUNTS_PAYABLE</t>
  </si>
  <si>
    <t xml:space="preserve">      Variation des impôts sur les revenus à payer/à recevoir</t>
  </si>
  <si>
    <t>CF_CHANGE_IN_INCME_TAXS_PYBL_REC</t>
  </si>
  <si>
    <t xml:space="preserve">      Variation des autres actifs et passifs</t>
  </si>
  <si>
    <t>CF_CHG_IN_OTHR_ASSTS_AND_LIBLTS</t>
  </si>
  <si>
    <t>Other Assets &amp; Liabilities</t>
  </si>
  <si>
    <t xml:space="preserve">  Cash net des activités d'exploitation CB</t>
  </si>
  <si>
    <t>CB_CF_NET_CASH_OPERATING_ACT</t>
  </si>
  <si>
    <t>Cash Flow from Operations</t>
  </si>
  <si>
    <t xml:space="preserve">  Cash from Investing Activities</t>
  </si>
  <si>
    <t>Cash from Investing Activities</t>
  </si>
  <si>
    <t xml:space="preserve">    Estimation des dépenses en capital comparables</t>
  </si>
  <si>
    <t xml:space="preserve">      Dépenses en capital sur ventes</t>
  </si>
  <si>
    <t>CAP_EXPEND_TO_SALES</t>
  </si>
  <si>
    <t xml:space="preserve">    Change In Non Cash Working Capital Investing</t>
  </si>
  <si>
    <t>CB_CF_CHANGE_NONCASH_WORKING_CAP_INV</t>
  </si>
  <si>
    <t>Changes in Principal Loans Receivable, Net</t>
  </si>
  <si>
    <t xml:space="preserve">    Cession d'immobilisations de production</t>
  </si>
  <si>
    <t>CF_DISPOSAL_OF_FIXED_PROD_ASSETS</t>
  </si>
  <si>
    <t>Proceeds from Sales of Property &amp; Equipment</t>
  </si>
  <si>
    <t xml:space="preserve">    Produits d'investissements</t>
  </si>
  <si>
    <t>CF_PROCDS_FROM_INVSTMNTS</t>
  </si>
  <si>
    <t>Maturities &amp; Sales of Investments</t>
  </si>
  <si>
    <t xml:space="preserve">    Csh net reçu/ payé pour acquisition / cession</t>
  </si>
  <si>
    <t>CF_NT_CSH_RCVD_PD_FOR_ACQUIS_DIV</t>
  </si>
  <si>
    <t>Acquisitions</t>
  </si>
  <si>
    <t xml:space="preserve">    Other Investing Activities Company Basis</t>
  </si>
  <si>
    <t>CB_CF_OTHER_INVESTING_ACTIVITIES</t>
  </si>
  <si>
    <t>Funds Receivable</t>
  </si>
  <si>
    <t xml:space="preserve">  Cash net des activités d'investissement CB</t>
  </si>
  <si>
    <t>CB_CF_NET_CASH_INVESTING_ACT</t>
  </si>
  <si>
    <t>Cash Flow from Investing</t>
  </si>
  <si>
    <t xml:space="preserve">  Cash from Financing Activities</t>
  </si>
  <si>
    <t>Cash from Financing Activities</t>
  </si>
  <si>
    <t xml:space="preserve">    Variation nette des dettes CT</t>
  </si>
  <si>
    <t>CF_NET_CHG_IN_ST_DBT_AND_CPTL_LEAS</t>
  </si>
  <si>
    <t>Borrowings (Repayment) Under Financing Arrangements</t>
  </si>
  <si>
    <t xml:space="preserve">    Achats d'actions détenues en propre</t>
  </si>
  <si>
    <t>CF_PURCHSE_OF_TREASRY_STOCK</t>
  </si>
  <si>
    <t>Proceeds from Repurchase of Equity</t>
  </si>
  <si>
    <t xml:space="preserve">      Augmentation du capital social</t>
  </si>
  <si>
    <t>CF_INCR_CAP_STOCK</t>
  </si>
  <si>
    <t>Increase in Capital Stock</t>
  </si>
  <si>
    <t xml:space="preserve">    Retenues d'impôts pour rachat d'actions</t>
  </si>
  <si>
    <t>CF_TAX_WITHHLDG_FOR_REPUR_OF_STK</t>
  </si>
  <si>
    <t xml:space="preserve">  Cash net des activités de financement CB</t>
  </si>
  <si>
    <t>CB_CF_NET_CASH_FINANCING_ACT</t>
  </si>
  <si>
    <t>Cash Flow from Financing</t>
  </si>
  <si>
    <t xml:space="preserve">    Effet des taux de change</t>
  </si>
  <si>
    <t>CF_EFFECT_FOREIGN_EXCHANGES</t>
  </si>
  <si>
    <t>Effect of Foreign Exchange Rates</t>
  </si>
  <si>
    <t xml:space="preserve">    Var. nette de trésorerie</t>
  </si>
  <si>
    <t>CF_NET_CHNG_CASH</t>
  </si>
  <si>
    <t>Net Change in Cash</t>
  </si>
  <si>
    <t xml:space="preserve">      Cash et équivalents cash - Solde de début</t>
  </si>
  <si>
    <t>CF_CASH_AND_CASH_EQUIV_BEG_BAL</t>
  </si>
  <si>
    <t>Cash &amp; Cash Equivalents (BOP)</t>
  </si>
  <si>
    <t xml:space="preserve">      Cash et équivalents cash - Solde de fin</t>
  </si>
  <si>
    <t>CF_CASH_AND_CASH_EQUIV_END_BAL</t>
  </si>
  <si>
    <t>Cash &amp; Cash Equivalents (EOP)</t>
  </si>
  <si>
    <t xml:space="preserve">    </t>
  </si>
  <si>
    <t xml:space="preserve">    Cash réel payé pour intérêts sur dette</t>
  </si>
  <si>
    <t>CF_ACT_CASH_PAID_FOR_INT_DEBT</t>
  </si>
  <si>
    <t>Cash Paid for Interest</t>
  </si>
  <si>
    <t xml:space="preserve">    Estimation de cash-flow disponible comparable</t>
  </si>
  <si>
    <t>HEADLINE_FCF</t>
  </si>
  <si>
    <t>Free Cash Flow</t>
  </si>
  <si>
    <t xml:space="preserve">      Free Cash Flow/Actions diluées</t>
  </si>
  <si>
    <t>FCF_PER_DIL_SHR</t>
  </si>
  <si>
    <t>FCF per Share</t>
  </si>
  <si>
    <t xml:space="preserve">    Free cash flow ajusté dépenses de cap/dividendes</t>
  </si>
  <si>
    <t>CF_FREE_CASH_FLOW_EX_DVD</t>
  </si>
  <si>
    <t>Free Cash Flow (Adjusted)</t>
  </si>
  <si>
    <t>Source: Bloomberg</t>
  </si>
  <si>
    <t>Paypal DCF</t>
  </si>
  <si>
    <t>Company</t>
  </si>
  <si>
    <t>End FS</t>
  </si>
  <si>
    <t>Current date</t>
  </si>
  <si>
    <t>Current stock price</t>
  </si>
  <si>
    <t>% of the remaining year</t>
  </si>
  <si>
    <t>EBIAT</t>
  </si>
  <si>
    <t>% sales</t>
  </si>
  <si>
    <t>Unleverage FCF</t>
  </si>
  <si>
    <t>Number periods from current dates</t>
  </si>
  <si>
    <t>Present Value FCF</t>
  </si>
  <si>
    <t>Revenue 2037</t>
  </si>
  <si>
    <t>Revenue Step (Final)</t>
  </si>
  <si>
    <t>EBIT Step (Final)</t>
  </si>
  <si>
    <t>Revenue 2024</t>
  </si>
  <si>
    <t>EBIT Step 2024</t>
  </si>
  <si>
    <t>NWC</t>
  </si>
  <si>
    <t>Conservative Case (1)</t>
  </si>
  <si>
    <t>Base Case (2)</t>
  </si>
  <si>
    <t>Optimistic Case (3)</t>
  </si>
  <si>
    <t>Valuation - DCF &amp; Growing perpetuity</t>
  </si>
  <si>
    <r>
      <t xml:space="preserve">FCF </t>
    </r>
    <r>
      <rPr>
        <vertAlign val="subscript"/>
        <sz val="11"/>
        <rFont val="Calibri"/>
        <family val="2"/>
        <scheme val="minor"/>
      </rPr>
      <t>t+1</t>
    </r>
  </si>
  <si>
    <r>
      <rPr>
        <sz val="11"/>
        <rFont val="Calibri"/>
        <family val="2"/>
        <scheme val="minor"/>
      </rPr>
      <t>Terminal value (TV)  (FCF = grow. perp.)</t>
    </r>
    <r>
      <rPr>
        <vertAlign val="subscript"/>
        <sz val="11"/>
        <rFont val="Calibri"/>
        <family val="2"/>
        <scheme val="minor"/>
      </rPr>
      <t xml:space="preserve"> t</t>
    </r>
  </si>
  <si>
    <t>Sum of the PV of FCF</t>
  </si>
  <si>
    <t>PV of TV</t>
  </si>
  <si>
    <t>Enterprise value</t>
  </si>
  <si>
    <t>(-) Net debt value</t>
  </si>
  <si>
    <t>Fully diluted shares outstanding</t>
  </si>
  <si>
    <t xml:space="preserve">Equity value per share </t>
  </si>
  <si>
    <t>Terminal year estimator</t>
  </si>
  <si>
    <t>Terminal value</t>
  </si>
  <si>
    <t>Valuation - DCF &amp; Multiply</t>
  </si>
  <si>
    <t>Mean Mutiple</t>
  </si>
  <si>
    <t>Valuation - Mutiple</t>
  </si>
  <si>
    <t>Share value (DCF &amp; Growing perpetuity) - Sensitivity Analysis : WACC vs Growth</t>
  </si>
  <si>
    <t>Share value (DCF &amp; EV / EBITDA Multiple) - Sensitivity Analysis : EBITDA Terminal year vs Multiple</t>
  </si>
  <si>
    <t>Share value (P/E Multiple Only) - Sensitivity Analysis : Net Income Last Year vs Multiple</t>
  </si>
  <si>
    <t>Share value (EV / Sales Multiple Only) - Sensitivity Analysis : Sales Last Year vs Multiple</t>
  </si>
  <si>
    <t>Summary Table</t>
  </si>
  <si>
    <t>Min</t>
  </si>
  <si>
    <t>Span</t>
  </si>
  <si>
    <t>Max</t>
  </si>
  <si>
    <t>DCF &amp; Growing Perpetuity</t>
  </si>
  <si>
    <t>DCF &amp; EV/EBITDA Multiple</t>
  </si>
  <si>
    <t>P/E Multiple Only</t>
  </si>
  <si>
    <t>Price/Sales Multiple Only</t>
  </si>
  <si>
    <t>s</t>
  </si>
  <si>
    <t>Structure capital</t>
  </si>
  <si>
    <t>S&amp;P</t>
  </si>
  <si>
    <t>Moodys</t>
  </si>
  <si>
    <t>Fitch</t>
  </si>
  <si>
    <t>Moy.</t>
  </si>
  <si>
    <t>PAYPAL HOLDINGS INC</t>
  </si>
  <si>
    <t>A-</t>
  </si>
  <si>
    <t>A3</t>
  </si>
  <si>
    <t>FISERV INC</t>
  </si>
  <si>
    <t>BBB</t>
  </si>
  <si>
    <t>Baa2</t>
  </si>
  <si>
    <t>N.A.</t>
  </si>
  <si>
    <t>FIDELITY NATIONAL INFO SERV</t>
  </si>
  <si>
    <t>GLOBAL PAYMENTS INC</t>
  </si>
  <si>
    <t>BBB-</t>
  </si>
  <si>
    <t>Baa3</t>
  </si>
  <si>
    <t>FLEETCOR TECHNOLOGIES INC</t>
  </si>
  <si>
    <t>BB+</t>
  </si>
  <si>
    <t>WEX INC</t>
  </si>
  <si>
    <t>BB-</t>
  </si>
  <si>
    <t>Ba2</t>
  </si>
  <si>
    <t>EURONET WORLDWIDE INC</t>
  </si>
  <si>
    <t>Ba1</t>
  </si>
  <si>
    <t>WESTERN UNION CO</t>
  </si>
  <si>
    <t>WD</t>
  </si>
  <si>
    <t>AFFIRM HOLDINGS INC</t>
  </si>
  <si>
    <t>EVO PAYMENTS INC-CLASS A</t>
  </si>
  <si>
    <t>MASTERCARD INC - A</t>
  </si>
  <si>
    <t>A+</t>
  </si>
  <si>
    <t>Aa3</t>
  </si>
  <si>
    <t>VISA INC-CLASS A SHARES</t>
  </si>
  <si>
    <t>AA-</t>
  </si>
  <si>
    <t>MONEYGRAM INTERNATIONAL INC</t>
  </si>
  <si>
    <t>B</t>
  </si>
  <si>
    <t>B2</t>
  </si>
  <si>
    <t>BLOCK INC</t>
  </si>
  <si>
    <t>BB</t>
  </si>
  <si>
    <t>COINBASE GLOBAL INC -CLASS A</t>
  </si>
  <si>
    <t>ACI WORLDWIDE INC</t>
  </si>
  <si>
    <t>Ba3</t>
  </si>
  <si>
    <t>Date d'annonce</t>
  </si>
  <si>
    <t>Nom de la cible</t>
  </si>
  <si>
    <t>Nom Acquéreur</t>
  </si>
  <si>
    <t>Valeur totale annoncée (mil.)</t>
  </si>
  <si>
    <t>Type de paiement</t>
  </si>
  <si>
    <t>Statut du deal</t>
  </si>
  <si>
    <t>02/21/2023</t>
  </si>
  <si>
    <t>Chaos Labs Inc</t>
  </si>
  <si>
    <t>Multiple acquirers</t>
  </si>
  <si>
    <t>Cash</t>
  </si>
  <si>
    <t>Completed</t>
  </si>
  <si>
    <t>02/20/2023</t>
  </si>
  <si>
    <t>Mintoak Innovations Pvt Ltd</t>
  </si>
  <si>
    <t>01/18/2023</t>
  </si>
  <si>
    <t>Tabby Inc</t>
  </si>
  <si>
    <t>11/09/2022</t>
  </si>
  <si>
    <t>Fordefi Inc</t>
  </si>
  <si>
    <t>08/17/2022</t>
  </si>
  <si>
    <t>BigFoot Retail Solutions Pvt Ltd</t>
  </si>
  <si>
    <t>06/08/2022</t>
  </si>
  <si>
    <t>Codat Ltd</t>
  </si>
  <si>
    <t>05/30/2022</t>
  </si>
  <si>
    <t>Numi GmbH</t>
  </si>
  <si>
    <t>05/18/2022</t>
  </si>
  <si>
    <t>Modulr Finance Ltd</t>
  </si>
  <si>
    <t>05/11/2022</t>
  </si>
  <si>
    <t>Talos Inc</t>
  </si>
  <si>
    <t>05/09/2022</t>
  </si>
  <si>
    <t>Paymob</t>
  </si>
  <si>
    <t>05/02/2022</t>
  </si>
  <si>
    <t>Concerto Card Co</t>
  </si>
  <si>
    <t>04/21/2022</t>
  </si>
  <si>
    <t>Oyster HR Inc</t>
  </si>
  <si>
    <t>03/30/2022</t>
  </si>
  <si>
    <t>LayerZero Labs Canada Inc</t>
  </si>
  <si>
    <t>02/08/2022</t>
  </si>
  <si>
    <t>Shopware AG</t>
  </si>
  <si>
    <t>09/07/2021</t>
  </si>
  <si>
    <t>Paidy Inc</t>
  </si>
  <si>
    <t>PayPal Holdings Inc</t>
  </si>
  <si>
    <t>06/17/2021</t>
  </si>
  <si>
    <t>TRM Labs Inc</t>
  </si>
  <si>
    <t>05/27/2021</t>
  </si>
  <si>
    <t>Talos Trading Inc</t>
  </si>
  <si>
    <t>05/18/2021</t>
  </si>
  <si>
    <t>Extend Inc</t>
  </si>
  <si>
    <t>05/13/2021</t>
  </si>
  <si>
    <t>Happy Returns Inc</t>
  </si>
  <si>
    <t>N/A</t>
  </si>
  <si>
    <t>05/11/2021</t>
  </si>
  <si>
    <t>Arkose Labs Inc</t>
  </si>
  <si>
    <t>04/29/2021</t>
  </si>
  <si>
    <t>Paxos Trust Co LC</t>
  </si>
  <si>
    <t>03/08/2021</t>
  </si>
  <si>
    <t>Curv Inc</t>
  </si>
  <si>
    <t>03/03/2021</t>
  </si>
  <si>
    <t>03/02/2021</t>
  </si>
  <si>
    <t>TaxBit Inc</t>
  </si>
  <si>
    <t>01/14/2021</t>
  </si>
  <si>
    <t>Gopay Information Technology Co Ltd</t>
  </si>
  <si>
    <t>Undisclosed</t>
  </si>
  <si>
    <t>01/07/2021</t>
  </si>
  <si>
    <t>12/17/2020</t>
  </si>
  <si>
    <t>12/11/2020</t>
  </si>
  <si>
    <t>Tink AB</t>
  </si>
  <si>
    <t>11/18/2020</t>
  </si>
  <si>
    <t>Heyday</t>
  </si>
  <si>
    <t>10/16/2020</t>
  </si>
  <si>
    <t>09/02/2020</t>
  </si>
  <si>
    <t>Neon Pagamentos SA</t>
  </si>
  <si>
    <t>08/04/2020</t>
  </si>
  <si>
    <t>Hey Corp</t>
  </si>
  <si>
    <t>06/03/2020</t>
  </si>
  <si>
    <t>Aplikasi Karya Anak Bangsa PT</t>
  </si>
  <si>
    <t>04/16/2020</t>
  </si>
  <si>
    <t>SafeBreach Inc</t>
  </si>
  <si>
    <t>03/24/2020</t>
  </si>
  <si>
    <t>11/20/2019</t>
  </si>
  <si>
    <t>Honey Science LLC</t>
  </si>
  <si>
    <t>11/19/2019</t>
  </si>
  <si>
    <t>09/30/2019</t>
  </si>
  <si>
    <t>08/21/2019</t>
  </si>
  <si>
    <t>InVenture Capital Corp</t>
  </si>
  <si>
    <t>08/19/2019</t>
  </si>
  <si>
    <t>Acorns Grow Inc</t>
  </si>
  <si>
    <t>06/04/2019</t>
  </si>
  <si>
    <t>04/26/2019</t>
  </si>
  <si>
    <t>Uber Technologies Inc</t>
  </si>
  <si>
    <t>04/25/2019</t>
  </si>
  <si>
    <t>03/28/2019</t>
  </si>
  <si>
    <t>Ellevate Financial Inc</t>
  </si>
  <si>
    <t>03/20/2019</t>
  </si>
  <si>
    <t>Restream Inc</t>
  </si>
  <si>
    <t>03/14/2019</t>
  </si>
  <si>
    <t>MercadoLibre Inc</t>
  </si>
  <si>
    <t>02/06/2019</t>
  </si>
  <si>
    <t>Raisin GmbH</t>
  </si>
  <si>
    <t>01/22/2019</t>
  </si>
  <si>
    <t>Dosh Holdings Inc</t>
  </si>
  <si>
    <t>12/09/2018</t>
  </si>
  <si>
    <t>Viva Republica Co Ltd</t>
  </si>
  <si>
    <t>11/14/2018</t>
  </si>
  <si>
    <t>FunCaptcha Pty Ltd</t>
  </si>
  <si>
    <t>10/31/2018</t>
  </si>
  <si>
    <t>09/06/2018</t>
  </si>
  <si>
    <t>Monese Ltd</t>
  </si>
  <si>
    <t>07/16/2018</t>
  </si>
  <si>
    <t>PPRO Financial Ltd</t>
  </si>
  <si>
    <t>07/12/2018</t>
  </si>
  <si>
    <t>06/21/2018</t>
  </si>
  <si>
    <t>Simility Inc</t>
  </si>
  <si>
    <t>06/19/2018</t>
  </si>
  <si>
    <t>hyperWallet Systems Inc/CA</t>
  </si>
  <si>
    <t>05/31/2018</t>
  </si>
  <si>
    <t>Pine Labs Pvt Ltd</t>
  </si>
  <si>
    <t>05/29/2018</t>
  </si>
  <si>
    <t>Jetlore LLC</t>
  </si>
  <si>
    <t>05/17/2018</t>
  </si>
  <si>
    <t>iZettle AB</t>
  </si>
  <si>
    <t>05/15/2018</t>
  </si>
  <si>
    <t>Cambridge Blockchain LLC</t>
  </si>
  <si>
    <t>05/08/2018</t>
  </si>
  <si>
    <t>04/26/2018</t>
  </si>
  <si>
    <t>12/20/2017</t>
  </si>
  <si>
    <t>12/11/2017</t>
  </si>
  <si>
    <t>11/20/2017</t>
  </si>
  <si>
    <t>Acorns Advisers LLC</t>
  </si>
  <si>
    <t>09/19/2017</t>
  </si>
  <si>
    <t>Raise Marketplace Inc</t>
  </si>
  <si>
    <t>08/10/2017</t>
  </si>
  <si>
    <t>Swift Financial LLC</t>
  </si>
  <si>
    <t>07/31/2017</t>
  </si>
  <si>
    <t>Cloudiq Ltd</t>
  </si>
  <si>
    <t>06/29/2017</t>
  </si>
  <si>
    <t>Flurish Inc</t>
  </si>
  <si>
    <t>03/09/2017</t>
  </si>
  <si>
    <t>02/14/2017</t>
  </si>
  <si>
    <t>TIO Networks Corp</t>
  </si>
  <si>
    <t>08/02/2016</t>
  </si>
  <si>
    <t>Pulsate Ltd</t>
  </si>
  <si>
    <t>04/21/2016</t>
  </si>
  <si>
    <t>08/19/2015</t>
  </si>
  <si>
    <t>Modest Inc</t>
  </si>
  <si>
    <t>07/01/2015</t>
  </si>
  <si>
    <t>Xoom Corp</t>
  </si>
  <si>
    <t>06/17/2013</t>
  </si>
  <si>
    <t>Earn Usa Inc</t>
  </si>
  <si>
    <t>Ticker</t>
  </si>
  <si>
    <t>PYPL</t>
  </si>
  <si>
    <t>Digital Paiment</t>
  </si>
  <si>
    <t>Devise</t>
  </si>
  <si>
    <t>(en millions de USD)</t>
  </si>
  <si>
    <t>Stock Price</t>
  </si>
  <si>
    <t>1-Year Change</t>
  </si>
  <si>
    <t>Software &amp; IT Services</t>
  </si>
  <si>
    <t>Secteur</t>
  </si>
  <si>
    <t>Industrie</t>
  </si>
  <si>
    <t>Market Cap</t>
  </si>
  <si>
    <t>82,64B</t>
  </si>
  <si>
    <t>P/E Ratio</t>
  </si>
  <si>
    <t>27,52B</t>
  </si>
  <si>
    <t>EPS</t>
  </si>
  <si>
    <t>Beta</t>
  </si>
  <si>
    <t>Next Earning Date</t>
  </si>
  <si>
    <t>52 Wk Range</t>
  </si>
  <si>
    <t>66,39 - 122,92</t>
  </si>
  <si>
    <t>Dividend</t>
  </si>
  <si>
    <t>Dividend Yield</t>
  </si>
  <si>
    <t>Recommandation</t>
  </si>
  <si>
    <t>BUY</t>
  </si>
  <si>
    <t>Tableau 1</t>
  </si>
  <si>
    <t>Tableau 3</t>
  </si>
  <si>
    <t>Tableau 2 : Analyse Dupont</t>
  </si>
  <si>
    <t>Analyst</t>
  </si>
  <si>
    <t>Target Price</t>
  </si>
  <si>
    <t>Récession</t>
  </si>
  <si>
    <t>Pas récession</t>
  </si>
  <si>
    <t>Table : Target Price</t>
  </si>
  <si>
    <t>PYPL US Equity</t>
  </si>
  <si>
    <t>Date</t>
  </si>
  <si>
    <t>Buys</t>
  </si>
  <si>
    <t>Consensus Rating</t>
  </si>
  <si>
    <t>Holds</t>
  </si>
  <si>
    <t>Total Buy Recs</t>
  </si>
  <si>
    <t>Sells</t>
  </si>
  <si>
    <t>Total Hold Recs</t>
  </si>
  <si>
    <t>Last Price</t>
  </si>
  <si>
    <t>Total Sell Recs</t>
  </si>
  <si>
    <t>Pricing Currency</t>
  </si>
  <si>
    <t>Best Target Price</t>
  </si>
  <si>
    <t>Return Potential</t>
  </si>
  <si>
    <t>LTM Return</t>
  </si>
  <si>
    <t>Firm Name</t>
  </si>
  <si>
    <t>Recommendation</t>
  </si>
  <si>
    <t>Morgan Stanley</t>
  </si>
  <si>
    <t>James Faucette</t>
  </si>
  <si>
    <t>Overwt/Attractive</t>
  </si>
  <si>
    <t>Bernstein</t>
  </si>
  <si>
    <t>Harshita Rawat</t>
  </si>
  <si>
    <t>market perform</t>
  </si>
  <si>
    <t>MoffettNathanson LLC</t>
  </si>
  <si>
    <t>Lisa Ellis</t>
  </si>
  <si>
    <t>outperform</t>
  </si>
  <si>
    <t>M Science Investment Research</t>
  </si>
  <si>
    <t>Corey Barrett</t>
  </si>
  <si>
    <t>no rating system</t>
  </si>
  <si>
    <t>RBC Capital</t>
  </si>
  <si>
    <t>Dan Perlin</t>
  </si>
  <si>
    <t>Keefe Bruyette &amp; Woods</t>
  </si>
  <si>
    <t>Sanjay Sakhrani</t>
  </si>
  <si>
    <t>Oppenheimer</t>
  </si>
  <si>
    <t>Dominick Gabriele</t>
  </si>
  <si>
    <t>Evercore ISI</t>
  </si>
  <si>
    <t>David Togut</t>
  </si>
  <si>
    <t>Macquarie</t>
  </si>
  <si>
    <t>Paul Golding</t>
  </si>
  <si>
    <t>Autonomous Research</t>
  </si>
  <si>
    <t>Kenneth Suchoski</t>
  </si>
  <si>
    <t>neutral</t>
  </si>
  <si>
    <t>Zacks</t>
  </si>
  <si>
    <t>Team Coverage</t>
  </si>
  <si>
    <t>Wedbush</t>
  </si>
  <si>
    <t>Moshe Katri</t>
  </si>
  <si>
    <t>Redburn</t>
  </si>
  <si>
    <t>Fahed Kunwar</t>
  </si>
  <si>
    <t>Credit Suisse</t>
  </si>
  <si>
    <t>Timothy Chiodo</t>
  </si>
  <si>
    <t>KGI Securities Co Ltd</t>
  </si>
  <si>
    <t>Freddy Chen</t>
  </si>
  <si>
    <t>Baptista Research</t>
  </si>
  <si>
    <t>Ishan Majumdar</t>
  </si>
  <si>
    <t>buy</t>
  </si>
  <si>
    <t>Phillip Securities</t>
  </si>
  <si>
    <t>Morningstar</t>
  </si>
  <si>
    <t>Brett Horn</t>
  </si>
  <si>
    <t>Daiwa Securities</t>
  </si>
  <si>
    <t>Kazuya Nishimura</t>
  </si>
  <si>
    <t>BNP Paribas Exane</t>
  </si>
  <si>
    <t>Alexandre Faure</t>
  </si>
  <si>
    <t>DZ Bank AG Research</t>
  </si>
  <si>
    <t>Timo Dums</t>
  </si>
  <si>
    <t>hold</t>
  </si>
  <si>
    <t>Loop Capital Markets</t>
  </si>
  <si>
    <t>Harold Goetsch</t>
  </si>
  <si>
    <t>BMO Capital Markets</t>
  </si>
  <si>
    <t>James Fotheringham</t>
  </si>
  <si>
    <t>Deutsche Bank</t>
  </si>
  <si>
    <t>Bryan Keane</t>
  </si>
  <si>
    <t>Mirae Asset Securities</t>
  </si>
  <si>
    <t>Yongjei Jeong</t>
  </si>
  <si>
    <t>D.A. Davidson</t>
  </si>
  <si>
    <t>Christopher Brendler</t>
  </si>
  <si>
    <t>JP Morgan</t>
  </si>
  <si>
    <t>Tien-Tsin Huang</t>
  </si>
  <si>
    <t>overweight</t>
  </si>
  <si>
    <t>Jefferies</t>
  </si>
  <si>
    <t>Trevor Williams</t>
  </si>
  <si>
    <t>Needham</t>
  </si>
  <si>
    <t>Mayank Tandon</t>
  </si>
  <si>
    <t>Citi</t>
  </si>
  <si>
    <t>Ashwin Shirvaikar</t>
  </si>
  <si>
    <t>Stephens</t>
  </si>
  <si>
    <t>Charles Nabhan</t>
  </si>
  <si>
    <t>equalweight</t>
  </si>
  <si>
    <t>William Blair</t>
  </si>
  <si>
    <t>Robert Napoli</t>
  </si>
  <si>
    <t>Raymond James</t>
  </si>
  <si>
    <t>John Davis</t>
  </si>
  <si>
    <t>Mizuho Securities</t>
  </si>
  <si>
    <t>Dan Dolev</t>
  </si>
  <si>
    <t>Oddo BHF</t>
  </si>
  <si>
    <t>Martin Marandon-Carlhian</t>
  </si>
  <si>
    <t>Canaccord Genuity</t>
  </si>
  <si>
    <t>Joseph Vafi</t>
  </si>
  <si>
    <t>CICC</t>
  </si>
  <si>
    <t>Zeyu Yao</t>
  </si>
  <si>
    <t>Wells Fargo</t>
  </si>
  <si>
    <t>Jeff Cantwell</t>
  </si>
  <si>
    <t>JMP Securities</t>
  </si>
  <si>
    <t>David Scharf</t>
  </si>
  <si>
    <t>market outperform</t>
  </si>
  <si>
    <t>SMBC Nikko</t>
  </si>
  <si>
    <t>Andrew Bauch</t>
  </si>
  <si>
    <t>underperform</t>
  </si>
  <si>
    <t>Susquehanna</t>
  </si>
  <si>
    <t>James Friedman</t>
  </si>
  <si>
    <t>Atlantic Equities</t>
  </si>
  <si>
    <t>Kunaal Malde</t>
  </si>
  <si>
    <t>Barclays</t>
  </si>
  <si>
    <t>Ramsey El-Assal</t>
  </si>
  <si>
    <t>Wolfe Research</t>
  </si>
  <si>
    <t>Darrin Peller</t>
  </si>
  <si>
    <t>peerperform</t>
  </si>
  <si>
    <t>Goldman Sachs</t>
  </si>
  <si>
    <t>Michael Ng</t>
  </si>
  <si>
    <t>Truist Securities</t>
  </si>
  <si>
    <t>Andrew Jeffrey</t>
  </si>
  <si>
    <t>Baird</t>
  </si>
  <si>
    <t>Colin Sebastian</t>
  </si>
  <si>
    <t>KeyBanc Capital Markets</t>
  </si>
  <si>
    <t>Josh Beck</t>
  </si>
  <si>
    <t>sector weight</t>
  </si>
  <si>
    <t>Piper Sandler &amp; Co</t>
  </si>
  <si>
    <t>Kevin Barker</t>
  </si>
  <si>
    <t>Punto Research</t>
  </si>
  <si>
    <t>Manuel Zegbe</t>
  </si>
  <si>
    <t>BTIG</t>
  </si>
  <si>
    <t>Mark Palmer</t>
  </si>
  <si>
    <t>Under Review</t>
  </si>
  <si>
    <t>Argus Research Company</t>
  </si>
  <si>
    <t>Stephen Biggar</t>
  </si>
  <si>
    <t>Sadif Investment Analytics</t>
  </si>
  <si>
    <t>strong buy</t>
  </si>
  <si>
    <t>Masterlink Securities</t>
  </si>
  <si>
    <t>Berenberg</t>
  </si>
  <si>
    <t>Tammy Qiu</t>
  </si>
  <si>
    <t>President Capital Management Corp</t>
  </si>
  <si>
    <t>Chris Chang</t>
  </si>
  <si>
    <t>William O'Neil &amp; Co Incorporated</t>
  </si>
  <si>
    <t>Dean Kim</t>
  </si>
  <si>
    <t>not rated</t>
  </si>
  <si>
    <t>CTBC Securities Investment Service Co</t>
  </si>
  <si>
    <t>Irene Weng</t>
  </si>
  <si>
    <t>Erste Group</t>
  </si>
  <si>
    <t>Hans Engel</t>
  </si>
  <si>
    <t>Edward Jones</t>
  </si>
  <si>
    <t>Logan Purk</t>
  </si>
  <si>
    <t>Upside (downside)</t>
  </si>
  <si>
    <t>min</t>
  </si>
  <si>
    <t>max</t>
  </si>
  <si>
    <t>Target price</t>
  </si>
  <si>
    <t>Analyst Recommandation</t>
  </si>
  <si>
    <t>Average Methods</t>
  </si>
  <si>
    <t>Source : Bloomberg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</si>
</sst>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 * #,##0.00_)\ &quot;$&quot;_ ;_ * \(#,##0.00\)\ &quot;$&quot;_ ;_ * &quot;-&quot;??_)\ &quot;$&quot;_ ;_ @_ "/>
    <numFmt numFmtId="164" formatCode="_(* #,##0.0_);_(* \(#,##0.0\)_)\ ;_(* 0_)"/>
    <numFmt numFmtId="165" formatCode="_(#,##0.0%_);_(\(#,##0.0%\)_);_(#,##0.0%_)"/>
    <numFmt numFmtId="166" formatCode="_(* #,##0.0#_);_(* \(#,##0.0#\)_)\ ;_(* 0_)"/>
    <numFmt numFmtId="167" formatCode="_(&quot;$&quot;#,##0.0#_);_(\(&quot;$&quot;#,##0.0#\)_);_(&quot;$&quot;&quot; - &quot;_)"/>
    <numFmt numFmtId="168" formatCode="#,##0.0\x"/>
    <numFmt numFmtId="169" formatCode="_(* #,##0.0##_);_(* \(#,##0.0##\)_)\ ;_(* 0_)"/>
    <numFmt numFmtId="170" formatCode="mmm\-dd\-yyyy"/>
    <numFmt numFmtId="171" formatCode="_(* #,##0_);_(* \(#,##0\)_)\ ;_(* 0_)"/>
    <numFmt numFmtId="172" formatCode="#,##0.00\x"/>
    <numFmt numFmtId="173" formatCode="0.00000"/>
    <numFmt numFmtId="174" formatCode="0.0%"/>
    <numFmt numFmtId="175" formatCode="#,##0.0"/>
    <numFmt numFmtId="176" formatCode="#,##0.000"/>
    <numFmt numFmtId="177" formatCode="0.0000"/>
    <numFmt numFmtId="178" formatCode="0.0%;\(0.0%\)"/>
    <numFmt numFmtId="179" formatCode="0.00%;\(0.00%\)"/>
    <numFmt numFmtId="180" formatCode="_([$$-409]* #,##0.00_);_([$$-409]* \(#,##0.00\);_([$$-409]* &quot;-&quot;??_);_(@_)"/>
    <numFmt numFmtId="181" formatCode="_ * #,##0.00_)\ [$$-C0C]_ ;_ * \(#,##0.00\)\ [$$-C0C]_ ;_ * &quot;-&quot;??_)\ [$$-C0C]_ ;_ @_ "/>
    <numFmt numFmtId="182" formatCode="_ * #,##0.0_)\ _$_ ;_ * \(#,##0.0\)\ _$_ ;_ * &quot;-&quot;?_)\ _$_ ;_ @_ "/>
    <numFmt numFmtId="183" formatCode="_ * #,##0.00_)\ _$_ ;_ * \(#,##0.00\)\ _$_ ;_ * &quot;-&quot;??_)\ _$_ ;_ @_ "/>
    <numFmt numFmtId="184" formatCode="#,##0.0\ _$"/>
    <numFmt numFmtId="185" formatCode="yyyy/mm/dd;@"/>
  </numFmts>
  <fonts count="50" x14ac:knownFonts="1">
    <font>
      <sz val="10"/>
      <name val="Arial"/>
    </font>
    <font>
      <sz val="10"/>
      <name val="Arial"/>
      <family val="2"/>
    </font>
    <font>
      <sz val="8"/>
      <name val="Arial"/>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charset val="2"/>
    </font>
    <font>
      <sz val="10"/>
      <color indexed="8"/>
      <name val="Arial"/>
      <family val="2"/>
    </font>
    <font>
      <b/>
      <sz val="8"/>
      <color indexed="8"/>
      <name val="Verdana"/>
      <family val="2"/>
    </font>
    <font>
      <i/>
      <sz val="8"/>
      <name val="Arial"/>
      <family val="2"/>
    </font>
    <font>
      <b/>
      <sz val="8"/>
      <name val="Arial"/>
      <family val="2"/>
    </font>
    <font>
      <b/>
      <i/>
      <sz val="8"/>
      <color indexed="8"/>
      <name val="Arial"/>
      <family val="2"/>
    </font>
    <font>
      <b/>
      <u val="double"/>
      <sz val="8"/>
      <color indexed="8"/>
      <name val="Arial"/>
      <family val="2"/>
    </font>
    <font>
      <b/>
      <u/>
      <sz val="8"/>
      <color indexed="8"/>
      <name val="Arial"/>
      <family val="2"/>
    </font>
    <font>
      <sz val="10"/>
      <name val="Arial"/>
      <family val="2"/>
    </font>
    <font>
      <b/>
      <sz val="11"/>
      <name val="Calibri"/>
      <family val="2"/>
      <scheme val="minor"/>
    </font>
    <font>
      <sz val="11"/>
      <name val="Calibri"/>
      <family val="2"/>
      <scheme val="minor"/>
    </font>
    <font>
      <sz val="11"/>
      <color theme="9" tint="-0.249977111117893"/>
      <name val="Calibri"/>
      <family val="2"/>
      <scheme val="minor"/>
    </font>
    <font>
      <sz val="11"/>
      <color rgb="FF000000"/>
      <name val="Calibri"/>
      <family val="2"/>
      <scheme val="minor"/>
    </font>
    <font>
      <b/>
      <sz val="11"/>
      <color rgb="FF000000"/>
      <name val="Calibri"/>
      <family val="2"/>
      <scheme val="minor"/>
    </font>
    <font>
      <sz val="10"/>
      <name val="Calibri"/>
      <family val="2"/>
      <scheme val="minor"/>
    </font>
    <font>
      <sz val="11"/>
      <color rgb="FF4472C4"/>
      <name val="Calibri"/>
      <family val="2"/>
      <scheme val="minor"/>
    </font>
    <font>
      <sz val="11"/>
      <color rgb="FFFFFFFF"/>
      <name val="Calibri"/>
      <family val="2"/>
      <scheme val="minor"/>
    </font>
    <font>
      <b/>
      <sz val="16"/>
      <color theme="1"/>
      <name val="Calibri"/>
      <family val="2"/>
      <scheme val="minor"/>
    </font>
    <font>
      <b/>
      <sz val="11"/>
      <color theme="0"/>
      <name val="Calibri"/>
      <family val="2"/>
      <scheme val="minor"/>
    </font>
    <font>
      <b/>
      <sz val="11"/>
      <color theme="1"/>
      <name val="Calibri"/>
      <family val="2"/>
      <scheme val="minor"/>
    </font>
    <font>
      <i/>
      <sz val="11"/>
      <name val="Calibri"/>
      <family val="2"/>
      <scheme val="minor"/>
    </font>
    <font>
      <i/>
      <sz val="11"/>
      <color theme="1"/>
      <name val="Calibri"/>
      <family val="2"/>
      <scheme val="minor"/>
    </font>
    <font>
      <sz val="11"/>
      <color rgb="FF7030A0"/>
      <name val="Calibri"/>
      <family val="2"/>
      <scheme val="minor"/>
    </font>
    <font>
      <i/>
      <sz val="11"/>
      <color rgb="FF7030A0"/>
      <name val="Calibri"/>
      <family val="2"/>
      <scheme val="minor"/>
    </font>
    <font>
      <b/>
      <sz val="16"/>
      <color indexed="9"/>
      <name val="Arial"/>
      <family val="2"/>
    </font>
    <font>
      <i/>
      <sz val="10"/>
      <color indexed="63"/>
      <name val="Arial"/>
      <family val="2"/>
    </font>
    <font>
      <sz val="10"/>
      <color indexed="63"/>
      <name val="Arial"/>
      <family val="2"/>
    </font>
    <font>
      <i/>
      <sz val="10"/>
      <color indexed="8"/>
      <name val="Arial"/>
      <family val="2"/>
    </font>
    <font>
      <sz val="10"/>
      <color theme="9" tint="-0.249977111117893"/>
      <name val="Arial"/>
      <family val="2"/>
    </font>
    <font>
      <b/>
      <sz val="10"/>
      <name val="Arial"/>
      <family val="2"/>
    </font>
    <font>
      <i/>
      <sz val="11"/>
      <color rgb="FF000000"/>
      <name val="Calibri"/>
      <family val="2"/>
    </font>
    <font>
      <b/>
      <sz val="14"/>
      <color theme="0"/>
      <name val="Calibri"/>
      <family val="2"/>
      <scheme val="minor"/>
    </font>
    <font>
      <sz val="11"/>
      <color theme="0"/>
      <name val="Calibri"/>
      <family val="2"/>
      <scheme val="minor"/>
    </font>
    <font>
      <vertAlign val="subscript"/>
      <sz val="11"/>
      <name val="Calibri"/>
      <family val="2"/>
      <scheme val="minor"/>
    </font>
    <font>
      <b/>
      <sz val="11"/>
      <color indexed="9"/>
      <name val="Calibri"/>
      <family val="2"/>
    </font>
    <font>
      <b/>
      <sz val="8"/>
      <color theme="0"/>
      <name val="Arial"/>
      <family val="2"/>
    </font>
  </fonts>
  <fills count="28">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5"/>
        <bgColor indexed="64"/>
      </patternFill>
    </fill>
    <fill>
      <patternFill patternType="solid">
        <fgColor theme="8"/>
        <bgColor indexed="64"/>
      </patternFill>
    </fill>
    <fill>
      <patternFill patternType="solid">
        <fgColor rgb="FF00B0F0"/>
        <bgColor indexed="64"/>
      </patternFill>
    </fill>
    <fill>
      <patternFill patternType="solid">
        <fgColor rgb="FFD883FF"/>
        <bgColor indexed="64"/>
      </patternFill>
    </fill>
    <fill>
      <patternFill patternType="solid">
        <fgColor rgb="FF8EA9DB"/>
        <bgColor rgb="FF000000"/>
      </patternFill>
    </fill>
    <fill>
      <patternFill patternType="solid">
        <fgColor theme="4" tint="0.79998168889431442"/>
        <bgColor indexed="64"/>
      </patternFill>
    </fill>
    <fill>
      <patternFill patternType="solid">
        <fgColor theme="4" tint="0.79998168889431442"/>
        <bgColor rgb="FF000000"/>
      </patternFill>
    </fill>
    <fill>
      <patternFill patternType="solid">
        <fgColor theme="9"/>
        <bgColor indexed="64"/>
      </patternFill>
    </fill>
    <fill>
      <patternFill patternType="darkGray"/>
    </fill>
    <fill>
      <patternFill patternType="solid">
        <fgColor theme="7" tint="0.79998168889431442"/>
        <bgColor indexed="64"/>
      </patternFill>
    </fill>
    <fill>
      <patternFill patternType="solid">
        <fgColor theme="3"/>
        <bgColor indexed="64"/>
      </patternFill>
    </fill>
    <fill>
      <patternFill patternType="solid">
        <fgColor theme="0"/>
        <bgColor indexed="64"/>
      </patternFill>
    </fill>
    <fill>
      <patternFill patternType="solid">
        <fgColor rgb="FF4F81BD"/>
        <bgColor indexed="64"/>
      </patternFill>
    </fill>
    <fill>
      <patternFill patternType="solid">
        <fgColor rgb="FFFFFFFF"/>
        <bgColor indexed="64"/>
      </patternFill>
    </fill>
    <fill>
      <patternFill patternType="solid">
        <fgColor rgb="FFF2F2F2"/>
        <bgColor indexed="64"/>
      </patternFill>
    </fill>
    <fill>
      <patternFill patternType="mediumGray"/>
    </fill>
    <fill>
      <patternFill patternType="solid">
        <fgColor rgb="FFFFF2CC"/>
        <bgColor rgb="FF000000"/>
      </patternFill>
    </fill>
    <fill>
      <patternFill patternType="solid">
        <fgColor rgb="FFFFC000"/>
        <bgColor indexed="64"/>
      </patternFill>
    </fill>
    <fill>
      <patternFill patternType="solid">
        <fgColor theme="5" tint="0.39997558519241921"/>
        <bgColor indexed="64"/>
      </patternFill>
    </fill>
  </fills>
  <borders count="21">
    <border>
      <left/>
      <right/>
      <top/>
      <bottom/>
      <diagonal/>
    </border>
    <border>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dotted">
        <color indexed="64"/>
      </left>
      <right style="dotted">
        <color indexed="64"/>
      </right>
      <top style="dotted">
        <color indexed="64"/>
      </top>
      <bottom style="dotted">
        <color indexed="64"/>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27">
    <xf numFmtId="0" fontId="0" fillId="0" borderId="0"/>
    <xf numFmtId="9" fontId="1" fillId="0" borderId="0" applyFont="0" applyFill="0" applyBorder="0" applyAlignment="0" applyProtection="0"/>
    <xf numFmtId="0" fontId="3" fillId="0" borderId="0" applyAlignment="0"/>
    <xf numFmtId="0" fontId="4" fillId="0" borderId="0" applyAlignment="0"/>
    <xf numFmtId="0" fontId="5" fillId="2" borderId="0" applyAlignment="0"/>
    <xf numFmtId="0" fontId="6" fillId="3" borderId="0" applyAlignment="0"/>
    <xf numFmtId="0" fontId="7" fillId="4" borderId="0" applyAlignment="0"/>
    <xf numFmtId="0" fontId="8" fillId="5" borderId="0" applyAlignment="0"/>
    <xf numFmtId="0" fontId="9" fillId="0" borderId="0" applyAlignment="0"/>
    <xf numFmtId="0" fontId="10" fillId="0" borderId="0" applyAlignment="0"/>
    <xf numFmtId="0" fontId="11" fillId="0" borderId="0" applyAlignment="0"/>
    <xf numFmtId="0" fontId="12" fillId="0" borderId="0" applyAlignment="0"/>
    <xf numFmtId="0" fontId="13" fillId="0" borderId="0" applyAlignment="0"/>
    <xf numFmtId="0" fontId="12" fillId="0" borderId="0" applyAlignment="0">
      <alignment wrapText="1"/>
    </xf>
    <xf numFmtId="0" fontId="14" fillId="0" borderId="0" applyAlignment="0"/>
    <xf numFmtId="0" fontId="15" fillId="0" borderId="0" applyAlignment="0"/>
    <xf numFmtId="0" fontId="16" fillId="0" borderId="0" applyAlignment="0"/>
    <xf numFmtId="44" fontId="22" fillId="0" borderId="0" applyFont="0" applyFill="0" applyBorder="0" applyAlignment="0" applyProtection="0"/>
    <xf numFmtId="0" fontId="38" fillId="21" borderId="8" applyNumberFormat="0" applyProtection="0">
      <alignment horizontal="left" vertical="center" readingOrder="1"/>
    </xf>
    <xf numFmtId="0" fontId="39" fillId="0" borderId="0"/>
    <xf numFmtId="0" fontId="5" fillId="21" borderId="9">
      <alignment horizontal="left"/>
    </xf>
    <xf numFmtId="0" fontId="5" fillId="21" borderId="10">
      <alignment horizontal="left"/>
    </xf>
    <xf numFmtId="0" fontId="40" fillId="22" borderId="11"/>
    <xf numFmtId="4" fontId="15" fillId="22" borderId="12"/>
    <xf numFmtId="4" fontId="15" fillId="22" borderId="12">
      <alignment horizontal="right"/>
    </xf>
    <xf numFmtId="0" fontId="41" fillId="23" borderId="13" applyNumberFormat="0" applyAlignment="0" applyProtection="0"/>
    <xf numFmtId="0" fontId="48" fillId="21" borderId="0"/>
  </cellStyleXfs>
  <cellXfs count="280">
    <xf numFmtId="0" fontId="2" fillId="0" borderId="0" xfId="0" applyFont="1"/>
    <xf numFmtId="0" fontId="3" fillId="0" borderId="0" xfId="0" applyFont="1"/>
    <xf numFmtId="0" fontId="17" fillId="0" borderId="0" xfId="0" applyFont="1" applyAlignment="1">
      <alignment wrapText="1"/>
    </xf>
    <xf numFmtId="0" fontId="18" fillId="0" borderId="0" xfId="0" applyFont="1"/>
    <xf numFmtId="0" fontId="9" fillId="0" borderId="0" xfId="0" applyFont="1" applyAlignment="1">
      <alignment horizontal="left" vertical="top"/>
    </xf>
    <xf numFmtId="49" fontId="2" fillId="0" borderId="0" xfId="0" applyNumberFormat="1" applyFont="1"/>
    <xf numFmtId="0" fontId="7" fillId="4" borderId="0" xfId="0" applyFont="1" applyFill="1"/>
    <xf numFmtId="0" fontId="12" fillId="5" borderId="0" xfId="0" applyFont="1" applyFill="1" applyAlignment="1">
      <alignment wrapText="1"/>
    </xf>
    <xf numFmtId="0" fontId="19" fillId="5" borderId="0" xfId="0" applyFont="1" applyFill="1" applyAlignment="1">
      <alignment wrapText="1"/>
    </xf>
    <xf numFmtId="0" fontId="12" fillId="0" borderId="0" xfId="0" applyFont="1" applyAlignment="1">
      <alignment horizontal="left" vertical="top"/>
    </xf>
    <xf numFmtId="0" fontId="13" fillId="0" borderId="0" xfId="0" applyFont="1" applyAlignment="1">
      <alignment horizontal="left" vertical="top"/>
    </xf>
    <xf numFmtId="0" fontId="2" fillId="0" borderId="0" xfId="0" applyFont="1" applyAlignment="1">
      <alignment vertical="top" wrapText="1"/>
    </xf>
    <xf numFmtId="0" fontId="12" fillId="5" borderId="0" xfId="0" applyFont="1" applyFill="1" applyAlignment="1">
      <alignment horizontal="right" wrapText="1"/>
    </xf>
    <xf numFmtId="0" fontId="19" fillId="5" borderId="0" xfId="0" applyFont="1" applyFill="1" applyAlignment="1">
      <alignment horizontal="right" wrapText="1"/>
    </xf>
    <xf numFmtId="164" fontId="12" fillId="0" borderId="0" xfId="0" applyNumberFormat="1" applyFont="1" applyAlignment="1">
      <alignment horizontal="right" vertical="top" wrapText="1"/>
    </xf>
    <xf numFmtId="165" fontId="13" fillId="0" borderId="0" xfId="0" applyNumberFormat="1" applyFont="1" applyAlignment="1">
      <alignment horizontal="right" vertical="top" wrapText="1"/>
    </xf>
    <xf numFmtId="166" fontId="12" fillId="0" borderId="0" xfId="0" applyNumberFormat="1" applyFont="1" applyAlignment="1">
      <alignment horizontal="right" vertical="top" wrapText="1"/>
    </xf>
    <xf numFmtId="49" fontId="9" fillId="0" borderId="0" xfId="0" applyNumberFormat="1" applyFont="1" applyAlignment="1">
      <alignment horizontal="right" vertical="top" wrapText="1"/>
    </xf>
    <xf numFmtId="164" fontId="9" fillId="0" borderId="0" xfId="0" applyNumberFormat="1" applyFont="1" applyAlignment="1">
      <alignment horizontal="right" vertical="top" wrapText="1"/>
    </xf>
    <xf numFmtId="167" fontId="9" fillId="0" borderId="0" xfId="0" applyNumberFormat="1" applyFont="1" applyAlignment="1">
      <alignment horizontal="right" vertical="top" wrapText="1"/>
    </xf>
    <xf numFmtId="0" fontId="2" fillId="0" borderId="0" xfId="0" applyFont="1" applyAlignment="1">
      <alignment horizontal="center" vertical="top" wrapText="1"/>
    </xf>
    <xf numFmtId="168" fontId="9" fillId="0" borderId="0" xfId="0" applyNumberFormat="1" applyFont="1" applyAlignment="1">
      <alignment horizontal="right" vertical="top" wrapText="1"/>
    </xf>
    <xf numFmtId="0" fontId="9" fillId="0" borderId="0" xfId="0" applyFont="1" applyAlignment="1">
      <alignment horizontal="center" vertical="center"/>
    </xf>
    <xf numFmtId="164" fontId="12" fillId="0" borderId="1" xfId="0" applyNumberFormat="1" applyFont="1" applyBorder="1" applyAlignment="1">
      <alignment horizontal="right" vertical="top" wrapText="1"/>
    </xf>
    <xf numFmtId="164" fontId="20" fillId="0" borderId="1" xfId="0" applyNumberFormat="1" applyFont="1" applyBorder="1" applyAlignment="1">
      <alignment horizontal="right" vertical="top" wrapText="1"/>
    </xf>
    <xf numFmtId="166" fontId="9" fillId="0" borderId="0" xfId="0" applyNumberFormat="1" applyFont="1" applyAlignment="1">
      <alignment horizontal="right" vertical="top" wrapText="1"/>
    </xf>
    <xf numFmtId="169" fontId="9" fillId="0" borderId="0" xfId="0" applyNumberFormat="1" applyFont="1" applyAlignment="1">
      <alignment horizontal="right" vertical="top" wrapText="1"/>
    </xf>
    <xf numFmtId="165" fontId="9" fillId="0" borderId="0" xfId="0" applyNumberFormat="1" applyFont="1" applyAlignment="1">
      <alignment horizontal="right" vertical="top" wrapText="1"/>
    </xf>
    <xf numFmtId="170" fontId="9" fillId="0" borderId="0" xfId="0" applyNumberFormat="1" applyFont="1" applyAlignment="1">
      <alignment horizontal="right" vertical="top" wrapText="1"/>
    </xf>
    <xf numFmtId="170" fontId="12" fillId="5" borderId="0" xfId="0" applyNumberFormat="1" applyFont="1" applyFill="1" applyAlignment="1">
      <alignment horizontal="right" wrapText="1"/>
    </xf>
    <xf numFmtId="164" fontId="21" fillId="0" borderId="0" xfId="0" applyNumberFormat="1" applyFont="1" applyAlignment="1">
      <alignment horizontal="right" vertical="top" wrapText="1"/>
    </xf>
    <xf numFmtId="164" fontId="20" fillId="0" borderId="0" xfId="0" applyNumberFormat="1" applyFont="1" applyAlignment="1">
      <alignment horizontal="right" vertical="top" wrapText="1"/>
    </xf>
    <xf numFmtId="171" fontId="9" fillId="0" borderId="0" xfId="0" applyNumberFormat="1" applyFont="1" applyAlignment="1">
      <alignment horizontal="right" vertical="top" wrapText="1"/>
    </xf>
    <xf numFmtId="0" fontId="9" fillId="0" borderId="0" xfId="0" applyFont="1" applyAlignment="1">
      <alignment horizontal="center" vertical="center" wrapText="1"/>
    </xf>
    <xf numFmtId="0" fontId="14" fillId="0" borderId="0" xfId="14" applyAlignment="1"/>
    <xf numFmtId="0" fontId="8" fillId="5" borderId="0" xfId="0" applyFont="1" applyFill="1"/>
    <xf numFmtId="0" fontId="8" fillId="5" borderId="0" xfId="0" applyFont="1" applyFill="1" applyAlignment="1">
      <alignment horizontal="right"/>
    </xf>
    <xf numFmtId="0" fontId="9" fillId="0" borderId="0" xfId="0" applyFont="1"/>
    <xf numFmtId="0" fontId="9" fillId="0" borderId="0" xfId="0" applyFont="1" applyAlignment="1">
      <alignment horizontal="right"/>
    </xf>
    <xf numFmtId="0" fontId="12" fillId="5" borderId="0" xfId="0" applyFont="1" applyFill="1"/>
    <xf numFmtId="0" fontId="9" fillId="7" borderId="0" xfId="0" applyFont="1" applyFill="1" applyAlignment="1">
      <alignment horizontal="left" vertical="top"/>
    </xf>
    <xf numFmtId="0" fontId="14" fillId="8" borderId="0" xfId="14" applyFill="1" applyAlignment="1"/>
    <xf numFmtId="0" fontId="14" fillId="7" borderId="0" xfId="14" applyFill="1" applyAlignment="1"/>
    <xf numFmtId="0" fontId="2" fillId="9" borderId="0" xfId="0" applyFont="1" applyFill="1"/>
    <xf numFmtId="0" fontId="2" fillId="10" borderId="0" xfId="0" applyFont="1" applyFill="1"/>
    <xf numFmtId="0" fontId="9" fillId="8" borderId="0" xfId="0" applyFont="1" applyFill="1" applyAlignment="1">
      <alignment horizontal="left" vertical="top"/>
    </xf>
    <xf numFmtId="168" fontId="9" fillId="0" borderId="0" xfId="0" applyNumberFormat="1" applyFont="1" applyAlignment="1">
      <alignment horizontal="right" vertical="top"/>
    </xf>
    <xf numFmtId="0" fontId="9" fillId="9" borderId="0" xfId="0" applyFont="1" applyFill="1" applyAlignment="1">
      <alignment horizontal="left" vertical="top"/>
    </xf>
    <xf numFmtId="164" fontId="2" fillId="0" borderId="0" xfId="0" applyNumberFormat="1" applyFont="1"/>
    <xf numFmtId="172" fontId="9" fillId="0" borderId="0" xfId="0" applyNumberFormat="1" applyFont="1" applyAlignment="1">
      <alignment horizontal="right" vertical="top"/>
    </xf>
    <xf numFmtId="0" fontId="9" fillId="0" borderId="0" xfId="0" applyFont="1" applyAlignment="1">
      <alignment horizontal="right" vertical="top"/>
    </xf>
    <xf numFmtId="173" fontId="9" fillId="0" borderId="0" xfId="0" applyNumberFormat="1" applyFont="1" applyAlignment="1">
      <alignment horizontal="right" vertical="top"/>
    </xf>
    <xf numFmtId="10" fontId="9" fillId="0" borderId="0" xfId="0" applyNumberFormat="1" applyFont="1" applyAlignment="1">
      <alignment horizontal="right" vertical="top"/>
    </xf>
    <xf numFmtId="0" fontId="9" fillId="11" borderId="0" xfId="0" applyFont="1" applyFill="1" applyAlignment="1">
      <alignment horizontal="left" vertical="top"/>
    </xf>
    <xf numFmtId="0" fontId="9" fillId="12" borderId="0" xfId="0" applyFont="1" applyFill="1" applyAlignment="1">
      <alignment horizontal="left" vertical="top"/>
    </xf>
    <xf numFmtId="0" fontId="2" fillId="12" borderId="0" xfId="0" applyFont="1" applyFill="1"/>
    <xf numFmtId="165" fontId="9" fillId="0" borderId="0" xfId="0" applyNumberFormat="1" applyFont="1" applyAlignment="1">
      <alignment horizontal="right" vertical="top"/>
    </xf>
    <xf numFmtId="2" fontId="9" fillId="0" borderId="0" xfId="0" applyNumberFormat="1" applyFont="1" applyAlignment="1">
      <alignment horizontal="right" vertical="top"/>
    </xf>
    <xf numFmtId="0" fontId="9" fillId="8" borderId="0" xfId="0" applyFont="1" applyFill="1"/>
    <xf numFmtId="0" fontId="9" fillId="7" borderId="0" xfId="0" applyFont="1" applyFill="1"/>
    <xf numFmtId="10" fontId="9" fillId="0" borderId="0" xfId="0" applyNumberFormat="1" applyFont="1" applyAlignment="1">
      <alignment horizontal="right"/>
    </xf>
    <xf numFmtId="168" fontId="9" fillId="0" borderId="0" xfId="0" applyNumberFormat="1" applyFont="1" applyAlignment="1">
      <alignment horizontal="right"/>
    </xf>
    <xf numFmtId="175" fontId="2" fillId="0" borderId="0" xfId="0" applyNumberFormat="1" applyFont="1"/>
    <xf numFmtId="0" fontId="2" fillId="16" borderId="0" xfId="0" applyFont="1" applyFill="1"/>
    <xf numFmtId="176" fontId="2" fillId="0" borderId="0" xfId="0" applyNumberFormat="1" applyFont="1"/>
    <xf numFmtId="164" fontId="9" fillId="7" borderId="0" xfId="0" applyNumberFormat="1" applyFont="1" applyFill="1" applyAlignment="1">
      <alignment horizontal="right" vertical="top" wrapText="1"/>
    </xf>
    <xf numFmtId="164" fontId="2" fillId="7" borderId="0" xfId="0" applyNumberFormat="1" applyFont="1" applyFill="1"/>
    <xf numFmtId="0" fontId="23" fillId="6" borderId="4" xfId="0" applyFont="1" applyFill="1" applyBorder="1" applyAlignment="1">
      <alignment horizontal="center" vertical="center"/>
    </xf>
    <xf numFmtId="0" fontId="24" fillId="0" borderId="0" xfId="0" applyFont="1" applyAlignment="1">
      <alignment horizontal="left" vertical="center" wrapText="1"/>
    </xf>
    <xf numFmtId="0" fontId="24" fillId="0" borderId="4" xfId="0" applyFont="1" applyBorder="1" applyAlignment="1">
      <alignment horizontal="left" vertical="center" wrapText="1"/>
    </xf>
    <xf numFmtId="0" fontId="24" fillId="0" borderId="4" xfId="0" applyFont="1" applyBorder="1" applyAlignment="1">
      <alignment horizontal="left"/>
    </xf>
    <xf numFmtId="0" fontId="24" fillId="0" borderId="0" xfId="0" applyFont="1" applyAlignment="1">
      <alignment horizontal="left"/>
    </xf>
    <xf numFmtId="0" fontId="24" fillId="0" borderId="4" xfId="0" applyFont="1" applyBorder="1" applyAlignment="1">
      <alignment horizontal="left" vertical="center"/>
    </xf>
    <xf numFmtId="0" fontId="23" fillId="0" borderId="0" xfId="0" applyFont="1" applyAlignment="1">
      <alignment horizontal="left"/>
    </xf>
    <xf numFmtId="172" fontId="25" fillId="0" borderId="0" xfId="0" applyNumberFormat="1" applyFont="1"/>
    <xf numFmtId="164" fontId="25" fillId="0" borderId="4" xfId="0" applyNumberFormat="1" applyFont="1" applyBorder="1" applyAlignment="1">
      <alignment vertical="top" wrapText="1"/>
    </xf>
    <xf numFmtId="164" fontId="24" fillId="0" borderId="4" xfId="0" applyNumberFormat="1" applyFont="1" applyBorder="1"/>
    <xf numFmtId="164" fontId="24" fillId="0" borderId="0" xfId="0" applyNumberFormat="1" applyFont="1"/>
    <xf numFmtId="164" fontId="24" fillId="0" borderId="4" xfId="0" applyNumberFormat="1" applyFont="1" applyBorder="1" applyAlignment="1">
      <alignment vertical="top" wrapText="1"/>
    </xf>
    <xf numFmtId="44" fontId="23" fillId="0" borderId="0" xfId="17" applyFont="1" applyFill="1" applyBorder="1"/>
    <xf numFmtId="164" fontId="24" fillId="17" borderId="4" xfId="0" applyNumberFormat="1" applyFont="1" applyFill="1" applyBorder="1"/>
    <xf numFmtId="0" fontId="26" fillId="0" borderId="0" xfId="0" applyFont="1"/>
    <xf numFmtId="0" fontId="24" fillId="0" borderId="0" xfId="0" applyFont="1"/>
    <xf numFmtId="0" fontId="23" fillId="0" borderId="0" xfId="0" applyFont="1"/>
    <xf numFmtId="0" fontId="27" fillId="6" borderId="2" xfId="0" applyFont="1" applyFill="1" applyBorder="1"/>
    <xf numFmtId="0" fontId="27" fillId="0" borderId="0" xfId="0" applyFont="1"/>
    <xf numFmtId="0" fontId="26" fillId="0" borderId="0" xfId="0" applyFont="1" applyAlignment="1">
      <alignment horizontal="centerContinuous"/>
    </xf>
    <xf numFmtId="0" fontId="27" fillId="14" borderId="2" xfId="0" applyFont="1" applyFill="1" applyBorder="1"/>
    <xf numFmtId="3" fontId="26" fillId="14" borderId="2" xfId="0" applyNumberFormat="1" applyFont="1" applyFill="1" applyBorder="1"/>
    <xf numFmtId="0" fontId="27" fillId="0" borderId="2" xfId="0" applyFont="1" applyBorder="1"/>
    <xf numFmtId="174" fontId="26" fillId="0" borderId="2" xfId="0" applyNumberFormat="1" applyFont="1" applyBorder="1"/>
    <xf numFmtId="3" fontId="26" fillId="0" borderId="0" xfId="0" applyNumberFormat="1" applyFont="1"/>
    <xf numFmtId="9" fontId="24" fillId="0" borderId="0" xfId="1" applyFont="1" applyFill="1" applyBorder="1"/>
    <xf numFmtId="0" fontId="26" fillId="14" borderId="2" xfId="0" applyFont="1" applyFill="1" applyBorder="1"/>
    <xf numFmtId="174" fontId="24" fillId="0" borderId="0" xfId="1" applyNumberFormat="1" applyFont="1" applyFill="1" applyBorder="1"/>
    <xf numFmtId="0" fontId="26" fillId="0" borderId="2" xfId="0" applyFont="1" applyBorder="1"/>
    <xf numFmtId="2" fontId="26" fillId="0" borderId="0" xfId="0" applyNumberFormat="1" applyFont="1"/>
    <xf numFmtId="174" fontId="26" fillId="0" borderId="0" xfId="1" applyNumberFormat="1" applyFont="1" applyFill="1" applyBorder="1"/>
    <xf numFmtId="0" fontId="27" fillId="6" borderId="2" xfId="0" applyFont="1" applyFill="1" applyBorder="1" applyAlignment="1">
      <alignment horizontal="centerContinuous"/>
    </xf>
    <xf numFmtId="0" fontId="26" fillId="6" borderId="2" xfId="0" applyFont="1" applyFill="1" applyBorder="1" applyAlignment="1">
      <alignment horizontal="centerContinuous"/>
    </xf>
    <xf numFmtId="0" fontId="27" fillId="6" borderId="3" xfId="0" applyFont="1" applyFill="1" applyBorder="1"/>
    <xf numFmtId="164" fontId="28" fillId="0" borderId="0" xfId="0" applyNumberFormat="1" applyFont="1"/>
    <xf numFmtId="164" fontId="28" fillId="17" borderId="0" xfId="0" applyNumberFormat="1" applyFont="1" applyFill="1"/>
    <xf numFmtId="164" fontId="28" fillId="17" borderId="4" xfId="0" applyNumberFormat="1" applyFont="1" applyFill="1" applyBorder="1"/>
    <xf numFmtId="0" fontId="23" fillId="0" borderId="2" xfId="0" applyFont="1" applyBorder="1" applyAlignment="1">
      <alignment horizontal="right"/>
    </xf>
    <xf numFmtId="174" fontId="24" fillId="0" borderId="2" xfId="1" applyNumberFormat="1" applyFont="1" applyBorder="1"/>
    <xf numFmtId="0" fontId="24" fillId="0" borderId="2" xfId="0" applyFont="1" applyBorder="1"/>
    <xf numFmtId="2" fontId="26" fillId="14" borderId="2" xfId="0" applyNumberFormat="1" applyFont="1" applyFill="1" applyBorder="1"/>
    <xf numFmtId="174" fontId="26" fillId="0" borderId="2" xfId="1" applyNumberFormat="1" applyFont="1" applyBorder="1"/>
    <xf numFmtId="10" fontId="26" fillId="0" borderId="0" xfId="0" applyNumberFormat="1" applyFont="1"/>
    <xf numFmtId="4" fontId="26" fillId="0" borderId="0" xfId="0" applyNumberFormat="1" applyFont="1"/>
    <xf numFmtId="0" fontId="23" fillId="6" borderId="2" xfId="0" applyFont="1" applyFill="1" applyBorder="1" applyAlignment="1">
      <alignment horizontal="centerContinuous"/>
    </xf>
    <xf numFmtId="0" fontId="24" fillId="6" borderId="2" xfId="0" applyFont="1" applyFill="1" applyBorder="1" applyAlignment="1">
      <alignment horizontal="centerContinuous"/>
    </xf>
    <xf numFmtId="0" fontId="27" fillId="13" borderId="2" xfId="0" applyFont="1" applyFill="1" applyBorder="1"/>
    <xf numFmtId="0" fontId="27" fillId="6" borderId="2" xfId="0" applyFont="1" applyFill="1" applyBorder="1" applyAlignment="1">
      <alignment horizontal="right"/>
    </xf>
    <xf numFmtId="10" fontId="27" fillId="15" borderId="2" xfId="0" applyNumberFormat="1" applyFont="1" applyFill="1" applyBorder="1"/>
    <xf numFmtId="10" fontId="26" fillId="15" borderId="2" xfId="1" applyNumberFormat="1" applyFont="1" applyFill="1" applyBorder="1" applyAlignment="1">
      <alignment horizontal="right"/>
    </xf>
    <xf numFmtId="10" fontId="26" fillId="14" borderId="2" xfId="0" applyNumberFormat="1" applyFont="1" applyFill="1" applyBorder="1"/>
    <xf numFmtId="10" fontId="27" fillId="0" borderId="2" xfId="0" applyNumberFormat="1" applyFont="1" applyBorder="1"/>
    <xf numFmtId="10" fontId="26" fillId="0" borderId="2" xfId="0" applyNumberFormat="1" applyFont="1" applyBorder="1" applyAlignment="1">
      <alignment horizontal="right"/>
    </xf>
    <xf numFmtId="10" fontId="26" fillId="0" borderId="2" xfId="1" applyNumberFormat="1" applyFont="1" applyBorder="1" applyAlignment="1">
      <alignment horizontal="right"/>
    </xf>
    <xf numFmtId="10" fontId="26" fillId="0" borderId="2" xfId="0" applyNumberFormat="1" applyFont="1" applyBorder="1"/>
    <xf numFmtId="177" fontId="26" fillId="0" borderId="0" xfId="0" applyNumberFormat="1" applyFont="1"/>
    <xf numFmtId="174" fontId="26" fillId="15" borderId="2" xfId="1" applyNumberFormat="1" applyFont="1" applyFill="1" applyBorder="1" applyAlignment="1">
      <alignment horizontal="right"/>
    </xf>
    <xf numFmtId="10" fontId="29" fillId="0" borderId="0" xfId="0" applyNumberFormat="1" applyFont="1"/>
    <xf numFmtId="0" fontId="27" fillId="15" borderId="2" xfId="0" applyFont="1" applyFill="1" applyBorder="1"/>
    <xf numFmtId="172" fontId="26" fillId="15" borderId="2" xfId="0" applyNumberFormat="1" applyFont="1" applyFill="1" applyBorder="1" applyAlignment="1">
      <alignment horizontal="right"/>
    </xf>
    <xf numFmtId="0" fontId="30" fillId="0" borderId="0" xfId="0" applyFont="1" applyAlignment="1">
      <alignment horizontal="right"/>
    </xf>
    <xf numFmtId="0" fontId="26" fillId="0" borderId="2" xfId="0" applyFont="1" applyBorder="1" applyAlignment="1">
      <alignment horizontal="right"/>
    </xf>
    <xf numFmtId="168" fontId="26" fillId="0" borderId="2" xfId="0" applyNumberFormat="1" applyFont="1" applyBorder="1"/>
    <xf numFmtId="168" fontId="26" fillId="15" borderId="2" xfId="0" applyNumberFormat="1" applyFont="1" applyFill="1" applyBorder="1" applyAlignment="1">
      <alignment horizontal="right"/>
    </xf>
    <xf numFmtId="4" fontId="26" fillId="15" borderId="2" xfId="0" applyNumberFormat="1" applyFont="1" applyFill="1" applyBorder="1" applyAlignment="1">
      <alignment horizontal="right"/>
    </xf>
    <xf numFmtId="0" fontId="2" fillId="7" borderId="0" xfId="0" applyFont="1" applyFill="1"/>
    <xf numFmtId="0" fontId="0" fillId="0" borderId="4" xfId="0" applyBorder="1"/>
    <xf numFmtId="0" fontId="31" fillId="0" borderId="4" xfId="0" applyFont="1" applyBorder="1"/>
    <xf numFmtId="0" fontId="0" fillId="0" borderId="0" xfId="0"/>
    <xf numFmtId="0" fontId="0" fillId="0" borderId="0" xfId="0" applyAlignment="1">
      <alignment horizontal="center"/>
    </xf>
    <xf numFmtId="0" fontId="32" fillId="19" borderId="0" xfId="0" applyFont="1" applyFill="1"/>
    <xf numFmtId="0" fontId="0" fillId="19" borderId="0" xfId="0" applyFill="1"/>
    <xf numFmtId="0" fontId="33" fillId="0" borderId="0" xfId="0" applyFont="1"/>
    <xf numFmtId="1" fontId="0" fillId="18" borderId="7" xfId="0" applyNumberFormat="1" applyFill="1" applyBorder="1" applyAlignment="1">
      <alignment horizontal="center"/>
    </xf>
    <xf numFmtId="174" fontId="0" fillId="18" borderId="7" xfId="0" applyNumberFormat="1" applyFill="1" applyBorder="1" applyAlignment="1">
      <alignment horizontal="center"/>
    </xf>
    <xf numFmtId="10" fontId="0" fillId="18" borderId="7" xfId="0" applyNumberFormat="1" applyFill="1" applyBorder="1" applyAlignment="1">
      <alignment horizontal="center"/>
    </xf>
    <xf numFmtId="178" fontId="0" fillId="18" borderId="7" xfId="0" applyNumberFormat="1" applyFill="1" applyBorder="1" applyAlignment="1">
      <alignment horizontal="center"/>
    </xf>
    <xf numFmtId="179" fontId="0" fillId="18" borderId="7" xfId="0" applyNumberFormat="1" applyFill="1" applyBorder="1" applyAlignment="1">
      <alignment horizontal="center"/>
    </xf>
    <xf numFmtId="0" fontId="24" fillId="20" borderId="0" xfId="0" applyFont="1" applyFill="1"/>
    <xf numFmtId="3" fontId="25" fillId="0" borderId="0" xfId="0" applyNumberFormat="1" applyFont="1"/>
    <xf numFmtId="0" fontId="34" fillId="20" borderId="0" xfId="0" applyFont="1" applyFill="1"/>
    <xf numFmtId="9" fontId="35" fillId="0" borderId="0" xfId="1" applyFont="1"/>
    <xf numFmtId="0" fontId="23" fillId="20" borderId="0" xfId="0" applyFont="1" applyFill="1"/>
    <xf numFmtId="3" fontId="0" fillId="0" borderId="0" xfId="0" applyNumberFormat="1"/>
    <xf numFmtId="0" fontId="35" fillId="0" borderId="0" xfId="0" applyFont="1"/>
    <xf numFmtId="3" fontId="36" fillId="0" borderId="0" xfId="0" applyNumberFormat="1" applyFont="1"/>
    <xf numFmtId="3" fontId="24" fillId="0" borderId="0" xfId="0" applyNumberFormat="1" applyFont="1"/>
    <xf numFmtId="9" fontId="35" fillId="18" borderId="6" xfId="0" applyNumberFormat="1" applyFont="1" applyFill="1" applyBorder="1" applyAlignment="1">
      <alignment horizontal="right"/>
    </xf>
    <xf numFmtId="9" fontId="37" fillId="18" borderId="6" xfId="0" applyNumberFormat="1" applyFont="1" applyFill="1" applyBorder="1" applyAlignment="1">
      <alignment horizontal="right"/>
    </xf>
    <xf numFmtId="0" fontId="38" fillId="21" borderId="8" xfId="18">
      <alignment horizontal="left" vertical="center" readingOrder="1"/>
    </xf>
    <xf numFmtId="0" fontId="39" fillId="0" borderId="0" xfId="19"/>
    <xf numFmtId="0" fontId="5" fillId="21" borderId="9" xfId="20">
      <alignment horizontal="left"/>
    </xf>
    <xf numFmtId="0" fontId="5" fillId="21" borderId="10" xfId="21">
      <alignment horizontal="left"/>
    </xf>
    <xf numFmtId="14" fontId="5" fillId="21" borderId="10" xfId="21" applyNumberFormat="1">
      <alignment horizontal="left"/>
    </xf>
    <xf numFmtId="0" fontId="40" fillId="22" borderId="11" xfId="22"/>
    <xf numFmtId="4" fontId="15" fillId="22" borderId="12" xfId="23"/>
    <xf numFmtId="4" fontId="15" fillId="22" borderId="12" xfId="24">
      <alignment horizontal="right"/>
    </xf>
    <xf numFmtId="0" fontId="40" fillId="7" borderId="11" xfId="22" applyFill="1"/>
    <xf numFmtId="4" fontId="15" fillId="7" borderId="12" xfId="23" applyFill="1"/>
    <xf numFmtId="4" fontId="15" fillId="7" borderId="12" xfId="24" applyFill="1">
      <alignment horizontal="right"/>
    </xf>
    <xf numFmtId="0" fontId="41" fillId="23" borderId="13" xfId="25"/>
    <xf numFmtId="3" fontId="25" fillId="0" borderId="14" xfId="0" applyNumberFormat="1" applyFont="1" applyBorder="1"/>
    <xf numFmtId="9" fontId="35" fillId="0" borderId="14" xfId="1" applyFont="1" applyBorder="1"/>
    <xf numFmtId="0" fontId="0" fillId="0" borderId="14" xfId="0" applyBorder="1"/>
    <xf numFmtId="0" fontId="32" fillId="19" borderId="14" xfId="0" applyFont="1" applyFill="1" applyBorder="1"/>
    <xf numFmtId="3" fontId="0" fillId="0" borderId="14" xfId="0" applyNumberFormat="1" applyBorder="1"/>
    <xf numFmtId="9" fontId="35" fillId="18" borderId="15" xfId="0" applyNumberFormat="1" applyFont="1" applyFill="1" applyBorder="1" applyAlignment="1">
      <alignment horizontal="right"/>
    </xf>
    <xf numFmtId="9" fontId="35" fillId="18" borderId="16" xfId="0" applyNumberFormat="1" applyFont="1" applyFill="1" applyBorder="1" applyAlignment="1">
      <alignment horizontal="right"/>
    </xf>
    <xf numFmtId="3" fontId="42" fillId="0" borderId="0" xfId="0" applyNumberFormat="1" applyFont="1"/>
    <xf numFmtId="0" fontId="40" fillId="0" borderId="11" xfId="22" applyFill="1"/>
    <xf numFmtId="4" fontId="15" fillId="0" borderId="12" xfId="23" applyFill="1"/>
    <xf numFmtId="4" fontId="15" fillId="0" borderId="12" xfId="24" applyFill="1">
      <alignment horizontal="right"/>
    </xf>
    <xf numFmtId="14" fontId="0" fillId="18" borderId="0" xfId="0" applyNumberFormat="1" applyFill="1"/>
    <xf numFmtId="0" fontId="1" fillId="0" borderId="0" xfId="0" applyFont="1"/>
    <xf numFmtId="14" fontId="1" fillId="18" borderId="6" xfId="0" applyNumberFormat="1" applyFont="1" applyFill="1" applyBorder="1"/>
    <xf numFmtId="0" fontId="0" fillId="0" borderId="0" xfId="0" applyAlignment="1">
      <alignment horizontal="left"/>
    </xf>
    <xf numFmtId="180" fontId="0" fillId="18" borderId="0" xfId="0" applyNumberFormat="1" applyFill="1"/>
    <xf numFmtId="10" fontId="0" fillId="18" borderId="0" xfId="1" applyNumberFormat="1" applyFont="1" applyFill="1" applyBorder="1"/>
    <xf numFmtId="0" fontId="43" fillId="0" borderId="17" xfId="0" applyFont="1" applyBorder="1"/>
    <xf numFmtId="0" fontId="43" fillId="0" borderId="18" xfId="0" applyFont="1" applyBorder="1"/>
    <xf numFmtId="0" fontId="0" fillId="24" borderId="0" xfId="0" applyFill="1"/>
    <xf numFmtId="0" fontId="37" fillId="0" borderId="0" xfId="1" applyNumberFormat="1" applyFont="1"/>
    <xf numFmtId="9" fontId="0" fillId="18" borderId="6" xfId="0" applyNumberFormat="1" applyFill="1" applyBorder="1" applyAlignment="1">
      <alignment horizontal="center"/>
    </xf>
    <xf numFmtId="174" fontId="1" fillId="18" borderId="7" xfId="0" applyNumberFormat="1" applyFont="1" applyFill="1" applyBorder="1" applyAlignment="1">
      <alignment horizontal="center"/>
    </xf>
    <xf numFmtId="9" fontId="44" fillId="25" borderId="6" xfId="0" applyNumberFormat="1" applyFont="1" applyFill="1" applyBorder="1" applyAlignment="1">
      <alignment horizontal="right"/>
    </xf>
    <xf numFmtId="3" fontId="42" fillId="0" borderId="14" xfId="0" applyNumberFormat="1" applyFont="1" applyBorder="1"/>
    <xf numFmtId="9" fontId="37" fillId="18" borderId="16" xfId="0" applyNumberFormat="1" applyFont="1" applyFill="1" applyBorder="1" applyAlignment="1">
      <alignment horizontal="right"/>
    </xf>
    <xf numFmtId="3" fontId="43" fillId="0" borderId="18" xfId="0" applyNumberFormat="1" applyFont="1" applyBorder="1"/>
    <xf numFmtId="3" fontId="37" fillId="0" borderId="0" xfId="1" applyNumberFormat="1" applyFont="1"/>
    <xf numFmtId="37" fontId="43" fillId="0" borderId="18" xfId="17" applyNumberFormat="1" applyFont="1" applyBorder="1"/>
    <xf numFmtId="174" fontId="0" fillId="18" borderId="6" xfId="1" applyNumberFormat="1" applyFont="1" applyFill="1" applyBorder="1" applyAlignment="1">
      <alignment horizontal="center"/>
    </xf>
    <xf numFmtId="37" fontId="43" fillId="0" borderId="18" xfId="0" applyNumberFormat="1" applyFont="1" applyBorder="1"/>
    <xf numFmtId="37" fontId="43" fillId="24" borderId="18" xfId="0" applyNumberFormat="1" applyFont="1" applyFill="1" applyBorder="1"/>
    <xf numFmtId="0" fontId="45" fillId="0" borderId="0" xfId="0" applyFont="1"/>
    <xf numFmtId="174" fontId="46" fillId="0" borderId="0" xfId="0" applyNumberFormat="1" applyFont="1" applyAlignment="1">
      <alignment horizontal="center"/>
    </xf>
    <xf numFmtId="164" fontId="0" fillId="0" borderId="0" xfId="0" applyNumberFormat="1"/>
    <xf numFmtId="0" fontId="47" fillId="0" borderId="0" xfId="0" applyFont="1"/>
    <xf numFmtId="0" fontId="28" fillId="0" borderId="0" xfId="0" applyFont="1"/>
    <xf numFmtId="164" fontId="33" fillId="0" borderId="0" xfId="0" applyNumberFormat="1" applyFont="1"/>
    <xf numFmtId="0" fontId="24" fillId="0" borderId="4" xfId="0" applyFont="1" applyBorder="1"/>
    <xf numFmtId="164" fontId="0" fillId="0" borderId="4" xfId="0" applyNumberFormat="1" applyBorder="1"/>
    <xf numFmtId="0" fontId="24" fillId="0" borderId="0" xfId="0" applyFont="1" applyAlignment="1">
      <alignment vertical="center"/>
    </xf>
    <xf numFmtId="164" fontId="25" fillId="0" borderId="0" xfId="0" applyNumberFormat="1" applyFont="1" applyAlignment="1">
      <alignment vertical="top" wrapText="1"/>
    </xf>
    <xf numFmtId="181" fontId="23" fillId="26" borderId="0" xfId="0" applyNumberFormat="1" applyFont="1" applyFill="1"/>
    <xf numFmtId="0" fontId="32" fillId="0" borderId="0" xfId="0" applyFont="1"/>
    <xf numFmtId="172" fontId="24" fillId="0" borderId="0" xfId="0" applyNumberFormat="1" applyFont="1"/>
    <xf numFmtId="172" fontId="26" fillId="0" borderId="0" xfId="0" applyNumberFormat="1" applyFont="1"/>
    <xf numFmtId="0" fontId="26" fillId="0" borderId="0" xfId="0" applyFont="1" applyAlignment="1">
      <alignment horizontal="left" vertical="top"/>
    </xf>
    <xf numFmtId="10" fontId="24" fillId="0" borderId="0" xfId="0" applyNumberFormat="1" applyFont="1"/>
    <xf numFmtId="0" fontId="24" fillId="0" borderId="0" xfId="0" applyFont="1" applyAlignment="1">
      <alignment horizontal="left" vertical="top"/>
    </xf>
    <xf numFmtId="0" fontId="23" fillId="0" borderId="0" xfId="0" applyFont="1" applyAlignment="1">
      <alignment horizontal="right"/>
    </xf>
    <xf numFmtId="0" fontId="23" fillId="0" borderId="0" xfId="0" applyFont="1" applyAlignment="1">
      <alignment horizontal="center" vertical="center"/>
    </xf>
    <xf numFmtId="0" fontId="24" fillId="0" borderId="0" xfId="0" applyFont="1" applyAlignment="1">
      <alignment horizontal="left" vertical="center"/>
    </xf>
    <xf numFmtId="164" fontId="24" fillId="0" borderId="0" xfId="0" applyNumberFormat="1" applyFont="1" applyAlignment="1">
      <alignment vertical="top" wrapText="1"/>
    </xf>
    <xf numFmtId="44" fontId="24" fillId="0" borderId="0" xfId="0" applyNumberFormat="1" applyFont="1"/>
    <xf numFmtId="44" fontId="23" fillId="0" borderId="0" xfId="17" applyFont="1" applyBorder="1"/>
    <xf numFmtId="44" fontId="23" fillId="26" borderId="0" xfId="17" applyFont="1" applyFill="1" applyBorder="1"/>
    <xf numFmtId="174" fontId="46" fillId="19" borderId="0" xfId="0" applyNumberFormat="1" applyFont="1" applyFill="1" applyAlignment="1">
      <alignment horizontal="center"/>
    </xf>
    <xf numFmtId="164" fontId="1" fillId="0" borderId="0" xfId="0" applyNumberFormat="1" applyFont="1"/>
    <xf numFmtId="182" fontId="2" fillId="0" borderId="0" xfId="0" applyNumberFormat="1" applyFont="1"/>
    <xf numFmtId="172" fontId="24" fillId="0" borderId="2" xfId="0" applyNumberFormat="1" applyFont="1" applyBorder="1"/>
    <xf numFmtId="172" fontId="26" fillId="0" borderId="2" xfId="0" applyNumberFormat="1" applyFont="1" applyBorder="1"/>
    <xf numFmtId="10" fontId="24" fillId="0" borderId="2" xfId="0" applyNumberFormat="1" applyFont="1" applyBorder="1"/>
    <xf numFmtId="9" fontId="24" fillId="0" borderId="2" xfId="1" applyFont="1" applyFill="1" applyBorder="1"/>
    <xf numFmtId="0" fontId="24" fillId="17" borderId="2" xfId="0" applyFont="1" applyFill="1" applyBorder="1"/>
    <xf numFmtId="0" fontId="23" fillId="0" borderId="0" xfId="0" applyFont="1" applyAlignment="1">
      <alignment horizontal="centerContinuous"/>
    </xf>
    <xf numFmtId="0" fontId="24" fillId="0" borderId="4" xfId="0" applyFont="1" applyBorder="1" applyAlignment="1">
      <alignment horizontal="centerContinuous"/>
    </xf>
    <xf numFmtId="0" fontId="28" fillId="0" borderId="4" xfId="0" applyFont="1" applyBorder="1" applyAlignment="1">
      <alignment horizontal="centerContinuous"/>
    </xf>
    <xf numFmtId="181" fontId="23" fillId="27" borderId="2" xfId="0" applyNumberFormat="1" applyFont="1" applyFill="1" applyBorder="1"/>
    <xf numFmtId="174" fontId="23" fillId="0" borderId="4" xfId="1" applyNumberFormat="1" applyFont="1" applyBorder="1"/>
    <xf numFmtId="174" fontId="23" fillId="0" borderId="14" xfId="0" applyNumberFormat="1" applyFont="1" applyBorder="1"/>
    <xf numFmtId="44" fontId="24" fillId="0" borderId="0" xfId="17" applyFont="1"/>
    <xf numFmtId="184" fontId="23" fillId="0" borderId="4" xfId="0" applyNumberFormat="1" applyFont="1" applyBorder="1"/>
    <xf numFmtId="168" fontId="23" fillId="0" borderId="14" xfId="0" applyNumberFormat="1" applyFont="1" applyBorder="1"/>
    <xf numFmtId="168" fontId="24" fillId="0" borderId="0" xfId="0" applyNumberFormat="1" applyFont="1"/>
    <xf numFmtId="172" fontId="23" fillId="0" borderId="14" xfId="0" applyNumberFormat="1" applyFont="1" applyBorder="1"/>
    <xf numFmtId="0" fontId="23" fillId="0" borderId="19" xfId="0" applyFont="1" applyBorder="1" applyAlignment="1">
      <alignment horizontal="centerContinuous"/>
    </xf>
    <xf numFmtId="0" fontId="23" fillId="0" borderId="4" xfId="0" applyFont="1" applyBorder="1" applyAlignment="1">
      <alignment horizontal="centerContinuous"/>
    </xf>
    <xf numFmtId="0" fontId="28" fillId="0" borderId="14" xfId="0" applyFont="1" applyBorder="1"/>
    <xf numFmtId="183" fontId="28" fillId="0" borderId="0" xfId="0" applyNumberFormat="1" applyFont="1"/>
    <xf numFmtId="0" fontId="23" fillId="6" borderId="2" xfId="0" applyFont="1" applyFill="1" applyBorder="1"/>
    <xf numFmtId="0" fontId="24" fillId="6" borderId="2" xfId="0" applyFont="1" applyFill="1" applyBorder="1"/>
    <xf numFmtId="0" fontId="23" fillId="14" borderId="2" xfId="0" applyFont="1" applyFill="1" applyBorder="1"/>
    <xf numFmtId="0" fontId="27" fillId="14" borderId="2" xfId="0" applyFont="1" applyFill="1" applyBorder="1" applyAlignment="1">
      <alignment horizontal="left" vertical="top"/>
    </xf>
    <xf numFmtId="0" fontId="23" fillId="14" borderId="2" xfId="0" applyFont="1" applyFill="1" applyBorder="1" applyAlignment="1">
      <alignment horizontal="left" vertical="top"/>
    </xf>
    <xf numFmtId="0" fontId="48" fillId="21" borderId="0" xfId="26"/>
    <xf numFmtId="0" fontId="43"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right"/>
    </xf>
    <xf numFmtId="185" fontId="2" fillId="0" borderId="0" xfId="0" applyNumberFormat="1" applyFont="1" applyAlignment="1">
      <alignment horizontal="right"/>
    </xf>
    <xf numFmtId="3" fontId="2" fillId="0" borderId="0" xfId="0" applyNumberFormat="1" applyFont="1" applyAlignment="1">
      <alignment horizontal="right"/>
    </xf>
    <xf numFmtId="9" fontId="2" fillId="0" borderId="0" xfId="0" applyNumberFormat="1" applyFont="1" applyAlignment="1">
      <alignment horizontal="right"/>
    </xf>
    <xf numFmtId="0" fontId="49" fillId="16" borderId="0" xfId="0" applyFont="1" applyFill="1" applyAlignment="1">
      <alignment horizontal="center"/>
    </xf>
    <xf numFmtId="183" fontId="0" fillId="0" borderId="0" xfId="0" applyNumberFormat="1"/>
    <xf numFmtId="44" fontId="2" fillId="0" borderId="0" xfId="17" applyFont="1"/>
    <xf numFmtId="44" fontId="2" fillId="0" borderId="0" xfId="17" applyFont="1" applyAlignment="1">
      <alignment horizontal="right"/>
    </xf>
    <xf numFmtId="0" fontId="23" fillId="0" borderId="4" xfId="0" applyFont="1" applyBorder="1" applyAlignment="1">
      <alignment horizontal="left"/>
    </xf>
    <xf numFmtId="0" fontId="24" fillId="0" borderId="14" xfId="0" applyFont="1" applyBorder="1"/>
    <xf numFmtId="0" fontId="1" fillId="18" borderId="5" xfId="0" applyFont="1" applyFill="1" applyBorder="1" applyAlignment="1">
      <alignment horizontal="right"/>
    </xf>
    <xf numFmtId="9" fontId="37" fillId="18" borderId="15" xfId="0" applyNumberFormat="1" applyFont="1" applyFill="1" applyBorder="1" applyAlignment="1">
      <alignment horizontal="right"/>
    </xf>
    <xf numFmtId="0" fontId="37" fillId="0" borderId="14" xfId="1" applyNumberFormat="1" applyFont="1" applyBorder="1"/>
    <xf numFmtId="3" fontId="36" fillId="0" borderId="14" xfId="0" applyNumberFormat="1" applyFont="1" applyBorder="1"/>
    <xf numFmtId="3" fontId="43" fillId="0" borderId="3" xfId="0" applyNumberFormat="1" applyFont="1" applyBorder="1"/>
    <xf numFmtId="3" fontId="37" fillId="0" borderId="14" xfId="1" applyNumberFormat="1" applyFont="1" applyBorder="1"/>
    <xf numFmtId="9" fontId="44" fillId="25" borderId="15" xfId="0" applyNumberFormat="1" applyFont="1" applyFill="1" applyBorder="1" applyAlignment="1">
      <alignment horizontal="right"/>
    </xf>
    <xf numFmtId="0" fontId="0" fillId="0" borderId="20" xfId="0" applyBorder="1"/>
    <xf numFmtId="0" fontId="27" fillId="6" borderId="2" xfId="0" applyFont="1" applyFill="1" applyBorder="1" applyAlignment="1">
      <alignment horizontal="center"/>
    </xf>
    <xf numFmtId="0" fontId="23" fillId="6" borderId="17" xfId="0" applyFont="1" applyFill="1" applyBorder="1" applyAlignment="1">
      <alignment horizontal="center"/>
    </xf>
    <xf numFmtId="0" fontId="23" fillId="6" borderId="18" xfId="0" applyFont="1" applyFill="1" applyBorder="1" applyAlignment="1">
      <alignment horizontal="center"/>
    </xf>
    <xf numFmtId="0" fontId="23" fillId="6" borderId="3" xfId="0" applyFont="1" applyFill="1" applyBorder="1" applyAlignment="1">
      <alignment horizontal="center"/>
    </xf>
    <xf numFmtId="0" fontId="23" fillId="6" borderId="2" xfId="0" applyFont="1" applyFill="1" applyBorder="1" applyAlignment="1">
      <alignment horizontal="center"/>
    </xf>
  </cellXfs>
  <cellStyles count="30">
    <cellStyle name="blp_column_header" xfId="26" xr:uid="{BB3C277C-DF04-4748-AA1D-31607E847D7B}"/>
    <cellStyle name="blp_title_header_row_left" xfId="18" xr:uid="{C774255F-40CE-FF4C-BCB7-4A48FA23AE69}"/>
    <cellStyle name="ChartingText" xfId="15" xr:uid="{00000000-0005-0000-0000-000000000000}"/>
    <cellStyle name="CHPAboveAverage" xfId="16" xr:uid="{00000000-0005-0000-0000-000001000000}"/>
    <cellStyle name="CHPBelowAverage" xfId="16" xr:uid="{00000000-0005-0000-0000-000002000000}"/>
    <cellStyle name="CHPBottom" xfId="16" xr:uid="{00000000-0005-0000-0000-000003000000}"/>
    <cellStyle name="CHPTop" xfId="16" xr:uid="{00000000-0005-0000-0000-000004000000}"/>
    <cellStyle name="ColumnHeaderNormal" xfId="7" xr:uid="{00000000-0005-0000-0000-000005000000}"/>
    <cellStyle name="fa_column_header_bottom_left" xfId="21" xr:uid="{828EDA06-469A-F24A-87AD-BDA583ACFE93}"/>
    <cellStyle name="fa_column_header_top_left" xfId="20" xr:uid="{5E96C550-5FFF-994C-B747-23D9A7EDE7CF}"/>
    <cellStyle name="fa_data_standard" xfId="23" xr:uid="{920C4D84-A79C-7F46-9382-67F45360A1A3}"/>
    <cellStyle name="fa_data_standard_2_grouped" xfId="24" xr:uid="{17B6916C-E64B-FC40-97E6-FFC255FF06A9}"/>
    <cellStyle name="fa_footer_italic" xfId="25" xr:uid="{18FE54CA-B4BF-3442-A30A-3DC4644FAE95}"/>
    <cellStyle name="fa_grey_text_italics" xfId="19" xr:uid="{3BF2A443-417B-8944-A0B6-793F3B552F38}"/>
    <cellStyle name="fa_row_header_standard" xfId="22" xr:uid="{D40A654F-7688-C84D-BF26-447407FF091E}"/>
    <cellStyle name="Invisible" xfId="14" xr:uid="{00000000-0005-0000-0000-000006000000}"/>
    <cellStyle name="Monétaire" xfId="17" builtinId="4"/>
    <cellStyle name="NewColumnHeaderNormal" xfId="5" xr:uid="{00000000-0005-0000-0000-000007000000}"/>
    <cellStyle name="NewSectionHeaderNormal" xfId="4" xr:uid="{00000000-0005-0000-0000-000008000000}"/>
    <cellStyle name="NewTitleNormal" xfId="3" xr:uid="{00000000-0005-0000-0000-000009000000}"/>
    <cellStyle name="Normal" xfId="0" builtinId="0"/>
    <cellStyle name="Pourcentage" xfId="1" builtinId="5"/>
    <cellStyle name="SectionHeaderNormal" xfId="6" xr:uid="{00000000-0005-0000-0000-00000C000000}"/>
    <cellStyle name="SubScript" xfId="10" xr:uid="{00000000-0005-0000-0000-00000D000000}"/>
    <cellStyle name="SuperScript" xfId="9" xr:uid="{00000000-0005-0000-0000-00000E000000}"/>
    <cellStyle name="TextBold" xfId="11" xr:uid="{00000000-0005-0000-0000-00000F000000}"/>
    <cellStyle name="TextItalic" xfId="12" xr:uid="{00000000-0005-0000-0000-000010000000}"/>
    <cellStyle name="TextNormal" xfId="8" xr:uid="{00000000-0005-0000-0000-000011000000}"/>
    <cellStyle name="TitleNormal" xfId="2" xr:uid="{00000000-0005-0000-0000-000012000000}"/>
    <cellStyle name="Total" xfId="13" builtinId="25"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mruColors>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Graph 1</a:t>
            </a:r>
            <a:r>
              <a:rPr lang="fr-FR" baseline="0"/>
              <a:t> : </a:t>
            </a:r>
            <a:r>
              <a:rPr lang="fr-FR"/>
              <a:t>Paypal</a:t>
            </a:r>
            <a:r>
              <a:rPr lang="fr-FR" baseline="0"/>
              <a:t> Valuation</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stacked"/>
        <c:varyColors val="0"/>
        <c:ser>
          <c:idx val="0"/>
          <c:order val="0"/>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DCF!$K$111:$K$116</c:f>
              <c:strCache>
                <c:ptCount val="6"/>
                <c:pt idx="0">
                  <c:v>DCF &amp; Growing Perpetuity</c:v>
                </c:pt>
                <c:pt idx="1">
                  <c:v>DCF &amp; EV/EBITDA Multiple</c:v>
                </c:pt>
                <c:pt idx="2">
                  <c:v>P/E Multiple Only</c:v>
                </c:pt>
                <c:pt idx="3">
                  <c:v>Price/Sales Multiple Only</c:v>
                </c:pt>
                <c:pt idx="4">
                  <c:v>Average Methods</c:v>
                </c:pt>
                <c:pt idx="5">
                  <c:v>Analyst Recommandation</c:v>
                </c:pt>
              </c:strCache>
            </c:strRef>
          </c:cat>
          <c:val>
            <c:numRef>
              <c:f>DCF!$L$111:$L$116</c:f>
              <c:numCache>
                <c:formatCode>_ * #\ ##0.00_)\ _$_ ;_ * \(#\ ##0.00\)\ _$_ ;_ * "-"??_)\ _$_ ;_ @_ </c:formatCode>
                <c:ptCount val="6"/>
                <c:pt idx="0">
                  <c:v>99.207271754333973</c:v>
                </c:pt>
                <c:pt idx="1">
                  <c:v>81.854140598413821</c:v>
                </c:pt>
                <c:pt idx="2">
                  <c:v>46.793760831889081</c:v>
                </c:pt>
                <c:pt idx="3">
                  <c:v>78.260831889081459</c:v>
                </c:pt>
                <c:pt idx="4">
                  <c:v>76.529001268429582</c:v>
                </c:pt>
                <c:pt idx="5" formatCode="_(&quot;$&quot;* #,##0.00_);_(&quot;$&quot;* \(#,##0.00\);_(&quot;$&quot;* &quot;-&quot;??_);_(@_)">
                  <c:v>70</c:v>
                </c:pt>
              </c:numCache>
            </c:numRef>
          </c:val>
          <c:extLst>
            <c:ext xmlns:c16="http://schemas.microsoft.com/office/drawing/2014/chart" uri="{C3380CC4-5D6E-409C-BE32-E72D297353CC}">
              <c16:uniqueId val="{00000000-DCB8-004D-B8C8-A4A18EF91A39}"/>
            </c:ext>
          </c:extLst>
        </c:ser>
        <c:ser>
          <c:idx val="1"/>
          <c:order val="1"/>
          <c:spPr>
            <a:solidFill>
              <a:schemeClr val="accent1">
                <a:lumMod val="60000"/>
                <a:lumOff val="40000"/>
              </a:schemeClr>
            </a:solidFill>
            <a:ln>
              <a:noFill/>
            </a:ln>
            <a:effectLst/>
          </c:spPr>
          <c:invertIfNegative val="0"/>
          <c:cat>
            <c:strRef>
              <c:f>DCF!$K$111:$K$116</c:f>
              <c:strCache>
                <c:ptCount val="6"/>
                <c:pt idx="0">
                  <c:v>DCF &amp; Growing Perpetuity</c:v>
                </c:pt>
                <c:pt idx="1">
                  <c:v>DCF &amp; EV/EBITDA Multiple</c:v>
                </c:pt>
                <c:pt idx="2">
                  <c:v>P/E Multiple Only</c:v>
                </c:pt>
                <c:pt idx="3">
                  <c:v>Price/Sales Multiple Only</c:v>
                </c:pt>
                <c:pt idx="4">
                  <c:v>Average Methods</c:v>
                </c:pt>
                <c:pt idx="5">
                  <c:v>Analyst Recommandation</c:v>
                </c:pt>
              </c:strCache>
            </c:strRef>
          </c:cat>
          <c:val>
            <c:numRef>
              <c:f>DCF!$M$111:$M$116</c:f>
              <c:numCache>
                <c:formatCode>_ * #\ ##0.00_)\ _$_ ;_ * \(#\ ##0.00\)\ _$_ ;_ * "-"??_)\ _$_ ;_ @_ </c:formatCode>
                <c:ptCount val="6"/>
                <c:pt idx="0">
                  <c:v>64.602143196515684</c:v>
                </c:pt>
                <c:pt idx="1">
                  <c:v>7.8562057944332651</c:v>
                </c:pt>
                <c:pt idx="2">
                  <c:v>40.294627383015602</c:v>
                </c:pt>
                <c:pt idx="3">
                  <c:v>97.053726169844026</c:v>
                </c:pt>
                <c:pt idx="4">
                  <c:v>52.451675635952157</c:v>
                </c:pt>
                <c:pt idx="5" formatCode="_(&quot;$&quot;* #,##0.00_);_(&quot;$&quot;* \(#,##0.00\);_(&quot;$&quot;* &quot;-&quot;??_);_(@_)">
                  <c:v>165</c:v>
                </c:pt>
              </c:numCache>
            </c:numRef>
          </c:val>
          <c:extLst>
            <c:ext xmlns:c16="http://schemas.microsoft.com/office/drawing/2014/chart" uri="{C3380CC4-5D6E-409C-BE32-E72D297353CC}">
              <c16:uniqueId val="{00000001-DCB8-004D-B8C8-A4A18EF91A39}"/>
            </c:ext>
          </c:extLst>
        </c:ser>
        <c:ser>
          <c:idx val="2"/>
          <c:order val="2"/>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DCF!$K$111:$K$116</c:f>
              <c:strCache>
                <c:ptCount val="6"/>
                <c:pt idx="0">
                  <c:v>DCF &amp; Growing Perpetuity</c:v>
                </c:pt>
                <c:pt idx="1">
                  <c:v>DCF &amp; EV/EBITDA Multiple</c:v>
                </c:pt>
                <c:pt idx="2">
                  <c:v>P/E Multiple Only</c:v>
                </c:pt>
                <c:pt idx="3">
                  <c:v>Price/Sales Multiple Only</c:v>
                </c:pt>
                <c:pt idx="4">
                  <c:v>Average Methods</c:v>
                </c:pt>
                <c:pt idx="5">
                  <c:v>Analyst Recommandation</c:v>
                </c:pt>
              </c:strCache>
            </c:strRef>
          </c:cat>
          <c:val>
            <c:numRef>
              <c:f>DCF!$N$111:$N$116</c:f>
              <c:numCache>
                <c:formatCode>_ * #\ ##0.00_)\ _$_ ;_ * \(#\ ##0.00\)\ _$_ ;_ * "-"??_)\ _$_ ;_ @_ </c:formatCode>
                <c:ptCount val="6"/>
                <c:pt idx="0">
                  <c:v>163.80941495084966</c:v>
                </c:pt>
                <c:pt idx="1">
                  <c:v>89.710346392847086</c:v>
                </c:pt>
                <c:pt idx="2">
                  <c:v>87.088388214904683</c:v>
                </c:pt>
                <c:pt idx="3">
                  <c:v>175.31455805892548</c:v>
                </c:pt>
                <c:pt idx="4">
                  <c:v>128.98067690438174</c:v>
                </c:pt>
                <c:pt idx="5" formatCode="_(&quot;$&quot;* #,##0.00_);_(&quot;$&quot;* \(#,##0.00\);_(&quot;$&quot;* &quot;-&quot;??_);_(@_)">
                  <c:v>235</c:v>
                </c:pt>
              </c:numCache>
            </c:numRef>
          </c:val>
          <c:extLst>
            <c:ext xmlns:c16="http://schemas.microsoft.com/office/drawing/2014/chart" uri="{C3380CC4-5D6E-409C-BE32-E72D297353CC}">
              <c16:uniqueId val="{00000002-DCB8-004D-B8C8-A4A18EF91A39}"/>
            </c:ext>
          </c:extLst>
        </c:ser>
        <c:dLbls>
          <c:showLegendKey val="0"/>
          <c:showVal val="0"/>
          <c:showCatName val="0"/>
          <c:showSerName val="0"/>
          <c:showPercent val="0"/>
          <c:showBubbleSize val="0"/>
        </c:dLbls>
        <c:gapWidth val="150"/>
        <c:overlap val="100"/>
        <c:axId val="1630682863"/>
        <c:axId val="1630684543"/>
      </c:barChart>
      <c:catAx>
        <c:axId val="163068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30684543"/>
        <c:crosses val="autoZero"/>
        <c:auto val="1"/>
        <c:lblAlgn val="ctr"/>
        <c:lblOffset val="100"/>
        <c:noMultiLvlLbl val="0"/>
      </c:catAx>
      <c:valAx>
        <c:axId val="1630684543"/>
        <c:scaling>
          <c:orientation val="minMax"/>
          <c:max val="250"/>
        </c:scaling>
        <c:delete val="0"/>
        <c:axPos val="b"/>
        <c:majorGridlines>
          <c:spPr>
            <a:ln w="9525" cap="flat" cmpd="sng" algn="ctr">
              <a:solidFill>
                <a:schemeClr val="tx1">
                  <a:lumMod val="15000"/>
                  <a:lumOff val="85000"/>
                </a:schemeClr>
              </a:solidFill>
              <a:round/>
            </a:ln>
            <a:effectLst/>
          </c:spPr>
        </c:majorGridlines>
        <c:numFmt formatCode="_ * #\ ##0.00_)\ _$_ ;_ * \(#\ ##0.00\)\ _$_ ;_ * &quot;-&quot;??_)\ _$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30682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10</xdr:col>
      <xdr:colOff>101984</xdr:colOff>
      <xdr:row>121</xdr:row>
      <xdr:rowOff>169077</xdr:rowOff>
    </xdr:from>
    <xdr:to>
      <xdr:col>21</xdr:col>
      <xdr:colOff>88515</xdr:colOff>
      <xdr:row>143</xdr:row>
      <xdr:rowOff>73122</xdr:rowOff>
    </xdr:to>
    <xdr:graphicFrame macro="">
      <xdr:nvGraphicFramePr>
        <xdr:cNvPr id="2" name="Graphique 1">
          <a:extLst>
            <a:ext uri="{FF2B5EF4-FFF2-40B4-BE49-F238E27FC236}">
              <a16:creationId xmlns:a16="http://schemas.microsoft.com/office/drawing/2014/main" id="{6D445AFE-A870-6691-852B-2D75DDF8D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121921</xdr:colOff>
      <xdr:row>18</xdr:row>
      <xdr:rowOff>116839</xdr:rowOff>
    </xdr:from>
    <xdr:to>
      <xdr:col>10</xdr:col>
      <xdr:colOff>141219</xdr:colOff>
      <xdr:row>38</xdr:row>
      <xdr:rowOff>101600</xdr:rowOff>
    </xdr:to>
    <xdr:pic>
      <xdr:nvPicPr>
        <xdr:cNvPr id="2" name="Image 1">
          <a:extLst>
            <a:ext uri="{FF2B5EF4-FFF2-40B4-BE49-F238E27FC236}">
              <a16:creationId xmlns:a16="http://schemas.microsoft.com/office/drawing/2014/main" id="{B5974E9A-C6EF-59A7-E71B-5E9DC4672BB8}"/>
            </a:ext>
          </a:extLst>
        </xdr:cNvPr>
        <xdr:cNvPicPr>
          <a:picLocks noChangeAspect="1"/>
        </xdr:cNvPicPr>
      </xdr:nvPicPr>
      <xdr:blipFill>
        <a:blip xmlns:r="http://schemas.openxmlformats.org/officeDocument/2006/relationships" r:embed="rId1"/>
        <a:stretch>
          <a:fillRect/>
        </a:stretch>
      </xdr:blipFill>
      <xdr:spPr>
        <a:xfrm>
          <a:off x="1767841" y="2677159"/>
          <a:ext cx="6145778" cy="28295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1026" name="Picture 2">
          <a:extLst>
            <a:ext uri="{FF2B5EF4-FFF2-40B4-BE49-F238E27FC236}">
              <a16:creationId xmlns:a16="http://schemas.microsoft.com/office/drawing/2014/main" id="{7EB96E76-FAD0-CDE4-868E-B1338CF4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xdr:colOff>
      <xdr:row>66</xdr:row>
      <xdr:rowOff>0</xdr:rowOff>
    </xdr:from>
    <xdr:to>
      <xdr:col>3</xdr:col>
      <xdr:colOff>660400</xdr:colOff>
      <xdr:row>66</xdr:row>
      <xdr:rowOff>1905000</xdr:rowOff>
    </xdr:to>
    <xdr:pic>
      <xdr:nvPicPr>
        <xdr:cNvPr id="1027" name="Picture 3">
          <a:extLst>
            <a:ext uri="{FF2B5EF4-FFF2-40B4-BE49-F238E27FC236}">
              <a16:creationId xmlns:a16="http://schemas.microsoft.com/office/drawing/2014/main" id="{E9B6907B-76C8-56A4-FD2C-7AA796C2C1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0" y="10210800"/>
          <a:ext cx="64008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3074" name="Picture 2">
          <a:extLst>
            <a:ext uri="{FF2B5EF4-FFF2-40B4-BE49-F238E27FC236}">
              <a16:creationId xmlns:a16="http://schemas.microsoft.com/office/drawing/2014/main" id="{083B1924-FE40-8741-46D4-7BE60731C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5122" name="Picture 2">
          <a:extLst>
            <a:ext uri="{FF2B5EF4-FFF2-40B4-BE49-F238E27FC236}">
              <a16:creationId xmlns:a16="http://schemas.microsoft.com/office/drawing/2014/main" id="{86C9D729-87B0-D7E4-7725-1914A2A0F5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7170" name="Picture 2">
          <a:extLst>
            <a:ext uri="{FF2B5EF4-FFF2-40B4-BE49-F238E27FC236}">
              <a16:creationId xmlns:a16="http://schemas.microsoft.com/office/drawing/2014/main" id="{C0BA9C72-12E7-48BE-2CD4-0234A5C2AB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9218" name="Picture 2">
          <a:extLst>
            <a:ext uri="{FF2B5EF4-FFF2-40B4-BE49-F238E27FC236}">
              <a16:creationId xmlns:a16="http://schemas.microsoft.com/office/drawing/2014/main" id="{8C4F2EB8-7D83-96CE-65CC-42E40300A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488082</xdr:colOff>
      <xdr:row>11</xdr:row>
      <xdr:rowOff>54805</xdr:rowOff>
    </xdr:from>
    <xdr:to>
      <xdr:col>21</xdr:col>
      <xdr:colOff>144506</xdr:colOff>
      <xdr:row>45</xdr:row>
      <xdr:rowOff>64658</xdr:rowOff>
    </xdr:to>
    <xdr:pic>
      <xdr:nvPicPr>
        <xdr:cNvPr id="2" name="Image 1">
          <a:extLst>
            <a:ext uri="{FF2B5EF4-FFF2-40B4-BE49-F238E27FC236}">
              <a16:creationId xmlns:a16="http://schemas.microsoft.com/office/drawing/2014/main" id="{7538308A-9CB5-1475-42D4-B736DFFD3CE0}"/>
            </a:ext>
          </a:extLst>
        </xdr:cNvPr>
        <xdr:cNvPicPr>
          <a:picLocks noChangeAspect="1"/>
        </xdr:cNvPicPr>
      </xdr:nvPicPr>
      <xdr:blipFill>
        <a:blip xmlns:r="http://schemas.openxmlformats.org/officeDocument/2006/relationships" r:embed="rId2"/>
        <a:stretch>
          <a:fillRect/>
        </a:stretch>
      </xdr:blipFill>
      <xdr:spPr>
        <a:xfrm>
          <a:off x="11623031" y="1683997"/>
          <a:ext cx="7661273" cy="49747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1574800</xdr:colOff>
      <xdr:row>1</xdr:row>
      <xdr:rowOff>101600</xdr:rowOff>
    </xdr:to>
    <xdr:pic>
      <xdr:nvPicPr>
        <xdr:cNvPr id="2" name="Picture 2">
          <a:extLst>
            <a:ext uri="{FF2B5EF4-FFF2-40B4-BE49-F238E27FC236}">
              <a16:creationId xmlns:a16="http://schemas.microsoft.com/office/drawing/2014/main" id="{16DE1EFD-96D2-4648-B75A-BEFE814C3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4800" cy="24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6"/>
  <sheetViews>
    <sheetView showGridLines="0" workbookViewId="0">
      <selection activeCell="I24" sqref="I24"/>
    </sheetView>
  </sheetViews>
  <sheetFormatPr baseColWidth="10" defaultRowHeight="15" x14ac:dyDescent="0.2"/>
  <cols>
    <col min="1" max="3" width="10.83203125" style="82"/>
    <col min="4" max="4" width="25" style="82" bestFit="1" customWidth="1"/>
    <col min="5" max="13" width="10.83203125" style="82"/>
    <col min="14" max="14" width="11.5" style="82" bestFit="1" customWidth="1"/>
    <col min="15" max="15" width="25.5" style="82" bestFit="1" customWidth="1"/>
    <col min="16" max="16" width="10" style="82" bestFit="1" customWidth="1"/>
    <col min="17" max="16384" width="10.83203125" style="82"/>
  </cols>
  <sheetData>
    <row r="1" spans="1:22" x14ac:dyDescent="0.2">
      <c r="A1" s="81"/>
      <c r="B1" s="81"/>
      <c r="C1" s="81"/>
      <c r="D1" s="81"/>
      <c r="E1" s="81"/>
      <c r="F1" s="81"/>
      <c r="G1" s="81"/>
      <c r="H1" s="81"/>
      <c r="I1" s="81"/>
      <c r="J1" s="81"/>
      <c r="K1" s="81"/>
      <c r="L1" s="81"/>
      <c r="M1" s="81"/>
    </row>
    <row r="2" spans="1:22" x14ac:dyDescent="0.2">
      <c r="A2" s="81"/>
      <c r="B2" s="81"/>
      <c r="C2" s="81"/>
      <c r="D2" s="81"/>
      <c r="E2" s="81"/>
      <c r="F2" s="81"/>
      <c r="G2" s="81"/>
      <c r="H2" s="81"/>
      <c r="I2" s="81"/>
      <c r="J2" s="81"/>
      <c r="K2" s="81"/>
      <c r="L2" s="81"/>
      <c r="M2" s="81"/>
    </row>
    <row r="3" spans="1:22" x14ac:dyDescent="0.2">
      <c r="A3" s="81"/>
      <c r="B3" s="81"/>
      <c r="C3" s="81"/>
      <c r="D3" s="85"/>
      <c r="E3" s="81"/>
      <c r="F3" s="81"/>
      <c r="G3" s="81"/>
      <c r="H3" s="81"/>
      <c r="I3" s="81"/>
      <c r="J3" s="81"/>
      <c r="K3" s="81"/>
      <c r="L3" s="81"/>
      <c r="M3" s="81"/>
      <c r="N3" s="83"/>
    </row>
    <row r="4" spans="1:22" x14ac:dyDescent="0.2">
      <c r="A4" s="81"/>
      <c r="B4" s="81"/>
      <c r="C4" s="81"/>
      <c r="D4" s="81"/>
      <c r="E4" s="81"/>
      <c r="F4" s="81"/>
      <c r="G4" s="81"/>
      <c r="H4" s="81"/>
      <c r="I4" s="81"/>
      <c r="J4" s="81"/>
      <c r="K4" s="81"/>
      <c r="L4" s="81"/>
      <c r="M4" s="81"/>
    </row>
    <row r="5" spans="1:22" x14ac:dyDescent="0.2">
      <c r="A5" s="81"/>
      <c r="B5" s="81"/>
      <c r="C5" s="81"/>
      <c r="D5" s="81"/>
      <c r="E5" s="81"/>
      <c r="F5" s="81"/>
      <c r="G5" s="81"/>
      <c r="H5" s="81"/>
      <c r="I5" s="81"/>
      <c r="J5" s="81"/>
      <c r="K5" s="81"/>
      <c r="L5" s="81"/>
      <c r="M5" s="81"/>
    </row>
    <row r="6" spans="1:22" x14ac:dyDescent="0.2">
      <c r="A6" s="81"/>
      <c r="B6" s="81"/>
      <c r="C6" s="81"/>
      <c r="D6" s="275" t="s">
        <v>1257</v>
      </c>
      <c r="E6" s="275"/>
      <c r="F6" s="275"/>
      <c r="G6" s="275"/>
      <c r="H6" s="275"/>
      <c r="I6" s="275"/>
      <c r="J6" s="275"/>
      <c r="K6" s="275"/>
      <c r="L6" s="81"/>
      <c r="M6" s="81"/>
      <c r="O6" s="83"/>
      <c r="P6" s="83"/>
      <c r="Q6" s="83"/>
      <c r="S6" s="86"/>
    </row>
    <row r="7" spans="1:22" x14ac:dyDescent="0.2">
      <c r="A7" s="81"/>
      <c r="B7" s="81"/>
      <c r="C7" s="81"/>
      <c r="D7" s="84" t="s">
        <v>377</v>
      </c>
      <c r="E7" s="84">
        <v>2018</v>
      </c>
      <c r="F7" s="84">
        <v>2019</v>
      </c>
      <c r="G7" s="84">
        <v>2020</v>
      </c>
      <c r="H7" s="84">
        <v>2021</v>
      </c>
      <c r="I7" s="84">
        <v>2022</v>
      </c>
      <c r="J7" s="84" t="s">
        <v>378</v>
      </c>
      <c r="K7" s="84" t="s">
        <v>379</v>
      </c>
      <c r="L7" s="81"/>
      <c r="M7" s="81"/>
      <c r="O7" s="85"/>
      <c r="P7" s="212"/>
      <c r="Q7" s="213"/>
      <c r="R7" s="86"/>
      <c r="S7" s="214"/>
      <c r="T7" s="215"/>
      <c r="U7" s="215"/>
      <c r="V7" s="215"/>
    </row>
    <row r="8" spans="1:22" x14ac:dyDescent="0.2">
      <c r="A8" s="81"/>
      <c r="B8" s="81"/>
      <c r="C8" s="81"/>
      <c r="D8" s="87" t="s">
        <v>380</v>
      </c>
      <c r="E8" s="88">
        <v>578419</v>
      </c>
      <c r="F8" s="88">
        <v>711925</v>
      </c>
      <c r="G8" s="88">
        <v>936061</v>
      </c>
      <c r="H8" s="88">
        <v>1245879</v>
      </c>
      <c r="I8" s="88">
        <v>1357123</v>
      </c>
      <c r="J8" s="88">
        <v>1465965</v>
      </c>
      <c r="K8" s="88">
        <v>1621816</v>
      </c>
      <c r="L8" s="81"/>
      <c r="M8" s="81"/>
      <c r="O8" s="85"/>
      <c r="P8" s="212"/>
      <c r="Q8" s="213"/>
      <c r="R8" s="85"/>
      <c r="S8" s="214"/>
      <c r="T8" s="92"/>
      <c r="U8" s="215"/>
      <c r="V8" s="215"/>
    </row>
    <row r="9" spans="1:22" x14ac:dyDescent="0.2">
      <c r="A9" s="81"/>
      <c r="B9" s="81"/>
      <c r="C9" s="81"/>
      <c r="D9" s="89" t="s">
        <v>381</v>
      </c>
      <c r="E9" s="90"/>
      <c r="F9" s="90">
        <v>0.23100000000000001</v>
      </c>
      <c r="G9" s="90">
        <v>0.315</v>
      </c>
      <c r="H9" s="90">
        <v>0.33100000000000002</v>
      </c>
      <c r="I9" s="90">
        <v>8.8999999999999996E-2</v>
      </c>
      <c r="J9" s="90">
        <v>0.08</v>
      </c>
      <c r="K9" s="90">
        <v>0.106</v>
      </c>
      <c r="L9" s="81"/>
      <c r="M9" s="81"/>
      <c r="O9" s="85"/>
      <c r="P9" s="212"/>
      <c r="Q9" s="213"/>
      <c r="R9" s="91"/>
      <c r="S9" s="216"/>
      <c r="V9" s="215"/>
    </row>
    <row r="10" spans="1:22" x14ac:dyDescent="0.2">
      <c r="A10" s="81"/>
      <c r="B10" s="81"/>
      <c r="C10" s="81"/>
      <c r="D10" s="87" t="s">
        <v>382</v>
      </c>
      <c r="E10" s="93">
        <v>36.9</v>
      </c>
      <c r="F10" s="93">
        <v>40.6</v>
      </c>
      <c r="G10" s="93">
        <v>40.9</v>
      </c>
      <c r="H10" s="93">
        <v>45.4</v>
      </c>
      <c r="I10" s="93">
        <v>51.4</v>
      </c>
      <c r="J10" s="93">
        <v>55.29</v>
      </c>
      <c r="K10" s="93">
        <v>60.79</v>
      </c>
      <c r="L10" s="81"/>
      <c r="M10" s="81"/>
      <c r="O10" s="83"/>
      <c r="P10" s="212"/>
      <c r="Q10" s="213"/>
      <c r="R10" s="94"/>
    </row>
    <row r="11" spans="1:22" x14ac:dyDescent="0.2">
      <c r="A11" s="81"/>
      <c r="B11" s="81"/>
      <c r="C11" s="81"/>
      <c r="D11" s="89" t="s">
        <v>381</v>
      </c>
      <c r="E11" s="95"/>
      <c r="F11" s="90">
        <v>0.1</v>
      </c>
      <c r="G11" s="90">
        <v>7.0000000000000001E-3</v>
      </c>
      <c r="H11" s="90">
        <v>0.11</v>
      </c>
      <c r="I11" s="90">
        <v>0.13200000000000001</v>
      </c>
      <c r="J11" s="90">
        <v>7.5999999999999998E-2</v>
      </c>
      <c r="K11" s="90">
        <v>9.9000000000000005E-2</v>
      </c>
      <c r="L11" s="81"/>
      <c r="M11" s="81"/>
      <c r="O11" s="83"/>
      <c r="P11" s="212"/>
      <c r="Q11" s="213"/>
      <c r="R11" s="96"/>
      <c r="S11" s="81"/>
    </row>
    <row r="12" spans="1:22" x14ac:dyDescent="0.2">
      <c r="A12" s="81"/>
      <c r="B12" s="81"/>
      <c r="C12" s="81"/>
      <c r="D12" s="87" t="s">
        <v>383</v>
      </c>
      <c r="E12" s="93">
        <v>267</v>
      </c>
      <c r="F12" s="93">
        <v>305</v>
      </c>
      <c r="G12" s="93">
        <v>377</v>
      </c>
      <c r="H12" s="93">
        <v>426</v>
      </c>
      <c r="I12" s="93">
        <v>435</v>
      </c>
      <c r="J12" s="93">
        <v>444.37</v>
      </c>
      <c r="K12" s="93">
        <v>457.31</v>
      </c>
      <c r="L12" s="81"/>
      <c r="M12" s="81"/>
      <c r="O12" s="217"/>
      <c r="P12" s="97"/>
      <c r="Q12" s="97"/>
      <c r="R12" s="97"/>
      <c r="S12" s="97"/>
      <c r="T12" s="81"/>
    </row>
    <row r="13" spans="1:22" x14ac:dyDescent="0.2">
      <c r="A13" s="81"/>
      <c r="B13" s="81"/>
      <c r="C13" s="81"/>
      <c r="D13" s="89" t="s">
        <v>381</v>
      </c>
      <c r="E13" s="95"/>
      <c r="F13" s="90">
        <v>0.14199999999999999</v>
      </c>
      <c r="G13" s="90">
        <v>0.23599999999999999</v>
      </c>
      <c r="H13" s="90">
        <v>0.13</v>
      </c>
      <c r="I13" s="90">
        <v>2.1000000000000001E-2</v>
      </c>
      <c r="J13" s="90">
        <v>2.1999999999999999E-2</v>
      </c>
      <c r="K13" s="90">
        <v>2.9000000000000001E-2</v>
      </c>
      <c r="L13" s="81"/>
      <c r="M13" s="81"/>
    </row>
    <row r="14" spans="1:22" x14ac:dyDescent="0.2">
      <c r="A14" s="81"/>
      <c r="B14" s="81"/>
      <c r="C14" s="81"/>
      <c r="D14" s="81"/>
      <c r="E14" s="81"/>
      <c r="F14" s="81"/>
      <c r="G14" s="81"/>
      <c r="H14" s="81"/>
      <c r="I14" s="81"/>
      <c r="J14" s="81"/>
      <c r="K14" s="81"/>
      <c r="L14" s="81"/>
      <c r="M14" s="81"/>
    </row>
    <row r="15" spans="1:22" x14ac:dyDescent="0.2">
      <c r="A15" s="81"/>
      <c r="B15" s="81"/>
      <c r="C15" s="81"/>
      <c r="D15" s="81"/>
      <c r="E15" s="81"/>
      <c r="F15" s="81"/>
      <c r="G15" s="81"/>
      <c r="H15" s="81"/>
      <c r="I15" s="81"/>
      <c r="J15" s="81"/>
      <c r="K15" s="81"/>
      <c r="L15" s="81"/>
      <c r="M15" s="81"/>
      <c r="O15" s="218"/>
      <c r="P15" s="218"/>
      <c r="Q15" s="218"/>
      <c r="R15" s="218"/>
      <c r="S15" s="218"/>
      <c r="T15" s="218"/>
    </row>
    <row r="16" spans="1:22" x14ac:dyDescent="0.2">
      <c r="A16" s="81"/>
      <c r="B16" s="81"/>
      <c r="C16" s="81"/>
      <c r="D16" s="81"/>
      <c r="E16" s="81"/>
      <c r="F16" s="81"/>
      <c r="G16" s="81"/>
      <c r="H16" s="81"/>
      <c r="I16" s="81"/>
      <c r="J16" s="81"/>
      <c r="K16" s="81"/>
      <c r="L16" s="81"/>
      <c r="M16" s="81"/>
      <c r="O16" s="68"/>
      <c r="P16" s="74"/>
      <c r="Q16" s="74"/>
      <c r="R16" s="74"/>
      <c r="S16" s="74"/>
      <c r="T16" s="74"/>
    </row>
    <row r="17" spans="1:20" x14ac:dyDescent="0.2">
      <c r="A17" s="81"/>
      <c r="B17" s="81"/>
      <c r="C17" s="81"/>
      <c r="D17" s="98" t="s">
        <v>1256</v>
      </c>
      <c r="E17" s="99"/>
      <c r="F17" s="99"/>
      <c r="G17" s="99"/>
      <c r="H17" s="99"/>
      <c r="I17" s="99"/>
      <c r="J17" s="99"/>
      <c r="K17" s="81"/>
      <c r="L17" s="81"/>
      <c r="M17" s="81"/>
      <c r="O17" s="68"/>
      <c r="P17" s="209"/>
      <c r="Q17" s="209"/>
      <c r="R17" s="209"/>
      <c r="S17" s="209"/>
      <c r="T17" s="209"/>
    </row>
    <row r="18" spans="1:20" x14ac:dyDescent="0.2">
      <c r="A18" s="81"/>
      <c r="B18" s="81"/>
      <c r="C18" s="81"/>
      <c r="D18" s="84" t="s">
        <v>384</v>
      </c>
      <c r="E18" s="100">
        <v>2018</v>
      </c>
      <c r="F18" s="100">
        <v>2019</v>
      </c>
      <c r="G18" s="100">
        <v>2020</v>
      </c>
      <c r="H18" s="100">
        <v>2021</v>
      </c>
      <c r="I18" s="100">
        <v>2022</v>
      </c>
      <c r="J18" s="100" t="s">
        <v>378</v>
      </c>
      <c r="K18" s="81"/>
      <c r="L18" s="81"/>
      <c r="M18" s="81"/>
      <c r="O18" s="68"/>
      <c r="P18" s="101"/>
      <c r="Q18" s="101"/>
      <c r="R18" s="101"/>
      <c r="S18" s="101"/>
      <c r="T18" s="101"/>
    </row>
    <row r="19" spans="1:20" x14ac:dyDescent="0.2">
      <c r="A19" s="81"/>
      <c r="B19" s="81"/>
      <c r="C19" s="81"/>
      <c r="D19" s="87" t="s">
        <v>385</v>
      </c>
      <c r="E19" s="88">
        <v>15451</v>
      </c>
      <c r="F19" s="88">
        <v>17772</v>
      </c>
      <c r="G19" s="88">
        <v>21454</v>
      </c>
      <c r="H19" s="88">
        <v>25371</v>
      </c>
      <c r="I19" s="88">
        <v>27518</v>
      </c>
      <c r="J19" s="93">
        <v>29350</v>
      </c>
      <c r="K19" s="81"/>
      <c r="L19" s="81"/>
      <c r="M19" s="81"/>
      <c r="O19" s="71"/>
      <c r="P19" s="77"/>
      <c r="Q19" s="77"/>
      <c r="R19" s="77"/>
      <c r="S19" s="77"/>
      <c r="T19" s="101"/>
    </row>
    <row r="20" spans="1:20" x14ac:dyDescent="0.2">
      <c r="A20" s="81"/>
      <c r="B20" s="81"/>
      <c r="C20" s="81"/>
      <c r="D20" s="104" t="s">
        <v>381</v>
      </c>
      <c r="E20" s="105"/>
      <c r="F20" s="105">
        <f>(F19/E19)-1</f>
        <v>0.15021681444566704</v>
      </c>
      <c r="G20" s="105">
        <f t="shared" ref="G20:I20" si="0">(G19/F19)-1</f>
        <v>0.20717983344586988</v>
      </c>
      <c r="H20" s="105">
        <f t="shared" si="0"/>
        <v>0.18257667567819524</v>
      </c>
      <c r="I20" s="105">
        <f t="shared" si="0"/>
        <v>8.4624177210200546E-2</v>
      </c>
      <c r="J20" s="106"/>
      <c r="K20" s="81"/>
      <c r="L20" s="81"/>
      <c r="M20" s="81"/>
      <c r="O20" s="71"/>
      <c r="P20" s="77"/>
      <c r="Q20" s="77"/>
      <c r="R20" s="77"/>
      <c r="S20" s="77"/>
      <c r="T20" s="77"/>
    </row>
    <row r="21" spans="1:20" x14ac:dyDescent="0.2">
      <c r="A21" s="81"/>
      <c r="B21" s="81"/>
      <c r="C21" s="81"/>
      <c r="D21" s="87" t="s">
        <v>386</v>
      </c>
      <c r="E21" s="93">
        <v>1.74</v>
      </c>
      <c r="F21" s="93">
        <v>2.09</v>
      </c>
      <c r="G21" s="93">
        <v>3.58</v>
      </c>
      <c r="H21" s="93">
        <v>3.55</v>
      </c>
      <c r="I21" s="107">
        <v>2.1</v>
      </c>
      <c r="J21" s="93">
        <v>3.52</v>
      </c>
      <c r="K21" s="81"/>
      <c r="L21" s="81"/>
      <c r="M21" s="81"/>
      <c r="O21" s="219"/>
      <c r="P21" s="220"/>
      <c r="Q21" s="220"/>
      <c r="R21" s="220"/>
      <c r="S21" s="220"/>
      <c r="T21" s="220"/>
    </row>
    <row r="22" spans="1:20" x14ac:dyDescent="0.2">
      <c r="A22" s="81"/>
      <c r="B22" s="81"/>
      <c r="C22" s="81"/>
      <c r="D22" s="104" t="s">
        <v>381</v>
      </c>
      <c r="E22" s="108"/>
      <c r="F22" s="108">
        <f>(F21/E21)-1</f>
        <v>0.20114942528735624</v>
      </c>
      <c r="G22" s="108">
        <f t="shared" ref="G22:I22" si="1">(G21/F21)-1</f>
        <v>0.7129186602870814</v>
      </c>
      <c r="H22" s="108">
        <f t="shared" si="1"/>
        <v>-8.379888268156499E-3</v>
      </c>
      <c r="I22" s="108">
        <f t="shared" si="1"/>
        <v>-0.40845070422535201</v>
      </c>
      <c r="J22" s="95"/>
      <c r="K22" s="81"/>
      <c r="L22" s="81"/>
      <c r="M22" s="81"/>
      <c r="O22" s="73"/>
      <c r="P22" s="79"/>
      <c r="Q22" s="79"/>
      <c r="R22" s="79"/>
      <c r="S22" s="79"/>
      <c r="T22" s="79"/>
    </row>
    <row r="23" spans="1:20" x14ac:dyDescent="0.2">
      <c r="A23" s="81"/>
      <c r="B23" s="81"/>
      <c r="C23" s="81"/>
      <c r="K23" s="85"/>
      <c r="L23" s="81"/>
      <c r="M23" s="81"/>
      <c r="T23" s="221"/>
    </row>
    <row r="24" spans="1:20" x14ac:dyDescent="0.2">
      <c r="A24" s="81"/>
      <c r="B24" s="81"/>
      <c r="C24" s="81"/>
      <c r="K24" s="109"/>
      <c r="L24" s="81"/>
      <c r="M24" s="81"/>
    </row>
    <row r="25" spans="1:20" x14ac:dyDescent="0.2">
      <c r="A25" s="81"/>
      <c r="B25" s="81"/>
      <c r="C25" s="81"/>
      <c r="K25" s="109"/>
      <c r="L25" s="81"/>
      <c r="M25" s="110"/>
    </row>
    <row r="26" spans="1:20" x14ac:dyDescent="0.2">
      <c r="A26" s="81"/>
      <c r="B26" s="81"/>
      <c r="C26" s="81"/>
      <c r="K26" s="109"/>
      <c r="L26" s="81"/>
      <c r="M26" s="81"/>
    </row>
    <row r="27" spans="1:20" x14ac:dyDescent="0.2">
      <c r="A27" s="81"/>
      <c r="B27" s="81"/>
      <c r="C27" s="81"/>
      <c r="D27" s="111" t="s">
        <v>1258</v>
      </c>
      <c r="E27" s="112"/>
      <c r="F27" s="112"/>
      <c r="G27" s="112"/>
      <c r="H27" s="112"/>
      <c r="I27" s="112"/>
      <c r="J27" s="112"/>
      <c r="K27" s="109"/>
      <c r="L27" s="81"/>
      <c r="M27" s="81"/>
    </row>
    <row r="28" spans="1:20" x14ac:dyDescent="0.2">
      <c r="A28" s="81"/>
      <c r="B28" s="81"/>
      <c r="C28" s="81"/>
      <c r="D28" s="113"/>
      <c r="E28" s="113">
        <v>2018</v>
      </c>
      <c r="F28" s="113">
        <v>2019</v>
      </c>
      <c r="G28" s="113">
        <v>2020</v>
      </c>
      <c r="H28" s="113">
        <v>2021</v>
      </c>
      <c r="I28" s="113">
        <v>2022</v>
      </c>
      <c r="J28" s="114" t="s">
        <v>390</v>
      </c>
      <c r="K28" s="96"/>
      <c r="L28" s="81"/>
      <c r="M28" s="81"/>
    </row>
    <row r="29" spans="1:20" x14ac:dyDescent="0.2">
      <c r="A29" s="81"/>
      <c r="B29" s="81"/>
      <c r="C29" s="81"/>
      <c r="D29" s="115" t="s">
        <v>366</v>
      </c>
      <c r="E29" s="116">
        <f>'DATA - Ratios'!B28</f>
        <v>0.131102</v>
      </c>
      <c r="F29" s="116">
        <f>'DATA - Ratios'!C28</f>
        <v>0.152396</v>
      </c>
      <c r="G29" s="116">
        <f>'DATA - Ratios'!D28</f>
        <v>0.22772500000000001</v>
      </c>
      <c r="H29" s="116">
        <f>'DATA - Ratios'!E28</f>
        <v>0.19973099999999999</v>
      </c>
      <c r="I29" s="116">
        <f>'DATA - Ratios'!F28</f>
        <v>0.115187</v>
      </c>
      <c r="J29" s="117">
        <f>I29-H29</f>
        <v>-8.4543999999999994E-2</v>
      </c>
      <c r="K29" s="96"/>
      <c r="L29" s="81"/>
      <c r="M29" s="81"/>
    </row>
    <row r="30" spans="1:20" x14ac:dyDescent="0.2">
      <c r="A30" s="81"/>
      <c r="B30" s="81"/>
      <c r="C30" s="81"/>
      <c r="D30" s="118" t="s">
        <v>387</v>
      </c>
      <c r="E30" s="119"/>
      <c r="F30" s="119">
        <f>'DATA - Industry'!B19</f>
        <v>0.14299999999999999</v>
      </c>
      <c r="G30" s="119">
        <f>'DATA - Industry'!D19</f>
        <v>0.11</v>
      </c>
      <c r="H30" s="119">
        <f>'DATA - Industry'!F19</f>
        <v>0.13300000000000001</v>
      </c>
      <c r="I30" s="120">
        <f>'DATA - Industry'!J19</f>
        <v>8.7999999999999995E-2</v>
      </c>
      <c r="J30" s="121">
        <f t="shared" ref="J30:J36" si="2">I30-H30</f>
        <v>-4.5000000000000012E-2</v>
      </c>
      <c r="K30" s="122"/>
      <c r="L30" s="81"/>
      <c r="M30" s="81"/>
    </row>
    <row r="31" spans="1:20" x14ac:dyDescent="0.2">
      <c r="A31" s="81"/>
      <c r="B31" s="81"/>
      <c r="C31" s="81"/>
      <c r="D31" s="115" t="s">
        <v>367</v>
      </c>
      <c r="E31" s="123">
        <f>'DATA - Ratios'!B37</f>
        <v>0.13313</v>
      </c>
      <c r="F31" s="123">
        <f>'DATA - Ratios'!C37</f>
        <v>0.13836300000000001</v>
      </c>
      <c r="G31" s="123">
        <f>'DATA - Ratios'!D37</f>
        <v>0.19586000000000001</v>
      </c>
      <c r="H31" s="123">
        <f>'DATA - Ratios'!E37</f>
        <v>0.16432099999999999</v>
      </c>
      <c r="I31" s="123">
        <f>'DATA - Ratios'!F37</f>
        <v>8.7905999999999998E-2</v>
      </c>
      <c r="J31" s="117">
        <f t="shared" si="2"/>
        <v>-7.6414999999999997E-2</v>
      </c>
      <c r="K31" s="96"/>
      <c r="L31" s="81"/>
      <c r="M31" s="81"/>
    </row>
    <row r="32" spans="1:20" x14ac:dyDescent="0.2">
      <c r="A32" s="81"/>
      <c r="B32" s="81"/>
      <c r="C32" s="81"/>
      <c r="D32" s="118" t="s">
        <v>388</v>
      </c>
      <c r="E32" s="119"/>
      <c r="F32" s="119">
        <f>'DATA - Industry'!B27</f>
        <v>3.5000000000000003E-2</v>
      </c>
      <c r="G32" s="119">
        <f>'DATA - Industry'!D27</f>
        <v>3.1E-2</v>
      </c>
      <c r="H32" s="119">
        <f>'DATA - Industry'!F27</f>
        <v>4.1000000000000002E-2</v>
      </c>
      <c r="I32" s="119">
        <f>'DATA - Industry'!J27</f>
        <v>4.2999999999999997E-2</v>
      </c>
      <c r="J32" s="121">
        <f t="shared" si="2"/>
        <v>1.9999999999999948E-3</v>
      </c>
      <c r="K32" s="124"/>
      <c r="L32" s="81"/>
      <c r="M32" s="81"/>
    </row>
    <row r="33" spans="1:13" x14ac:dyDescent="0.2">
      <c r="A33" s="81"/>
      <c r="B33" s="81"/>
      <c r="C33" s="81"/>
      <c r="D33" s="125" t="s">
        <v>389</v>
      </c>
      <c r="E33" s="126">
        <f>'DATA - Ratios'!B44</f>
        <v>0.36741699999999999</v>
      </c>
      <c r="F33" s="126">
        <f>'DATA - Ratios'!C44</f>
        <v>0.375471</v>
      </c>
      <c r="G33" s="126">
        <f>'DATA - Ratios'!D44</f>
        <v>0.35253699999999999</v>
      </c>
      <c r="H33" s="126">
        <f>'DATA - Ratios'!E44</f>
        <v>0.34711500000000001</v>
      </c>
      <c r="I33" s="126">
        <f>'DATA - Ratios'!F44</f>
        <v>0.35617300000000002</v>
      </c>
      <c r="J33" s="117">
        <f t="shared" si="2"/>
        <v>9.0580000000000105E-3</v>
      </c>
      <c r="K33" s="127"/>
      <c r="L33" s="81"/>
      <c r="M33" s="81"/>
    </row>
    <row r="34" spans="1:13" x14ac:dyDescent="0.2">
      <c r="A34" s="81"/>
      <c r="B34" s="81"/>
      <c r="C34" s="81"/>
      <c r="D34" s="118" t="s">
        <v>388</v>
      </c>
      <c r="E34" s="128"/>
      <c r="F34" s="128">
        <f>'DATA - Industry'!B33</f>
        <v>0.3</v>
      </c>
      <c r="G34" s="128">
        <f>'DATA - Industry'!D33</f>
        <v>0.3</v>
      </c>
      <c r="H34" s="128">
        <f>'DATA - Industry'!F33</f>
        <v>0.3</v>
      </c>
      <c r="I34" s="128">
        <f>'DATA - Industry'!J33</f>
        <v>0.4</v>
      </c>
      <c r="J34" s="129">
        <v>0.1</v>
      </c>
      <c r="K34" s="109"/>
      <c r="L34" s="81"/>
      <c r="M34" s="81"/>
    </row>
    <row r="35" spans="1:13" x14ac:dyDescent="0.2">
      <c r="A35" s="81"/>
      <c r="B35" s="81"/>
      <c r="C35" s="81"/>
      <c r="D35" s="125" t="s">
        <v>368</v>
      </c>
      <c r="E35" s="130">
        <f>'DATA - Ratios'!B14</f>
        <v>2.680242801294491</v>
      </c>
      <c r="F35" s="130">
        <f>'DATA - Ratios'!C14</f>
        <v>2.9334399270055309</v>
      </c>
      <c r="G35" s="130">
        <f>'DATA - Ratios'!D14</f>
        <v>3.2980729390448076</v>
      </c>
      <c r="H35" s="130">
        <f>'DATA - Ratios'!E14</f>
        <v>3.5017007225821266</v>
      </c>
      <c r="I35" s="130">
        <f>'DATA - Ratios'!F14</f>
        <v>3.6789505836868241</v>
      </c>
      <c r="J35" s="131">
        <f>I35-H35</f>
        <v>0.17724986110469754</v>
      </c>
      <c r="K35" s="81"/>
      <c r="L35" s="81"/>
      <c r="M35" s="81"/>
    </row>
    <row r="36" spans="1:13" x14ac:dyDescent="0.2">
      <c r="D36" s="118" t="s">
        <v>388</v>
      </c>
      <c r="E36" s="121"/>
      <c r="F36" s="95" t="e">
        <f>NA()</f>
        <v>#N/A</v>
      </c>
      <c r="G36" s="95" t="e">
        <f>NA()</f>
        <v>#N/A</v>
      </c>
      <c r="H36" s="95" t="e">
        <f>NA()</f>
        <v>#N/A</v>
      </c>
      <c r="I36" s="95" t="e">
        <f>NA()</f>
        <v>#N/A</v>
      </c>
      <c r="J36" s="121" t="e">
        <f t="shared" si="2"/>
        <v>#N/A</v>
      </c>
    </row>
  </sheetData>
  <mergeCells count="1">
    <mergeCell ref="D6:K6"/>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4EEDA-FB18-BC45-9741-F340E619B1A9}">
  <dimension ref="A1:U235"/>
  <sheetViews>
    <sheetView showGridLines="0" workbookViewId="0">
      <selection activeCell="A31" sqref="A31"/>
    </sheetView>
  </sheetViews>
  <sheetFormatPr baseColWidth="10" defaultRowHeight="13" x14ac:dyDescent="0.15"/>
  <cols>
    <col min="1" max="1" width="34.33203125" style="135" customWidth="1"/>
    <col min="2" max="3" width="0" style="135" hidden="1" customWidth="1"/>
    <col min="4" max="4" width="8.33203125" style="135" customWidth="1"/>
    <col min="5" max="9" width="19" style="135" customWidth="1"/>
    <col min="10" max="19" width="11.6640625" style="135" bestFit="1" customWidth="1"/>
    <col min="20" max="16384" width="10.83203125" style="135"/>
  </cols>
  <sheetData>
    <row r="1" spans="1:21" ht="20" x14ac:dyDescent="0.15">
      <c r="A1" s="156" t="s">
        <v>534</v>
      </c>
      <c r="B1" s="156"/>
      <c r="C1" s="156"/>
      <c r="D1" s="156"/>
      <c r="E1" s="156"/>
      <c r="F1" s="156"/>
      <c r="G1" s="156"/>
      <c r="H1" s="156"/>
      <c r="I1" s="156"/>
      <c r="J1" s="156"/>
    </row>
    <row r="2" spans="1:21" x14ac:dyDescent="0.15">
      <c r="A2" s="157" t="s">
        <v>535</v>
      </c>
      <c r="B2" s="157"/>
      <c r="C2" s="157"/>
      <c r="D2" s="157"/>
      <c r="E2" s="157"/>
      <c r="F2" s="157"/>
      <c r="G2" s="157"/>
      <c r="H2" s="157"/>
      <c r="I2" s="157"/>
      <c r="N2" s="135" t="s">
        <v>516</v>
      </c>
      <c r="O2" s="135" t="s">
        <v>516</v>
      </c>
      <c r="P2" s="135" t="s">
        <v>516</v>
      </c>
      <c r="Q2" s="135" t="s">
        <v>516</v>
      </c>
      <c r="R2" s="135" t="s">
        <v>516</v>
      </c>
      <c r="S2" s="135" t="s">
        <v>516</v>
      </c>
      <c r="T2" s="135" t="s">
        <v>516</v>
      </c>
      <c r="U2" s="135" t="s">
        <v>516</v>
      </c>
    </row>
    <row r="3" spans="1:21" x14ac:dyDescent="0.15">
      <c r="A3" s="158" t="s">
        <v>536</v>
      </c>
      <c r="B3" s="158"/>
      <c r="C3" s="158"/>
      <c r="D3" s="158"/>
      <c r="E3" s="158" t="s">
        <v>537</v>
      </c>
      <c r="F3" s="158" t="s">
        <v>538</v>
      </c>
      <c r="G3" s="158" t="s">
        <v>539</v>
      </c>
      <c r="H3" s="158" t="s">
        <v>540</v>
      </c>
      <c r="I3" s="158" t="s">
        <v>541</v>
      </c>
      <c r="J3" s="158" t="s">
        <v>542</v>
      </c>
      <c r="K3" s="158" t="s">
        <v>543</v>
      </c>
      <c r="L3" s="158" t="s">
        <v>544</v>
      </c>
      <c r="M3" s="158" t="s">
        <v>545</v>
      </c>
      <c r="N3" s="158" t="s">
        <v>546</v>
      </c>
      <c r="O3" s="158" t="s">
        <v>547</v>
      </c>
      <c r="P3" s="158" t="s">
        <v>548</v>
      </c>
      <c r="Q3" s="158" t="s">
        <v>549</v>
      </c>
      <c r="R3" s="158" t="s">
        <v>550</v>
      </c>
      <c r="S3" s="158" t="s">
        <v>551</v>
      </c>
      <c r="T3" s="158" t="s">
        <v>552</v>
      </c>
      <c r="U3" s="158" t="s">
        <v>553</v>
      </c>
    </row>
    <row r="4" spans="1:21" x14ac:dyDescent="0.15">
      <c r="A4" s="159" t="s">
        <v>554</v>
      </c>
      <c r="B4" s="159" t="s">
        <v>555</v>
      </c>
      <c r="C4" s="159" t="s">
        <v>556</v>
      </c>
      <c r="D4" s="159" t="s">
        <v>557</v>
      </c>
      <c r="E4" s="159">
        <v>43465</v>
      </c>
      <c r="F4" s="159">
        <v>43830</v>
      </c>
      <c r="G4" s="159">
        <v>44196</v>
      </c>
      <c r="H4" s="159">
        <v>44561</v>
      </c>
      <c r="I4" s="159">
        <v>44926</v>
      </c>
      <c r="J4" s="159">
        <v>45291</v>
      </c>
      <c r="K4" s="160">
        <v>45657</v>
      </c>
      <c r="L4" s="160">
        <v>46022</v>
      </c>
      <c r="M4" s="160">
        <v>46387</v>
      </c>
      <c r="N4" s="160">
        <v>46752</v>
      </c>
      <c r="O4" s="160">
        <v>47118</v>
      </c>
      <c r="P4" s="160">
        <v>47483</v>
      </c>
      <c r="Q4" s="160">
        <v>47848</v>
      </c>
      <c r="R4" s="160">
        <v>48213</v>
      </c>
      <c r="S4" s="160">
        <v>48579</v>
      </c>
      <c r="T4" s="160">
        <v>48944</v>
      </c>
      <c r="U4" s="160">
        <v>49309</v>
      </c>
    </row>
    <row r="5" spans="1:21" x14ac:dyDescent="0.15">
      <c r="A5" s="161" t="s">
        <v>558</v>
      </c>
      <c r="B5" s="162"/>
      <c r="C5" s="162" t="s">
        <v>559</v>
      </c>
      <c r="D5" s="162"/>
      <c r="E5" s="163"/>
      <c r="F5" s="163"/>
      <c r="G5" s="163"/>
      <c r="H5" s="163"/>
      <c r="I5" s="163"/>
      <c r="J5" s="163"/>
      <c r="K5" s="163"/>
      <c r="L5" s="163"/>
      <c r="M5" s="163"/>
      <c r="N5" s="163"/>
      <c r="O5" s="163"/>
      <c r="P5" s="163"/>
      <c r="Q5" s="163"/>
      <c r="R5" s="163"/>
      <c r="S5" s="163"/>
      <c r="T5" s="163"/>
      <c r="U5" s="163"/>
    </row>
    <row r="6" spans="1:21" x14ac:dyDescent="0.15">
      <c r="A6" s="161" t="s">
        <v>560</v>
      </c>
      <c r="B6" s="162" t="s">
        <v>561</v>
      </c>
      <c r="C6" s="162" t="s">
        <v>562</v>
      </c>
      <c r="D6" s="162"/>
      <c r="E6" s="163">
        <v>2.42</v>
      </c>
      <c r="F6" s="163">
        <v>3.1</v>
      </c>
      <c r="G6" s="163">
        <v>3.88</v>
      </c>
      <c r="H6" s="163">
        <v>4.5999999999999996</v>
      </c>
      <c r="I6" s="163">
        <v>4.13</v>
      </c>
      <c r="J6" s="163">
        <v>4.881702127659576</v>
      </c>
      <c r="K6" s="163">
        <v>5.6139130434782611</v>
      </c>
      <c r="L6" s="163">
        <v>6.4522727272727272</v>
      </c>
      <c r="M6" s="163">
        <v>7.1625000000000005</v>
      </c>
      <c r="N6" s="163">
        <v>8.0399999999999991</v>
      </c>
      <c r="O6" s="163" t="s">
        <v>563</v>
      </c>
      <c r="P6" s="163" t="s">
        <v>563</v>
      </c>
      <c r="Q6" s="163" t="s">
        <v>563</v>
      </c>
      <c r="R6" s="163" t="s">
        <v>563</v>
      </c>
      <c r="S6" s="163" t="s">
        <v>563</v>
      </c>
      <c r="T6" s="163" t="s">
        <v>563</v>
      </c>
      <c r="U6" s="163" t="s">
        <v>563</v>
      </c>
    </row>
    <row r="7" spans="1:21" x14ac:dyDescent="0.15">
      <c r="A7" s="161" t="s">
        <v>564</v>
      </c>
      <c r="B7" s="162" t="s">
        <v>565</v>
      </c>
      <c r="C7" s="162" t="s">
        <v>70</v>
      </c>
      <c r="D7" s="162"/>
      <c r="E7" s="163">
        <v>15451</v>
      </c>
      <c r="F7" s="163">
        <v>17772</v>
      </c>
      <c r="G7" s="163">
        <v>21454</v>
      </c>
      <c r="H7" s="163">
        <v>25371</v>
      </c>
      <c r="I7" s="163">
        <v>27518</v>
      </c>
      <c r="J7" s="163">
        <v>29360.59574468085</v>
      </c>
      <c r="K7" s="163">
        <v>32247.760869565216</v>
      </c>
      <c r="L7" s="163">
        <v>35563.956521739128</v>
      </c>
      <c r="M7" s="163">
        <v>37724.25</v>
      </c>
      <c r="N7" s="163">
        <v>43661</v>
      </c>
      <c r="O7" s="163">
        <v>52172</v>
      </c>
      <c r="P7" s="163">
        <v>58227</v>
      </c>
      <c r="Q7" s="163">
        <v>63850</v>
      </c>
      <c r="R7" s="163">
        <v>70016</v>
      </c>
      <c r="S7" s="163" t="s">
        <v>563</v>
      </c>
      <c r="T7" s="163" t="s">
        <v>563</v>
      </c>
      <c r="U7" s="163" t="s">
        <v>563</v>
      </c>
    </row>
    <row r="8" spans="1:21" x14ac:dyDescent="0.15">
      <c r="A8" s="161" t="s">
        <v>566</v>
      </c>
      <c r="B8" s="162"/>
      <c r="C8" s="162"/>
      <c r="D8" s="162"/>
      <c r="E8" s="163"/>
      <c r="F8" s="163"/>
      <c r="G8" s="163"/>
      <c r="H8" s="163"/>
      <c r="I8" s="163"/>
      <c r="J8" s="163"/>
      <c r="K8" s="163"/>
      <c r="L8" s="163"/>
      <c r="M8" s="163"/>
      <c r="N8" s="163"/>
      <c r="O8" s="163"/>
      <c r="P8" s="163"/>
      <c r="Q8" s="163"/>
      <c r="R8" s="163"/>
      <c r="S8" s="163"/>
      <c r="T8" s="163"/>
      <c r="U8" s="163"/>
    </row>
    <row r="9" spans="1:21" x14ac:dyDescent="0.15">
      <c r="A9" s="161" t="s">
        <v>567</v>
      </c>
      <c r="B9" s="162"/>
      <c r="C9" s="162"/>
      <c r="D9" s="162"/>
      <c r="E9" s="163"/>
      <c r="F9" s="163"/>
      <c r="G9" s="163"/>
      <c r="H9" s="163"/>
      <c r="I9" s="163"/>
      <c r="J9" s="163"/>
      <c r="K9" s="163"/>
      <c r="L9" s="163"/>
      <c r="M9" s="163"/>
      <c r="N9" s="163"/>
      <c r="O9" s="163"/>
      <c r="P9" s="163"/>
      <c r="Q9" s="163"/>
      <c r="R9" s="163"/>
      <c r="S9" s="163"/>
      <c r="T9" s="163"/>
      <c r="U9" s="163"/>
    </row>
    <row r="10" spans="1:21" x14ac:dyDescent="0.15">
      <c r="A10" s="161" t="s">
        <v>568</v>
      </c>
      <c r="B10" s="162"/>
      <c r="C10" s="162"/>
      <c r="D10" s="162"/>
      <c r="E10" s="163"/>
      <c r="F10" s="163"/>
      <c r="G10" s="163"/>
      <c r="H10" s="163"/>
      <c r="I10" s="163"/>
      <c r="J10" s="163"/>
      <c r="K10" s="163"/>
      <c r="L10" s="163"/>
      <c r="M10" s="163"/>
      <c r="N10" s="163"/>
      <c r="O10" s="163"/>
      <c r="P10" s="163"/>
      <c r="Q10" s="163"/>
      <c r="R10" s="163"/>
      <c r="S10" s="163"/>
      <c r="T10" s="163"/>
      <c r="U10" s="163"/>
    </row>
    <row r="11" spans="1:21" x14ac:dyDescent="0.15">
      <c r="A11" s="161" t="s">
        <v>569</v>
      </c>
      <c r="B11" s="162" t="s">
        <v>570</v>
      </c>
      <c r="C11" s="162"/>
      <c r="D11" s="162" t="s">
        <v>571</v>
      </c>
      <c r="E11" s="163">
        <v>8324</v>
      </c>
      <c r="F11" s="163">
        <v>9417</v>
      </c>
      <c r="G11" s="163">
        <v>11013</v>
      </c>
      <c r="H11" s="163">
        <v>13712</v>
      </c>
      <c r="I11" s="163">
        <v>15807</v>
      </c>
      <c r="J11" s="163">
        <v>16834.488613864673</v>
      </c>
      <c r="K11" s="163">
        <v>18451.544336796353</v>
      </c>
      <c r="L11" s="163">
        <v>20437.852057882355</v>
      </c>
      <c r="M11" s="163">
        <v>23678.2547114279</v>
      </c>
      <c r="N11" s="163" t="s">
        <v>563</v>
      </c>
      <c r="O11" s="163" t="s">
        <v>563</v>
      </c>
      <c r="P11" s="163" t="s">
        <v>563</v>
      </c>
      <c r="Q11" s="163" t="s">
        <v>563</v>
      </c>
      <c r="R11" s="163" t="s">
        <v>563</v>
      </c>
      <c r="S11" s="163" t="s">
        <v>563</v>
      </c>
      <c r="T11" s="163" t="s">
        <v>563</v>
      </c>
      <c r="U11" s="163" t="s">
        <v>563</v>
      </c>
    </row>
    <row r="12" spans="1:21" x14ac:dyDescent="0.15">
      <c r="A12" s="161" t="s">
        <v>572</v>
      </c>
      <c r="B12" s="162"/>
      <c r="C12" s="162"/>
      <c r="D12" s="162"/>
      <c r="E12" s="163"/>
      <c r="F12" s="163"/>
      <c r="G12" s="163"/>
      <c r="H12" s="163"/>
      <c r="I12" s="163"/>
      <c r="J12" s="163"/>
      <c r="K12" s="163"/>
      <c r="L12" s="163"/>
      <c r="M12" s="163"/>
      <c r="N12" s="163"/>
      <c r="O12" s="163"/>
      <c r="P12" s="163"/>
      <c r="Q12" s="163"/>
      <c r="R12" s="163"/>
      <c r="S12" s="163"/>
      <c r="T12" s="163"/>
      <c r="U12" s="163"/>
    </row>
    <row r="13" spans="1:21" x14ac:dyDescent="0.15">
      <c r="A13" s="161" t="s">
        <v>569</v>
      </c>
      <c r="B13" s="162" t="s">
        <v>570</v>
      </c>
      <c r="C13" s="162"/>
      <c r="D13" s="162" t="s">
        <v>573</v>
      </c>
      <c r="E13" s="163">
        <v>7127</v>
      </c>
      <c r="F13" s="163">
        <v>8355</v>
      </c>
      <c r="G13" s="163">
        <v>10441</v>
      </c>
      <c r="H13" s="163">
        <v>11659</v>
      </c>
      <c r="I13" s="163">
        <v>11711</v>
      </c>
      <c r="J13" s="163">
        <v>12421.425484388446</v>
      </c>
      <c r="K13" s="163">
        <v>13462.144335599522</v>
      </c>
      <c r="L13" s="163">
        <v>14886.459183943351</v>
      </c>
      <c r="M13" s="163">
        <v>14843.652652966503</v>
      </c>
      <c r="N13" s="163" t="s">
        <v>563</v>
      </c>
      <c r="O13" s="163" t="s">
        <v>563</v>
      </c>
      <c r="P13" s="163" t="s">
        <v>563</v>
      </c>
      <c r="Q13" s="163" t="s">
        <v>563</v>
      </c>
      <c r="R13" s="163" t="s">
        <v>563</v>
      </c>
      <c r="S13" s="163" t="s">
        <v>563</v>
      </c>
      <c r="T13" s="163" t="s">
        <v>563</v>
      </c>
      <c r="U13" s="163" t="s">
        <v>563</v>
      </c>
    </row>
    <row r="14" spans="1:21" x14ac:dyDescent="0.15">
      <c r="A14" s="161" t="s">
        <v>566</v>
      </c>
      <c r="B14" s="162"/>
      <c r="C14" s="162"/>
      <c r="D14" s="162"/>
      <c r="E14" s="163"/>
      <c r="F14" s="163"/>
      <c r="G14" s="163"/>
      <c r="H14" s="163"/>
      <c r="I14" s="163"/>
      <c r="J14" s="163"/>
      <c r="K14" s="163"/>
      <c r="L14" s="163"/>
      <c r="M14" s="163"/>
      <c r="N14" s="163"/>
      <c r="O14" s="163"/>
      <c r="P14" s="163"/>
      <c r="Q14" s="163"/>
      <c r="R14" s="163"/>
      <c r="S14" s="163"/>
      <c r="T14" s="163"/>
      <c r="U14" s="163"/>
    </row>
    <row r="15" spans="1:21" x14ac:dyDescent="0.15">
      <c r="A15" s="161" t="s">
        <v>574</v>
      </c>
      <c r="B15" s="162" t="s">
        <v>575</v>
      </c>
      <c r="C15" s="162" t="s">
        <v>576</v>
      </c>
      <c r="D15" s="162"/>
      <c r="E15" s="163">
        <v>267</v>
      </c>
      <c r="F15" s="163">
        <v>305</v>
      </c>
      <c r="G15" s="163">
        <v>377</v>
      </c>
      <c r="H15" s="163">
        <v>426</v>
      </c>
      <c r="I15" s="163">
        <v>435</v>
      </c>
      <c r="J15" s="163">
        <v>444.36751587373578</v>
      </c>
      <c r="K15" s="163">
        <v>457.30780510778146</v>
      </c>
      <c r="L15" s="163">
        <v>475.77289657745058</v>
      </c>
      <c r="M15" s="163">
        <v>512.48441246333334</v>
      </c>
      <c r="N15" s="163">
        <v>562.39815388565</v>
      </c>
      <c r="O15" s="163">
        <v>631.08204931529121</v>
      </c>
      <c r="P15" s="163">
        <v>675.25779276736159</v>
      </c>
      <c r="Q15" s="163">
        <v>722.52583826107696</v>
      </c>
      <c r="R15" s="163">
        <v>773.10264693935244</v>
      </c>
      <c r="S15" s="163" t="s">
        <v>563</v>
      </c>
      <c r="T15" s="163" t="s">
        <v>563</v>
      </c>
      <c r="U15" s="163" t="s">
        <v>563</v>
      </c>
    </row>
    <row r="16" spans="1:21" x14ac:dyDescent="0.15">
      <c r="A16" s="161" t="s">
        <v>577</v>
      </c>
      <c r="B16" s="162" t="s">
        <v>578</v>
      </c>
      <c r="C16" s="162" t="s">
        <v>579</v>
      </c>
      <c r="D16" s="162"/>
      <c r="E16" s="163">
        <v>38.700000000000003</v>
      </c>
      <c r="F16" s="163">
        <v>37.299999999999997</v>
      </c>
      <c r="G16" s="163">
        <v>72.7</v>
      </c>
      <c r="H16" s="163">
        <v>48.9</v>
      </c>
      <c r="I16" s="163">
        <v>8.6</v>
      </c>
      <c r="J16" s="163">
        <v>12.561100159195654</v>
      </c>
      <c r="K16" s="163">
        <v>12.371736386876327</v>
      </c>
      <c r="L16" s="163">
        <v>12.458044375894879</v>
      </c>
      <c r="M16" s="163">
        <v>4.6162547999999788</v>
      </c>
      <c r="N16" s="163" t="s">
        <v>563</v>
      </c>
      <c r="O16" s="163" t="s">
        <v>563</v>
      </c>
      <c r="P16" s="163" t="s">
        <v>563</v>
      </c>
      <c r="Q16" s="163" t="s">
        <v>563</v>
      </c>
      <c r="R16" s="163" t="s">
        <v>563</v>
      </c>
      <c r="S16" s="163" t="s">
        <v>563</v>
      </c>
      <c r="T16" s="163" t="s">
        <v>563</v>
      </c>
      <c r="U16" s="163" t="s">
        <v>563</v>
      </c>
    </row>
    <row r="17" spans="1:21" x14ac:dyDescent="0.15">
      <c r="A17" s="161" t="s">
        <v>566</v>
      </c>
      <c r="B17" s="162"/>
      <c r="C17" s="162"/>
      <c r="D17" s="162"/>
      <c r="E17" s="163"/>
      <c r="F17" s="163"/>
      <c r="G17" s="163"/>
      <c r="H17" s="163"/>
      <c r="I17" s="163"/>
      <c r="J17" s="163"/>
      <c r="K17" s="163"/>
      <c r="L17" s="163"/>
      <c r="M17" s="163"/>
      <c r="N17" s="163"/>
      <c r="O17" s="163"/>
      <c r="P17" s="163"/>
      <c r="Q17" s="163"/>
      <c r="R17" s="163"/>
      <c r="S17" s="163"/>
      <c r="T17" s="163"/>
      <c r="U17" s="163"/>
    </row>
    <row r="18" spans="1:21" x14ac:dyDescent="0.15">
      <c r="A18" s="161" t="s">
        <v>580</v>
      </c>
      <c r="B18" s="162" t="s">
        <v>581</v>
      </c>
      <c r="C18" s="162" t="s">
        <v>582</v>
      </c>
      <c r="D18" s="162"/>
      <c r="E18" s="163">
        <v>578419</v>
      </c>
      <c r="F18" s="163">
        <v>711925</v>
      </c>
      <c r="G18" s="163">
        <v>936000</v>
      </c>
      <c r="H18" s="163">
        <v>1250000</v>
      </c>
      <c r="I18" s="163">
        <v>1360000</v>
      </c>
      <c r="J18" s="163">
        <v>1465965.4857734095</v>
      </c>
      <c r="K18" s="163">
        <v>1621816.9865170713</v>
      </c>
      <c r="L18" s="163">
        <v>1816439.8617757095</v>
      </c>
      <c r="M18" s="163">
        <v>2099943.2149261986</v>
      </c>
      <c r="N18" s="163">
        <v>2385992.4627459119</v>
      </c>
      <c r="O18" s="163">
        <v>3085861.3155070525</v>
      </c>
      <c r="P18" s="163">
        <v>3548740.5128331101</v>
      </c>
      <c r="Q18" s="163">
        <v>4010076.7795014139</v>
      </c>
      <c r="R18" s="163">
        <v>4531386.7608365975</v>
      </c>
      <c r="S18" s="163" t="s">
        <v>563</v>
      </c>
      <c r="T18" s="163" t="s">
        <v>563</v>
      </c>
      <c r="U18" s="163" t="s">
        <v>563</v>
      </c>
    </row>
    <row r="19" spans="1:21" x14ac:dyDescent="0.15">
      <c r="A19" s="161" t="s">
        <v>583</v>
      </c>
      <c r="B19" s="162" t="s">
        <v>581</v>
      </c>
      <c r="C19" s="162" t="s">
        <v>584</v>
      </c>
      <c r="D19" s="162" t="s">
        <v>585</v>
      </c>
      <c r="E19" s="163" t="s">
        <v>563</v>
      </c>
      <c r="F19" s="163">
        <v>102000</v>
      </c>
      <c r="G19" s="163">
        <v>159000</v>
      </c>
      <c r="H19" s="163">
        <v>230100</v>
      </c>
      <c r="I19" s="163">
        <v>245300</v>
      </c>
      <c r="J19" s="163">
        <v>271376.60886343673</v>
      </c>
      <c r="K19" s="163">
        <v>303723.31846381095</v>
      </c>
      <c r="L19" s="163">
        <v>338747.58065456577</v>
      </c>
      <c r="M19" s="163" t="s">
        <v>563</v>
      </c>
      <c r="N19" s="163" t="s">
        <v>563</v>
      </c>
      <c r="O19" s="163" t="s">
        <v>563</v>
      </c>
      <c r="P19" s="163" t="s">
        <v>563</v>
      </c>
      <c r="Q19" s="163" t="s">
        <v>563</v>
      </c>
      <c r="R19" s="163" t="s">
        <v>563</v>
      </c>
      <c r="S19" s="163" t="s">
        <v>563</v>
      </c>
      <c r="T19" s="163" t="s">
        <v>563</v>
      </c>
      <c r="U19" s="163" t="s">
        <v>563</v>
      </c>
    </row>
    <row r="20" spans="1:21" x14ac:dyDescent="0.15">
      <c r="A20" s="161" t="s">
        <v>586</v>
      </c>
      <c r="B20" s="162" t="s">
        <v>587</v>
      </c>
      <c r="C20" s="162"/>
      <c r="D20" s="162"/>
      <c r="E20" s="163">
        <v>9871</v>
      </c>
      <c r="F20" s="163">
        <v>12362</v>
      </c>
      <c r="G20" s="163">
        <v>15424</v>
      </c>
      <c r="H20" s="163">
        <v>19349</v>
      </c>
      <c r="I20" s="163">
        <v>22349</v>
      </c>
      <c r="J20" s="163">
        <v>24479.724313268773</v>
      </c>
      <c r="K20" s="163">
        <v>27164.576321274675</v>
      </c>
      <c r="L20" s="163">
        <v>30748.945850952347</v>
      </c>
      <c r="M20" s="163">
        <v>33168.08177094601</v>
      </c>
      <c r="N20" s="163">
        <v>37175.165795925903</v>
      </c>
      <c r="O20" s="163">
        <v>45051.256341635672</v>
      </c>
      <c r="P20" s="163">
        <v>51358.43222946467</v>
      </c>
      <c r="Q20" s="163">
        <v>57521.444097000436</v>
      </c>
      <c r="R20" s="163">
        <v>64424.017388640495</v>
      </c>
      <c r="S20" s="163" t="s">
        <v>563</v>
      </c>
      <c r="T20" s="163" t="s">
        <v>563</v>
      </c>
      <c r="U20" s="163" t="s">
        <v>563</v>
      </c>
    </row>
    <row r="21" spans="1:21" x14ac:dyDescent="0.15">
      <c r="A21" s="161" t="s">
        <v>566</v>
      </c>
      <c r="B21" s="162"/>
      <c r="C21" s="162"/>
      <c r="D21" s="162"/>
      <c r="E21" s="163"/>
      <c r="F21" s="163"/>
      <c r="G21" s="163"/>
      <c r="H21" s="163"/>
      <c r="I21" s="163"/>
      <c r="J21" s="163"/>
      <c r="K21" s="163"/>
      <c r="L21" s="163"/>
      <c r="M21" s="163"/>
      <c r="N21" s="163"/>
      <c r="O21" s="163"/>
      <c r="P21" s="163"/>
      <c r="Q21" s="163"/>
      <c r="R21" s="163"/>
      <c r="S21" s="163"/>
      <c r="T21" s="163"/>
      <c r="U21" s="163"/>
    </row>
    <row r="22" spans="1:21" x14ac:dyDescent="0.15">
      <c r="A22" s="161" t="s">
        <v>588</v>
      </c>
      <c r="B22" s="162" t="s">
        <v>589</v>
      </c>
      <c r="C22" s="162"/>
      <c r="D22" s="162"/>
      <c r="E22" s="163">
        <v>3349</v>
      </c>
      <c r="F22" s="163">
        <v>4131</v>
      </c>
      <c r="G22" s="163">
        <v>5388</v>
      </c>
      <c r="H22" s="163">
        <v>6304</v>
      </c>
      <c r="I22" s="163">
        <v>5870</v>
      </c>
      <c r="J22" s="163">
        <v>6676.2</v>
      </c>
      <c r="K22" s="163">
        <v>7387.9268292682927</v>
      </c>
      <c r="L22" s="163">
        <v>8193.9047619047615</v>
      </c>
      <c r="M22" s="163">
        <v>8656.25</v>
      </c>
      <c r="N22" s="163">
        <v>10889</v>
      </c>
      <c r="O22" s="163">
        <v>14125</v>
      </c>
      <c r="P22" s="163">
        <v>16069</v>
      </c>
      <c r="Q22" s="163">
        <v>19107</v>
      </c>
      <c r="R22" s="163">
        <v>21821</v>
      </c>
      <c r="S22" s="163" t="s">
        <v>563</v>
      </c>
      <c r="T22" s="163" t="s">
        <v>563</v>
      </c>
      <c r="U22" s="163" t="s">
        <v>563</v>
      </c>
    </row>
    <row r="23" spans="1:21" x14ac:dyDescent="0.15">
      <c r="A23" s="161" t="s">
        <v>590</v>
      </c>
      <c r="B23" s="162" t="s">
        <v>591</v>
      </c>
      <c r="C23" s="162" t="s">
        <v>592</v>
      </c>
      <c r="D23" s="162"/>
      <c r="E23" s="163">
        <v>22</v>
      </c>
      <c r="F23" s="163">
        <v>23</v>
      </c>
      <c r="G23" s="163">
        <v>25</v>
      </c>
      <c r="H23" s="163">
        <v>25</v>
      </c>
      <c r="I23" s="163">
        <v>21</v>
      </c>
      <c r="J23" s="163">
        <v>22.783091187370726</v>
      </c>
      <c r="K23" s="163">
        <v>23.364227204558937</v>
      </c>
      <c r="L23" s="163">
        <v>23.150983524663665</v>
      </c>
      <c r="M23" s="163">
        <v>23.398096009434511</v>
      </c>
      <c r="N23" s="163">
        <v>25.829147321268643</v>
      </c>
      <c r="O23" s="163" t="s">
        <v>563</v>
      </c>
      <c r="P23" s="163" t="s">
        <v>563</v>
      </c>
      <c r="Q23" s="163" t="s">
        <v>563</v>
      </c>
      <c r="R23" s="163" t="s">
        <v>563</v>
      </c>
      <c r="S23" s="163" t="s">
        <v>563</v>
      </c>
      <c r="T23" s="163" t="s">
        <v>563</v>
      </c>
      <c r="U23" s="163" t="s">
        <v>563</v>
      </c>
    </row>
    <row r="24" spans="1:21" x14ac:dyDescent="0.15">
      <c r="A24" s="161" t="s">
        <v>593</v>
      </c>
      <c r="B24" s="162" t="s">
        <v>594</v>
      </c>
      <c r="C24" s="162"/>
      <c r="D24" s="162"/>
      <c r="E24" s="163">
        <v>13257</v>
      </c>
      <c r="F24" s="163">
        <v>15053</v>
      </c>
      <c r="G24" s="163">
        <v>18165</v>
      </c>
      <c r="H24" s="163">
        <v>21109</v>
      </c>
      <c r="I24" s="163">
        <v>23681</v>
      </c>
      <c r="J24" s="163">
        <v>24424.05848385319</v>
      </c>
      <c r="K24" s="163">
        <v>26337.93876422551</v>
      </c>
      <c r="L24" s="163">
        <v>29184.971015660558</v>
      </c>
      <c r="M24" s="163">
        <v>30801.390006119185</v>
      </c>
      <c r="N24" s="163">
        <v>34612.668083305907</v>
      </c>
      <c r="O24" s="163">
        <v>40798.769582609792</v>
      </c>
      <c r="P24" s="163">
        <v>45533.195771823346</v>
      </c>
      <c r="Q24" s="163">
        <v>49291.957064545612</v>
      </c>
      <c r="R24" s="163">
        <v>54052.281290570289</v>
      </c>
      <c r="S24" s="163" t="s">
        <v>563</v>
      </c>
      <c r="T24" s="163" t="s">
        <v>563</v>
      </c>
      <c r="U24" s="163" t="s">
        <v>563</v>
      </c>
    </row>
    <row r="25" spans="1:21" x14ac:dyDescent="0.15">
      <c r="A25" s="161" t="s">
        <v>566</v>
      </c>
      <c r="B25" s="162"/>
      <c r="C25" s="162"/>
      <c r="D25" s="162"/>
      <c r="E25" s="163"/>
      <c r="F25" s="163"/>
      <c r="G25" s="163"/>
      <c r="H25" s="163"/>
      <c r="I25" s="163"/>
      <c r="J25" s="163"/>
      <c r="K25" s="163"/>
      <c r="L25" s="163"/>
      <c r="M25" s="163"/>
      <c r="N25" s="163"/>
      <c r="O25" s="163"/>
      <c r="P25" s="163"/>
      <c r="Q25" s="163"/>
      <c r="R25" s="163"/>
      <c r="S25" s="163"/>
      <c r="T25" s="163"/>
      <c r="U25" s="163"/>
    </row>
    <row r="26" spans="1:21" x14ac:dyDescent="0.15">
      <c r="A26" s="161" t="s">
        <v>595</v>
      </c>
      <c r="B26" s="162"/>
      <c r="C26" s="162" t="s">
        <v>596</v>
      </c>
      <c r="D26" s="162"/>
      <c r="E26" s="163"/>
      <c r="F26" s="163"/>
      <c r="G26" s="163"/>
      <c r="H26" s="163"/>
      <c r="I26" s="163"/>
      <c r="J26" s="163"/>
      <c r="K26" s="163"/>
      <c r="L26" s="163"/>
      <c r="M26" s="163"/>
      <c r="N26" s="163"/>
      <c r="O26" s="163"/>
      <c r="P26" s="163"/>
      <c r="Q26" s="163"/>
      <c r="R26" s="163"/>
      <c r="S26" s="163"/>
      <c r="T26" s="163"/>
      <c r="U26" s="163"/>
    </row>
    <row r="27" spans="1:21" x14ac:dyDescent="0.15">
      <c r="A27" s="161" t="s">
        <v>566</v>
      </c>
      <c r="B27" s="162"/>
      <c r="C27" s="162"/>
      <c r="D27" s="162"/>
      <c r="E27" s="163"/>
      <c r="F27" s="163"/>
      <c r="G27" s="163"/>
      <c r="H27" s="163"/>
      <c r="I27" s="163"/>
      <c r="J27" s="163"/>
      <c r="K27" s="163"/>
      <c r="L27" s="163"/>
      <c r="M27" s="163"/>
      <c r="N27" s="163"/>
      <c r="O27" s="163"/>
      <c r="P27" s="163"/>
      <c r="Q27" s="163"/>
      <c r="R27" s="163"/>
      <c r="S27" s="163"/>
      <c r="T27" s="163"/>
      <c r="U27" s="163"/>
    </row>
    <row r="28" spans="1:21" x14ac:dyDescent="0.15">
      <c r="A28" s="161" t="s">
        <v>597</v>
      </c>
      <c r="B28" s="162"/>
      <c r="C28" s="162" t="s">
        <v>598</v>
      </c>
      <c r="D28" s="162"/>
      <c r="E28" s="163"/>
      <c r="F28" s="163"/>
      <c r="G28" s="163"/>
      <c r="H28" s="163"/>
      <c r="I28" s="163"/>
      <c r="J28" s="163"/>
      <c r="K28" s="163"/>
      <c r="L28" s="163"/>
      <c r="M28" s="163"/>
      <c r="N28" s="163"/>
      <c r="O28" s="163"/>
      <c r="P28" s="163"/>
      <c r="Q28" s="163"/>
      <c r="R28" s="163"/>
      <c r="S28" s="163"/>
      <c r="T28" s="163"/>
      <c r="U28" s="163"/>
    </row>
    <row r="29" spans="1:21" x14ac:dyDescent="0.15">
      <c r="A29" s="161" t="s">
        <v>574</v>
      </c>
      <c r="B29" s="162" t="s">
        <v>575</v>
      </c>
      <c r="C29" s="162" t="s">
        <v>576</v>
      </c>
      <c r="D29" s="162"/>
      <c r="E29" s="163">
        <v>267</v>
      </c>
      <c r="F29" s="163">
        <v>305</v>
      </c>
      <c r="G29" s="163">
        <v>377</v>
      </c>
      <c r="H29" s="163">
        <v>426</v>
      </c>
      <c r="I29" s="163">
        <v>435</v>
      </c>
      <c r="J29" s="163">
        <v>444.36751587373578</v>
      </c>
      <c r="K29" s="163">
        <v>457.30780510778146</v>
      </c>
      <c r="L29" s="163">
        <v>475.77289657745058</v>
      </c>
      <c r="M29" s="163">
        <v>512.48441246333334</v>
      </c>
      <c r="N29" s="163">
        <v>562.39815388565</v>
      </c>
      <c r="O29" s="163">
        <v>631.08204931529121</v>
      </c>
      <c r="P29" s="163">
        <v>675.25779276736159</v>
      </c>
      <c r="Q29" s="163">
        <v>722.52583826107696</v>
      </c>
      <c r="R29" s="163">
        <v>773.10264693935244</v>
      </c>
      <c r="S29" s="163" t="s">
        <v>563</v>
      </c>
      <c r="T29" s="163" t="s">
        <v>563</v>
      </c>
      <c r="U29" s="163" t="s">
        <v>563</v>
      </c>
    </row>
    <row r="30" spans="1:21" x14ac:dyDescent="0.15">
      <c r="A30" s="161" t="s">
        <v>599</v>
      </c>
      <c r="B30" s="162" t="s">
        <v>578</v>
      </c>
      <c r="C30" s="162" t="s">
        <v>579</v>
      </c>
      <c r="D30" s="162"/>
      <c r="E30" s="163">
        <v>38.700000000000003</v>
      </c>
      <c r="F30" s="163">
        <v>37.299999999999997</v>
      </c>
      <c r="G30" s="163">
        <v>72.7</v>
      </c>
      <c r="H30" s="163">
        <v>48.9</v>
      </c>
      <c r="I30" s="163">
        <v>8.6</v>
      </c>
      <c r="J30" s="163">
        <v>12.561100159195654</v>
      </c>
      <c r="K30" s="163">
        <v>12.371736386876327</v>
      </c>
      <c r="L30" s="163">
        <v>12.458044375894879</v>
      </c>
      <c r="M30" s="163">
        <v>4.6162547999999788</v>
      </c>
      <c r="N30" s="163" t="s">
        <v>563</v>
      </c>
      <c r="O30" s="163" t="s">
        <v>563</v>
      </c>
      <c r="P30" s="163" t="s">
        <v>563</v>
      </c>
      <c r="Q30" s="163" t="s">
        <v>563</v>
      </c>
      <c r="R30" s="163" t="s">
        <v>563</v>
      </c>
      <c r="S30" s="163" t="s">
        <v>563</v>
      </c>
      <c r="T30" s="163" t="s">
        <v>563</v>
      </c>
      <c r="U30" s="163" t="s">
        <v>563</v>
      </c>
    </row>
    <row r="31" spans="1:21" x14ac:dyDescent="0.15">
      <c r="A31" s="161" t="s">
        <v>586</v>
      </c>
      <c r="B31" s="162" t="s">
        <v>587</v>
      </c>
      <c r="C31" s="162" t="s">
        <v>600</v>
      </c>
      <c r="D31" s="162"/>
      <c r="E31" s="163">
        <v>9871</v>
      </c>
      <c r="F31" s="163">
        <v>12362</v>
      </c>
      <c r="G31" s="163">
        <v>15424</v>
      </c>
      <c r="H31" s="163">
        <v>19349</v>
      </c>
      <c r="I31" s="163">
        <v>22349</v>
      </c>
      <c r="J31" s="163">
        <v>24479.724313268773</v>
      </c>
      <c r="K31" s="163">
        <v>27164.576321274675</v>
      </c>
      <c r="L31" s="163">
        <v>30748.945850952347</v>
      </c>
      <c r="M31" s="163">
        <v>33168.08177094601</v>
      </c>
      <c r="N31" s="163">
        <v>37175.165795925903</v>
      </c>
      <c r="O31" s="163">
        <v>45051.256341635672</v>
      </c>
      <c r="P31" s="163">
        <v>51358.43222946467</v>
      </c>
      <c r="Q31" s="163">
        <v>57521.444097000436</v>
      </c>
      <c r="R31" s="163">
        <v>64424.017388640495</v>
      </c>
      <c r="S31" s="163" t="s">
        <v>563</v>
      </c>
      <c r="T31" s="163" t="s">
        <v>563</v>
      </c>
      <c r="U31" s="163" t="s">
        <v>563</v>
      </c>
    </row>
    <row r="32" spans="1:21" x14ac:dyDescent="0.15">
      <c r="A32" s="161" t="s">
        <v>601</v>
      </c>
      <c r="B32" s="162" t="s">
        <v>602</v>
      </c>
      <c r="C32" s="162" t="s">
        <v>603</v>
      </c>
      <c r="D32" s="162"/>
      <c r="E32" s="163">
        <v>36.9</v>
      </c>
      <c r="F32" s="163">
        <v>40.6</v>
      </c>
      <c r="G32" s="163">
        <v>40.9</v>
      </c>
      <c r="H32" s="163">
        <v>45.4</v>
      </c>
      <c r="I32" s="163">
        <v>51.4</v>
      </c>
      <c r="J32" s="163">
        <v>55.288923731125728</v>
      </c>
      <c r="K32" s="163">
        <v>60.788416072555258</v>
      </c>
      <c r="L32" s="163">
        <v>66.905148497567666</v>
      </c>
      <c r="M32" s="163">
        <v>61.800637371368971</v>
      </c>
      <c r="N32" s="163">
        <v>66.421245772966643</v>
      </c>
      <c r="O32" s="163">
        <v>71.38732022328189</v>
      </c>
      <c r="P32" s="163">
        <v>76.057518742562024</v>
      </c>
      <c r="Q32" s="163">
        <v>79.611608403429415</v>
      </c>
      <c r="R32" s="163">
        <v>83.33177702041209</v>
      </c>
      <c r="S32" s="163" t="s">
        <v>563</v>
      </c>
      <c r="T32" s="163" t="s">
        <v>563</v>
      </c>
      <c r="U32" s="163" t="s">
        <v>563</v>
      </c>
    </row>
    <row r="33" spans="1:21" x14ac:dyDescent="0.15">
      <c r="A33" s="161" t="s">
        <v>566</v>
      </c>
      <c r="B33" s="162"/>
      <c r="C33" s="162"/>
      <c r="D33" s="162"/>
      <c r="E33" s="163"/>
      <c r="F33" s="163"/>
      <c r="G33" s="163"/>
      <c r="H33" s="163"/>
      <c r="I33" s="163"/>
      <c r="J33" s="163"/>
      <c r="K33" s="163"/>
      <c r="L33" s="163"/>
      <c r="M33" s="163"/>
      <c r="N33" s="163"/>
      <c r="O33" s="163"/>
      <c r="P33" s="163"/>
      <c r="Q33" s="163"/>
      <c r="R33" s="163"/>
      <c r="S33" s="163"/>
      <c r="T33" s="163"/>
      <c r="U33" s="163"/>
    </row>
    <row r="34" spans="1:21" x14ac:dyDescent="0.15">
      <c r="A34" s="161" t="s">
        <v>604</v>
      </c>
      <c r="B34" s="162" t="s">
        <v>605</v>
      </c>
      <c r="C34" s="162" t="s">
        <v>606</v>
      </c>
      <c r="D34" s="162"/>
      <c r="E34" s="163">
        <v>0.96</v>
      </c>
      <c r="F34" s="163">
        <v>0.95</v>
      </c>
      <c r="G34" s="163">
        <v>0.85</v>
      </c>
      <c r="H34" s="163">
        <v>0.83</v>
      </c>
      <c r="I34" s="163">
        <v>0.9</v>
      </c>
      <c r="J34" s="163">
        <v>0.90155503209251109</v>
      </c>
      <c r="K34" s="163">
        <v>0.89246844762811128</v>
      </c>
      <c r="L34" s="163">
        <v>0.87295192320876824</v>
      </c>
      <c r="M34" s="163">
        <v>0.843402952349395</v>
      </c>
      <c r="N34" s="163">
        <v>0.81248080293066416</v>
      </c>
      <c r="O34" s="163">
        <v>0.710089676751265</v>
      </c>
      <c r="P34" s="163">
        <v>0.70553017118765138</v>
      </c>
      <c r="Q34" s="163">
        <v>0.68465932688760767</v>
      </c>
      <c r="R34" s="163">
        <v>0.66440677444305396</v>
      </c>
      <c r="S34" s="163" t="s">
        <v>563</v>
      </c>
      <c r="T34" s="163" t="s">
        <v>563</v>
      </c>
      <c r="U34" s="163" t="s">
        <v>563</v>
      </c>
    </row>
    <row r="35" spans="1:21" x14ac:dyDescent="0.15">
      <c r="A35" s="161" t="s">
        <v>607</v>
      </c>
      <c r="B35" s="162" t="s">
        <v>608</v>
      </c>
      <c r="C35" s="162" t="s">
        <v>609</v>
      </c>
      <c r="D35" s="162"/>
      <c r="E35" s="163">
        <v>0.22</v>
      </c>
      <c r="F35" s="163">
        <v>0.19</v>
      </c>
      <c r="G35" s="163">
        <v>0.19</v>
      </c>
      <c r="H35" s="163">
        <v>0.09</v>
      </c>
      <c r="I35" s="163">
        <v>0.12</v>
      </c>
      <c r="J35" s="163">
        <v>0.12671882614014854</v>
      </c>
      <c r="K35" s="163">
        <v>0.12762837113802231</v>
      </c>
      <c r="L35" s="163">
        <v>0.12827954599204161</v>
      </c>
      <c r="M35" s="163">
        <v>0.13498199509173101</v>
      </c>
      <c r="N35" s="163">
        <v>0.13152517015618159</v>
      </c>
      <c r="O35" s="163">
        <v>0.13525517652405047</v>
      </c>
      <c r="P35" s="163">
        <v>0.13126142719770259</v>
      </c>
      <c r="Q35" s="163">
        <v>0.12737847942095026</v>
      </c>
      <c r="R35" s="163">
        <v>0.12361056268707983</v>
      </c>
      <c r="S35" s="163" t="s">
        <v>563</v>
      </c>
      <c r="T35" s="163" t="s">
        <v>563</v>
      </c>
      <c r="U35" s="163" t="s">
        <v>563</v>
      </c>
    </row>
    <row r="36" spans="1:21" x14ac:dyDescent="0.15">
      <c r="A36" s="161" t="s">
        <v>566</v>
      </c>
      <c r="B36" s="162"/>
      <c r="C36" s="162"/>
      <c r="D36" s="162"/>
      <c r="E36" s="163"/>
      <c r="F36" s="163"/>
      <c r="G36" s="163"/>
      <c r="H36" s="163"/>
      <c r="I36" s="163"/>
      <c r="J36" s="163"/>
      <c r="K36" s="163"/>
      <c r="L36" s="163"/>
      <c r="M36" s="163"/>
      <c r="N36" s="163"/>
      <c r="O36" s="163"/>
      <c r="P36" s="163"/>
      <c r="Q36" s="163"/>
      <c r="R36" s="163"/>
      <c r="S36" s="163"/>
      <c r="T36" s="163"/>
      <c r="U36" s="163"/>
    </row>
    <row r="37" spans="1:21" x14ac:dyDescent="0.15">
      <c r="A37" s="161" t="s">
        <v>580</v>
      </c>
      <c r="B37" s="162" t="s">
        <v>581</v>
      </c>
      <c r="C37" s="162" t="s">
        <v>582</v>
      </c>
      <c r="D37" s="162"/>
      <c r="E37" s="163">
        <v>578419</v>
      </c>
      <c r="F37" s="163">
        <v>711925</v>
      </c>
      <c r="G37" s="163">
        <v>936000</v>
      </c>
      <c r="H37" s="163">
        <v>1250000</v>
      </c>
      <c r="I37" s="163">
        <v>1360000</v>
      </c>
      <c r="J37" s="163">
        <v>1465965.4857734095</v>
      </c>
      <c r="K37" s="163">
        <v>1621816.9865170713</v>
      </c>
      <c r="L37" s="163">
        <v>1816439.8617757095</v>
      </c>
      <c r="M37" s="163">
        <v>2099943.2149261986</v>
      </c>
      <c r="N37" s="163">
        <v>2385992.4627459119</v>
      </c>
      <c r="O37" s="163">
        <v>3085861.3155070525</v>
      </c>
      <c r="P37" s="163">
        <v>3548740.5128331101</v>
      </c>
      <c r="Q37" s="163">
        <v>4010076.7795014139</v>
      </c>
      <c r="R37" s="163">
        <v>4531386.7608365975</v>
      </c>
      <c r="S37" s="163" t="s">
        <v>563</v>
      </c>
      <c r="T37" s="163" t="s">
        <v>563</v>
      </c>
      <c r="U37" s="163" t="s">
        <v>563</v>
      </c>
    </row>
    <row r="38" spans="1:21" x14ac:dyDescent="0.15">
      <c r="A38" s="161" t="s">
        <v>610</v>
      </c>
      <c r="B38" s="162"/>
      <c r="C38" s="162" t="s">
        <v>611</v>
      </c>
      <c r="D38" s="162"/>
      <c r="E38" s="163"/>
      <c r="F38" s="163"/>
      <c r="G38" s="163"/>
      <c r="H38" s="163"/>
      <c r="I38" s="163"/>
      <c r="J38" s="163"/>
      <c r="K38" s="163"/>
      <c r="L38" s="163"/>
      <c r="M38" s="163"/>
      <c r="N38" s="163"/>
      <c r="O38" s="163"/>
      <c r="P38" s="163"/>
      <c r="Q38" s="163"/>
      <c r="R38" s="163"/>
      <c r="S38" s="163"/>
      <c r="T38" s="163"/>
      <c r="U38" s="163"/>
    </row>
    <row r="39" spans="1:21" x14ac:dyDescent="0.15">
      <c r="A39" s="161" t="s">
        <v>612</v>
      </c>
      <c r="B39" s="162" t="s">
        <v>581</v>
      </c>
      <c r="C39" s="162" t="s">
        <v>613</v>
      </c>
      <c r="D39" s="162" t="s">
        <v>614</v>
      </c>
      <c r="E39" s="163" t="s">
        <v>563</v>
      </c>
      <c r="F39" s="163">
        <v>102000</v>
      </c>
      <c r="G39" s="163">
        <v>159000</v>
      </c>
      <c r="H39" s="163">
        <v>230100</v>
      </c>
      <c r="I39" s="163">
        <v>245300</v>
      </c>
      <c r="J39" s="163">
        <v>365304.15447472053</v>
      </c>
      <c r="K39" s="163">
        <v>384030.77793682867</v>
      </c>
      <c r="L39" s="163">
        <v>423919.43736021436</v>
      </c>
      <c r="M39" s="163" t="s">
        <v>563</v>
      </c>
      <c r="N39" s="163" t="s">
        <v>563</v>
      </c>
      <c r="O39" s="163" t="s">
        <v>563</v>
      </c>
      <c r="P39" s="163" t="s">
        <v>563</v>
      </c>
      <c r="Q39" s="163" t="s">
        <v>563</v>
      </c>
      <c r="R39" s="163" t="s">
        <v>563</v>
      </c>
      <c r="S39" s="163" t="s">
        <v>563</v>
      </c>
      <c r="T39" s="163" t="s">
        <v>563</v>
      </c>
      <c r="U39" s="163" t="s">
        <v>563</v>
      </c>
    </row>
    <row r="40" spans="1:21" x14ac:dyDescent="0.15">
      <c r="A40" s="161" t="s">
        <v>615</v>
      </c>
      <c r="B40" s="162" t="s">
        <v>581</v>
      </c>
      <c r="C40" s="162" t="s">
        <v>616</v>
      </c>
      <c r="D40" s="162" t="s">
        <v>585</v>
      </c>
      <c r="E40" s="163" t="s">
        <v>563</v>
      </c>
      <c r="F40" s="163">
        <v>102000</v>
      </c>
      <c r="G40" s="163">
        <v>159000</v>
      </c>
      <c r="H40" s="163">
        <v>230100</v>
      </c>
      <c r="I40" s="163">
        <v>245300</v>
      </c>
      <c r="J40" s="163">
        <v>271376.60886343673</v>
      </c>
      <c r="K40" s="163">
        <v>303723.31846381095</v>
      </c>
      <c r="L40" s="163">
        <v>338747.58065456577</v>
      </c>
      <c r="M40" s="163" t="s">
        <v>563</v>
      </c>
      <c r="N40" s="163" t="s">
        <v>563</v>
      </c>
      <c r="O40" s="163" t="s">
        <v>563</v>
      </c>
      <c r="P40" s="163" t="s">
        <v>563</v>
      </c>
      <c r="Q40" s="163" t="s">
        <v>563</v>
      </c>
      <c r="R40" s="163" t="s">
        <v>563</v>
      </c>
      <c r="S40" s="163" t="s">
        <v>563</v>
      </c>
      <c r="T40" s="163" t="s">
        <v>563</v>
      </c>
      <c r="U40" s="163" t="s">
        <v>563</v>
      </c>
    </row>
    <row r="41" spans="1:21" x14ac:dyDescent="0.15">
      <c r="A41" s="161" t="s">
        <v>568</v>
      </c>
      <c r="B41" s="162" t="s">
        <v>581</v>
      </c>
      <c r="C41" s="162" t="s">
        <v>617</v>
      </c>
      <c r="D41" s="162" t="s">
        <v>571</v>
      </c>
      <c r="E41" s="163">
        <v>332340</v>
      </c>
      <c r="F41" s="163">
        <v>423178</v>
      </c>
      <c r="G41" s="163">
        <v>562278</v>
      </c>
      <c r="H41" s="163">
        <v>763381</v>
      </c>
      <c r="I41" s="163">
        <v>880903</v>
      </c>
      <c r="J41" s="163">
        <v>953210.99961825099</v>
      </c>
      <c r="K41" s="163">
        <v>1070887.0815942551</v>
      </c>
      <c r="L41" s="163">
        <v>1241558.9894967987</v>
      </c>
      <c r="M41" s="163">
        <v>1409419.92329928</v>
      </c>
      <c r="N41" s="163" t="s">
        <v>563</v>
      </c>
      <c r="O41" s="163" t="s">
        <v>563</v>
      </c>
      <c r="P41" s="163" t="s">
        <v>563</v>
      </c>
      <c r="Q41" s="163" t="s">
        <v>563</v>
      </c>
      <c r="R41" s="163" t="s">
        <v>563</v>
      </c>
      <c r="S41" s="163" t="s">
        <v>563</v>
      </c>
      <c r="T41" s="163" t="s">
        <v>563</v>
      </c>
      <c r="U41" s="163" t="s">
        <v>563</v>
      </c>
    </row>
    <row r="42" spans="1:21" x14ac:dyDescent="0.15">
      <c r="A42" s="161" t="s">
        <v>572</v>
      </c>
      <c r="B42" s="162" t="s">
        <v>581</v>
      </c>
      <c r="C42" s="162" t="s">
        <v>618</v>
      </c>
      <c r="D42" s="162" t="s">
        <v>573</v>
      </c>
      <c r="E42" s="163">
        <v>246079</v>
      </c>
      <c r="F42" s="163">
        <v>288748</v>
      </c>
      <c r="G42" s="163">
        <v>373784</v>
      </c>
      <c r="H42" s="163">
        <v>482498</v>
      </c>
      <c r="I42" s="163">
        <v>476219.00000000006</v>
      </c>
      <c r="J42" s="163">
        <v>509756.21655099955</v>
      </c>
      <c r="K42" s="163">
        <v>557387.70378157997</v>
      </c>
      <c r="L42" s="163">
        <v>660651.399447412</v>
      </c>
      <c r="M42" s="163">
        <v>659717.89568740013</v>
      </c>
      <c r="N42" s="163" t="s">
        <v>563</v>
      </c>
      <c r="O42" s="163" t="s">
        <v>563</v>
      </c>
      <c r="P42" s="163" t="s">
        <v>563</v>
      </c>
      <c r="Q42" s="163" t="s">
        <v>563</v>
      </c>
      <c r="R42" s="163" t="s">
        <v>563</v>
      </c>
      <c r="S42" s="163" t="s">
        <v>563</v>
      </c>
      <c r="T42" s="163" t="s">
        <v>563</v>
      </c>
      <c r="U42" s="163" t="s">
        <v>563</v>
      </c>
    </row>
    <row r="43" spans="1:21" x14ac:dyDescent="0.15">
      <c r="A43" s="161" t="s">
        <v>566</v>
      </c>
      <c r="B43" s="162"/>
      <c r="C43" s="162"/>
      <c r="D43" s="162"/>
      <c r="E43" s="163"/>
      <c r="F43" s="163"/>
      <c r="G43" s="163"/>
      <c r="H43" s="163"/>
      <c r="I43" s="163"/>
      <c r="J43" s="163"/>
      <c r="K43" s="163"/>
      <c r="L43" s="163"/>
      <c r="M43" s="163"/>
      <c r="N43" s="163"/>
      <c r="O43" s="163"/>
      <c r="P43" s="163"/>
      <c r="Q43" s="163"/>
      <c r="R43" s="163"/>
      <c r="S43" s="163"/>
      <c r="T43" s="163"/>
      <c r="U43" s="163"/>
    </row>
    <row r="44" spans="1:21" x14ac:dyDescent="0.15">
      <c r="A44" s="161" t="s">
        <v>619</v>
      </c>
      <c r="B44" s="162" t="s">
        <v>620</v>
      </c>
      <c r="C44" s="162" t="s">
        <v>621</v>
      </c>
      <c r="D44" s="162"/>
      <c r="E44" s="163">
        <v>1874</v>
      </c>
      <c r="F44" s="163">
        <v>2816</v>
      </c>
      <c r="G44" s="163">
        <v>1033</v>
      </c>
      <c r="H44" s="163">
        <v>1144</v>
      </c>
      <c r="I44" s="163">
        <v>1979</v>
      </c>
      <c r="J44" s="163" t="s">
        <v>563</v>
      </c>
      <c r="K44" s="163" t="s">
        <v>563</v>
      </c>
      <c r="L44" s="163" t="s">
        <v>563</v>
      </c>
      <c r="M44" s="163" t="s">
        <v>563</v>
      </c>
      <c r="N44" s="163" t="s">
        <v>563</v>
      </c>
      <c r="O44" s="163" t="s">
        <v>563</v>
      </c>
      <c r="P44" s="163" t="s">
        <v>563</v>
      </c>
      <c r="Q44" s="163" t="s">
        <v>563</v>
      </c>
      <c r="R44" s="163" t="s">
        <v>563</v>
      </c>
      <c r="S44" s="163" t="s">
        <v>563</v>
      </c>
      <c r="T44" s="163" t="s">
        <v>563</v>
      </c>
      <c r="U44" s="163" t="s">
        <v>563</v>
      </c>
    </row>
    <row r="45" spans="1:21" x14ac:dyDescent="0.15">
      <c r="A45" s="161" t="s">
        <v>566</v>
      </c>
      <c r="B45" s="162"/>
      <c r="C45" s="162"/>
      <c r="D45" s="162"/>
      <c r="E45" s="163"/>
      <c r="F45" s="163"/>
      <c r="G45" s="163"/>
      <c r="H45" s="163"/>
      <c r="I45" s="163"/>
      <c r="J45" s="163"/>
      <c r="K45" s="163"/>
      <c r="L45" s="163"/>
      <c r="M45" s="163"/>
      <c r="N45" s="163"/>
      <c r="O45" s="163"/>
      <c r="P45" s="163"/>
      <c r="Q45" s="163"/>
      <c r="R45" s="163"/>
      <c r="S45" s="163"/>
      <c r="T45" s="163"/>
      <c r="U45" s="163"/>
    </row>
    <row r="46" spans="1:21" x14ac:dyDescent="0.15">
      <c r="A46" s="161" t="s">
        <v>622</v>
      </c>
      <c r="B46" s="162"/>
      <c r="C46" s="162" t="s">
        <v>623</v>
      </c>
      <c r="D46" s="162"/>
      <c r="E46" s="163"/>
      <c r="F46" s="163"/>
      <c r="G46" s="163"/>
      <c r="H46" s="163"/>
      <c r="I46" s="163"/>
      <c r="J46" s="163"/>
      <c r="K46" s="163"/>
      <c r="L46" s="163"/>
      <c r="M46" s="163"/>
      <c r="N46" s="163"/>
      <c r="O46" s="163"/>
      <c r="P46" s="163"/>
      <c r="Q46" s="163"/>
      <c r="R46" s="163"/>
      <c r="S46" s="163"/>
      <c r="T46" s="163"/>
      <c r="U46" s="163"/>
    </row>
    <row r="47" spans="1:21" x14ac:dyDescent="0.15">
      <c r="A47" s="161" t="s">
        <v>624</v>
      </c>
      <c r="B47" s="162" t="s">
        <v>625</v>
      </c>
      <c r="C47" s="162" t="s">
        <v>626</v>
      </c>
      <c r="D47" s="162"/>
      <c r="E47" s="163">
        <v>227000</v>
      </c>
      <c r="F47" s="163">
        <v>304000</v>
      </c>
      <c r="G47" s="163" t="s">
        <v>563</v>
      </c>
      <c r="H47" s="163" t="s">
        <v>563</v>
      </c>
      <c r="I47" s="163" t="s">
        <v>563</v>
      </c>
      <c r="J47" s="163" t="s">
        <v>563</v>
      </c>
      <c r="K47" s="163" t="s">
        <v>563</v>
      </c>
      <c r="L47" s="163" t="s">
        <v>563</v>
      </c>
      <c r="M47" s="163" t="s">
        <v>563</v>
      </c>
      <c r="N47" s="163" t="s">
        <v>563</v>
      </c>
      <c r="O47" s="163" t="s">
        <v>563</v>
      </c>
      <c r="P47" s="163" t="s">
        <v>563</v>
      </c>
      <c r="Q47" s="163" t="s">
        <v>563</v>
      </c>
      <c r="R47" s="163" t="s">
        <v>563</v>
      </c>
      <c r="S47" s="163" t="s">
        <v>563</v>
      </c>
      <c r="T47" s="163" t="s">
        <v>563</v>
      </c>
      <c r="U47" s="163" t="s">
        <v>563</v>
      </c>
    </row>
    <row r="48" spans="1:21" x14ac:dyDescent="0.15">
      <c r="A48" s="161" t="s">
        <v>566</v>
      </c>
      <c r="B48" s="162"/>
      <c r="C48" s="162"/>
      <c r="D48" s="162"/>
      <c r="E48" s="163"/>
      <c r="F48" s="163"/>
      <c r="G48" s="163"/>
      <c r="H48" s="163"/>
      <c r="I48" s="163"/>
      <c r="J48" s="163"/>
      <c r="K48" s="163"/>
      <c r="L48" s="163"/>
      <c r="M48" s="163"/>
      <c r="N48" s="163"/>
      <c r="O48" s="163"/>
      <c r="P48" s="163"/>
      <c r="Q48" s="163"/>
      <c r="R48" s="163"/>
      <c r="S48" s="163"/>
      <c r="T48" s="163"/>
      <c r="U48" s="163"/>
    </row>
    <row r="49" spans="1:21" x14ac:dyDescent="0.15">
      <c r="A49" s="161" t="s">
        <v>627</v>
      </c>
      <c r="B49" s="162"/>
      <c r="C49" s="162" t="s">
        <v>628</v>
      </c>
      <c r="D49" s="162"/>
      <c r="E49" s="163"/>
      <c r="F49" s="163"/>
      <c r="G49" s="163"/>
      <c r="H49" s="163"/>
      <c r="I49" s="163"/>
      <c r="J49" s="163"/>
      <c r="K49" s="163"/>
      <c r="L49" s="163"/>
      <c r="M49" s="163"/>
      <c r="N49" s="163"/>
      <c r="O49" s="163"/>
      <c r="P49" s="163"/>
      <c r="Q49" s="163"/>
      <c r="R49" s="163"/>
      <c r="S49" s="163"/>
      <c r="T49" s="163"/>
      <c r="U49" s="163"/>
    </row>
    <row r="50" spans="1:21" x14ac:dyDescent="0.15">
      <c r="A50" s="161" t="s">
        <v>629</v>
      </c>
      <c r="B50" s="162" t="s">
        <v>630</v>
      </c>
      <c r="C50" s="162" t="s">
        <v>631</v>
      </c>
      <c r="D50" s="162"/>
      <c r="E50" s="163">
        <v>2532</v>
      </c>
      <c r="F50" s="163">
        <v>3972</v>
      </c>
      <c r="G50" s="163">
        <v>2769</v>
      </c>
      <c r="H50" s="163">
        <v>4846</v>
      </c>
      <c r="I50" s="163">
        <v>7431</v>
      </c>
      <c r="J50" s="163">
        <v>7846.1644665797021</v>
      </c>
      <c r="K50" s="163">
        <v>8761.6242730073336</v>
      </c>
      <c r="L50" s="163">
        <v>10643.60950865329</v>
      </c>
      <c r="M50" s="163">
        <v>10496.473274999998</v>
      </c>
      <c r="N50" s="163">
        <v>15596.238532499996</v>
      </c>
      <c r="O50" s="163" t="s">
        <v>563</v>
      </c>
      <c r="P50" s="163" t="s">
        <v>563</v>
      </c>
      <c r="Q50" s="163" t="s">
        <v>563</v>
      </c>
      <c r="R50" s="163" t="s">
        <v>563</v>
      </c>
      <c r="S50" s="163" t="s">
        <v>563</v>
      </c>
      <c r="T50" s="163" t="s">
        <v>563</v>
      </c>
      <c r="U50" s="163" t="s">
        <v>563</v>
      </c>
    </row>
    <row r="51" spans="1:21" x14ac:dyDescent="0.15">
      <c r="A51" s="161" t="s">
        <v>632</v>
      </c>
      <c r="B51" s="162" t="s">
        <v>633</v>
      </c>
      <c r="C51" s="162" t="s">
        <v>634</v>
      </c>
      <c r="D51" s="162"/>
      <c r="E51" s="163">
        <v>20062</v>
      </c>
      <c r="F51" s="163">
        <v>22527</v>
      </c>
      <c r="G51" s="163">
        <v>33418</v>
      </c>
      <c r="H51" s="163">
        <v>36141</v>
      </c>
      <c r="I51" s="163">
        <v>36357</v>
      </c>
      <c r="J51" s="163">
        <v>38458.131184881859</v>
      </c>
      <c r="K51" s="163">
        <v>40426.434822411604</v>
      </c>
      <c r="L51" s="163">
        <v>42035.284128444699</v>
      </c>
      <c r="M51" s="163">
        <v>36261.931913305954</v>
      </c>
      <c r="N51" s="163">
        <v>34824</v>
      </c>
      <c r="O51" s="163" t="s">
        <v>563</v>
      </c>
      <c r="P51" s="163" t="s">
        <v>563</v>
      </c>
      <c r="Q51" s="163" t="s">
        <v>563</v>
      </c>
      <c r="R51" s="163" t="s">
        <v>563</v>
      </c>
      <c r="S51" s="163" t="s">
        <v>563</v>
      </c>
      <c r="T51" s="163" t="s">
        <v>563</v>
      </c>
      <c r="U51" s="163" t="s">
        <v>563</v>
      </c>
    </row>
    <row r="52" spans="1:21" x14ac:dyDescent="0.15">
      <c r="A52" s="161" t="s">
        <v>635</v>
      </c>
      <c r="B52" s="162" t="s">
        <v>636</v>
      </c>
      <c r="C52" s="162" t="s">
        <v>637</v>
      </c>
      <c r="D52" s="162"/>
      <c r="E52" s="163">
        <v>21562</v>
      </c>
      <c r="F52" s="163">
        <v>24527</v>
      </c>
      <c r="G52" s="163">
        <v>35418</v>
      </c>
      <c r="H52" s="163">
        <v>38841</v>
      </c>
      <c r="I52" s="163">
        <v>40107</v>
      </c>
      <c r="J52" s="163">
        <v>42804.881444062463</v>
      </c>
      <c r="K52" s="163">
        <v>45429.038336824313</v>
      </c>
      <c r="L52" s="163">
        <v>49144.026268226713</v>
      </c>
      <c r="M52" s="163">
        <v>33243.354487500445</v>
      </c>
      <c r="N52" s="163">
        <v>40107</v>
      </c>
      <c r="O52" s="163" t="s">
        <v>563</v>
      </c>
      <c r="P52" s="163" t="s">
        <v>563</v>
      </c>
      <c r="Q52" s="163" t="s">
        <v>563</v>
      </c>
      <c r="R52" s="163" t="s">
        <v>563</v>
      </c>
      <c r="S52" s="163" t="s">
        <v>563</v>
      </c>
      <c r="T52" s="163" t="s">
        <v>563</v>
      </c>
      <c r="U52" s="163" t="s">
        <v>563</v>
      </c>
    </row>
    <row r="53" spans="1:21" x14ac:dyDescent="0.15">
      <c r="A53" s="161" t="s">
        <v>638</v>
      </c>
      <c r="B53" s="162" t="s">
        <v>639</v>
      </c>
      <c r="C53" s="162" t="s">
        <v>640</v>
      </c>
      <c r="D53" s="162"/>
      <c r="E53" s="163">
        <v>-823</v>
      </c>
      <c r="F53" s="163">
        <v>-704</v>
      </c>
      <c r="G53" s="163">
        <v>-866</v>
      </c>
      <c r="H53" s="163">
        <v>-908</v>
      </c>
      <c r="I53" s="163">
        <v>-706</v>
      </c>
      <c r="J53" s="163">
        <v>-960.70833333333337</v>
      </c>
      <c r="K53" s="163">
        <v>-1062</v>
      </c>
      <c r="L53" s="163">
        <v>-1230.5</v>
      </c>
      <c r="M53" s="163">
        <v>-1388.3333333333333</v>
      </c>
      <c r="N53" s="163">
        <v>-1542</v>
      </c>
      <c r="O53" s="163">
        <v>-2087</v>
      </c>
      <c r="P53" s="163">
        <v>-2329</v>
      </c>
      <c r="Q53" s="163">
        <v>-2554</v>
      </c>
      <c r="R53" s="163">
        <v>-2801</v>
      </c>
      <c r="S53" s="163" t="s">
        <v>563</v>
      </c>
      <c r="T53" s="163" t="s">
        <v>563</v>
      </c>
      <c r="U53" s="163" t="s">
        <v>563</v>
      </c>
    </row>
    <row r="54" spans="1:21" x14ac:dyDescent="0.15">
      <c r="A54" s="161" t="s">
        <v>566</v>
      </c>
      <c r="B54" s="162"/>
      <c r="C54" s="162"/>
      <c r="D54" s="162"/>
      <c r="E54" s="163"/>
      <c r="F54" s="163"/>
      <c r="G54" s="163"/>
      <c r="H54" s="163"/>
      <c r="I54" s="163"/>
      <c r="J54" s="163"/>
      <c r="K54" s="163"/>
      <c r="L54" s="163"/>
      <c r="M54" s="163"/>
      <c r="N54" s="163"/>
      <c r="O54" s="163"/>
      <c r="P54" s="163"/>
      <c r="Q54" s="163"/>
      <c r="R54" s="163"/>
      <c r="S54" s="163"/>
      <c r="T54" s="163"/>
      <c r="U54" s="163"/>
    </row>
    <row r="55" spans="1:21" x14ac:dyDescent="0.15">
      <c r="A55" s="161" t="s">
        <v>641</v>
      </c>
      <c r="B55" s="162"/>
      <c r="C55" s="162" t="s">
        <v>642</v>
      </c>
      <c r="D55" s="162"/>
      <c r="E55" s="163"/>
      <c r="F55" s="163"/>
      <c r="G55" s="163"/>
      <c r="H55" s="163"/>
      <c r="I55" s="163"/>
      <c r="J55" s="163"/>
      <c r="K55" s="163"/>
      <c r="L55" s="163"/>
      <c r="M55" s="163"/>
      <c r="N55" s="163"/>
      <c r="O55" s="163"/>
      <c r="P55" s="163"/>
      <c r="Q55" s="163"/>
      <c r="R55" s="163"/>
      <c r="S55" s="163"/>
      <c r="T55" s="163"/>
      <c r="U55" s="163"/>
    </row>
    <row r="56" spans="1:21" x14ac:dyDescent="0.15">
      <c r="A56" s="161" t="s">
        <v>643</v>
      </c>
      <c r="B56" s="162"/>
      <c r="C56" s="162" t="s">
        <v>644</v>
      </c>
      <c r="D56" s="162"/>
      <c r="E56" s="163"/>
      <c r="F56" s="163"/>
      <c r="G56" s="163"/>
      <c r="H56" s="163"/>
      <c r="I56" s="163"/>
      <c r="J56" s="163"/>
      <c r="K56" s="163"/>
      <c r="L56" s="163"/>
      <c r="M56" s="163"/>
      <c r="N56" s="163"/>
      <c r="O56" s="163"/>
      <c r="P56" s="163"/>
      <c r="Q56" s="163"/>
      <c r="R56" s="163"/>
      <c r="S56" s="163"/>
      <c r="T56" s="163"/>
      <c r="U56" s="163"/>
    </row>
    <row r="57" spans="1:21" x14ac:dyDescent="0.15">
      <c r="A57" s="161" t="s">
        <v>645</v>
      </c>
      <c r="B57" s="162" t="s">
        <v>570</v>
      </c>
      <c r="C57" s="162" t="s">
        <v>70</v>
      </c>
      <c r="D57" s="162" t="s">
        <v>646</v>
      </c>
      <c r="E57" s="163">
        <v>13709</v>
      </c>
      <c r="F57" s="163">
        <v>16099</v>
      </c>
      <c r="G57" s="163">
        <v>19918</v>
      </c>
      <c r="H57" s="163">
        <v>23402</v>
      </c>
      <c r="I57" s="163">
        <v>25206</v>
      </c>
      <c r="J57" s="163">
        <v>26660.491638466327</v>
      </c>
      <c r="K57" s="163">
        <v>28328.912832229569</v>
      </c>
      <c r="L57" s="163">
        <v>31735.146197409293</v>
      </c>
      <c r="M57" s="163">
        <v>33431.000443743018</v>
      </c>
      <c r="N57" s="163">
        <v>38914.95010084386</v>
      </c>
      <c r="O57" s="163">
        <v>45872.736771705633</v>
      </c>
      <c r="P57" s="163">
        <v>51171.03786883763</v>
      </c>
      <c r="Q57" s="163">
        <v>56088.574608032919</v>
      </c>
      <c r="R57" s="163">
        <v>61478.686627864874</v>
      </c>
      <c r="S57" s="163" t="s">
        <v>563</v>
      </c>
      <c r="T57" s="163" t="s">
        <v>563</v>
      </c>
      <c r="U57" s="163" t="s">
        <v>563</v>
      </c>
    </row>
    <row r="58" spans="1:21" x14ac:dyDescent="0.15">
      <c r="A58" s="161" t="s">
        <v>647</v>
      </c>
      <c r="B58" s="162" t="s">
        <v>648</v>
      </c>
      <c r="C58" s="162" t="s">
        <v>649</v>
      </c>
      <c r="D58" s="162" t="s">
        <v>646</v>
      </c>
      <c r="E58" s="163" t="s">
        <v>563</v>
      </c>
      <c r="F58" s="163" t="s">
        <v>563</v>
      </c>
      <c r="G58" s="163" t="s">
        <v>563</v>
      </c>
      <c r="H58" s="163" t="s">
        <v>563</v>
      </c>
      <c r="I58" s="163" t="s">
        <v>563</v>
      </c>
      <c r="J58" s="163">
        <v>90.978558537414017</v>
      </c>
      <c r="K58" s="163">
        <v>90.910164786451176</v>
      </c>
      <c r="L58" s="163">
        <v>90.501003859594789</v>
      </c>
      <c r="M58" s="163" t="s">
        <v>563</v>
      </c>
      <c r="N58" s="163" t="s">
        <v>563</v>
      </c>
      <c r="O58" s="163" t="s">
        <v>563</v>
      </c>
      <c r="P58" s="163" t="s">
        <v>563</v>
      </c>
      <c r="Q58" s="163" t="s">
        <v>563</v>
      </c>
      <c r="R58" s="163" t="s">
        <v>563</v>
      </c>
      <c r="S58" s="163" t="s">
        <v>563</v>
      </c>
      <c r="T58" s="163" t="s">
        <v>563</v>
      </c>
      <c r="U58" s="163" t="s">
        <v>563</v>
      </c>
    </row>
    <row r="59" spans="1:21" x14ac:dyDescent="0.15">
      <c r="A59" s="161" t="s">
        <v>650</v>
      </c>
      <c r="B59" s="162"/>
      <c r="C59" s="162" t="s">
        <v>651</v>
      </c>
      <c r="D59" s="162"/>
      <c r="E59" s="163"/>
      <c r="F59" s="163"/>
      <c r="G59" s="163"/>
      <c r="H59" s="163"/>
      <c r="I59" s="163"/>
      <c r="J59" s="163"/>
      <c r="K59" s="163"/>
      <c r="L59" s="163"/>
      <c r="M59" s="163"/>
      <c r="N59" s="163"/>
      <c r="O59" s="163"/>
      <c r="P59" s="163"/>
      <c r="Q59" s="163"/>
      <c r="R59" s="163"/>
      <c r="S59" s="163"/>
      <c r="T59" s="163"/>
      <c r="U59" s="163"/>
    </row>
    <row r="60" spans="1:21" x14ac:dyDescent="0.15">
      <c r="A60" s="161" t="s">
        <v>645</v>
      </c>
      <c r="B60" s="162" t="s">
        <v>570</v>
      </c>
      <c r="C60" s="162" t="s">
        <v>70</v>
      </c>
      <c r="D60" s="162" t="s">
        <v>652</v>
      </c>
      <c r="E60" s="163">
        <v>1742</v>
      </c>
      <c r="F60" s="163">
        <v>1673</v>
      </c>
      <c r="G60" s="163">
        <v>1536</v>
      </c>
      <c r="H60" s="163">
        <v>1969</v>
      </c>
      <c r="I60" s="163">
        <v>2312</v>
      </c>
      <c r="J60" s="163">
        <v>2726.3222772035197</v>
      </c>
      <c r="K60" s="163">
        <v>3050.0421915709017</v>
      </c>
      <c r="L60" s="163">
        <v>3468.951172847655</v>
      </c>
      <c r="M60" s="163">
        <v>4293.2862245400556</v>
      </c>
      <c r="N60" s="163">
        <v>4746.2611974421161</v>
      </c>
      <c r="O60" s="163">
        <v>6299.6028479999986</v>
      </c>
      <c r="P60" s="163">
        <v>7055.5551897599989</v>
      </c>
      <c r="Q60" s="163">
        <v>7761.1107087359997</v>
      </c>
      <c r="R60" s="163">
        <v>8537.2217796096011</v>
      </c>
      <c r="S60" s="163" t="s">
        <v>563</v>
      </c>
      <c r="T60" s="163" t="s">
        <v>563</v>
      </c>
      <c r="U60" s="163" t="s">
        <v>563</v>
      </c>
    </row>
    <row r="61" spans="1:21" x14ac:dyDescent="0.15">
      <c r="A61" s="161" t="s">
        <v>647</v>
      </c>
      <c r="B61" s="162" t="s">
        <v>648</v>
      </c>
      <c r="C61" s="162" t="s">
        <v>649</v>
      </c>
      <c r="D61" s="162" t="s">
        <v>652</v>
      </c>
      <c r="E61" s="163" t="s">
        <v>563</v>
      </c>
      <c r="F61" s="163" t="s">
        <v>563</v>
      </c>
      <c r="G61" s="163" t="s">
        <v>563</v>
      </c>
      <c r="H61" s="163" t="s">
        <v>563</v>
      </c>
      <c r="I61" s="163" t="s">
        <v>563</v>
      </c>
      <c r="J61" s="163">
        <v>8.5544712995008094</v>
      </c>
      <c r="K61" s="163">
        <v>8.6684387572131065</v>
      </c>
      <c r="L61" s="163">
        <v>8.6270904041061147</v>
      </c>
      <c r="M61" s="163" t="s">
        <v>563</v>
      </c>
      <c r="N61" s="163" t="s">
        <v>563</v>
      </c>
      <c r="O61" s="163" t="s">
        <v>563</v>
      </c>
      <c r="P61" s="163" t="s">
        <v>563</v>
      </c>
      <c r="Q61" s="163" t="s">
        <v>563</v>
      </c>
      <c r="R61" s="163" t="s">
        <v>563</v>
      </c>
      <c r="S61" s="163" t="s">
        <v>563</v>
      </c>
      <c r="T61" s="163" t="s">
        <v>563</v>
      </c>
      <c r="U61" s="163" t="s">
        <v>563</v>
      </c>
    </row>
    <row r="62" spans="1:21" x14ac:dyDescent="0.15">
      <c r="A62" s="164" t="s">
        <v>653</v>
      </c>
      <c r="B62" s="165"/>
      <c r="C62" s="165"/>
      <c r="D62" s="165"/>
      <c r="E62" s="166">
        <f>SUM(E60,E57)</f>
        <v>15451</v>
      </c>
      <c r="F62" s="166">
        <f t="shared" ref="F62:R62" si="0">SUM(F60,F57)</f>
        <v>17772</v>
      </c>
      <c r="G62" s="166">
        <f t="shared" si="0"/>
        <v>21454</v>
      </c>
      <c r="H62" s="166">
        <f t="shared" si="0"/>
        <v>25371</v>
      </c>
      <c r="I62" s="166">
        <f t="shared" si="0"/>
        <v>27518</v>
      </c>
      <c r="J62" s="166">
        <f t="shared" si="0"/>
        <v>29386.813915669845</v>
      </c>
      <c r="K62" s="166">
        <f t="shared" si="0"/>
        <v>31378.95502380047</v>
      </c>
      <c r="L62" s="166">
        <f t="shared" si="0"/>
        <v>35204.097370256946</v>
      </c>
      <c r="M62" s="166">
        <f t="shared" si="0"/>
        <v>37724.286668283072</v>
      </c>
      <c r="N62" s="166">
        <f t="shared" si="0"/>
        <v>43661.211298285976</v>
      </c>
      <c r="O62" s="166">
        <f t="shared" si="0"/>
        <v>52172.339619705628</v>
      </c>
      <c r="P62" s="166">
        <f t="shared" si="0"/>
        <v>58226.593058597631</v>
      </c>
      <c r="Q62" s="166">
        <f t="shared" si="0"/>
        <v>63849.685316768919</v>
      </c>
      <c r="R62" s="166">
        <f t="shared" si="0"/>
        <v>70015.908407474475</v>
      </c>
      <c r="S62" s="163"/>
      <c r="T62" s="163"/>
      <c r="U62" s="163"/>
    </row>
    <row r="63" spans="1:21" x14ac:dyDescent="0.15">
      <c r="A63" s="161" t="s">
        <v>567</v>
      </c>
      <c r="B63" s="162"/>
      <c r="C63" s="162" t="s">
        <v>654</v>
      </c>
      <c r="D63" s="162"/>
      <c r="E63" s="163"/>
      <c r="F63" s="163"/>
      <c r="G63" s="163"/>
      <c r="H63" s="163"/>
      <c r="I63" s="163"/>
      <c r="J63" s="163"/>
      <c r="K63" s="163"/>
      <c r="L63" s="163"/>
      <c r="M63" s="163"/>
      <c r="N63" s="163"/>
      <c r="O63" s="163"/>
      <c r="P63" s="163"/>
      <c r="Q63" s="163"/>
      <c r="R63" s="163"/>
      <c r="S63" s="163"/>
      <c r="T63" s="163"/>
      <c r="U63" s="163"/>
    </row>
    <row r="64" spans="1:21" x14ac:dyDescent="0.15">
      <c r="A64" s="161" t="s">
        <v>655</v>
      </c>
      <c r="B64" s="162"/>
      <c r="C64" s="162" t="s">
        <v>617</v>
      </c>
      <c r="D64" s="162"/>
      <c r="E64" s="163"/>
      <c r="F64" s="163"/>
      <c r="G64" s="163"/>
      <c r="H64" s="163"/>
      <c r="I64" s="163"/>
      <c r="J64" s="163"/>
      <c r="K64" s="163"/>
      <c r="L64" s="163"/>
      <c r="M64" s="163"/>
      <c r="N64" s="163"/>
      <c r="O64" s="163"/>
      <c r="P64" s="163"/>
      <c r="Q64" s="163"/>
      <c r="R64" s="163"/>
      <c r="S64" s="163"/>
      <c r="T64" s="163"/>
      <c r="U64" s="163"/>
    </row>
    <row r="65" spans="1:21" x14ac:dyDescent="0.15">
      <c r="A65" s="161" t="s">
        <v>645</v>
      </c>
      <c r="B65" s="162" t="s">
        <v>570</v>
      </c>
      <c r="C65" s="162" t="s">
        <v>70</v>
      </c>
      <c r="D65" s="162" t="s">
        <v>571</v>
      </c>
      <c r="E65" s="163">
        <v>8324</v>
      </c>
      <c r="F65" s="163">
        <v>9417</v>
      </c>
      <c r="G65" s="163">
        <v>11013</v>
      </c>
      <c r="H65" s="163">
        <v>13712</v>
      </c>
      <c r="I65" s="163">
        <v>15807</v>
      </c>
      <c r="J65" s="163">
        <v>16834.488613864673</v>
      </c>
      <c r="K65" s="163">
        <v>18451.544336796353</v>
      </c>
      <c r="L65" s="163">
        <v>20437.852057882355</v>
      </c>
      <c r="M65" s="163">
        <v>23678.2547114279</v>
      </c>
      <c r="N65" s="163" t="s">
        <v>563</v>
      </c>
      <c r="O65" s="163" t="s">
        <v>563</v>
      </c>
      <c r="P65" s="163" t="s">
        <v>563</v>
      </c>
      <c r="Q65" s="163" t="s">
        <v>563</v>
      </c>
      <c r="R65" s="163" t="s">
        <v>563</v>
      </c>
      <c r="S65" s="163" t="s">
        <v>563</v>
      </c>
      <c r="T65" s="163" t="s">
        <v>563</v>
      </c>
      <c r="U65" s="163" t="s">
        <v>563</v>
      </c>
    </row>
    <row r="66" spans="1:21" x14ac:dyDescent="0.15">
      <c r="A66" s="161" t="s">
        <v>647</v>
      </c>
      <c r="B66" s="162" t="s">
        <v>648</v>
      </c>
      <c r="C66" s="162" t="s">
        <v>649</v>
      </c>
      <c r="D66" s="162" t="s">
        <v>571</v>
      </c>
      <c r="E66" s="163" t="s">
        <v>563</v>
      </c>
      <c r="F66" s="163" t="s">
        <v>563</v>
      </c>
      <c r="G66" s="163" t="s">
        <v>563</v>
      </c>
      <c r="H66" s="163" t="s">
        <v>563</v>
      </c>
      <c r="I66" s="163" t="s">
        <v>563</v>
      </c>
      <c r="J66" s="163">
        <v>56.224809326125637</v>
      </c>
      <c r="K66" s="163">
        <v>55.606134353442336</v>
      </c>
      <c r="L66" s="163">
        <v>54.042470603252646</v>
      </c>
      <c r="M66" s="163" t="s">
        <v>563</v>
      </c>
      <c r="N66" s="163" t="s">
        <v>563</v>
      </c>
      <c r="O66" s="163" t="s">
        <v>563</v>
      </c>
      <c r="P66" s="163" t="s">
        <v>563</v>
      </c>
      <c r="Q66" s="163" t="s">
        <v>563</v>
      </c>
      <c r="R66" s="163" t="s">
        <v>563</v>
      </c>
      <c r="S66" s="163" t="s">
        <v>563</v>
      </c>
      <c r="T66" s="163" t="s">
        <v>563</v>
      </c>
      <c r="U66" s="163" t="s">
        <v>563</v>
      </c>
    </row>
    <row r="67" spans="1:21" x14ac:dyDescent="0.15">
      <c r="A67" s="161" t="s">
        <v>656</v>
      </c>
      <c r="B67" s="162"/>
      <c r="C67" s="162" t="s">
        <v>618</v>
      </c>
      <c r="D67" s="162"/>
      <c r="E67" s="163"/>
      <c r="F67" s="163"/>
      <c r="G67" s="163"/>
      <c r="H67" s="163"/>
      <c r="I67" s="163"/>
      <c r="J67" s="163"/>
      <c r="K67" s="163"/>
      <c r="L67" s="163"/>
      <c r="M67" s="163"/>
      <c r="N67" s="163"/>
      <c r="O67" s="163"/>
      <c r="P67" s="163"/>
      <c r="Q67" s="163"/>
      <c r="R67" s="163"/>
      <c r="S67" s="163"/>
      <c r="T67" s="163"/>
      <c r="U67" s="163"/>
    </row>
    <row r="68" spans="1:21" x14ac:dyDescent="0.15">
      <c r="A68" s="161" t="s">
        <v>645</v>
      </c>
      <c r="B68" s="162" t="s">
        <v>570</v>
      </c>
      <c r="C68" s="162" t="s">
        <v>70</v>
      </c>
      <c r="D68" s="162" t="s">
        <v>573</v>
      </c>
      <c r="E68" s="163">
        <v>7127</v>
      </c>
      <c r="F68" s="163">
        <v>8355</v>
      </c>
      <c r="G68" s="163">
        <v>10441</v>
      </c>
      <c r="H68" s="163">
        <v>11659</v>
      </c>
      <c r="I68" s="163">
        <v>11711</v>
      </c>
      <c r="J68" s="163">
        <v>12421.425484388446</v>
      </c>
      <c r="K68" s="163">
        <v>13462.144335599522</v>
      </c>
      <c r="L68" s="163">
        <v>14886.459183943351</v>
      </c>
      <c r="M68" s="163">
        <v>14843.652652966503</v>
      </c>
      <c r="N68" s="163" t="s">
        <v>563</v>
      </c>
      <c r="O68" s="163" t="s">
        <v>563</v>
      </c>
      <c r="P68" s="163" t="s">
        <v>563</v>
      </c>
      <c r="Q68" s="163" t="s">
        <v>563</v>
      </c>
      <c r="R68" s="163" t="s">
        <v>563</v>
      </c>
      <c r="S68" s="163" t="s">
        <v>563</v>
      </c>
      <c r="T68" s="163" t="s">
        <v>563</v>
      </c>
      <c r="U68" s="163" t="s">
        <v>563</v>
      </c>
    </row>
    <row r="69" spans="1:21" x14ac:dyDescent="0.15">
      <c r="A69" s="161" t="s">
        <v>647</v>
      </c>
      <c r="B69" s="162" t="s">
        <v>648</v>
      </c>
      <c r="C69" s="162" t="s">
        <v>649</v>
      </c>
      <c r="D69" s="162" t="s">
        <v>573</v>
      </c>
      <c r="E69" s="163" t="s">
        <v>563</v>
      </c>
      <c r="F69" s="163" t="s">
        <v>563</v>
      </c>
      <c r="G69" s="163" t="s">
        <v>563</v>
      </c>
      <c r="H69" s="163" t="s">
        <v>563</v>
      </c>
      <c r="I69" s="163" t="s">
        <v>563</v>
      </c>
      <c r="J69" s="163">
        <v>42.745427720907131</v>
      </c>
      <c r="K69" s="163">
        <v>42.57354886284547</v>
      </c>
      <c r="L69" s="163">
        <v>43.385409396270951</v>
      </c>
      <c r="M69" s="163" t="s">
        <v>563</v>
      </c>
      <c r="N69" s="163" t="s">
        <v>563</v>
      </c>
      <c r="O69" s="163" t="s">
        <v>563</v>
      </c>
      <c r="P69" s="163" t="s">
        <v>563</v>
      </c>
      <c r="Q69" s="163" t="s">
        <v>563</v>
      </c>
      <c r="R69" s="163" t="s">
        <v>563</v>
      </c>
      <c r="S69" s="163" t="s">
        <v>563</v>
      </c>
      <c r="T69" s="163" t="s">
        <v>563</v>
      </c>
      <c r="U69" s="163" t="s">
        <v>563</v>
      </c>
    </row>
    <row r="70" spans="1:21" x14ac:dyDescent="0.15">
      <c r="A70" s="161" t="s">
        <v>657</v>
      </c>
      <c r="B70" s="162" t="s">
        <v>570</v>
      </c>
      <c r="C70" s="162" t="s">
        <v>658</v>
      </c>
      <c r="D70" s="162" t="s">
        <v>659</v>
      </c>
      <c r="E70" s="163">
        <v>1658</v>
      </c>
      <c r="F70" s="163">
        <v>1872</v>
      </c>
      <c r="G70" s="163">
        <v>2340</v>
      </c>
      <c r="H70" s="163">
        <v>2340</v>
      </c>
      <c r="I70" s="163">
        <v>2071</v>
      </c>
      <c r="J70" s="163">
        <v>2403.8710088691791</v>
      </c>
      <c r="K70" s="163">
        <v>2644.2581097560974</v>
      </c>
      <c r="L70" s="163">
        <v>2908.6839207317075</v>
      </c>
      <c r="M70" s="163">
        <v>3199.5523128048785</v>
      </c>
      <c r="N70" s="163" t="s">
        <v>563</v>
      </c>
      <c r="O70" s="163" t="s">
        <v>563</v>
      </c>
      <c r="P70" s="163" t="s">
        <v>563</v>
      </c>
      <c r="Q70" s="163" t="s">
        <v>563</v>
      </c>
      <c r="R70" s="163" t="s">
        <v>563</v>
      </c>
      <c r="S70" s="163" t="s">
        <v>563</v>
      </c>
      <c r="T70" s="163" t="s">
        <v>563</v>
      </c>
      <c r="U70" s="163" t="s">
        <v>563</v>
      </c>
    </row>
    <row r="71" spans="1:21" x14ac:dyDescent="0.15">
      <c r="A71" s="161" t="s">
        <v>660</v>
      </c>
      <c r="B71" s="162" t="s">
        <v>570</v>
      </c>
      <c r="C71" s="162" t="s">
        <v>661</v>
      </c>
      <c r="D71" s="162" t="s">
        <v>662</v>
      </c>
      <c r="E71" s="163">
        <v>5469</v>
      </c>
      <c r="F71" s="163">
        <v>6483</v>
      </c>
      <c r="G71" s="163">
        <v>8101</v>
      </c>
      <c r="H71" s="163">
        <v>9319</v>
      </c>
      <c r="I71" s="163">
        <v>9640</v>
      </c>
      <c r="J71" s="163">
        <v>10083.997032949366</v>
      </c>
      <c r="K71" s="163">
        <v>10814.761059244303</v>
      </c>
      <c r="L71" s="163">
        <v>11011.968924048293</v>
      </c>
      <c r="M71" s="163">
        <v>11644.100340161624</v>
      </c>
      <c r="N71" s="163" t="s">
        <v>563</v>
      </c>
      <c r="O71" s="163" t="s">
        <v>563</v>
      </c>
      <c r="P71" s="163" t="s">
        <v>563</v>
      </c>
      <c r="Q71" s="163" t="s">
        <v>563</v>
      </c>
      <c r="R71" s="163" t="s">
        <v>563</v>
      </c>
      <c r="S71" s="163" t="s">
        <v>563</v>
      </c>
      <c r="T71" s="163" t="s">
        <v>563</v>
      </c>
      <c r="U71" s="163" t="s">
        <v>563</v>
      </c>
    </row>
    <row r="72" spans="1:21" x14ac:dyDescent="0.15">
      <c r="A72" s="161" t="s">
        <v>566</v>
      </c>
      <c r="B72" s="162"/>
      <c r="C72" s="162"/>
      <c r="D72" s="162"/>
      <c r="E72" s="163"/>
      <c r="F72" s="163"/>
      <c r="G72" s="163"/>
      <c r="H72" s="163"/>
      <c r="I72" s="163"/>
      <c r="J72" s="163"/>
      <c r="K72" s="163"/>
      <c r="L72" s="163"/>
      <c r="M72" s="163"/>
      <c r="N72" s="163"/>
      <c r="O72" s="163"/>
      <c r="P72" s="163"/>
      <c r="Q72" s="163"/>
      <c r="R72" s="163"/>
      <c r="S72" s="163"/>
      <c r="T72" s="163"/>
      <c r="U72" s="163"/>
    </row>
    <row r="73" spans="1:21" x14ac:dyDescent="0.15">
      <c r="A73" s="161" t="s">
        <v>663</v>
      </c>
      <c r="B73" s="162"/>
      <c r="C73" s="162" t="s">
        <v>64</v>
      </c>
      <c r="D73" s="162"/>
      <c r="E73" s="163"/>
      <c r="F73" s="163"/>
      <c r="G73" s="163"/>
      <c r="H73" s="163"/>
      <c r="I73" s="163"/>
      <c r="J73" s="163"/>
      <c r="K73" s="163"/>
      <c r="L73" s="163"/>
      <c r="M73" s="163"/>
      <c r="N73" s="163"/>
      <c r="O73" s="163"/>
      <c r="P73" s="163"/>
      <c r="Q73" s="163"/>
      <c r="R73" s="163"/>
      <c r="S73" s="163"/>
      <c r="T73" s="163"/>
      <c r="U73" s="163"/>
    </row>
    <row r="74" spans="1:21" x14ac:dyDescent="0.15">
      <c r="A74" s="161" t="s">
        <v>564</v>
      </c>
      <c r="B74" s="162" t="s">
        <v>565</v>
      </c>
      <c r="C74" s="162" t="s">
        <v>22</v>
      </c>
      <c r="D74" s="162"/>
      <c r="E74" s="163">
        <v>15451</v>
      </c>
      <c r="F74" s="163">
        <v>17772</v>
      </c>
      <c r="G74" s="163">
        <v>21454</v>
      </c>
      <c r="H74" s="163">
        <v>25371</v>
      </c>
      <c r="I74" s="163">
        <v>27518</v>
      </c>
      <c r="J74" s="163">
        <v>29360.59574468085</v>
      </c>
      <c r="K74" s="163">
        <v>32247.760869565216</v>
      </c>
      <c r="L74" s="163">
        <v>35563.956521739128</v>
      </c>
      <c r="M74" s="163">
        <v>37724.25</v>
      </c>
      <c r="N74" s="163">
        <v>43661</v>
      </c>
      <c r="O74" s="163">
        <v>52172</v>
      </c>
      <c r="P74" s="163">
        <v>58227</v>
      </c>
      <c r="Q74" s="163">
        <v>63850</v>
      </c>
      <c r="R74" s="163">
        <v>70016</v>
      </c>
      <c r="S74" s="163" t="s">
        <v>563</v>
      </c>
      <c r="T74" s="163" t="s">
        <v>563</v>
      </c>
      <c r="U74" s="163" t="s">
        <v>563</v>
      </c>
    </row>
    <row r="75" spans="1:21" x14ac:dyDescent="0.15">
      <c r="A75" s="161" t="s">
        <v>566</v>
      </c>
      <c r="B75" s="162"/>
      <c r="C75" s="162"/>
      <c r="D75" s="162"/>
      <c r="E75" s="163"/>
      <c r="F75" s="163"/>
      <c r="G75" s="163"/>
      <c r="H75" s="163"/>
      <c r="I75" s="163"/>
      <c r="J75" s="163"/>
      <c r="K75" s="163"/>
      <c r="L75" s="163"/>
      <c r="M75" s="163"/>
      <c r="N75" s="163"/>
      <c r="O75" s="163"/>
      <c r="P75" s="163"/>
      <c r="Q75" s="163"/>
      <c r="R75" s="163"/>
      <c r="S75" s="163"/>
      <c r="T75" s="163"/>
      <c r="U75" s="163"/>
    </row>
    <row r="76" spans="1:21" x14ac:dyDescent="0.15">
      <c r="A76" s="161" t="s">
        <v>664</v>
      </c>
      <c r="B76" s="162" t="s">
        <v>665</v>
      </c>
      <c r="C76" s="162" t="s">
        <v>24</v>
      </c>
      <c r="D76" s="162"/>
      <c r="E76" s="163">
        <v>8596.0000693999991</v>
      </c>
      <c r="F76" s="163">
        <v>9601.9999354800002</v>
      </c>
      <c r="G76" s="163">
        <v>11778.99989356</v>
      </c>
      <c r="H76" s="163">
        <v>23280.000068970003</v>
      </c>
      <c r="I76" s="163">
        <v>16916.965680000001</v>
      </c>
      <c r="J76" s="163">
        <v>14232.438540079558</v>
      </c>
      <c r="K76" s="163">
        <v>15373.697593088869</v>
      </c>
      <c r="L76" s="163">
        <v>16456.772974862572</v>
      </c>
      <c r="M76" s="163">
        <v>17525.747272881152</v>
      </c>
      <c r="N76" s="163">
        <v>21334.823986289983</v>
      </c>
      <c r="O76" s="163">
        <v>26086.169809852814</v>
      </c>
      <c r="P76" s="163">
        <v>28531.030598712838</v>
      </c>
      <c r="Q76" s="163">
        <v>31286.34580521677</v>
      </c>
      <c r="R76" s="163">
        <v>34307.795119662493</v>
      </c>
      <c r="S76" s="163" t="s">
        <v>563</v>
      </c>
      <c r="T76" s="163" t="s">
        <v>563</v>
      </c>
      <c r="U76" s="163" t="s">
        <v>563</v>
      </c>
    </row>
    <row r="77" spans="1:21" x14ac:dyDescent="0.15">
      <c r="A77" s="161" t="s">
        <v>666</v>
      </c>
      <c r="B77" s="162" t="s">
        <v>667</v>
      </c>
      <c r="C77" s="162" t="s">
        <v>668</v>
      </c>
      <c r="D77" s="162"/>
      <c r="E77" s="163">
        <v>55.633940000000003</v>
      </c>
      <c r="F77" s="163">
        <v>54.028809000000003</v>
      </c>
      <c r="G77" s="163">
        <v>54.903514000000001</v>
      </c>
      <c r="H77" s="163">
        <v>91.758307000000002</v>
      </c>
      <c r="I77" s="163">
        <v>61.475999999999999</v>
      </c>
      <c r="J77" s="163">
        <v>48.781814460791445</v>
      </c>
      <c r="K77" s="163">
        <v>48.511395970057912</v>
      </c>
      <c r="L77" s="163">
        <v>47.928056707101113</v>
      </c>
      <c r="M77" s="163">
        <v>47.720442293208741</v>
      </c>
      <c r="N77" s="163">
        <v>48.788686440923797</v>
      </c>
      <c r="O77" s="163">
        <v>50</v>
      </c>
      <c r="P77" s="163">
        <v>49</v>
      </c>
      <c r="Q77" s="163">
        <v>49</v>
      </c>
      <c r="R77" s="163">
        <v>49</v>
      </c>
      <c r="S77" s="163" t="s">
        <v>563</v>
      </c>
      <c r="T77" s="163" t="s">
        <v>563</v>
      </c>
      <c r="U77" s="163" t="s">
        <v>563</v>
      </c>
    </row>
    <row r="78" spans="1:21" x14ac:dyDescent="0.15">
      <c r="A78" s="161" t="s">
        <v>566</v>
      </c>
      <c r="B78" s="162"/>
      <c r="C78" s="162"/>
      <c r="D78" s="162"/>
      <c r="E78" s="163"/>
      <c r="F78" s="163"/>
      <c r="G78" s="163"/>
      <c r="H78" s="163"/>
      <c r="I78" s="163"/>
      <c r="J78" s="163"/>
      <c r="K78" s="163"/>
      <c r="L78" s="163"/>
      <c r="M78" s="163"/>
      <c r="N78" s="163"/>
      <c r="O78" s="163"/>
      <c r="P78" s="163"/>
      <c r="Q78" s="163"/>
      <c r="R78" s="163"/>
      <c r="S78" s="163"/>
      <c r="T78" s="163"/>
      <c r="U78" s="163"/>
    </row>
    <row r="79" spans="1:21" x14ac:dyDescent="0.15">
      <c r="A79" s="161" t="s">
        <v>593</v>
      </c>
      <c r="B79" s="162" t="s">
        <v>594</v>
      </c>
      <c r="C79" s="162" t="s">
        <v>669</v>
      </c>
      <c r="D79" s="162"/>
      <c r="E79" s="163">
        <v>13257</v>
      </c>
      <c r="F79" s="163">
        <v>15053</v>
      </c>
      <c r="G79" s="163">
        <v>18165</v>
      </c>
      <c r="H79" s="163">
        <v>21109</v>
      </c>
      <c r="I79" s="163">
        <v>23681</v>
      </c>
      <c r="J79" s="163">
        <v>24424.05848385319</v>
      </c>
      <c r="K79" s="163">
        <v>26337.93876422551</v>
      </c>
      <c r="L79" s="163">
        <v>29184.971015660558</v>
      </c>
      <c r="M79" s="163">
        <v>30801.390006119185</v>
      </c>
      <c r="N79" s="163">
        <v>34612.668083305907</v>
      </c>
      <c r="O79" s="163">
        <v>40798.769582609792</v>
      </c>
      <c r="P79" s="163">
        <v>45533.195771823346</v>
      </c>
      <c r="Q79" s="163">
        <v>49291.957064545612</v>
      </c>
      <c r="R79" s="163">
        <v>54052.281290570289</v>
      </c>
      <c r="S79" s="163" t="s">
        <v>563</v>
      </c>
      <c r="T79" s="163" t="s">
        <v>563</v>
      </c>
      <c r="U79" s="163" t="s">
        <v>563</v>
      </c>
    </row>
    <row r="80" spans="1:21" x14ac:dyDescent="0.15">
      <c r="A80" s="161" t="s">
        <v>670</v>
      </c>
      <c r="B80" s="162" t="s">
        <v>671</v>
      </c>
      <c r="C80" s="162" t="s">
        <v>649</v>
      </c>
      <c r="D80" s="162"/>
      <c r="E80" s="163">
        <v>85.800271827066211</v>
      </c>
      <c r="F80" s="163">
        <v>84.700652712131443</v>
      </c>
      <c r="G80" s="163">
        <v>84.669525496410927</v>
      </c>
      <c r="H80" s="163">
        <v>83.201292814630875</v>
      </c>
      <c r="I80" s="163">
        <v>86.056399447634277</v>
      </c>
      <c r="J80" s="163">
        <v>82.804289030750738</v>
      </c>
      <c r="K80" s="163">
        <v>81.890948927563201</v>
      </c>
      <c r="L80" s="163">
        <v>82.572938879313966</v>
      </c>
      <c r="M80" s="163">
        <v>80.800000000000011</v>
      </c>
      <c r="N80" s="163">
        <v>79.199999999999989</v>
      </c>
      <c r="O80" s="163">
        <v>78.199999999999974</v>
      </c>
      <c r="P80" s="163">
        <v>78.2</v>
      </c>
      <c r="Q80" s="163">
        <v>77.200000000000017</v>
      </c>
      <c r="R80" s="163">
        <v>77.199999999999989</v>
      </c>
      <c r="S80" s="163" t="s">
        <v>563</v>
      </c>
      <c r="T80" s="163" t="s">
        <v>563</v>
      </c>
      <c r="U80" s="163" t="s">
        <v>563</v>
      </c>
    </row>
    <row r="81" spans="1:21" x14ac:dyDescent="0.15">
      <c r="A81" s="161" t="s">
        <v>672</v>
      </c>
      <c r="B81" s="162" t="s">
        <v>673</v>
      </c>
      <c r="C81" s="162" t="s">
        <v>674</v>
      </c>
      <c r="D81" s="162"/>
      <c r="E81" s="163">
        <v>1407</v>
      </c>
      <c r="F81" s="163">
        <v>1615</v>
      </c>
      <c r="G81" s="163">
        <v>1778</v>
      </c>
      <c r="H81" s="163">
        <v>2075</v>
      </c>
      <c r="I81" s="163">
        <v>2120</v>
      </c>
      <c r="J81" s="163">
        <v>2101.8060284132216</v>
      </c>
      <c r="K81" s="163">
        <v>2219.5636232796542</v>
      </c>
      <c r="L81" s="163">
        <v>2372.8179568066371</v>
      </c>
      <c r="M81" s="163">
        <v>2524.8224953945542</v>
      </c>
      <c r="N81" s="163">
        <v>2722.050038772004</v>
      </c>
      <c r="O81" s="163">
        <v>3130.3403771823378</v>
      </c>
      <c r="P81" s="163">
        <v>3493.5955835158575</v>
      </c>
      <c r="Q81" s="163">
        <v>3511.7326924222907</v>
      </c>
      <c r="R81" s="163">
        <v>3850.874962411096</v>
      </c>
      <c r="S81" s="163" t="s">
        <v>563</v>
      </c>
      <c r="T81" s="163" t="s">
        <v>563</v>
      </c>
      <c r="U81" s="163" t="s">
        <v>563</v>
      </c>
    </row>
    <row r="82" spans="1:21" x14ac:dyDescent="0.15">
      <c r="A82" s="161" t="s">
        <v>675</v>
      </c>
      <c r="B82" s="162" t="s">
        <v>676</v>
      </c>
      <c r="C82" s="162" t="s">
        <v>677</v>
      </c>
      <c r="D82" s="162"/>
      <c r="E82" s="163">
        <v>1314</v>
      </c>
      <c r="F82" s="163">
        <v>1401</v>
      </c>
      <c r="G82" s="163">
        <v>1861</v>
      </c>
      <c r="H82" s="163">
        <v>2445</v>
      </c>
      <c r="I82" s="163">
        <v>2257</v>
      </c>
      <c r="J82" s="163">
        <v>2156.7830283681988</v>
      </c>
      <c r="K82" s="163">
        <v>2320.2760067401427</v>
      </c>
      <c r="L82" s="163">
        <v>2569.8757291955926</v>
      </c>
      <c r="M82" s="163">
        <v>2627.3332079251818</v>
      </c>
      <c r="N82" s="163">
        <v>2993.8025882235656</v>
      </c>
      <c r="O82" s="163">
        <v>3652.0637733793942</v>
      </c>
      <c r="P82" s="163">
        <v>4075.8615141018345</v>
      </c>
      <c r="Q82" s="163">
        <v>4150.2295455899803</v>
      </c>
      <c r="R82" s="163">
        <v>4551.0340464858409</v>
      </c>
      <c r="S82" s="163" t="s">
        <v>563</v>
      </c>
      <c r="T82" s="163" t="s">
        <v>563</v>
      </c>
      <c r="U82" s="163" t="s">
        <v>563</v>
      </c>
    </row>
    <row r="83" spans="1:21" x14ac:dyDescent="0.15">
      <c r="A83" s="161" t="s">
        <v>678</v>
      </c>
      <c r="B83" s="162" t="s">
        <v>679</v>
      </c>
      <c r="C83" s="162" t="s">
        <v>680</v>
      </c>
      <c r="D83" s="162"/>
      <c r="E83" s="163">
        <v>1541</v>
      </c>
      <c r="F83" s="163">
        <v>1711</v>
      </c>
      <c r="G83" s="163">
        <v>2070</v>
      </c>
      <c r="H83" s="163">
        <v>2114</v>
      </c>
      <c r="I83" s="163">
        <v>2099</v>
      </c>
      <c r="J83" s="163">
        <v>2027.2793074403833</v>
      </c>
      <c r="K83" s="163">
        <v>2149.1481585323304</v>
      </c>
      <c r="L83" s="163">
        <v>2380.4210769927308</v>
      </c>
      <c r="M83" s="163">
        <v>2432.8837584624248</v>
      </c>
      <c r="N83" s="163">
        <v>2737.7783699844204</v>
      </c>
      <c r="O83" s="163">
        <v>3130.3403771823378</v>
      </c>
      <c r="P83" s="163">
        <v>3493.5955835158575</v>
      </c>
      <c r="Q83" s="163">
        <v>3830.981119006135</v>
      </c>
      <c r="R83" s="163">
        <v>4200.9545044484685</v>
      </c>
      <c r="S83" s="163" t="s">
        <v>563</v>
      </c>
      <c r="T83" s="163" t="s">
        <v>563</v>
      </c>
      <c r="U83" s="163" t="s">
        <v>563</v>
      </c>
    </row>
    <row r="84" spans="1:21" x14ac:dyDescent="0.15">
      <c r="A84" s="161" t="s">
        <v>681</v>
      </c>
      <c r="B84" s="162" t="s">
        <v>682</v>
      </c>
      <c r="C84" s="162" t="s">
        <v>683</v>
      </c>
      <c r="D84" s="162"/>
      <c r="E84" s="163">
        <v>1831</v>
      </c>
      <c r="F84" s="163">
        <v>2085</v>
      </c>
      <c r="G84" s="163">
        <v>2642</v>
      </c>
      <c r="H84" s="163">
        <v>3038</v>
      </c>
      <c r="I84" s="163">
        <v>3253</v>
      </c>
      <c r="J84" s="163">
        <v>3122.5318805854949</v>
      </c>
      <c r="K84" s="163">
        <v>3339.7298350273363</v>
      </c>
      <c r="L84" s="163">
        <v>3644.773968882977</v>
      </c>
      <c r="M84" s="163">
        <v>3403.0933640586077</v>
      </c>
      <c r="N84" s="163">
        <v>3786.2566106472214</v>
      </c>
      <c r="O84" s="163">
        <v>4695.5105657735076</v>
      </c>
      <c r="P84" s="163">
        <v>4658.1274446878106</v>
      </c>
      <c r="Q84" s="163">
        <v>5107.9748253415137</v>
      </c>
      <c r="R84" s="163">
        <v>5601.2726725979583</v>
      </c>
      <c r="S84" s="163" t="s">
        <v>563</v>
      </c>
      <c r="T84" s="163" t="s">
        <v>563</v>
      </c>
      <c r="U84" s="163" t="s">
        <v>563</v>
      </c>
    </row>
    <row r="85" spans="1:21" x14ac:dyDescent="0.15">
      <c r="A85" s="161" t="s">
        <v>684</v>
      </c>
      <c r="B85" s="162" t="s">
        <v>685</v>
      </c>
      <c r="C85" s="162" t="s">
        <v>649</v>
      </c>
      <c r="D85" s="162"/>
      <c r="E85" s="163">
        <v>11.850365672124781</v>
      </c>
      <c r="F85" s="163">
        <v>11.731937879810939</v>
      </c>
      <c r="G85" s="163">
        <v>12.314719865759299</v>
      </c>
      <c r="H85" s="163">
        <v>11.974301367703283</v>
      </c>
      <c r="I85" s="163">
        <v>11.821353296024419</v>
      </c>
      <c r="J85" s="163">
        <v>11.352481879742685</v>
      </c>
      <c r="K85" s="163">
        <v>11.172020059228132</v>
      </c>
      <c r="L85" s="163">
        <v>10.945578961278247</v>
      </c>
      <c r="M85" s="163">
        <v>9.4499999999999993</v>
      </c>
      <c r="N85" s="163">
        <v>8.65</v>
      </c>
      <c r="O85" s="163">
        <v>9</v>
      </c>
      <c r="P85" s="163">
        <v>8</v>
      </c>
      <c r="Q85" s="163">
        <v>8</v>
      </c>
      <c r="R85" s="163">
        <v>8</v>
      </c>
      <c r="S85" s="163" t="s">
        <v>563</v>
      </c>
      <c r="T85" s="163" t="s">
        <v>563</v>
      </c>
      <c r="U85" s="163" t="s">
        <v>563</v>
      </c>
    </row>
    <row r="86" spans="1:21" x14ac:dyDescent="0.15">
      <c r="A86" s="161" t="s">
        <v>686</v>
      </c>
      <c r="B86" s="162"/>
      <c r="C86" s="162" t="s">
        <v>687</v>
      </c>
      <c r="D86" s="162"/>
      <c r="E86" s="163"/>
      <c r="F86" s="163"/>
      <c r="G86" s="163"/>
      <c r="H86" s="163"/>
      <c r="I86" s="163"/>
      <c r="J86" s="163"/>
      <c r="K86" s="163"/>
      <c r="L86" s="163"/>
      <c r="M86" s="163"/>
      <c r="N86" s="163"/>
      <c r="O86" s="163"/>
      <c r="P86" s="163"/>
      <c r="Q86" s="163"/>
      <c r="R86" s="163"/>
      <c r="S86" s="163"/>
      <c r="T86" s="163"/>
      <c r="U86" s="163"/>
    </row>
    <row r="87" spans="1:21" x14ac:dyDescent="0.15">
      <c r="A87" s="161" t="s">
        <v>688</v>
      </c>
      <c r="B87" s="162" t="s">
        <v>689</v>
      </c>
      <c r="C87" s="162" t="s">
        <v>690</v>
      </c>
      <c r="D87" s="162"/>
      <c r="E87" s="163">
        <v>1274</v>
      </c>
      <c r="F87" s="163">
        <v>1380</v>
      </c>
      <c r="G87" s="163">
        <v>1741</v>
      </c>
      <c r="H87" s="163">
        <v>1060</v>
      </c>
      <c r="I87" s="163">
        <v>1572</v>
      </c>
      <c r="J87" s="163">
        <v>1834.7207053121585</v>
      </c>
      <c r="K87" s="163">
        <v>2055.7388744860386</v>
      </c>
      <c r="L87" s="163">
        <v>2401.5810643035384</v>
      </c>
      <c r="M87" s="163">
        <v>2748.6779733354147</v>
      </c>
      <c r="N87" s="163">
        <v>3160.0954848697497</v>
      </c>
      <c r="O87" s="163">
        <v>4173.7871695764507</v>
      </c>
      <c r="P87" s="163">
        <v>4658.1274446878106</v>
      </c>
      <c r="Q87" s="163">
        <v>5107.9748253415137</v>
      </c>
      <c r="R87" s="163">
        <v>5601.2726725979583</v>
      </c>
      <c r="S87" s="163" t="s">
        <v>563</v>
      </c>
      <c r="T87" s="163" t="s">
        <v>563</v>
      </c>
      <c r="U87" s="163" t="s">
        <v>563</v>
      </c>
    </row>
    <row r="88" spans="1:21" x14ac:dyDescent="0.15">
      <c r="A88" s="161" t="s">
        <v>691</v>
      </c>
      <c r="B88" s="162" t="s">
        <v>692</v>
      </c>
      <c r="C88" s="162" t="s">
        <v>693</v>
      </c>
      <c r="D88" s="162"/>
      <c r="E88" s="163">
        <v>5581</v>
      </c>
      <c r="F88" s="163">
        <v>6790</v>
      </c>
      <c r="G88" s="163">
        <v>7934</v>
      </c>
      <c r="H88" s="163">
        <v>10315</v>
      </c>
      <c r="I88" s="163">
        <v>12173</v>
      </c>
      <c r="J88" s="163">
        <v>13248.591252568172</v>
      </c>
      <c r="K88" s="163">
        <v>14472.684520530342</v>
      </c>
      <c r="L88" s="163">
        <v>15958.290554907366</v>
      </c>
      <c r="M88" s="163">
        <v>17449.861422066511</v>
      </c>
      <c r="N88" s="163">
        <v>19166.291827126242</v>
      </c>
      <c r="O88" s="163">
        <v>21912.382640276363</v>
      </c>
      <c r="P88" s="163">
        <v>25037.435015196981</v>
      </c>
      <c r="Q88" s="163">
        <v>27455.364686210636</v>
      </c>
      <c r="R88" s="163">
        <v>30106.840615214023</v>
      </c>
      <c r="S88" s="163" t="s">
        <v>563</v>
      </c>
      <c r="T88" s="163" t="s">
        <v>563</v>
      </c>
      <c r="U88" s="163" t="s">
        <v>563</v>
      </c>
    </row>
    <row r="89" spans="1:21" x14ac:dyDescent="0.15">
      <c r="A89" s="161" t="s">
        <v>694</v>
      </c>
      <c r="B89" s="162" t="s">
        <v>605</v>
      </c>
      <c r="C89" s="162" t="s">
        <v>695</v>
      </c>
      <c r="D89" s="162"/>
      <c r="E89" s="163">
        <v>0.96</v>
      </c>
      <c r="F89" s="163">
        <v>0.95</v>
      </c>
      <c r="G89" s="163">
        <v>0.85</v>
      </c>
      <c r="H89" s="163">
        <v>0.83</v>
      </c>
      <c r="I89" s="163">
        <v>0.9</v>
      </c>
      <c r="J89" s="163">
        <v>0.90155503209251109</v>
      </c>
      <c r="K89" s="163">
        <v>0.89246844762811128</v>
      </c>
      <c r="L89" s="163">
        <v>0.87295192320876824</v>
      </c>
      <c r="M89" s="163">
        <v>0.843402952349395</v>
      </c>
      <c r="N89" s="163">
        <v>0.81248080293066416</v>
      </c>
      <c r="O89" s="163">
        <v>0.710089676751265</v>
      </c>
      <c r="P89" s="163">
        <v>0.70553017118765138</v>
      </c>
      <c r="Q89" s="163">
        <v>0.68465932688760767</v>
      </c>
      <c r="R89" s="163">
        <v>0.66440677444305396</v>
      </c>
      <c r="S89" s="163" t="s">
        <v>563</v>
      </c>
      <c r="T89" s="163" t="s">
        <v>563</v>
      </c>
      <c r="U89" s="163" t="s">
        <v>563</v>
      </c>
    </row>
    <row r="90" spans="1:21" x14ac:dyDescent="0.15">
      <c r="A90" s="161" t="s">
        <v>696</v>
      </c>
      <c r="B90" s="162"/>
      <c r="C90" s="162" t="s">
        <v>697</v>
      </c>
      <c r="D90" s="162"/>
      <c r="E90" s="163"/>
      <c r="F90" s="163"/>
      <c r="G90" s="163"/>
      <c r="H90" s="163"/>
      <c r="I90" s="163"/>
      <c r="J90" s="163"/>
      <c r="K90" s="163"/>
      <c r="L90" s="163"/>
      <c r="M90" s="163"/>
      <c r="N90" s="163"/>
      <c r="O90" s="163"/>
      <c r="P90" s="163"/>
      <c r="Q90" s="163"/>
      <c r="R90" s="163"/>
      <c r="S90" s="163"/>
      <c r="T90" s="163"/>
      <c r="U90" s="163"/>
    </row>
    <row r="91" spans="1:21" x14ac:dyDescent="0.15">
      <c r="A91" s="161" t="s">
        <v>698</v>
      </c>
      <c r="B91" s="162" t="s">
        <v>608</v>
      </c>
      <c r="C91" s="162" t="s">
        <v>695</v>
      </c>
      <c r="D91" s="162"/>
      <c r="E91" s="163">
        <v>0.22</v>
      </c>
      <c r="F91" s="163">
        <v>0.19</v>
      </c>
      <c r="G91" s="163">
        <v>0.19</v>
      </c>
      <c r="H91" s="163">
        <v>0.09</v>
      </c>
      <c r="I91" s="163">
        <v>0.12</v>
      </c>
      <c r="J91" s="163">
        <v>0.12671882614014854</v>
      </c>
      <c r="K91" s="163">
        <v>0.12762837113802231</v>
      </c>
      <c r="L91" s="163">
        <v>0.12827954599204161</v>
      </c>
      <c r="M91" s="163">
        <v>0.13498199509173101</v>
      </c>
      <c r="N91" s="163">
        <v>0.13152517015618159</v>
      </c>
      <c r="O91" s="163">
        <v>0.13525517652405047</v>
      </c>
      <c r="P91" s="163">
        <v>0.13126142719770259</v>
      </c>
      <c r="Q91" s="163">
        <v>0.12737847942095026</v>
      </c>
      <c r="R91" s="163">
        <v>0.12361056268707983</v>
      </c>
      <c r="S91" s="163" t="s">
        <v>563</v>
      </c>
      <c r="T91" s="163" t="s">
        <v>563</v>
      </c>
      <c r="U91" s="163" t="s">
        <v>563</v>
      </c>
    </row>
    <row r="92" spans="1:21" x14ac:dyDescent="0.15">
      <c r="A92" s="161" t="s">
        <v>566</v>
      </c>
      <c r="B92" s="162"/>
      <c r="C92" s="162"/>
      <c r="D92" s="162"/>
      <c r="E92" s="163"/>
      <c r="F92" s="163"/>
      <c r="G92" s="163"/>
      <c r="H92" s="163"/>
      <c r="I92" s="163"/>
      <c r="J92" s="163"/>
      <c r="K92" s="163"/>
      <c r="L92" s="163"/>
      <c r="M92" s="163"/>
      <c r="N92" s="163"/>
      <c r="O92" s="163"/>
      <c r="P92" s="163"/>
      <c r="Q92" s="163"/>
      <c r="R92" s="163"/>
      <c r="S92" s="163"/>
      <c r="T92" s="163"/>
      <c r="U92" s="163"/>
    </row>
    <row r="93" spans="1:21" x14ac:dyDescent="0.15">
      <c r="A93" s="164" t="s">
        <v>699</v>
      </c>
      <c r="B93" s="165" t="s">
        <v>700</v>
      </c>
      <c r="C93" s="165" t="s">
        <v>701</v>
      </c>
      <c r="D93" s="165"/>
      <c r="E93" s="166">
        <v>2194</v>
      </c>
      <c r="F93" s="166">
        <v>2719</v>
      </c>
      <c r="G93" s="166">
        <v>3289</v>
      </c>
      <c r="H93" s="166">
        <v>4262</v>
      </c>
      <c r="I93" s="166">
        <v>3837</v>
      </c>
      <c r="J93" s="166">
        <v>4874.5654728133568</v>
      </c>
      <c r="K93" s="163">
        <v>5627.2057238202733</v>
      </c>
      <c r="L93" s="163">
        <v>6030.7175970505677</v>
      </c>
      <c r="M93" s="163">
        <v>6457.6193255645521</v>
      </c>
      <c r="N93" s="163">
        <v>9048.5432149800599</v>
      </c>
      <c r="O93" s="163">
        <v>11373.570037095837</v>
      </c>
      <c r="P93" s="163">
        <v>12693.397286774285</v>
      </c>
      <c r="Q93" s="163">
        <v>14557.728252223307</v>
      </c>
      <c r="R93" s="163">
        <v>15963.627116904187</v>
      </c>
      <c r="S93" s="163" t="s">
        <v>563</v>
      </c>
      <c r="T93" s="163" t="s">
        <v>563</v>
      </c>
      <c r="U93" s="163" t="s">
        <v>563</v>
      </c>
    </row>
    <row r="94" spans="1:21" x14ac:dyDescent="0.15">
      <c r="A94" s="161" t="s">
        <v>702</v>
      </c>
      <c r="B94" s="162" t="s">
        <v>703</v>
      </c>
      <c r="C94" s="162" t="s">
        <v>704</v>
      </c>
      <c r="D94" s="162"/>
      <c r="E94" s="163">
        <v>14.19972817293379</v>
      </c>
      <c r="F94" s="163">
        <v>15.299347287868557</v>
      </c>
      <c r="G94" s="163">
        <v>15.330474503589075</v>
      </c>
      <c r="H94" s="163">
        <v>16.798707185369121</v>
      </c>
      <c r="I94" s="163">
        <v>13.943600552365723</v>
      </c>
      <c r="J94" s="163">
        <v>16.836817137858397</v>
      </c>
      <c r="K94" s="163">
        <v>17.680159306343498</v>
      </c>
      <c r="L94" s="163">
        <v>17.05376680303231</v>
      </c>
      <c r="M94" s="163">
        <v>16.978067172408476</v>
      </c>
      <c r="N94" s="163">
        <v>20.719400604997887</v>
      </c>
      <c r="O94" s="163">
        <v>21.800000000000018</v>
      </c>
      <c r="P94" s="163">
        <v>21.800000000000004</v>
      </c>
      <c r="Q94" s="163">
        <v>22.79999999999999</v>
      </c>
      <c r="R94" s="163">
        <v>22.800000000000008</v>
      </c>
      <c r="S94" s="163" t="s">
        <v>563</v>
      </c>
      <c r="T94" s="163" t="s">
        <v>563</v>
      </c>
      <c r="U94" s="163" t="s">
        <v>563</v>
      </c>
    </row>
    <row r="95" spans="1:21" x14ac:dyDescent="0.15">
      <c r="A95" s="161" t="s">
        <v>566</v>
      </c>
      <c r="B95" s="162"/>
      <c r="C95" s="162"/>
      <c r="D95" s="162"/>
      <c r="E95" s="163"/>
      <c r="F95" s="163"/>
      <c r="G95" s="163"/>
      <c r="H95" s="163"/>
      <c r="I95" s="163"/>
      <c r="J95" s="163"/>
      <c r="K95" s="163"/>
      <c r="L95" s="163"/>
      <c r="M95" s="163"/>
      <c r="N95" s="163"/>
      <c r="O95" s="163"/>
      <c r="P95" s="163"/>
      <c r="Q95" s="163"/>
      <c r="R95" s="163"/>
      <c r="S95" s="163"/>
      <c r="T95" s="163"/>
      <c r="U95" s="163"/>
    </row>
    <row r="96" spans="1:21" x14ac:dyDescent="0.15">
      <c r="A96" s="164" t="s">
        <v>705</v>
      </c>
      <c r="B96" s="165" t="s">
        <v>706</v>
      </c>
      <c r="C96" s="165" t="s">
        <v>707</v>
      </c>
      <c r="D96" s="165"/>
      <c r="E96" s="166">
        <v>776</v>
      </c>
      <c r="F96" s="166">
        <v>912</v>
      </c>
      <c r="G96" s="166">
        <v>1189</v>
      </c>
      <c r="H96" s="166">
        <v>1265</v>
      </c>
      <c r="I96" s="166">
        <v>1317</v>
      </c>
      <c r="J96" s="166">
        <v>1301.0470748942844</v>
      </c>
      <c r="K96" s="163">
        <v>1357.5389760395776</v>
      </c>
      <c r="L96" s="163">
        <v>1382.6205222514734</v>
      </c>
      <c r="M96" s="163">
        <v>1307.8977868175641</v>
      </c>
      <c r="N96" s="163">
        <v>1480.2303999999999</v>
      </c>
      <c r="O96" s="163" t="s">
        <v>563</v>
      </c>
      <c r="P96" s="163" t="s">
        <v>563</v>
      </c>
      <c r="Q96" s="163" t="s">
        <v>563</v>
      </c>
      <c r="R96" s="163" t="s">
        <v>563</v>
      </c>
      <c r="S96" s="163" t="s">
        <v>563</v>
      </c>
      <c r="T96" s="163" t="s">
        <v>563</v>
      </c>
      <c r="U96" s="163" t="s">
        <v>563</v>
      </c>
    </row>
    <row r="97" spans="1:21" x14ac:dyDescent="0.15">
      <c r="A97" s="161" t="s">
        <v>708</v>
      </c>
      <c r="B97" s="162" t="s">
        <v>709</v>
      </c>
      <c r="C97" s="162"/>
      <c r="D97" s="162"/>
      <c r="E97" s="163">
        <v>5.022328651867193</v>
      </c>
      <c r="F97" s="163">
        <v>5.1316677920324105</v>
      </c>
      <c r="G97" s="163">
        <v>5.5420900531369446</v>
      </c>
      <c r="H97" s="163">
        <v>4.9860076465255609</v>
      </c>
      <c r="I97" s="163">
        <v>4.7859582818518787</v>
      </c>
      <c r="J97" s="163">
        <v>4.4039667160925395</v>
      </c>
      <c r="K97" s="163">
        <v>4.2039628564252007</v>
      </c>
      <c r="L97" s="163">
        <v>3.7077746173642159</v>
      </c>
      <c r="M97" s="163" t="s">
        <v>563</v>
      </c>
      <c r="N97" s="163" t="s">
        <v>563</v>
      </c>
      <c r="O97" s="163" t="s">
        <v>563</v>
      </c>
      <c r="P97" s="163" t="s">
        <v>563</v>
      </c>
      <c r="Q97" s="163" t="s">
        <v>563</v>
      </c>
      <c r="R97" s="163" t="s">
        <v>563</v>
      </c>
      <c r="S97" s="163" t="s">
        <v>563</v>
      </c>
      <c r="T97" s="163" t="s">
        <v>563</v>
      </c>
      <c r="U97" s="163" t="s">
        <v>563</v>
      </c>
    </row>
    <row r="98" spans="1:21" x14ac:dyDescent="0.15">
      <c r="A98" s="161" t="s">
        <v>566</v>
      </c>
      <c r="B98" s="162"/>
      <c r="C98" s="162"/>
      <c r="D98" s="162"/>
      <c r="E98" s="163"/>
      <c r="F98" s="163"/>
      <c r="G98" s="163"/>
      <c r="H98" s="163"/>
      <c r="I98" s="163"/>
      <c r="J98" s="163"/>
      <c r="K98" s="163"/>
      <c r="L98" s="163"/>
      <c r="M98" s="163"/>
      <c r="N98" s="163"/>
      <c r="O98" s="163"/>
      <c r="P98" s="163"/>
      <c r="Q98" s="163"/>
      <c r="R98" s="163"/>
      <c r="S98" s="163"/>
      <c r="T98" s="163"/>
      <c r="U98" s="163"/>
    </row>
    <row r="99" spans="1:21" x14ac:dyDescent="0.15">
      <c r="A99" s="161" t="s">
        <v>710</v>
      </c>
      <c r="B99" s="162" t="s">
        <v>711</v>
      </c>
      <c r="C99" s="162" t="s">
        <v>712</v>
      </c>
      <c r="D99" s="162"/>
      <c r="E99" s="163">
        <v>-182</v>
      </c>
      <c r="F99" s="163">
        <v>-279</v>
      </c>
      <c r="G99" s="163">
        <v>-1776</v>
      </c>
      <c r="H99" s="163">
        <v>163</v>
      </c>
      <c r="I99" s="163">
        <v>471</v>
      </c>
      <c r="J99" s="163">
        <v>75.909470960959879</v>
      </c>
      <c r="K99" s="163">
        <v>68.287897658755412</v>
      </c>
      <c r="L99" s="163">
        <v>43.22735558510275</v>
      </c>
      <c r="M99" s="163">
        <v>216.98007749411207</v>
      </c>
      <c r="N99" s="163">
        <v>332.09850072827248</v>
      </c>
      <c r="O99" s="163" t="s">
        <v>563</v>
      </c>
      <c r="P99" s="163" t="s">
        <v>563</v>
      </c>
      <c r="Q99" s="163" t="s">
        <v>563</v>
      </c>
      <c r="R99" s="163" t="s">
        <v>563</v>
      </c>
      <c r="S99" s="163" t="s">
        <v>563</v>
      </c>
      <c r="T99" s="163" t="s">
        <v>563</v>
      </c>
      <c r="U99" s="163" t="s">
        <v>563</v>
      </c>
    </row>
    <row r="100" spans="1:21" x14ac:dyDescent="0.15">
      <c r="A100" s="161" t="s">
        <v>713</v>
      </c>
      <c r="B100" s="162" t="s">
        <v>714</v>
      </c>
      <c r="C100" s="162"/>
      <c r="D100" s="162"/>
      <c r="E100" s="163">
        <v>168</v>
      </c>
      <c r="F100" s="163">
        <v>197</v>
      </c>
      <c r="G100" s="163">
        <v>88</v>
      </c>
      <c r="H100" s="163">
        <v>57</v>
      </c>
      <c r="I100" s="163">
        <v>174</v>
      </c>
      <c r="J100" s="163">
        <v>299.65089526216059</v>
      </c>
      <c r="K100" s="163">
        <v>289.06684362641857</v>
      </c>
      <c r="L100" s="163">
        <v>224.02856784532418</v>
      </c>
      <c r="M100" s="163">
        <v>438.28257058230128</v>
      </c>
      <c r="N100" s="163" t="s">
        <v>563</v>
      </c>
      <c r="O100" s="163" t="s">
        <v>563</v>
      </c>
      <c r="P100" s="163" t="s">
        <v>563</v>
      </c>
      <c r="Q100" s="163" t="s">
        <v>563</v>
      </c>
      <c r="R100" s="163" t="s">
        <v>563</v>
      </c>
      <c r="S100" s="163" t="s">
        <v>563</v>
      </c>
      <c r="T100" s="163" t="s">
        <v>563</v>
      </c>
      <c r="U100" s="163" t="s">
        <v>563</v>
      </c>
    </row>
    <row r="101" spans="1:21" x14ac:dyDescent="0.15">
      <c r="A101" s="161" t="s">
        <v>715</v>
      </c>
      <c r="B101" s="162" t="s">
        <v>716</v>
      </c>
      <c r="C101" s="162" t="s">
        <v>717</v>
      </c>
      <c r="D101" s="162"/>
      <c r="E101" s="163">
        <v>2376</v>
      </c>
      <c r="F101" s="163">
        <v>2998</v>
      </c>
      <c r="G101" s="163">
        <v>5065</v>
      </c>
      <c r="H101" s="163">
        <v>4099</v>
      </c>
      <c r="I101" s="163">
        <v>3366</v>
      </c>
      <c r="J101" s="163">
        <v>4806.3448805154712</v>
      </c>
      <c r="K101" s="163">
        <v>5609.2118334118804</v>
      </c>
      <c r="L101" s="163">
        <v>6040.3242826141623</v>
      </c>
      <c r="M101" s="163">
        <v>6964.2673824233298</v>
      </c>
      <c r="N101" s="163">
        <v>8841.6364646159273</v>
      </c>
      <c r="O101" s="163">
        <v>11291.855037095827</v>
      </c>
      <c r="P101" s="163">
        <v>12611.682286774281</v>
      </c>
      <c r="Q101" s="163">
        <v>14476.013252223314</v>
      </c>
      <c r="R101" s="163">
        <v>15881.912116904179</v>
      </c>
      <c r="S101" s="163" t="s">
        <v>563</v>
      </c>
      <c r="T101" s="163" t="s">
        <v>563</v>
      </c>
      <c r="U101" s="163" t="s">
        <v>563</v>
      </c>
    </row>
    <row r="102" spans="1:21" x14ac:dyDescent="0.15">
      <c r="A102" s="161" t="s">
        <v>718</v>
      </c>
      <c r="B102" s="162" t="s">
        <v>719</v>
      </c>
      <c r="C102" s="162" t="s">
        <v>720</v>
      </c>
      <c r="D102" s="162"/>
      <c r="E102" s="163">
        <v>15.377645459840785</v>
      </c>
      <c r="F102" s="163">
        <v>16.869232500562685</v>
      </c>
      <c r="G102" s="163">
        <v>23.608651067400018</v>
      </c>
      <c r="H102" s="163">
        <v>16.156241377951204</v>
      </c>
      <c r="I102" s="163">
        <v>12.23199360418635</v>
      </c>
      <c r="J102" s="163">
        <v>15.946273765736144</v>
      </c>
      <c r="K102" s="163">
        <v>17.179242725433092</v>
      </c>
      <c r="L102" s="163">
        <v>16.892937409076787</v>
      </c>
      <c r="M102" s="163">
        <v>19.001292396444811</v>
      </c>
      <c r="N102" s="163">
        <v>20.623864135330685</v>
      </c>
      <c r="O102" s="163">
        <v>21.643374859943727</v>
      </c>
      <c r="P102" s="163">
        <v>21.659660344685175</v>
      </c>
      <c r="Q102" s="163">
        <v>22.672019729471497</v>
      </c>
      <c r="R102" s="163">
        <v>22.683290809390858</v>
      </c>
      <c r="S102" s="163" t="s">
        <v>563</v>
      </c>
      <c r="T102" s="163" t="s">
        <v>563</v>
      </c>
      <c r="U102" s="163" t="s">
        <v>563</v>
      </c>
    </row>
    <row r="103" spans="1:21" x14ac:dyDescent="0.15">
      <c r="A103" s="161" t="s">
        <v>566</v>
      </c>
      <c r="B103" s="162"/>
      <c r="C103" s="162"/>
      <c r="D103" s="162"/>
      <c r="E103" s="163"/>
      <c r="F103" s="163"/>
      <c r="G103" s="163"/>
      <c r="H103" s="163"/>
      <c r="I103" s="163"/>
      <c r="J103" s="163"/>
      <c r="K103" s="163"/>
      <c r="L103" s="163"/>
      <c r="M103" s="163"/>
      <c r="N103" s="163"/>
      <c r="O103" s="163"/>
      <c r="P103" s="163"/>
      <c r="Q103" s="163"/>
      <c r="R103" s="163"/>
      <c r="S103" s="163"/>
      <c r="T103" s="163"/>
      <c r="U103" s="163"/>
    </row>
    <row r="104" spans="1:21" x14ac:dyDescent="0.15">
      <c r="A104" s="164" t="s">
        <v>721</v>
      </c>
      <c r="B104" s="165" t="s">
        <v>722</v>
      </c>
      <c r="C104" s="165" t="s">
        <v>83</v>
      </c>
      <c r="D104" s="165"/>
      <c r="E104" s="166">
        <v>319</v>
      </c>
      <c r="F104" s="166">
        <v>539</v>
      </c>
      <c r="G104" s="166">
        <v>863</v>
      </c>
      <c r="H104" s="166">
        <v>-70</v>
      </c>
      <c r="I104" s="166">
        <v>947</v>
      </c>
      <c r="J104" s="166">
        <v>897.31969439810894</v>
      </c>
      <c r="K104" s="163">
        <v>1042.1909092798862</v>
      </c>
      <c r="L104" s="163">
        <v>1121.8686814066714</v>
      </c>
      <c r="M104" s="163">
        <v>1118.962668322225</v>
      </c>
      <c r="N104" s="163">
        <v>1571.503526309277</v>
      </c>
      <c r="O104" s="163">
        <v>1919.6153563062908</v>
      </c>
      <c r="P104" s="163">
        <v>2143.9859887516282</v>
      </c>
      <c r="Q104" s="163">
        <v>2460.9222528779637</v>
      </c>
      <c r="R104" s="163">
        <v>2699.9250598737108</v>
      </c>
      <c r="S104" s="163" t="s">
        <v>563</v>
      </c>
      <c r="T104" s="163" t="s">
        <v>563</v>
      </c>
      <c r="U104" s="163" t="s">
        <v>563</v>
      </c>
    </row>
    <row r="105" spans="1:21" x14ac:dyDescent="0.15">
      <c r="A105" s="161" t="s">
        <v>723</v>
      </c>
      <c r="B105" s="162" t="s">
        <v>724</v>
      </c>
      <c r="C105" s="162" t="s">
        <v>725</v>
      </c>
      <c r="D105" s="162"/>
      <c r="E105" s="163">
        <v>13.425925925925926</v>
      </c>
      <c r="F105" s="163">
        <v>17.978652434956636</v>
      </c>
      <c r="G105" s="163">
        <v>17.038499506416585</v>
      </c>
      <c r="H105" s="163" t="s">
        <v>563</v>
      </c>
      <c r="I105" s="163">
        <v>28.134284016636958</v>
      </c>
      <c r="J105" s="163">
        <v>18.992563239012746</v>
      </c>
      <c r="K105" s="163">
        <v>18.379528597931163</v>
      </c>
      <c r="L105" s="163">
        <v>18.024058762815862</v>
      </c>
      <c r="M105" s="163">
        <v>17.458461983004646</v>
      </c>
      <c r="N105" s="163">
        <v>17.843173846507483</v>
      </c>
      <c r="O105" s="163">
        <v>17</v>
      </c>
      <c r="P105" s="163">
        <v>17.000000000000004</v>
      </c>
      <c r="Q105" s="163">
        <v>17</v>
      </c>
      <c r="R105" s="163">
        <v>17</v>
      </c>
      <c r="S105" s="163" t="s">
        <v>563</v>
      </c>
      <c r="T105" s="163" t="s">
        <v>563</v>
      </c>
      <c r="U105" s="163" t="s">
        <v>563</v>
      </c>
    </row>
    <row r="106" spans="1:21" x14ac:dyDescent="0.15">
      <c r="A106" s="161" t="s">
        <v>566</v>
      </c>
      <c r="B106" s="162"/>
      <c r="C106" s="162"/>
      <c r="D106" s="162"/>
      <c r="E106" s="163"/>
      <c r="F106" s="163"/>
      <c r="G106" s="163"/>
      <c r="H106" s="163"/>
      <c r="I106" s="163"/>
      <c r="J106" s="163"/>
      <c r="K106" s="163"/>
      <c r="L106" s="163"/>
      <c r="M106" s="163"/>
      <c r="N106" s="163"/>
      <c r="O106" s="163"/>
      <c r="P106" s="163"/>
      <c r="Q106" s="163"/>
      <c r="R106" s="163"/>
      <c r="S106" s="163"/>
      <c r="T106" s="163"/>
      <c r="U106" s="163"/>
    </row>
    <row r="107" spans="1:21" x14ac:dyDescent="0.15">
      <c r="A107" s="161" t="s">
        <v>726</v>
      </c>
      <c r="B107" s="162" t="s">
        <v>727</v>
      </c>
      <c r="C107" s="162" t="s">
        <v>28</v>
      </c>
      <c r="D107" s="162"/>
      <c r="E107" s="163">
        <v>2057</v>
      </c>
      <c r="F107" s="163">
        <v>2459</v>
      </c>
      <c r="G107" s="163">
        <v>4202</v>
      </c>
      <c r="H107" s="163">
        <v>4169</v>
      </c>
      <c r="I107" s="163">
        <v>2419</v>
      </c>
      <c r="J107" s="163">
        <v>3857.6571428571428</v>
      </c>
      <c r="K107" s="163">
        <v>4608.0857142857139</v>
      </c>
      <c r="L107" s="163">
        <v>5209.125</v>
      </c>
      <c r="M107" s="163">
        <v>5232</v>
      </c>
      <c r="N107" s="163">
        <v>7270</v>
      </c>
      <c r="O107" s="163">
        <v>9372</v>
      </c>
      <c r="P107" s="163">
        <v>10468</v>
      </c>
      <c r="Q107" s="163">
        <v>12015</v>
      </c>
      <c r="R107" s="163">
        <v>13182</v>
      </c>
      <c r="S107" s="163" t="s">
        <v>563</v>
      </c>
      <c r="T107" s="163" t="s">
        <v>563</v>
      </c>
      <c r="U107" s="163" t="s">
        <v>563</v>
      </c>
    </row>
    <row r="108" spans="1:21" x14ac:dyDescent="0.15">
      <c r="A108" s="161" t="s">
        <v>728</v>
      </c>
      <c r="B108" s="162" t="s">
        <v>729</v>
      </c>
      <c r="C108" s="162" t="s">
        <v>730</v>
      </c>
      <c r="D108" s="162"/>
      <c r="E108" s="163">
        <v>13.313054171251052</v>
      </c>
      <c r="F108" s="163">
        <v>13.836371820841773</v>
      </c>
      <c r="G108" s="163">
        <v>19.586091171809453</v>
      </c>
      <c r="H108" s="163">
        <v>16.43214693941902</v>
      </c>
      <c r="I108" s="163">
        <v>8.7906097826876959</v>
      </c>
      <c r="J108" s="163">
        <v>13.08445592881653</v>
      </c>
      <c r="K108" s="163">
        <v>14.226980549608532</v>
      </c>
      <c r="L108" s="163">
        <v>14.151684465227396</v>
      </c>
      <c r="M108" s="163">
        <v>15.771072689049193</v>
      </c>
      <c r="N108" s="163">
        <v>17.11780723232447</v>
      </c>
      <c r="O108" s="163">
        <v>17.964001133753289</v>
      </c>
      <c r="P108" s="163">
        <v>17.977518086088693</v>
      </c>
      <c r="Q108" s="163">
        <v>18.817776375461339</v>
      </c>
      <c r="R108" s="163">
        <v>18.827131371794412</v>
      </c>
      <c r="S108" s="163" t="s">
        <v>563</v>
      </c>
      <c r="T108" s="163" t="s">
        <v>563</v>
      </c>
      <c r="U108" s="163" t="s">
        <v>563</v>
      </c>
    </row>
    <row r="109" spans="1:21" x14ac:dyDescent="0.15">
      <c r="A109" s="161" t="s">
        <v>566</v>
      </c>
      <c r="B109" s="162"/>
      <c r="C109" s="162"/>
      <c r="D109" s="162"/>
      <c r="E109" s="163"/>
      <c r="F109" s="163"/>
      <c r="G109" s="163"/>
      <c r="H109" s="163"/>
      <c r="I109" s="163"/>
      <c r="J109" s="163"/>
      <c r="K109" s="163"/>
      <c r="L109" s="163"/>
      <c r="M109" s="163"/>
      <c r="N109" s="163"/>
      <c r="O109" s="163"/>
      <c r="P109" s="163"/>
      <c r="Q109" s="163"/>
      <c r="R109" s="163"/>
      <c r="S109" s="163"/>
      <c r="T109" s="163"/>
      <c r="U109" s="163"/>
    </row>
    <row r="110" spans="1:21" x14ac:dyDescent="0.15">
      <c r="A110" s="161" t="s">
        <v>731</v>
      </c>
      <c r="B110" s="162" t="s">
        <v>732</v>
      </c>
      <c r="C110" s="162" t="s">
        <v>733</v>
      </c>
      <c r="D110" s="162"/>
      <c r="E110" s="163">
        <v>1184</v>
      </c>
      <c r="F110" s="163">
        <v>1174</v>
      </c>
      <c r="G110" s="163">
        <v>1173</v>
      </c>
      <c r="H110" s="163">
        <v>1174</v>
      </c>
      <c r="I110" s="163">
        <v>1154</v>
      </c>
      <c r="J110" s="163">
        <v>1118.2580607944399</v>
      </c>
      <c r="K110" s="163">
        <v>1090.9436127931378</v>
      </c>
      <c r="L110" s="163">
        <v>1066.3791904797786</v>
      </c>
      <c r="M110" s="163">
        <v>1053.625539935055</v>
      </c>
      <c r="N110" s="163">
        <v>1030.6739315332807</v>
      </c>
      <c r="O110" s="163" t="s">
        <v>563</v>
      </c>
      <c r="P110" s="163" t="s">
        <v>563</v>
      </c>
      <c r="Q110" s="163" t="s">
        <v>563</v>
      </c>
      <c r="R110" s="163" t="s">
        <v>563</v>
      </c>
      <c r="S110" s="163" t="s">
        <v>563</v>
      </c>
      <c r="T110" s="163" t="s">
        <v>563</v>
      </c>
      <c r="U110" s="163" t="s">
        <v>563</v>
      </c>
    </row>
    <row r="111" spans="1:21" x14ac:dyDescent="0.15">
      <c r="A111" s="161" t="s">
        <v>734</v>
      </c>
      <c r="B111" s="162" t="s">
        <v>735</v>
      </c>
      <c r="C111" s="162"/>
      <c r="D111" s="162"/>
      <c r="E111" s="163">
        <v>1.74</v>
      </c>
      <c r="F111" s="163">
        <v>2.09</v>
      </c>
      <c r="G111" s="163">
        <v>3.58</v>
      </c>
      <c r="H111" s="163">
        <v>3.55</v>
      </c>
      <c r="I111" s="163">
        <v>2.1</v>
      </c>
      <c r="J111" s="163">
        <v>3.4964287483993197</v>
      </c>
      <c r="K111" s="163">
        <v>4.1714994553224694</v>
      </c>
      <c r="L111" s="163">
        <v>4.3870797218362281</v>
      </c>
      <c r="M111" s="163">
        <v>5.1264203012443899</v>
      </c>
      <c r="N111" s="163">
        <v>6.4023871629444713</v>
      </c>
      <c r="O111" s="163" t="s">
        <v>563</v>
      </c>
      <c r="P111" s="163" t="s">
        <v>563</v>
      </c>
      <c r="Q111" s="163" t="s">
        <v>563</v>
      </c>
      <c r="R111" s="163" t="s">
        <v>563</v>
      </c>
      <c r="S111" s="163" t="s">
        <v>563</v>
      </c>
      <c r="T111" s="163" t="s">
        <v>563</v>
      </c>
      <c r="U111" s="163" t="s">
        <v>563</v>
      </c>
    </row>
    <row r="112" spans="1:21" x14ac:dyDescent="0.15">
      <c r="A112" s="161" t="s">
        <v>566</v>
      </c>
      <c r="B112" s="162"/>
      <c r="C112" s="162"/>
      <c r="D112" s="162"/>
      <c r="E112" s="163"/>
      <c r="F112" s="163"/>
      <c r="G112" s="163"/>
      <c r="H112" s="163"/>
      <c r="I112" s="163"/>
      <c r="J112" s="163"/>
      <c r="K112" s="163"/>
      <c r="L112" s="163"/>
      <c r="M112" s="163"/>
      <c r="N112" s="163"/>
      <c r="O112" s="163"/>
      <c r="P112" s="163"/>
      <c r="Q112" s="163"/>
      <c r="R112" s="163"/>
      <c r="S112" s="163"/>
      <c r="T112" s="163"/>
      <c r="U112" s="163"/>
    </row>
    <row r="113" spans="1:21" x14ac:dyDescent="0.15">
      <c r="A113" s="161" t="s">
        <v>736</v>
      </c>
      <c r="B113" s="162" t="s">
        <v>737</v>
      </c>
      <c r="C113" s="162" t="s">
        <v>738</v>
      </c>
      <c r="D113" s="162"/>
      <c r="E113" s="163">
        <v>1203</v>
      </c>
      <c r="F113" s="163">
        <v>1188</v>
      </c>
      <c r="G113" s="163">
        <v>1187</v>
      </c>
      <c r="H113" s="163">
        <v>1186</v>
      </c>
      <c r="I113" s="163">
        <v>1158</v>
      </c>
      <c r="J113" s="163">
        <v>1123.7409927530894</v>
      </c>
      <c r="K113" s="163">
        <v>1095.9011366702448</v>
      </c>
      <c r="L113" s="163">
        <v>1069.2472968536963</v>
      </c>
      <c r="M113" s="163">
        <v>1054.5935651142554</v>
      </c>
      <c r="N113" s="163">
        <v>1017.5062116954639</v>
      </c>
      <c r="O113" s="163">
        <v>937.92113621828457</v>
      </c>
      <c r="P113" s="163">
        <v>889.42769404548289</v>
      </c>
      <c r="Q113" s="163">
        <v>838.34513591251709</v>
      </c>
      <c r="R113" s="163">
        <v>784.90883599758399</v>
      </c>
      <c r="S113" s="163" t="s">
        <v>563</v>
      </c>
      <c r="T113" s="163" t="s">
        <v>563</v>
      </c>
      <c r="U113" s="163" t="s">
        <v>563</v>
      </c>
    </row>
    <row r="114" spans="1:21" x14ac:dyDescent="0.15">
      <c r="A114" s="161" t="s">
        <v>739</v>
      </c>
      <c r="B114" s="162" t="s">
        <v>740</v>
      </c>
      <c r="C114" s="162" t="s">
        <v>89</v>
      </c>
      <c r="D114" s="162"/>
      <c r="E114" s="163">
        <v>1.71</v>
      </c>
      <c r="F114" s="163">
        <v>2.0699999999999998</v>
      </c>
      <c r="G114" s="163">
        <v>3.54</v>
      </c>
      <c r="H114" s="163">
        <v>3.52</v>
      </c>
      <c r="I114" s="163">
        <v>2.09</v>
      </c>
      <c r="J114" s="163">
        <v>3.5240624999999999</v>
      </c>
      <c r="K114" s="163">
        <v>4.2781250000000002</v>
      </c>
      <c r="L114" s="163">
        <v>4.8500000000000005</v>
      </c>
      <c r="M114" s="163">
        <v>5.5175000000000001</v>
      </c>
      <c r="N114" s="163">
        <v>7.165</v>
      </c>
      <c r="O114" s="163">
        <v>9.99</v>
      </c>
      <c r="P114" s="163">
        <v>11.77</v>
      </c>
      <c r="Q114" s="163">
        <v>14.33</v>
      </c>
      <c r="R114" s="163">
        <v>16.79</v>
      </c>
      <c r="S114" s="163" t="s">
        <v>563</v>
      </c>
      <c r="T114" s="163" t="s">
        <v>563</v>
      </c>
      <c r="U114" s="163" t="s">
        <v>563</v>
      </c>
    </row>
    <row r="115" spans="1:21" x14ac:dyDescent="0.15">
      <c r="A115" s="161" t="s">
        <v>566</v>
      </c>
      <c r="B115" s="162"/>
      <c r="C115" s="162"/>
      <c r="D115" s="162"/>
      <c r="E115" s="163"/>
      <c r="F115" s="163"/>
      <c r="G115" s="163"/>
      <c r="H115" s="163"/>
      <c r="I115" s="163"/>
      <c r="J115" s="163"/>
      <c r="K115" s="163"/>
      <c r="L115" s="163"/>
      <c r="M115" s="163"/>
      <c r="N115" s="163"/>
      <c r="O115" s="163"/>
      <c r="P115" s="163"/>
      <c r="Q115" s="163"/>
      <c r="R115" s="163"/>
      <c r="S115" s="163"/>
      <c r="T115" s="163"/>
      <c r="U115" s="163"/>
    </row>
    <row r="116" spans="1:21" x14ac:dyDescent="0.15">
      <c r="A116" s="161" t="s">
        <v>741</v>
      </c>
      <c r="B116" s="162"/>
      <c r="C116" s="162" t="s">
        <v>742</v>
      </c>
      <c r="D116" s="162"/>
      <c r="E116" s="163"/>
      <c r="F116" s="163"/>
      <c r="G116" s="163"/>
      <c r="H116" s="163"/>
      <c r="I116" s="163"/>
      <c r="J116" s="163"/>
      <c r="K116" s="163"/>
      <c r="L116" s="163"/>
      <c r="M116" s="163"/>
      <c r="N116" s="163"/>
      <c r="O116" s="163"/>
      <c r="P116" s="163"/>
      <c r="Q116" s="163"/>
      <c r="R116" s="163"/>
      <c r="S116" s="163"/>
      <c r="T116" s="163"/>
      <c r="U116" s="163"/>
    </row>
    <row r="117" spans="1:21" x14ac:dyDescent="0.15">
      <c r="A117" s="161" t="s">
        <v>743</v>
      </c>
      <c r="B117" s="162" t="s">
        <v>744</v>
      </c>
      <c r="C117" s="162" t="s">
        <v>745</v>
      </c>
      <c r="D117" s="162"/>
      <c r="E117" s="163">
        <v>12102</v>
      </c>
      <c r="F117" s="163">
        <v>13641</v>
      </c>
      <c r="G117" s="163">
        <v>18165</v>
      </c>
      <c r="H117" s="163">
        <v>21109</v>
      </c>
      <c r="I117" s="163">
        <v>21648</v>
      </c>
      <c r="J117" s="163">
        <v>23043.107611817679</v>
      </c>
      <c r="K117" s="163">
        <v>25056.568441410225</v>
      </c>
      <c r="L117" s="163">
        <v>28191.287573344336</v>
      </c>
      <c r="M117" s="163">
        <v>30677.662748957133</v>
      </c>
      <c r="N117" s="163">
        <v>33504.089820418994</v>
      </c>
      <c r="O117" s="163">
        <v>40694.424903370382</v>
      </c>
      <c r="P117" s="163">
        <v>45416.742585706153</v>
      </c>
      <c r="Q117" s="163">
        <v>49164.257693912077</v>
      </c>
      <c r="R117" s="163">
        <v>53912.249473755342</v>
      </c>
      <c r="S117" s="163" t="s">
        <v>563</v>
      </c>
      <c r="T117" s="163" t="s">
        <v>563</v>
      </c>
      <c r="U117" s="163" t="s">
        <v>563</v>
      </c>
    </row>
    <row r="118" spans="1:21" x14ac:dyDescent="0.15">
      <c r="A118" s="161" t="s">
        <v>746</v>
      </c>
      <c r="B118" s="162" t="s">
        <v>747</v>
      </c>
      <c r="C118" s="162" t="s">
        <v>674</v>
      </c>
      <c r="D118" s="162"/>
      <c r="E118" s="163">
        <v>1224</v>
      </c>
      <c r="F118" s="163">
        <v>1408</v>
      </c>
      <c r="G118" s="163">
        <v>1519</v>
      </c>
      <c r="H118" s="163">
        <v>1790</v>
      </c>
      <c r="I118" s="163">
        <v>1845</v>
      </c>
      <c r="J118" s="163">
        <v>1863.5684570321973</v>
      </c>
      <c r="K118" s="163">
        <v>2049.1817601565531</v>
      </c>
      <c r="L118" s="163">
        <v>2340.8962044460927</v>
      </c>
      <c r="M118" s="163">
        <v>1980.3370408613946</v>
      </c>
      <c r="N118" s="163">
        <v>2018.5467743762936</v>
      </c>
      <c r="O118" s="163" t="s">
        <v>563</v>
      </c>
      <c r="P118" s="163" t="s">
        <v>563</v>
      </c>
      <c r="Q118" s="163" t="s">
        <v>563</v>
      </c>
      <c r="R118" s="163" t="s">
        <v>563</v>
      </c>
      <c r="S118" s="163" t="s">
        <v>563</v>
      </c>
      <c r="T118" s="163" t="s">
        <v>563</v>
      </c>
      <c r="U118" s="163" t="s">
        <v>563</v>
      </c>
    </row>
    <row r="119" spans="1:21" x14ac:dyDescent="0.15">
      <c r="A119" s="161" t="s">
        <v>748</v>
      </c>
      <c r="B119" s="162" t="s">
        <v>749</v>
      </c>
      <c r="C119" s="162" t="s">
        <v>677</v>
      </c>
      <c r="D119" s="162"/>
      <c r="E119" s="163">
        <v>1090</v>
      </c>
      <c r="F119" s="163">
        <v>1127</v>
      </c>
      <c r="G119" s="163">
        <v>1507</v>
      </c>
      <c r="H119" s="163">
        <v>2082</v>
      </c>
      <c r="I119" s="163">
        <v>1885</v>
      </c>
      <c r="J119" s="163">
        <v>1864.8220404785709</v>
      </c>
      <c r="K119" s="163">
        <v>2071.1429030723029</v>
      </c>
      <c r="L119" s="163">
        <v>2292.4339491318556</v>
      </c>
      <c r="M119" s="163">
        <v>2142.3638605145634</v>
      </c>
      <c r="N119" s="163">
        <v>2193.4384337766951</v>
      </c>
      <c r="O119" s="163" t="s">
        <v>563</v>
      </c>
      <c r="P119" s="163" t="s">
        <v>563</v>
      </c>
      <c r="Q119" s="163" t="s">
        <v>563</v>
      </c>
      <c r="R119" s="163" t="s">
        <v>563</v>
      </c>
      <c r="S119" s="163" t="s">
        <v>563</v>
      </c>
      <c r="T119" s="163" t="s">
        <v>563</v>
      </c>
      <c r="U119" s="163" t="s">
        <v>563</v>
      </c>
    </row>
    <row r="120" spans="1:21" x14ac:dyDescent="0.15">
      <c r="A120" s="161" t="s">
        <v>750</v>
      </c>
      <c r="B120" s="162" t="s">
        <v>751</v>
      </c>
      <c r="C120" s="162" t="s">
        <v>680</v>
      </c>
      <c r="D120" s="162"/>
      <c r="E120" s="163">
        <v>1235</v>
      </c>
      <c r="F120" s="163">
        <v>1363</v>
      </c>
      <c r="G120" s="163">
        <v>1525</v>
      </c>
      <c r="H120" s="163">
        <v>1584</v>
      </c>
      <c r="I120" s="163">
        <v>1677</v>
      </c>
      <c r="J120" s="163">
        <v>1654.4501681741394</v>
      </c>
      <c r="K120" s="163">
        <v>1749.6689135223339</v>
      </c>
      <c r="L120" s="163">
        <v>1964.3944819136661</v>
      </c>
      <c r="M120" s="163">
        <v>2014.0848882497562</v>
      </c>
      <c r="N120" s="163">
        <v>2172.7901608872107</v>
      </c>
      <c r="O120" s="163" t="s">
        <v>563</v>
      </c>
      <c r="P120" s="163" t="s">
        <v>563</v>
      </c>
      <c r="Q120" s="163" t="s">
        <v>563</v>
      </c>
      <c r="R120" s="163" t="s">
        <v>563</v>
      </c>
      <c r="S120" s="163" t="s">
        <v>563</v>
      </c>
      <c r="T120" s="163" t="s">
        <v>563</v>
      </c>
      <c r="U120" s="163" t="s">
        <v>563</v>
      </c>
    </row>
    <row r="121" spans="1:21" x14ac:dyDescent="0.15">
      <c r="A121" s="161" t="s">
        <v>752</v>
      </c>
      <c r="B121" s="162" t="s">
        <v>753</v>
      </c>
      <c r="C121" s="162" t="s">
        <v>683</v>
      </c>
      <c r="D121" s="162"/>
      <c r="E121" s="163">
        <v>1454</v>
      </c>
      <c r="F121" s="163">
        <v>1573</v>
      </c>
      <c r="G121" s="163">
        <v>1840</v>
      </c>
      <c r="H121" s="163">
        <v>2236</v>
      </c>
      <c r="I121" s="163">
        <v>2496</v>
      </c>
      <c r="J121" s="163">
        <v>2388.8755709256207</v>
      </c>
      <c r="K121" s="163">
        <v>2539.7515925668217</v>
      </c>
      <c r="L121" s="163">
        <v>2668.4069054452748</v>
      </c>
      <c r="M121" s="163">
        <v>2336.9672545557419</v>
      </c>
      <c r="N121" s="163">
        <v>2516.6121798198078</v>
      </c>
      <c r="O121" s="163" t="s">
        <v>563</v>
      </c>
      <c r="P121" s="163" t="s">
        <v>563</v>
      </c>
      <c r="Q121" s="163" t="s">
        <v>563</v>
      </c>
      <c r="R121" s="163" t="s">
        <v>563</v>
      </c>
      <c r="S121" s="163" t="s">
        <v>563</v>
      </c>
      <c r="T121" s="163" t="s">
        <v>563</v>
      </c>
      <c r="U121" s="163" t="s">
        <v>563</v>
      </c>
    </row>
    <row r="122" spans="1:21" x14ac:dyDescent="0.15">
      <c r="A122" s="161" t="s">
        <v>754</v>
      </c>
      <c r="B122" s="162" t="s">
        <v>589</v>
      </c>
      <c r="C122" s="162" t="s">
        <v>701</v>
      </c>
      <c r="D122" s="162"/>
      <c r="E122" s="163">
        <v>3349</v>
      </c>
      <c r="F122" s="163">
        <v>4131</v>
      </c>
      <c r="G122" s="163">
        <v>5388</v>
      </c>
      <c r="H122" s="163">
        <v>6304</v>
      </c>
      <c r="I122" s="163">
        <v>5870</v>
      </c>
      <c r="J122" s="163">
        <v>6676.2</v>
      </c>
      <c r="K122" s="163">
        <v>7387.9268292682927</v>
      </c>
      <c r="L122" s="163">
        <v>8193.9047619047615</v>
      </c>
      <c r="M122" s="163">
        <v>8656.25</v>
      </c>
      <c r="N122" s="163">
        <v>10889</v>
      </c>
      <c r="O122" s="163">
        <v>14125</v>
      </c>
      <c r="P122" s="163">
        <v>16069</v>
      </c>
      <c r="Q122" s="163">
        <v>19107</v>
      </c>
      <c r="R122" s="163">
        <v>21821</v>
      </c>
      <c r="S122" s="163" t="s">
        <v>563</v>
      </c>
      <c r="T122" s="163" t="s">
        <v>563</v>
      </c>
      <c r="U122" s="163" t="s">
        <v>563</v>
      </c>
    </row>
    <row r="123" spans="1:21" x14ac:dyDescent="0.15">
      <c r="A123" s="161" t="s">
        <v>755</v>
      </c>
      <c r="B123" s="162" t="s">
        <v>591</v>
      </c>
      <c r="C123" s="162" t="s">
        <v>704</v>
      </c>
      <c r="D123" s="162"/>
      <c r="E123" s="163">
        <v>22</v>
      </c>
      <c r="F123" s="163">
        <v>23</v>
      </c>
      <c r="G123" s="163">
        <v>25</v>
      </c>
      <c r="H123" s="163">
        <v>25</v>
      </c>
      <c r="I123" s="163">
        <v>21</v>
      </c>
      <c r="J123" s="163">
        <v>22.783091187370726</v>
      </c>
      <c r="K123" s="163">
        <v>23.364227204558937</v>
      </c>
      <c r="L123" s="163">
        <v>23.150983524663665</v>
      </c>
      <c r="M123" s="163">
        <v>23.398096009434511</v>
      </c>
      <c r="N123" s="163">
        <v>25.829147321268643</v>
      </c>
      <c r="O123" s="163" t="s">
        <v>563</v>
      </c>
      <c r="P123" s="163" t="s">
        <v>563</v>
      </c>
      <c r="Q123" s="163" t="s">
        <v>563</v>
      </c>
      <c r="R123" s="163" t="s">
        <v>563</v>
      </c>
      <c r="S123" s="163" t="s">
        <v>563</v>
      </c>
      <c r="T123" s="163" t="s">
        <v>563</v>
      </c>
      <c r="U123" s="163" t="s">
        <v>563</v>
      </c>
    </row>
    <row r="124" spans="1:21" x14ac:dyDescent="0.15">
      <c r="A124" s="161" t="s">
        <v>756</v>
      </c>
      <c r="B124" s="162" t="s">
        <v>757</v>
      </c>
      <c r="C124" s="162" t="s">
        <v>707</v>
      </c>
      <c r="D124" s="162"/>
      <c r="E124" s="163">
        <v>627</v>
      </c>
      <c r="F124" s="163">
        <v>701</v>
      </c>
      <c r="G124" s="163">
        <v>739</v>
      </c>
      <c r="H124" s="163">
        <v>822</v>
      </c>
      <c r="I124" s="163">
        <v>846</v>
      </c>
      <c r="J124" s="163">
        <v>719.86048067602735</v>
      </c>
      <c r="K124" s="163">
        <v>788.29000358315943</v>
      </c>
      <c r="L124" s="163">
        <v>1126.3462296372015</v>
      </c>
      <c r="M124" s="163">
        <v>1220.009723979648</v>
      </c>
      <c r="N124" s="163">
        <v>1739.74363810164</v>
      </c>
      <c r="O124" s="163">
        <v>1956.46273573896</v>
      </c>
      <c r="P124" s="163">
        <v>2183.4972396974099</v>
      </c>
      <c r="Q124" s="163">
        <v>2394.3631993788299</v>
      </c>
      <c r="R124" s="163">
        <v>2625.5965652802902</v>
      </c>
      <c r="S124" s="163" t="s">
        <v>563</v>
      </c>
      <c r="T124" s="163" t="s">
        <v>563</v>
      </c>
      <c r="U124" s="163" t="s">
        <v>563</v>
      </c>
    </row>
    <row r="125" spans="1:21" x14ac:dyDescent="0.15">
      <c r="A125" s="161" t="s">
        <v>758</v>
      </c>
      <c r="B125" s="162" t="s">
        <v>759</v>
      </c>
      <c r="C125" s="162" t="s">
        <v>26</v>
      </c>
      <c r="D125" s="162"/>
      <c r="E125" s="163">
        <v>3979</v>
      </c>
      <c r="F125" s="163">
        <v>4832</v>
      </c>
      <c r="G125" s="163">
        <v>6127</v>
      </c>
      <c r="H125" s="163">
        <v>7128</v>
      </c>
      <c r="I125" s="163">
        <v>6716</v>
      </c>
      <c r="J125" s="163">
        <v>7317.95</v>
      </c>
      <c r="K125" s="163">
        <v>8194.3888888888887</v>
      </c>
      <c r="L125" s="163">
        <v>9093.375</v>
      </c>
      <c r="M125" s="163">
        <v>9187.5</v>
      </c>
      <c r="N125" s="163">
        <v>11598</v>
      </c>
      <c r="O125" s="163">
        <v>13550</v>
      </c>
      <c r="P125" s="163">
        <v>15109</v>
      </c>
      <c r="Q125" s="163">
        <v>17196</v>
      </c>
      <c r="R125" s="163">
        <v>18845</v>
      </c>
      <c r="S125" s="163" t="s">
        <v>563</v>
      </c>
      <c r="T125" s="163" t="s">
        <v>563</v>
      </c>
      <c r="U125" s="163" t="s">
        <v>563</v>
      </c>
    </row>
    <row r="126" spans="1:21" x14ac:dyDescent="0.15">
      <c r="A126" s="161" t="s">
        <v>760</v>
      </c>
      <c r="B126" s="162" t="s">
        <v>761</v>
      </c>
      <c r="C126" s="162" t="s">
        <v>717</v>
      </c>
      <c r="D126" s="162"/>
      <c r="E126" s="163">
        <v>3531</v>
      </c>
      <c r="F126" s="163">
        <v>4410</v>
      </c>
      <c r="G126" s="163">
        <v>7164</v>
      </c>
      <c r="H126" s="163">
        <v>6141</v>
      </c>
      <c r="I126" s="163">
        <v>3366</v>
      </c>
      <c r="J126" s="163">
        <v>6410.833333333333</v>
      </c>
      <c r="K126" s="163">
        <v>7111.32</v>
      </c>
      <c r="L126" s="163">
        <v>8217.7692307692305</v>
      </c>
      <c r="M126" s="163">
        <v>8674</v>
      </c>
      <c r="N126" s="163">
        <v>10240</v>
      </c>
      <c r="O126" s="163" t="s">
        <v>563</v>
      </c>
      <c r="P126" s="163" t="s">
        <v>563</v>
      </c>
      <c r="Q126" s="163" t="s">
        <v>563</v>
      </c>
      <c r="R126" s="163" t="s">
        <v>563</v>
      </c>
      <c r="S126" s="163" t="s">
        <v>563</v>
      </c>
      <c r="T126" s="163" t="s">
        <v>563</v>
      </c>
      <c r="U126" s="163" t="s">
        <v>563</v>
      </c>
    </row>
    <row r="127" spans="1:21" x14ac:dyDescent="0.15">
      <c r="A127" s="161" t="s">
        <v>762</v>
      </c>
      <c r="B127" s="162" t="s">
        <v>763</v>
      </c>
      <c r="C127" s="162"/>
      <c r="D127" s="162"/>
      <c r="E127" s="163">
        <v>18</v>
      </c>
      <c r="F127" s="163">
        <v>16</v>
      </c>
      <c r="G127" s="163">
        <v>0.12</v>
      </c>
      <c r="H127" s="163">
        <v>11</v>
      </c>
      <c r="I127" s="163">
        <v>16</v>
      </c>
      <c r="J127" s="163">
        <v>18.01565903492147</v>
      </c>
      <c r="K127" s="163">
        <v>17.847091351879225</v>
      </c>
      <c r="L127" s="163">
        <v>17.930408992311584</v>
      </c>
      <c r="M127" s="163">
        <v>17.999999999999982</v>
      </c>
      <c r="N127" s="163">
        <v>18.000000000000011</v>
      </c>
      <c r="O127" s="163" t="s">
        <v>563</v>
      </c>
      <c r="P127" s="163" t="s">
        <v>563</v>
      </c>
      <c r="Q127" s="163" t="s">
        <v>563</v>
      </c>
      <c r="R127" s="163" t="s">
        <v>563</v>
      </c>
      <c r="S127" s="163" t="s">
        <v>563</v>
      </c>
      <c r="T127" s="163" t="s">
        <v>563</v>
      </c>
      <c r="U127" s="163" t="s">
        <v>563</v>
      </c>
    </row>
    <row r="128" spans="1:21" x14ac:dyDescent="0.15">
      <c r="A128" s="161" t="s">
        <v>764</v>
      </c>
      <c r="B128" s="162" t="s">
        <v>765</v>
      </c>
      <c r="C128" s="162" t="s">
        <v>28</v>
      </c>
      <c r="D128" s="162"/>
      <c r="E128" s="163">
        <v>2913</v>
      </c>
      <c r="F128" s="163">
        <v>3684</v>
      </c>
      <c r="G128" s="163">
        <v>4605</v>
      </c>
      <c r="H128" s="163">
        <v>5455</v>
      </c>
      <c r="I128" s="163">
        <v>4782</v>
      </c>
      <c r="J128" s="163">
        <v>5476.4186046511632</v>
      </c>
      <c r="K128" s="163">
        <v>6166.5348837209303</v>
      </c>
      <c r="L128" s="163">
        <v>6831.45</v>
      </c>
      <c r="M128" s="163">
        <v>7562.5</v>
      </c>
      <c r="N128" s="163">
        <v>8396</v>
      </c>
      <c r="O128" s="163" t="s">
        <v>563</v>
      </c>
      <c r="P128" s="163" t="s">
        <v>563</v>
      </c>
      <c r="Q128" s="163" t="s">
        <v>563</v>
      </c>
      <c r="R128" s="163" t="s">
        <v>563</v>
      </c>
      <c r="S128" s="163" t="s">
        <v>563</v>
      </c>
      <c r="T128" s="163" t="s">
        <v>563</v>
      </c>
      <c r="U128" s="163" t="s">
        <v>563</v>
      </c>
    </row>
    <row r="129" spans="1:21" x14ac:dyDescent="0.15">
      <c r="A129" s="161" t="s">
        <v>766</v>
      </c>
      <c r="B129" s="162" t="s">
        <v>767</v>
      </c>
      <c r="C129" s="162" t="s">
        <v>730</v>
      </c>
      <c r="D129" s="162"/>
      <c r="E129" s="163">
        <v>18.853148663516926</v>
      </c>
      <c r="F129" s="163">
        <v>20.729237002025659</v>
      </c>
      <c r="G129" s="163">
        <v>21.464528759205741</v>
      </c>
      <c r="H129" s="163">
        <v>21.500926254384929</v>
      </c>
      <c r="I129" s="163">
        <v>17.377716403808417</v>
      </c>
      <c r="J129" s="163">
        <v>17.831335444865122</v>
      </c>
      <c r="K129" s="163">
        <v>18.270091366877764</v>
      </c>
      <c r="L129" s="163">
        <v>17.663985744021833</v>
      </c>
      <c r="M129" s="163">
        <v>8.2466825569929618</v>
      </c>
      <c r="N129" s="163">
        <v>8.0353685270173223</v>
      </c>
      <c r="O129" s="163" t="s">
        <v>563</v>
      </c>
      <c r="P129" s="163" t="s">
        <v>563</v>
      </c>
      <c r="Q129" s="163" t="s">
        <v>563</v>
      </c>
      <c r="R129" s="163" t="s">
        <v>563</v>
      </c>
      <c r="S129" s="163" t="s">
        <v>563</v>
      </c>
      <c r="T129" s="163" t="s">
        <v>563</v>
      </c>
      <c r="U129" s="163" t="s">
        <v>563</v>
      </c>
    </row>
    <row r="130" spans="1:21" x14ac:dyDescent="0.15">
      <c r="A130" s="161" t="s">
        <v>768</v>
      </c>
      <c r="B130" s="162" t="s">
        <v>769</v>
      </c>
      <c r="C130" s="162" t="s">
        <v>88</v>
      </c>
      <c r="D130" s="162"/>
      <c r="E130" s="163">
        <v>2.42</v>
      </c>
      <c r="F130" s="163">
        <v>3.1</v>
      </c>
      <c r="G130" s="163">
        <v>3.88</v>
      </c>
      <c r="H130" s="163">
        <v>4.5999999999999996</v>
      </c>
      <c r="I130" s="163">
        <v>4.13</v>
      </c>
      <c r="J130" s="163">
        <v>4.8719521866938171</v>
      </c>
      <c r="K130" s="163">
        <v>5.5966362555499325</v>
      </c>
      <c r="L130" s="163">
        <v>6.1628054880785053</v>
      </c>
      <c r="M130" s="163">
        <v>6.9038208087296775</v>
      </c>
      <c r="N130" s="163">
        <v>8.1465683860374511</v>
      </c>
      <c r="O130" s="163" t="s">
        <v>563</v>
      </c>
      <c r="P130" s="163" t="s">
        <v>563</v>
      </c>
      <c r="Q130" s="163" t="s">
        <v>563</v>
      </c>
      <c r="R130" s="163" t="s">
        <v>563</v>
      </c>
      <c r="S130" s="163" t="s">
        <v>563</v>
      </c>
      <c r="T130" s="163" t="s">
        <v>563</v>
      </c>
      <c r="U130" s="163" t="s">
        <v>563</v>
      </c>
    </row>
    <row r="131" spans="1:21" x14ac:dyDescent="0.15">
      <c r="A131" s="161" t="s">
        <v>770</v>
      </c>
      <c r="B131" s="162" t="s">
        <v>561</v>
      </c>
      <c r="C131" s="162" t="s">
        <v>89</v>
      </c>
      <c r="D131" s="162"/>
      <c r="E131" s="163">
        <v>2.42</v>
      </c>
      <c r="F131" s="163">
        <v>3.1</v>
      </c>
      <c r="G131" s="163">
        <v>3.88</v>
      </c>
      <c r="H131" s="163">
        <v>4.5999999999999996</v>
      </c>
      <c r="I131" s="163">
        <v>4.13</v>
      </c>
      <c r="J131" s="163">
        <v>4.881702127659576</v>
      </c>
      <c r="K131" s="163">
        <v>5.6139130434782611</v>
      </c>
      <c r="L131" s="163">
        <v>6.4522727272727272</v>
      </c>
      <c r="M131" s="163">
        <v>7.1625000000000005</v>
      </c>
      <c r="N131" s="163">
        <v>8.0399999999999991</v>
      </c>
      <c r="O131" s="163" t="s">
        <v>563</v>
      </c>
      <c r="P131" s="163" t="s">
        <v>563</v>
      </c>
      <c r="Q131" s="163" t="s">
        <v>563</v>
      </c>
      <c r="R131" s="163" t="s">
        <v>563</v>
      </c>
      <c r="S131" s="163" t="s">
        <v>563</v>
      </c>
      <c r="T131" s="163" t="s">
        <v>563</v>
      </c>
      <c r="U131" s="163" t="s">
        <v>563</v>
      </c>
    </row>
    <row r="132" spans="1:21" x14ac:dyDescent="0.15">
      <c r="A132" s="161" t="s">
        <v>566</v>
      </c>
      <c r="B132" s="162"/>
      <c r="C132" s="162"/>
      <c r="D132" s="162"/>
      <c r="E132" s="163"/>
      <c r="F132" s="163"/>
      <c r="G132" s="163"/>
      <c r="H132" s="163"/>
      <c r="I132" s="163"/>
      <c r="J132" s="163"/>
      <c r="K132" s="163"/>
      <c r="L132" s="163"/>
      <c r="M132" s="163"/>
      <c r="N132" s="163"/>
      <c r="O132" s="163"/>
      <c r="P132" s="163"/>
      <c r="Q132" s="163"/>
      <c r="R132" s="163"/>
      <c r="S132" s="163"/>
      <c r="T132" s="163"/>
      <c r="U132" s="163"/>
    </row>
    <row r="133" spans="1:21" x14ac:dyDescent="0.15">
      <c r="A133" s="161" t="s">
        <v>771</v>
      </c>
      <c r="B133" s="162"/>
      <c r="C133" s="162" t="s">
        <v>772</v>
      </c>
      <c r="D133" s="162"/>
      <c r="E133" s="163"/>
      <c r="F133" s="163"/>
      <c r="G133" s="163"/>
      <c r="H133" s="163"/>
      <c r="I133" s="163"/>
      <c r="J133" s="163"/>
      <c r="K133" s="163"/>
      <c r="L133" s="163"/>
      <c r="M133" s="163"/>
      <c r="N133" s="163"/>
      <c r="O133" s="163"/>
      <c r="P133" s="163"/>
      <c r="Q133" s="163"/>
      <c r="R133" s="163"/>
      <c r="S133" s="163"/>
      <c r="T133" s="163"/>
      <c r="U133" s="163"/>
    </row>
    <row r="134" spans="1:21" x14ac:dyDescent="0.15">
      <c r="A134" s="161" t="s">
        <v>773</v>
      </c>
      <c r="B134" s="162"/>
      <c r="C134" s="162" t="s">
        <v>774</v>
      </c>
      <c r="D134" s="162"/>
      <c r="E134" s="163"/>
      <c r="F134" s="163"/>
      <c r="G134" s="163"/>
      <c r="H134" s="163"/>
      <c r="I134" s="163"/>
      <c r="J134" s="163"/>
      <c r="K134" s="163"/>
      <c r="L134" s="163"/>
      <c r="M134" s="163"/>
      <c r="N134" s="163"/>
      <c r="O134" s="163"/>
      <c r="P134" s="163"/>
      <c r="Q134" s="163"/>
      <c r="R134" s="163"/>
      <c r="S134" s="163"/>
      <c r="T134" s="163"/>
      <c r="U134" s="163"/>
    </row>
    <row r="135" spans="1:21" x14ac:dyDescent="0.15">
      <c r="A135" s="161" t="s">
        <v>775</v>
      </c>
      <c r="B135" s="162" t="s">
        <v>776</v>
      </c>
      <c r="C135" s="162" t="s">
        <v>701</v>
      </c>
      <c r="D135" s="162"/>
      <c r="E135" s="163">
        <v>1155</v>
      </c>
      <c r="F135" s="163">
        <v>1412</v>
      </c>
      <c r="G135" s="163">
        <v>2099</v>
      </c>
      <c r="H135" s="163">
        <v>2042</v>
      </c>
      <c r="I135" s="163">
        <v>2033</v>
      </c>
      <c r="J135" s="163">
        <v>1997.7556107720945</v>
      </c>
      <c r="K135" s="163">
        <v>1990.6498416498521</v>
      </c>
      <c r="L135" s="163">
        <v>2134.1356368220468</v>
      </c>
      <c r="M135" s="163">
        <v>2024.8255797132733</v>
      </c>
      <c r="N135" s="163">
        <v>2124.3701984084278</v>
      </c>
      <c r="O135" s="163" t="s">
        <v>563</v>
      </c>
      <c r="P135" s="163" t="s">
        <v>563</v>
      </c>
      <c r="Q135" s="163" t="s">
        <v>563</v>
      </c>
      <c r="R135" s="163" t="s">
        <v>563</v>
      </c>
      <c r="S135" s="163" t="s">
        <v>563</v>
      </c>
      <c r="T135" s="163" t="s">
        <v>563</v>
      </c>
      <c r="U135" s="163" t="s">
        <v>563</v>
      </c>
    </row>
    <row r="136" spans="1:21" x14ac:dyDescent="0.15">
      <c r="A136" s="161" t="s">
        <v>777</v>
      </c>
      <c r="B136" s="162" t="s">
        <v>778</v>
      </c>
      <c r="C136" s="162" t="s">
        <v>779</v>
      </c>
      <c r="D136" s="162"/>
      <c r="E136" s="163">
        <v>920</v>
      </c>
      <c r="F136" s="163">
        <v>1104</v>
      </c>
      <c r="G136" s="163">
        <v>1472</v>
      </c>
      <c r="H136" s="163">
        <v>1539</v>
      </c>
      <c r="I136" s="163">
        <v>1355</v>
      </c>
      <c r="J136" s="163">
        <v>1452.598662899426</v>
      </c>
      <c r="K136" s="163">
        <v>1539.0088327187659</v>
      </c>
      <c r="L136" s="163">
        <v>1698.1760092194847</v>
      </c>
      <c r="M136" s="163">
        <v>2127.4712914296829</v>
      </c>
      <c r="N136" s="163">
        <v>1944.1397984084279</v>
      </c>
      <c r="O136" s="163" t="s">
        <v>563</v>
      </c>
      <c r="P136" s="163" t="s">
        <v>563</v>
      </c>
      <c r="Q136" s="163" t="s">
        <v>563</v>
      </c>
      <c r="R136" s="163" t="s">
        <v>563</v>
      </c>
      <c r="S136" s="163" t="s">
        <v>563</v>
      </c>
      <c r="T136" s="163" t="s">
        <v>563</v>
      </c>
      <c r="U136" s="163" t="s">
        <v>563</v>
      </c>
    </row>
    <row r="137" spans="1:21" x14ac:dyDescent="0.15">
      <c r="A137" s="161" t="s">
        <v>780</v>
      </c>
      <c r="B137" s="162" t="s">
        <v>781</v>
      </c>
      <c r="C137" s="162" t="s">
        <v>649</v>
      </c>
      <c r="D137" s="162"/>
      <c r="E137" s="163">
        <v>5.954307164584816</v>
      </c>
      <c r="F137" s="163">
        <v>6.2120189061444968</v>
      </c>
      <c r="G137" s="163">
        <v>6.8611913862216838</v>
      </c>
      <c r="H137" s="163">
        <v>6.0659808442710181</v>
      </c>
      <c r="I137" s="163">
        <v>4.924049712915183</v>
      </c>
      <c r="J137" s="163">
        <v>5.2513323774088132</v>
      </c>
      <c r="K137" s="163">
        <v>5.267205722252756</v>
      </c>
      <c r="L137" s="163">
        <v>5.1875</v>
      </c>
      <c r="M137" s="163">
        <v>4.375</v>
      </c>
      <c r="N137" s="163">
        <v>4.75</v>
      </c>
      <c r="O137" s="163" t="s">
        <v>563</v>
      </c>
      <c r="P137" s="163" t="s">
        <v>563</v>
      </c>
      <c r="Q137" s="163" t="s">
        <v>563</v>
      </c>
      <c r="R137" s="163" t="s">
        <v>563</v>
      </c>
      <c r="S137" s="163" t="s">
        <v>563</v>
      </c>
      <c r="T137" s="163" t="s">
        <v>563</v>
      </c>
      <c r="U137" s="163" t="s">
        <v>563</v>
      </c>
    </row>
    <row r="138" spans="1:21" x14ac:dyDescent="0.15">
      <c r="A138" s="161" t="s">
        <v>782</v>
      </c>
      <c r="B138" s="162" t="s">
        <v>783</v>
      </c>
      <c r="C138" s="162" t="s">
        <v>784</v>
      </c>
      <c r="D138" s="162"/>
      <c r="E138" s="163">
        <v>309</v>
      </c>
      <c r="F138" s="163">
        <v>71</v>
      </c>
      <c r="G138" s="163" t="s">
        <v>563</v>
      </c>
      <c r="H138" s="163">
        <v>62</v>
      </c>
      <c r="I138" s="163">
        <v>207</v>
      </c>
      <c r="J138" s="163">
        <v>81.046722129670286</v>
      </c>
      <c r="K138" s="163">
        <v>79.017964680989579</v>
      </c>
      <c r="L138" s="163">
        <v>80.23776912689209</v>
      </c>
      <c r="M138" s="163" t="s">
        <v>563</v>
      </c>
      <c r="N138" s="163" t="s">
        <v>563</v>
      </c>
      <c r="O138" s="163" t="s">
        <v>563</v>
      </c>
      <c r="P138" s="163" t="s">
        <v>563</v>
      </c>
      <c r="Q138" s="163" t="s">
        <v>563</v>
      </c>
      <c r="R138" s="163" t="s">
        <v>563</v>
      </c>
      <c r="S138" s="163" t="s">
        <v>563</v>
      </c>
      <c r="T138" s="163" t="s">
        <v>563</v>
      </c>
      <c r="U138" s="163" t="s">
        <v>563</v>
      </c>
    </row>
    <row r="139" spans="1:21" x14ac:dyDescent="0.15">
      <c r="A139" s="161" t="s">
        <v>785</v>
      </c>
      <c r="B139" s="162" t="s">
        <v>786</v>
      </c>
      <c r="C139" s="162"/>
      <c r="D139" s="162"/>
      <c r="E139" s="163">
        <v>309</v>
      </c>
      <c r="F139" s="163">
        <v>71</v>
      </c>
      <c r="G139" s="163">
        <v>139</v>
      </c>
      <c r="H139" s="163">
        <v>62</v>
      </c>
      <c r="I139" s="163">
        <v>207</v>
      </c>
      <c r="J139" s="163" t="s">
        <v>563</v>
      </c>
      <c r="K139" s="163" t="s">
        <v>563</v>
      </c>
      <c r="L139" s="163" t="s">
        <v>563</v>
      </c>
      <c r="M139" s="163" t="s">
        <v>563</v>
      </c>
      <c r="N139" s="163" t="s">
        <v>563</v>
      </c>
      <c r="O139" s="163" t="s">
        <v>563</v>
      </c>
      <c r="P139" s="163" t="s">
        <v>563</v>
      </c>
      <c r="Q139" s="163" t="s">
        <v>563</v>
      </c>
      <c r="R139" s="163" t="s">
        <v>563</v>
      </c>
      <c r="S139" s="163" t="s">
        <v>563</v>
      </c>
      <c r="T139" s="163" t="s">
        <v>563</v>
      </c>
      <c r="U139" s="163" t="s">
        <v>563</v>
      </c>
    </row>
    <row r="140" spans="1:21" x14ac:dyDescent="0.15">
      <c r="A140" s="161" t="s">
        <v>787</v>
      </c>
      <c r="B140" s="162" t="s">
        <v>788</v>
      </c>
      <c r="C140" s="162" t="s">
        <v>789</v>
      </c>
      <c r="D140" s="162"/>
      <c r="E140" s="163">
        <v>146</v>
      </c>
      <c r="F140" s="163">
        <v>211</v>
      </c>
      <c r="G140" s="163">
        <v>450</v>
      </c>
      <c r="H140" s="163">
        <v>441</v>
      </c>
      <c r="I140" s="163">
        <v>471</v>
      </c>
      <c r="J140" s="163">
        <v>419.29649862861214</v>
      </c>
      <c r="K140" s="163">
        <v>411.72160770780374</v>
      </c>
      <c r="L140" s="163">
        <v>393.1472410402468</v>
      </c>
      <c r="M140" s="163">
        <v>250.97438420549301</v>
      </c>
      <c r="N140" s="163">
        <v>148.11519999999999</v>
      </c>
      <c r="O140" s="163">
        <v>116</v>
      </c>
      <c r="P140" s="163">
        <v>116</v>
      </c>
      <c r="Q140" s="163">
        <v>116</v>
      </c>
      <c r="R140" s="163">
        <v>116</v>
      </c>
      <c r="S140" s="163" t="s">
        <v>563</v>
      </c>
      <c r="T140" s="163" t="s">
        <v>563</v>
      </c>
      <c r="U140" s="163" t="s">
        <v>563</v>
      </c>
    </row>
    <row r="141" spans="1:21" x14ac:dyDescent="0.15">
      <c r="A141" s="161" t="s">
        <v>790</v>
      </c>
      <c r="B141" s="162" t="s">
        <v>791</v>
      </c>
      <c r="C141" s="162" t="s">
        <v>792</v>
      </c>
      <c r="D141" s="162"/>
      <c r="E141" s="163">
        <v>-342</v>
      </c>
      <c r="F141" s="163">
        <v>-417</v>
      </c>
      <c r="G141" s="163">
        <v>-24</v>
      </c>
      <c r="H141" s="163">
        <v>-746</v>
      </c>
      <c r="I141" s="163">
        <v>-384</v>
      </c>
      <c r="J141" s="163">
        <v>-346.10501015285837</v>
      </c>
      <c r="K141" s="163">
        <v>-341.20246169443249</v>
      </c>
      <c r="L141" s="163">
        <v>-311.80739529713765</v>
      </c>
      <c r="M141" s="163">
        <v>-261.948970077882</v>
      </c>
      <c r="N141" s="163" t="s">
        <v>563</v>
      </c>
      <c r="O141" s="163" t="s">
        <v>563</v>
      </c>
      <c r="P141" s="163" t="s">
        <v>563</v>
      </c>
      <c r="Q141" s="163" t="s">
        <v>563</v>
      </c>
      <c r="R141" s="163" t="s">
        <v>563</v>
      </c>
      <c r="S141" s="163" t="s">
        <v>563</v>
      </c>
      <c r="T141" s="163" t="s">
        <v>563</v>
      </c>
      <c r="U141" s="163" t="s">
        <v>563</v>
      </c>
    </row>
    <row r="142" spans="1:21" x14ac:dyDescent="0.15">
      <c r="A142" s="161" t="s">
        <v>566</v>
      </c>
      <c r="B142" s="162"/>
      <c r="C142" s="162"/>
      <c r="D142" s="162"/>
      <c r="E142" s="163"/>
      <c r="F142" s="163"/>
      <c r="G142" s="163"/>
      <c r="H142" s="163"/>
      <c r="I142" s="163"/>
      <c r="J142" s="163"/>
      <c r="K142" s="163"/>
      <c r="L142" s="163"/>
      <c r="M142" s="163"/>
      <c r="N142" s="163"/>
      <c r="O142" s="163"/>
      <c r="P142" s="163"/>
      <c r="Q142" s="163"/>
      <c r="R142" s="163"/>
      <c r="S142" s="163"/>
      <c r="T142" s="163"/>
      <c r="U142" s="163"/>
    </row>
    <row r="143" spans="1:21" x14ac:dyDescent="0.15">
      <c r="A143" s="161" t="s">
        <v>793</v>
      </c>
      <c r="B143" s="162"/>
      <c r="C143" s="162" t="s">
        <v>794</v>
      </c>
      <c r="D143" s="162"/>
      <c r="E143" s="163"/>
      <c r="F143" s="163"/>
      <c r="G143" s="163"/>
      <c r="H143" s="163"/>
      <c r="I143" s="163"/>
      <c r="J143" s="163"/>
      <c r="K143" s="163"/>
      <c r="L143" s="163"/>
      <c r="M143" s="163"/>
      <c r="N143" s="163"/>
      <c r="O143" s="163"/>
      <c r="P143" s="163"/>
      <c r="Q143" s="163"/>
      <c r="R143" s="163"/>
      <c r="S143" s="163"/>
      <c r="T143" s="163"/>
      <c r="U143" s="163"/>
    </row>
    <row r="144" spans="1:21" x14ac:dyDescent="0.15">
      <c r="A144" s="161" t="s">
        <v>795</v>
      </c>
      <c r="B144" s="162"/>
      <c r="C144" s="162" t="s">
        <v>796</v>
      </c>
      <c r="D144" s="162"/>
      <c r="E144" s="163"/>
      <c r="F144" s="163"/>
      <c r="G144" s="163"/>
      <c r="H144" s="163"/>
      <c r="I144" s="163"/>
      <c r="J144" s="163"/>
      <c r="K144" s="163"/>
      <c r="L144" s="163"/>
      <c r="M144" s="163"/>
      <c r="N144" s="163"/>
      <c r="O144" s="163"/>
      <c r="P144" s="163"/>
      <c r="Q144" s="163"/>
      <c r="R144" s="163"/>
      <c r="S144" s="163"/>
      <c r="T144" s="163"/>
      <c r="U144" s="163"/>
    </row>
    <row r="145" spans="1:21" x14ac:dyDescent="0.15">
      <c r="A145" s="161" t="s">
        <v>797</v>
      </c>
      <c r="B145" s="162" t="s">
        <v>798</v>
      </c>
      <c r="C145" s="162" t="s">
        <v>799</v>
      </c>
      <c r="D145" s="162"/>
      <c r="E145" s="163">
        <v>32963</v>
      </c>
      <c r="F145" s="163">
        <v>38495</v>
      </c>
      <c r="G145" s="163">
        <v>50995</v>
      </c>
      <c r="H145" s="163">
        <v>52574</v>
      </c>
      <c r="I145" s="163">
        <v>57517</v>
      </c>
      <c r="J145" s="163">
        <v>61748.720704375635</v>
      </c>
      <c r="K145" s="163">
        <v>67385.641757883466</v>
      </c>
      <c r="L145" s="163">
        <v>76780.968099557955</v>
      </c>
      <c r="M145" s="163">
        <v>62493.823304261445</v>
      </c>
      <c r="N145" s="163">
        <v>85630.340171178643</v>
      </c>
      <c r="O145" s="163" t="s">
        <v>563</v>
      </c>
      <c r="P145" s="163" t="s">
        <v>563</v>
      </c>
      <c r="Q145" s="163" t="s">
        <v>563</v>
      </c>
      <c r="R145" s="163" t="s">
        <v>563</v>
      </c>
      <c r="S145" s="163" t="s">
        <v>563</v>
      </c>
      <c r="T145" s="163" t="s">
        <v>563</v>
      </c>
      <c r="U145" s="163" t="s">
        <v>563</v>
      </c>
    </row>
    <row r="146" spans="1:21" x14ac:dyDescent="0.15">
      <c r="A146" s="161" t="s">
        <v>800</v>
      </c>
      <c r="B146" s="162" t="s">
        <v>801</v>
      </c>
      <c r="C146" s="162" t="s">
        <v>802</v>
      </c>
      <c r="D146" s="162"/>
      <c r="E146" s="163">
        <v>9109</v>
      </c>
      <c r="F146" s="163">
        <v>10761</v>
      </c>
      <c r="G146" s="163">
        <v>13083</v>
      </c>
      <c r="H146" s="163">
        <v>9500</v>
      </c>
      <c r="I146" s="163">
        <v>10868</v>
      </c>
      <c r="J146" s="163">
        <v>13350.840705126777</v>
      </c>
      <c r="K146" s="163">
        <v>17553.259682171432</v>
      </c>
      <c r="L146" s="163">
        <v>26534.836071777689</v>
      </c>
      <c r="M146" s="163" t="s">
        <v>563</v>
      </c>
      <c r="N146" s="163" t="s">
        <v>563</v>
      </c>
      <c r="O146" s="163" t="s">
        <v>563</v>
      </c>
      <c r="P146" s="163" t="s">
        <v>563</v>
      </c>
      <c r="Q146" s="163" t="s">
        <v>563</v>
      </c>
      <c r="R146" s="163" t="s">
        <v>563</v>
      </c>
      <c r="S146" s="163" t="s">
        <v>563</v>
      </c>
      <c r="T146" s="163" t="s">
        <v>563</v>
      </c>
      <c r="U146" s="163" t="s">
        <v>563</v>
      </c>
    </row>
    <row r="147" spans="1:21" x14ac:dyDescent="0.15">
      <c r="A147" s="161" t="s">
        <v>803</v>
      </c>
      <c r="B147" s="162" t="s">
        <v>804</v>
      </c>
      <c r="C147" s="162" t="s">
        <v>805</v>
      </c>
      <c r="D147" s="162"/>
      <c r="E147" s="163">
        <v>7575</v>
      </c>
      <c r="F147" s="163">
        <v>7349</v>
      </c>
      <c r="G147" s="163">
        <v>4794</v>
      </c>
      <c r="H147" s="163">
        <v>5197</v>
      </c>
      <c r="I147" s="163">
        <v>7776</v>
      </c>
      <c r="J147" s="163">
        <v>9613.2896793345517</v>
      </c>
      <c r="K147" s="163">
        <v>11157.328320823293</v>
      </c>
      <c r="L147" s="163">
        <v>13446.722046823957</v>
      </c>
      <c r="M147" s="163">
        <v>12497.473000406108</v>
      </c>
      <c r="N147" s="163">
        <v>16897.658162704076</v>
      </c>
      <c r="O147" s="163">
        <v>5554.3869629441469</v>
      </c>
      <c r="P147" s="163">
        <v>6097.8951563302689</v>
      </c>
      <c r="Q147" s="163">
        <v>5184.5829926909064</v>
      </c>
      <c r="R147" s="163">
        <v>5424.6294757873984</v>
      </c>
      <c r="S147" s="163" t="s">
        <v>563</v>
      </c>
      <c r="T147" s="163" t="s">
        <v>563</v>
      </c>
      <c r="U147" s="163" t="s">
        <v>563</v>
      </c>
    </row>
    <row r="148" spans="1:21" x14ac:dyDescent="0.15">
      <c r="A148" s="161" t="s">
        <v>806</v>
      </c>
      <c r="B148" s="162" t="s">
        <v>807</v>
      </c>
      <c r="C148" s="162" t="s">
        <v>808</v>
      </c>
      <c r="D148" s="162"/>
      <c r="E148" s="163">
        <v>1534</v>
      </c>
      <c r="F148" s="163">
        <v>3412</v>
      </c>
      <c r="G148" s="163">
        <v>8289</v>
      </c>
      <c r="H148" s="163">
        <v>4303</v>
      </c>
      <c r="I148" s="163">
        <v>3092</v>
      </c>
      <c r="J148" s="163">
        <v>3151.2692979516987</v>
      </c>
      <c r="K148" s="163">
        <v>3224.5237245976359</v>
      </c>
      <c r="L148" s="163">
        <v>3459.2077391876433</v>
      </c>
      <c r="M148" s="163">
        <v>3092</v>
      </c>
      <c r="N148" s="163">
        <v>3092</v>
      </c>
      <c r="O148" s="163" t="s">
        <v>563</v>
      </c>
      <c r="P148" s="163" t="s">
        <v>563</v>
      </c>
      <c r="Q148" s="163" t="s">
        <v>563</v>
      </c>
      <c r="R148" s="163" t="s">
        <v>563</v>
      </c>
      <c r="S148" s="163" t="s">
        <v>563</v>
      </c>
      <c r="T148" s="163" t="s">
        <v>563</v>
      </c>
      <c r="U148" s="163" t="s">
        <v>563</v>
      </c>
    </row>
    <row r="149" spans="1:21" x14ac:dyDescent="0.15">
      <c r="A149" s="161" t="s">
        <v>809</v>
      </c>
      <c r="B149" s="162" t="s">
        <v>810</v>
      </c>
      <c r="C149" s="162" t="s">
        <v>130</v>
      </c>
      <c r="D149" s="162"/>
      <c r="E149" s="163">
        <v>313</v>
      </c>
      <c r="F149" s="163">
        <v>435</v>
      </c>
      <c r="G149" s="163">
        <v>577</v>
      </c>
      <c r="H149" s="163">
        <v>800</v>
      </c>
      <c r="I149" s="163">
        <v>963</v>
      </c>
      <c r="J149" s="163">
        <v>1063.9551429327978</v>
      </c>
      <c r="K149" s="163">
        <v>1113.731405573028</v>
      </c>
      <c r="L149" s="163">
        <v>1210.8193846651106</v>
      </c>
      <c r="M149" s="163">
        <v>919.52311215775489</v>
      </c>
      <c r="N149" s="163">
        <v>1326.6027404849692</v>
      </c>
      <c r="O149" s="163">
        <v>1429.3791676631679</v>
      </c>
      <c r="P149" s="163">
        <v>1595.2491248930858</v>
      </c>
      <c r="Q149" s="163">
        <v>1749.3064470347649</v>
      </c>
      <c r="R149" s="163">
        <v>1918.2440659582048</v>
      </c>
      <c r="S149" s="163" t="s">
        <v>563</v>
      </c>
      <c r="T149" s="163" t="s">
        <v>563</v>
      </c>
      <c r="U149" s="163" t="s">
        <v>563</v>
      </c>
    </row>
    <row r="150" spans="1:21" x14ac:dyDescent="0.15">
      <c r="A150" s="161" t="s">
        <v>811</v>
      </c>
      <c r="B150" s="162" t="s">
        <v>630</v>
      </c>
      <c r="C150" s="162" t="s">
        <v>631</v>
      </c>
      <c r="D150" s="162"/>
      <c r="E150" s="163">
        <v>2532</v>
      </c>
      <c r="F150" s="163">
        <v>3972</v>
      </c>
      <c r="G150" s="163">
        <v>2769</v>
      </c>
      <c r="H150" s="163">
        <v>4846</v>
      </c>
      <c r="I150" s="163">
        <v>7431</v>
      </c>
      <c r="J150" s="163">
        <v>7846.1644665797021</v>
      </c>
      <c r="K150" s="163">
        <v>8761.6242730073336</v>
      </c>
      <c r="L150" s="163">
        <v>10643.60950865329</v>
      </c>
      <c r="M150" s="163">
        <v>10496.473274999998</v>
      </c>
      <c r="N150" s="163">
        <v>15596.238532499996</v>
      </c>
      <c r="O150" s="163" t="s">
        <v>563</v>
      </c>
      <c r="P150" s="163" t="s">
        <v>563</v>
      </c>
      <c r="Q150" s="163" t="s">
        <v>563</v>
      </c>
      <c r="R150" s="163" t="s">
        <v>563</v>
      </c>
      <c r="S150" s="163" t="s">
        <v>563</v>
      </c>
      <c r="T150" s="163" t="s">
        <v>563</v>
      </c>
      <c r="U150" s="163" t="s">
        <v>563</v>
      </c>
    </row>
    <row r="151" spans="1:21" x14ac:dyDescent="0.15">
      <c r="A151" s="161" t="s">
        <v>812</v>
      </c>
      <c r="B151" s="162" t="s">
        <v>633</v>
      </c>
      <c r="C151" s="162" t="s">
        <v>634</v>
      </c>
      <c r="D151" s="162"/>
      <c r="E151" s="163">
        <v>20062</v>
      </c>
      <c r="F151" s="163">
        <v>22527</v>
      </c>
      <c r="G151" s="163">
        <v>33418</v>
      </c>
      <c r="H151" s="163">
        <v>36141</v>
      </c>
      <c r="I151" s="163">
        <v>36357</v>
      </c>
      <c r="J151" s="163">
        <v>38458.131184881859</v>
      </c>
      <c r="K151" s="163">
        <v>40426.434822411604</v>
      </c>
      <c r="L151" s="163">
        <v>42035.284128444699</v>
      </c>
      <c r="M151" s="163">
        <v>36261.931913305954</v>
      </c>
      <c r="N151" s="163">
        <v>34824</v>
      </c>
      <c r="O151" s="163" t="s">
        <v>563</v>
      </c>
      <c r="P151" s="163" t="s">
        <v>563</v>
      </c>
      <c r="Q151" s="163" t="s">
        <v>563</v>
      </c>
      <c r="R151" s="163" t="s">
        <v>563</v>
      </c>
      <c r="S151" s="163" t="s">
        <v>563</v>
      </c>
      <c r="T151" s="163" t="s">
        <v>563</v>
      </c>
      <c r="U151" s="163" t="s">
        <v>563</v>
      </c>
    </row>
    <row r="152" spans="1:21" x14ac:dyDescent="0.15">
      <c r="A152" s="161" t="s">
        <v>813</v>
      </c>
      <c r="B152" s="162" t="s">
        <v>814</v>
      </c>
      <c r="C152" s="162" t="s">
        <v>135</v>
      </c>
      <c r="D152" s="162"/>
      <c r="E152" s="163">
        <v>947</v>
      </c>
      <c r="F152" s="163">
        <v>800</v>
      </c>
      <c r="G152" s="163">
        <v>1148</v>
      </c>
      <c r="H152" s="163">
        <v>1287</v>
      </c>
      <c r="I152" s="163">
        <v>1898</v>
      </c>
      <c r="J152" s="163">
        <v>1935.6157250365047</v>
      </c>
      <c r="K152" s="163">
        <v>2090.081213226159</v>
      </c>
      <c r="L152" s="163">
        <v>2239.0158020064</v>
      </c>
      <c r="M152" s="163">
        <v>1794.7789368327904</v>
      </c>
      <c r="N152" s="163">
        <v>3046.640174198883</v>
      </c>
      <c r="O152" s="163" t="s">
        <v>563</v>
      </c>
      <c r="P152" s="163" t="s">
        <v>563</v>
      </c>
      <c r="Q152" s="163" t="s">
        <v>563</v>
      </c>
      <c r="R152" s="163" t="s">
        <v>563</v>
      </c>
      <c r="S152" s="163" t="s">
        <v>563</v>
      </c>
      <c r="T152" s="163" t="s">
        <v>563</v>
      </c>
      <c r="U152" s="163" t="s">
        <v>563</v>
      </c>
    </row>
    <row r="153" spans="1:21" x14ac:dyDescent="0.15">
      <c r="A153" s="161" t="s">
        <v>815</v>
      </c>
      <c r="B153" s="162" t="s">
        <v>816</v>
      </c>
      <c r="C153" s="162"/>
      <c r="D153" s="162"/>
      <c r="E153" s="163">
        <v>10369</v>
      </c>
      <c r="F153" s="163">
        <v>12838</v>
      </c>
      <c r="G153" s="163">
        <v>19384</v>
      </c>
      <c r="H153" s="163">
        <v>23229</v>
      </c>
      <c r="I153" s="163">
        <v>21200</v>
      </c>
      <c r="J153" s="163">
        <v>21183.88853452792</v>
      </c>
      <c r="K153" s="163">
        <v>21088.358742624536</v>
      </c>
      <c r="L153" s="163">
        <v>20954.956534175515</v>
      </c>
      <c r="M153" s="163">
        <v>20906.852669013882</v>
      </c>
      <c r="N153" s="163">
        <v>18951.797240661675</v>
      </c>
      <c r="O153" s="163" t="s">
        <v>563</v>
      </c>
      <c r="P153" s="163" t="s">
        <v>563</v>
      </c>
      <c r="Q153" s="163" t="s">
        <v>563</v>
      </c>
      <c r="R153" s="163" t="s">
        <v>563</v>
      </c>
      <c r="S153" s="163" t="s">
        <v>563</v>
      </c>
      <c r="T153" s="163" t="s">
        <v>563</v>
      </c>
      <c r="U153" s="163" t="s">
        <v>563</v>
      </c>
    </row>
    <row r="154" spans="1:21" x14ac:dyDescent="0.15">
      <c r="A154" s="161" t="s">
        <v>817</v>
      </c>
      <c r="B154" s="162" t="s">
        <v>818</v>
      </c>
      <c r="C154" s="162" t="s">
        <v>819</v>
      </c>
      <c r="D154" s="162"/>
      <c r="E154" s="163">
        <v>1724</v>
      </c>
      <c r="F154" s="163">
        <v>1693</v>
      </c>
      <c r="G154" s="163">
        <v>1807</v>
      </c>
      <c r="H154" s="163">
        <v>1909</v>
      </c>
      <c r="I154" s="163">
        <v>1730</v>
      </c>
      <c r="J154" s="163">
        <v>1722.05283208229</v>
      </c>
      <c r="K154" s="163">
        <v>1872.6002125022119</v>
      </c>
      <c r="L154" s="163">
        <v>1857.2572766104381</v>
      </c>
      <c r="M154" s="163">
        <v>1849.5939518849782</v>
      </c>
      <c r="N154" s="163">
        <v>1618.0546267041984</v>
      </c>
      <c r="O154" s="163">
        <v>2573.2519617959842</v>
      </c>
      <c r="P154" s="163">
        <v>2718.8184444424783</v>
      </c>
      <c r="Q154" s="163">
        <v>2878.4426577344007</v>
      </c>
      <c r="R154" s="163">
        <v>3053.4824287530869</v>
      </c>
      <c r="S154" s="163" t="s">
        <v>563</v>
      </c>
      <c r="T154" s="163" t="s">
        <v>563</v>
      </c>
      <c r="U154" s="163" t="s">
        <v>563</v>
      </c>
    </row>
    <row r="155" spans="1:21" x14ac:dyDescent="0.15">
      <c r="A155" s="161" t="s">
        <v>820</v>
      </c>
      <c r="B155" s="162" t="s">
        <v>821</v>
      </c>
      <c r="C155" s="162" t="s">
        <v>141</v>
      </c>
      <c r="D155" s="162"/>
      <c r="E155" s="163">
        <v>6284</v>
      </c>
      <c r="F155" s="163">
        <v>6212</v>
      </c>
      <c r="G155" s="163">
        <v>9135</v>
      </c>
      <c r="H155" s="163">
        <v>11454</v>
      </c>
      <c r="I155" s="163">
        <v>11209</v>
      </c>
      <c r="J155" s="163">
        <v>11329.014749127522</v>
      </c>
      <c r="K155" s="163">
        <v>11500.001246839571</v>
      </c>
      <c r="L155" s="163">
        <v>12017.236088478467</v>
      </c>
      <c r="M155" s="163">
        <v>11524</v>
      </c>
      <c r="N155" s="163">
        <v>12031.5</v>
      </c>
      <c r="O155" s="163">
        <v>13554</v>
      </c>
      <c r="P155" s="163">
        <v>14254</v>
      </c>
      <c r="Q155" s="163">
        <v>14954</v>
      </c>
      <c r="R155" s="163">
        <v>15654</v>
      </c>
      <c r="S155" s="163" t="s">
        <v>563</v>
      </c>
      <c r="T155" s="163" t="s">
        <v>563</v>
      </c>
      <c r="U155" s="163" t="s">
        <v>563</v>
      </c>
    </row>
    <row r="156" spans="1:21" x14ac:dyDescent="0.15">
      <c r="A156" s="161" t="s">
        <v>822</v>
      </c>
      <c r="B156" s="162" t="s">
        <v>823</v>
      </c>
      <c r="C156" s="162"/>
      <c r="D156" s="162"/>
      <c r="E156" s="163">
        <v>971</v>
      </c>
      <c r="F156" s="163">
        <v>2863</v>
      </c>
      <c r="G156" s="163">
        <v>6089</v>
      </c>
      <c r="H156" s="163">
        <v>6797</v>
      </c>
      <c r="I156" s="163">
        <v>5018</v>
      </c>
      <c r="J156" s="163" t="s">
        <v>563</v>
      </c>
      <c r="K156" s="163" t="s">
        <v>563</v>
      </c>
      <c r="L156" s="163" t="s">
        <v>563</v>
      </c>
      <c r="M156" s="163" t="s">
        <v>563</v>
      </c>
      <c r="N156" s="163" t="s">
        <v>563</v>
      </c>
      <c r="O156" s="163" t="s">
        <v>563</v>
      </c>
      <c r="P156" s="163" t="s">
        <v>563</v>
      </c>
      <c r="Q156" s="163" t="s">
        <v>563</v>
      </c>
      <c r="R156" s="163" t="s">
        <v>563</v>
      </c>
      <c r="S156" s="163" t="s">
        <v>563</v>
      </c>
      <c r="T156" s="163" t="s">
        <v>563</v>
      </c>
      <c r="U156" s="163" t="s">
        <v>563</v>
      </c>
    </row>
    <row r="157" spans="1:21" x14ac:dyDescent="0.15">
      <c r="A157" s="161" t="s">
        <v>824</v>
      </c>
      <c r="B157" s="162" t="s">
        <v>825</v>
      </c>
      <c r="C157" s="162"/>
      <c r="D157" s="162"/>
      <c r="E157" s="163">
        <v>825</v>
      </c>
      <c r="F157" s="163">
        <v>778</v>
      </c>
      <c r="G157" s="163">
        <v>1048</v>
      </c>
      <c r="H157" s="163">
        <v>1332</v>
      </c>
      <c r="I157" s="163">
        <v>788</v>
      </c>
      <c r="J157" s="163">
        <v>697.22057466465094</v>
      </c>
      <c r="K157" s="163">
        <v>772.46827992837541</v>
      </c>
      <c r="L157" s="163">
        <v>745.30091725588227</v>
      </c>
      <c r="M157" s="163">
        <v>453.92056197092529</v>
      </c>
      <c r="N157" s="163">
        <v>-152.74545000000001</v>
      </c>
      <c r="O157" s="163">
        <v>499</v>
      </c>
      <c r="P157" s="163">
        <v>583</v>
      </c>
      <c r="Q157" s="163">
        <v>667</v>
      </c>
      <c r="R157" s="163">
        <v>751</v>
      </c>
      <c r="S157" s="163" t="s">
        <v>563</v>
      </c>
      <c r="T157" s="163" t="s">
        <v>563</v>
      </c>
      <c r="U157" s="163" t="s">
        <v>563</v>
      </c>
    </row>
    <row r="158" spans="1:21" x14ac:dyDescent="0.15">
      <c r="A158" s="161" t="s">
        <v>826</v>
      </c>
      <c r="B158" s="162" t="s">
        <v>827</v>
      </c>
      <c r="C158" s="162" t="s">
        <v>828</v>
      </c>
      <c r="D158" s="162"/>
      <c r="E158" s="163">
        <v>565</v>
      </c>
      <c r="F158" s="163">
        <v>1292</v>
      </c>
      <c r="G158" s="163">
        <v>1305</v>
      </c>
      <c r="H158" s="163">
        <v>1737</v>
      </c>
      <c r="I158" s="163">
        <v>2455</v>
      </c>
      <c r="J158" s="163">
        <v>2542.76351116467</v>
      </c>
      <c r="K158" s="163">
        <v>2496.1160586947271</v>
      </c>
      <c r="L158" s="163">
        <v>3163.8426204971834</v>
      </c>
      <c r="M158" s="163">
        <v>2215.6666666666665</v>
      </c>
      <c r="N158" s="163">
        <v>2096</v>
      </c>
      <c r="O158" s="163">
        <v>1737</v>
      </c>
      <c r="P158" s="163">
        <v>1737</v>
      </c>
      <c r="Q158" s="163">
        <v>1737</v>
      </c>
      <c r="R158" s="163">
        <v>1737</v>
      </c>
      <c r="S158" s="163" t="s">
        <v>563</v>
      </c>
      <c r="T158" s="163" t="s">
        <v>563</v>
      </c>
      <c r="U158" s="163" t="s">
        <v>563</v>
      </c>
    </row>
    <row r="159" spans="1:21" x14ac:dyDescent="0.15">
      <c r="A159" s="161" t="s">
        <v>829</v>
      </c>
      <c r="B159" s="162" t="s">
        <v>830</v>
      </c>
      <c r="C159" s="162" t="s">
        <v>145</v>
      </c>
      <c r="D159" s="162"/>
      <c r="E159" s="163">
        <v>43332</v>
      </c>
      <c r="F159" s="163">
        <v>51333</v>
      </c>
      <c r="G159" s="163">
        <v>70379</v>
      </c>
      <c r="H159" s="163">
        <v>75803</v>
      </c>
      <c r="I159" s="163">
        <v>78717</v>
      </c>
      <c r="J159" s="163">
        <v>83523.749711870754</v>
      </c>
      <c r="K159" s="163">
        <v>89443.042745136569</v>
      </c>
      <c r="L159" s="163">
        <v>99169.980523267106</v>
      </c>
      <c r="M159" s="163">
        <v>90575.276672141103</v>
      </c>
      <c r="N159" s="163">
        <v>107699.4942902427</v>
      </c>
      <c r="O159" s="163">
        <v>118827.08477780333</v>
      </c>
      <c r="P159" s="163">
        <v>128704.0360796059</v>
      </c>
      <c r="Q159" s="163">
        <v>137950.21278679415</v>
      </c>
      <c r="R159" s="163">
        <v>149286.22472876619</v>
      </c>
      <c r="S159" s="163" t="s">
        <v>563</v>
      </c>
      <c r="T159" s="163" t="s">
        <v>563</v>
      </c>
      <c r="U159" s="163" t="s">
        <v>563</v>
      </c>
    </row>
    <row r="160" spans="1:21" x14ac:dyDescent="0.15">
      <c r="A160" s="161" t="s">
        <v>566</v>
      </c>
      <c r="B160" s="162"/>
      <c r="C160" s="162"/>
      <c r="D160" s="162"/>
      <c r="E160" s="163"/>
      <c r="F160" s="163"/>
      <c r="G160" s="163"/>
      <c r="H160" s="163"/>
      <c r="I160" s="163"/>
      <c r="J160" s="163"/>
      <c r="K160" s="163"/>
      <c r="L160" s="163"/>
      <c r="M160" s="163"/>
      <c r="N160" s="163"/>
      <c r="O160" s="163"/>
      <c r="P160" s="163"/>
      <c r="Q160" s="163"/>
      <c r="R160" s="163"/>
      <c r="S160" s="163"/>
      <c r="T160" s="163"/>
      <c r="U160" s="163"/>
    </row>
    <row r="161" spans="1:21" x14ac:dyDescent="0.15">
      <c r="A161" s="161" t="s">
        <v>831</v>
      </c>
      <c r="B161" s="162"/>
      <c r="C161" s="162" t="s">
        <v>832</v>
      </c>
      <c r="D161" s="162"/>
      <c r="E161" s="163"/>
      <c r="F161" s="163"/>
      <c r="G161" s="163"/>
      <c r="H161" s="163"/>
      <c r="I161" s="163"/>
      <c r="J161" s="163"/>
      <c r="K161" s="163"/>
      <c r="L161" s="163"/>
      <c r="M161" s="163"/>
      <c r="N161" s="163"/>
      <c r="O161" s="163"/>
      <c r="P161" s="163"/>
      <c r="Q161" s="163"/>
      <c r="R161" s="163"/>
      <c r="S161" s="163"/>
      <c r="T161" s="163"/>
      <c r="U161" s="163"/>
    </row>
    <row r="162" spans="1:21" x14ac:dyDescent="0.15">
      <c r="A162" s="161" t="s">
        <v>833</v>
      </c>
      <c r="B162" s="162" t="s">
        <v>834</v>
      </c>
      <c r="C162" s="162" t="s">
        <v>835</v>
      </c>
      <c r="D162" s="162"/>
      <c r="E162" s="163">
        <v>25904</v>
      </c>
      <c r="F162" s="163">
        <v>26919</v>
      </c>
      <c r="G162" s="163">
        <v>38447</v>
      </c>
      <c r="H162" s="163">
        <v>43029</v>
      </c>
      <c r="I162" s="163">
        <v>45101</v>
      </c>
      <c r="J162" s="163">
        <v>48361.803891769778</v>
      </c>
      <c r="K162" s="163">
        <v>51586.60501914932</v>
      </c>
      <c r="L162" s="163">
        <v>56748.858331616488</v>
      </c>
      <c r="M162" s="163">
        <v>49068.549431823034</v>
      </c>
      <c r="N162" s="163">
        <v>62243.791973470827</v>
      </c>
      <c r="O162" s="163">
        <v>83919.228888961909</v>
      </c>
      <c r="P162" s="163">
        <v>92328.483892741817</v>
      </c>
      <c r="Q162" s="163">
        <v>101559.56960058468</v>
      </c>
      <c r="R162" s="163">
        <v>111713.59448552629</v>
      </c>
      <c r="S162" s="163" t="s">
        <v>563</v>
      </c>
      <c r="T162" s="163" t="s">
        <v>563</v>
      </c>
      <c r="U162" s="163" t="s">
        <v>563</v>
      </c>
    </row>
    <row r="163" spans="1:21" x14ac:dyDescent="0.15">
      <c r="A163" s="161" t="s">
        <v>836</v>
      </c>
      <c r="B163" s="162" t="s">
        <v>837</v>
      </c>
      <c r="C163" s="162" t="s">
        <v>147</v>
      </c>
      <c r="D163" s="162"/>
      <c r="E163" s="163">
        <v>281</v>
      </c>
      <c r="F163" s="163">
        <v>232</v>
      </c>
      <c r="G163" s="163">
        <v>252</v>
      </c>
      <c r="H163" s="163">
        <v>197</v>
      </c>
      <c r="I163" s="163">
        <v>126</v>
      </c>
      <c r="J163" s="163">
        <v>169.34644773476023</v>
      </c>
      <c r="K163" s="163">
        <v>201.0743609092853</v>
      </c>
      <c r="L163" s="163">
        <v>255.34736473470841</v>
      </c>
      <c r="M163" s="163">
        <v>181.49985526785599</v>
      </c>
      <c r="N163" s="163">
        <v>290.61876217112086</v>
      </c>
      <c r="O163" s="163">
        <v>451.77806176184663</v>
      </c>
      <c r="P163" s="163">
        <v>514.28798282174114</v>
      </c>
      <c r="Q163" s="163">
        <v>563.95409967259559</v>
      </c>
      <c r="R163" s="163">
        <v>618.41743452298556</v>
      </c>
      <c r="S163" s="163" t="s">
        <v>563</v>
      </c>
      <c r="T163" s="163" t="s">
        <v>563</v>
      </c>
      <c r="U163" s="163" t="s">
        <v>563</v>
      </c>
    </row>
    <row r="164" spans="1:21" x14ac:dyDescent="0.15">
      <c r="A164" s="161" t="s">
        <v>838</v>
      </c>
      <c r="B164" s="162" t="s">
        <v>636</v>
      </c>
      <c r="C164" s="162" t="s">
        <v>637</v>
      </c>
      <c r="D164" s="162"/>
      <c r="E164" s="163">
        <v>21562</v>
      </c>
      <c r="F164" s="163">
        <v>24527</v>
      </c>
      <c r="G164" s="163">
        <v>35418</v>
      </c>
      <c r="H164" s="163">
        <v>38841</v>
      </c>
      <c r="I164" s="163">
        <v>40107</v>
      </c>
      <c r="J164" s="163">
        <v>42804.881444062463</v>
      </c>
      <c r="K164" s="163">
        <v>45429.038336824313</v>
      </c>
      <c r="L164" s="163">
        <v>49144.026268226713</v>
      </c>
      <c r="M164" s="163">
        <v>33243.354487500445</v>
      </c>
      <c r="N164" s="163">
        <v>40107</v>
      </c>
      <c r="O164" s="163" t="s">
        <v>563</v>
      </c>
      <c r="P164" s="163" t="s">
        <v>563</v>
      </c>
      <c r="Q164" s="163" t="s">
        <v>563</v>
      </c>
      <c r="R164" s="163" t="s">
        <v>563</v>
      </c>
      <c r="S164" s="163" t="s">
        <v>563</v>
      </c>
      <c r="T164" s="163" t="s">
        <v>563</v>
      </c>
      <c r="U164" s="163" t="s">
        <v>563</v>
      </c>
    </row>
    <row r="165" spans="1:21" x14ac:dyDescent="0.15">
      <c r="A165" s="161" t="s">
        <v>839</v>
      </c>
      <c r="B165" s="162" t="s">
        <v>840</v>
      </c>
      <c r="C165" s="162" t="s">
        <v>841</v>
      </c>
      <c r="D165" s="162"/>
      <c r="E165" s="163">
        <v>2002</v>
      </c>
      <c r="F165" s="163">
        <v>2087</v>
      </c>
      <c r="G165" s="163">
        <v>2648</v>
      </c>
      <c r="H165" s="163">
        <v>3755</v>
      </c>
      <c r="I165" s="163">
        <v>4055</v>
      </c>
      <c r="J165" s="163">
        <v>3994.4706610100002</v>
      </c>
      <c r="K165" s="163">
        <v>4129.9534723701554</v>
      </c>
      <c r="L165" s="163">
        <v>4562.541405932272</v>
      </c>
      <c r="M165" s="163">
        <v>5048.7896860702649</v>
      </c>
      <c r="N165" s="163">
        <v>6528.5146589976057</v>
      </c>
      <c r="O165" s="163" t="s">
        <v>563</v>
      </c>
      <c r="P165" s="163" t="s">
        <v>563</v>
      </c>
      <c r="Q165" s="163" t="s">
        <v>563</v>
      </c>
      <c r="R165" s="163" t="s">
        <v>563</v>
      </c>
      <c r="S165" s="163" t="s">
        <v>563</v>
      </c>
      <c r="T165" s="163" t="s">
        <v>563</v>
      </c>
      <c r="U165" s="163" t="s">
        <v>563</v>
      </c>
    </row>
    <row r="166" spans="1:21" x14ac:dyDescent="0.15">
      <c r="A166" s="161" t="s">
        <v>842</v>
      </c>
      <c r="B166" s="162" t="s">
        <v>843</v>
      </c>
      <c r="C166" s="162" t="s">
        <v>844</v>
      </c>
      <c r="D166" s="162"/>
      <c r="E166" s="163">
        <v>61</v>
      </c>
      <c r="F166" s="163">
        <v>73</v>
      </c>
      <c r="G166" s="163">
        <v>129</v>
      </c>
      <c r="H166" s="163">
        <v>236</v>
      </c>
      <c r="I166" s="163">
        <v>813</v>
      </c>
      <c r="J166" s="163">
        <v>827.03328767699725</v>
      </c>
      <c r="K166" s="163">
        <v>875.96478241937848</v>
      </c>
      <c r="L166" s="163">
        <v>777.07093661231067</v>
      </c>
      <c r="M166" s="163">
        <v>547.74803126205404</v>
      </c>
      <c r="N166" s="163">
        <v>1391.3310116017276</v>
      </c>
      <c r="O166" s="163" t="s">
        <v>563</v>
      </c>
      <c r="P166" s="163" t="s">
        <v>563</v>
      </c>
      <c r="Q166" s="163" t="s">
        <v>563</v>
      </c>
      <c r="R166" s="163" t="s">
        <v>563</v>
      </c>
      <c r="S166" s="163" t="s">
        <v>563</v>
      </c>
      <c r="T166" s="163" t="s">
        <v>563</v>
      </c>
      <c r="U166" s="163" t="s">
        <v>563</v>
      </c>
    </row>
    <row r="167" spans="1:21" x14ac:dyDescent="0.15">
      <c r="A167" s="161" t="s">
        <v>845</v>
      </c>
      <c r="B167" s="162" t="s">
        <v>846</v>
      </c>
      <c r="C167" s="162" t="s">
        <v>847</v>
      </c>
      <c r="D167" s="162"/>
      <c r="E167" s="163">
        <v>2042</v>
      </c>
      <c r="F167" s="163">
        <v>2520</v>
      </c>
      <c r="G167" s="163">
        <v>2930</v>
      </c>
      <c r="H167" s="163">
        <v>2998</v>
      </c>
      <c r="I167" s="163">
        <v>2925</v>
      </c>
      <c r="J167" s="163">
        <v>2982.1376133216008</v>
      </c>
      <c r="K167" s="163">
        <v>3091.2707202057168</v>
      </c>
      <c r="L167" s="163">
        <v>3480.5541718951226</v>
      </c>
      <c r="M167" s="163">
        <v>3626.1021977931673</v>
      </c>
      <c r="N167" s="163">
        <v>4782.13529602571</v>
      </c>
      <c r="O167" s="163" t="s">
        <v>563</v>
      </c>
      <c r="P167" s="163" t="s">
        <v>563</v>
      </c>
      <c r="Q167" s="163" t="s">
        <v>563</v>
      </c>
      <c r="R167" s="163" t="s">
        <v>563</v>
      </c>
      <c r="S167" s="163" t="s">
        <v>563</v>
      </c>
      <c r="T167" s="163" t="s">
        <v>563</v>
      </c>
      <c r="U167" s="163" t="s">
        <v>563</v>
      </c>
    </row>
    <row r="168" spans="1:21" x14ac:dyDescent="0.15">
      <c r="A168" s="161" t="s">
        <v>848</v>
      </c>
      <c r="B168" s="162" t="s">
        <v>849</v>
      </c>
      <c r="C168" s="162" t="s">
        <v>850</v>
      </c>
      <c r="D168" s="162"/>
      <c r="E168" s="163">
        <v>2042</v>
      </c>
      <c r="F168" s="163">
        <v>7485</v>
      </c>
      <c r="G168" s="163">
        <v>11869</v>
      </c>
      <c r="H168" s="163">
        <v>11047</v>
      </c>
      <c r="I168" s="163">
        <v>13342</v>
      </c>
      <c r="J168" s="163">
        <v>13052.94512883161</v>
      </c>
      <c r="K168" s="163">
        <v>13386.292870865738</v>
      </c>
      <c r="L168" s="163">
        <v>14110.575625853844</v>
      </c>
      <c r="M168" s="163">
        <v>14703.602197793167</v>
      </c>
      <c r="N168" s="163">
        <v>16520.13529602571</v>
      </c>
      <c r="O168" s="163" t="s">
        <v>563</v>
      </c>
      <c r="P168" s="163" t="s">
        <v>563</v>
      </c>
      <c r="Q168" s="163" t="s">
        <v>563</v>
      </c>
      <c r="R168" s="163" t="s">
        <v>563</v>
      </c>
      <c r="S168" s="163" t="s">
        <v>563</v>
      </c>
      <c r="T168" s="163" t="s">
        <v>563</v>
      </c>
      <c r="U168" s="163" t="s">
        <v>563</v>
      </c>
    </row>
    <row r="169" spans="1:21" x14ac:dyDescent="0.15">
      <c r="A169" s="161" t="s">
        <v>851</v>
      </c>
      <c r="B169" s="162" t="s">
        <v>852</v>
      </c>
      <c r="C169" s="162" t="s">
        <v>151</v>
      </c>
      <c r="D169" s="162"/>
      <c r="E169" s="163">
        <v>0</v>
      </c>
      <c r="F169" s="163">
        <v>4965</v>
      </c>
      <c r="G169" s="163">
        <v>8939</v>
      </c>
      <c r="H169" s="163">
        <v>8049</v>
      </c>
      <c r="I169" s="163">
        <v>10417</v>
      </c>
      <c r="J169" s="163">
        <v>9799.3092502487998</v>
      </c>
      <c r="K169" s="163">
        <v>9743.3939610511188</v>
      </c>
      <c r="L169" s="163">
        <v>9903.6886814812005</v>
      </c>
      <c r="M169" s="163">
        <v>10068</v>
      </c>
      <c r="N169" s="163">
        <v>11738</v>
      </c>
      <c r="O169" s="163" t="s">
        <v>563</v>
      </c>
      <c r="P169" s="163" t="s">
        <v>563</v>
      </c>
      <c r="Q169" s="163" t="s">
        <v>563</v>
      </c>
      <c r="R169" s="163" t="s">
        <v>563</v>
      </c>
      <c r="S169" s="163" t="s">
        <v>563</v>
      </c>
      <c r="T169" s="163" t="s">
        <v>563</v>
      </c>
      <c r="U169" s="163" t="s">
        <v>563</v>
      </c>
    </row>
    <row r="170" spans="1:21" x14ac:dyDescent="0.15">
      <c r="A170" s="161" t="s">
        <v>853</v>
      </c>
      <c r="B170" s="162" t="s">
        <v>854</v>
      </c>
      <c r="C170" s="162" t="s">
        <v>154</v>
      </c>
      <c r="D170" s="162"/>
      <c r="E170" s="163">
        <v>27946</v>
      </c>
      <c r="F170" s="163">
        <v>34404</v>
      </c>
      <c r="G170" s="163">
        <v>50316</v>
      </c>
      <c r="H170" s="163">
        <v>54076</v>
      </c>
      <c r="I170" s="163">
        <v>58443</v>
      </c>
      <c r="J170" s="163">
        <v>60816.587063903935</v>
      </c>
      <c r="K170" s="163">
        <v>63379.622507977336</v>
      </c>
      <c r="L170" s="163">
        <v>68693.240664274257</v>
      </c>
      <c r="M170" s="163">
        <v>62553.284563685149</v>
      </c>
      <c r="N170" s="163">
        <v>76027.359621483673</v>
      </c>
      <c r="O170" s="163">
        <v>94966.228888961909</v>
      </c>
      <c r="P170" s="163">
        <v>103375.48389274182</v>
      </c>
      <c r="Q170" s="163">
        <v>112606.56960058468</v>
      </c>
      <c r="R170" s="163">
        <v>122760.59448552629</v>
      </c>
      <c r="S170" s="163" t="s">
        <v>563</v>
      </c>
      <c r="T170" s="163" t="s">
        <v>563</v>
      </c>
      <c r="U170" s="163" t="s">
        <v>563</v>
      </c>
    </row>
    <row r="171" spans="1:21" x14ac:dyDescent="0.15">
      <c r="A171" s="161" t="s">
        <v>855</v>
      </c>
      <c r="B171" s="162" t="s">
        <v>856</v>
      </c>
      <c r="C171" s="162" t="s">
        <v>857</v>
      </c>
      <c r="D171" s="162"/>
      <c r="E171" s="163">
        <v>15386</v>
      </c>
      <c r="F171" s="163">
        <v>16885</v>
      </c>
      <c r="G171" s="163">
        <v>20019</v>
      </c>
      <c r="H171" s="163">
        <v>21727</v>
      </c>
      <c r="I171" s="163">
        <v>20274</v>
      </c>
      <c r="J171" s="163">
        <v>22167.583333333332</v>
      </c>
      <c r="K171" s="163">
        <v>24851.846153846152</v>
      </c>
      <c r="L171" s="163">
        <v>28831.714285714286</v>
      </c>
      <c r="M171" s="163">
        <v>24430.5</v>
      </c>
      <c r="N171" s="163">
        <v>23489</v>
      </c>
      <c r="O171" s="163">
        <v>23861</v>
      </c>
      <c r="P171" s="163">
        <v>25329</v>
      </c>
      <c r="Q171" s="163">
        <v>25344</v>
      </c>
      <c r="R171" s="163">
        <v>26526</v>
      </c>
      <c r="S171" s="163" t="s">
        <v>563</v>
      </c>
      <c r="T171" s="163" t="s">
        <v>563</v>
      </c>
      <c r="U171" s="163" t="s">
        <v>563</v>
      </c>
    </row>
    <row r="172" spans="1:21" x14ac:dyDescent="0.15">
      <c r="A172" s="161" t="s">
        <v>858</v>
      </c>
      <c r="B172" s="162" t="s">
        <v>856</v>
      </c>
      <c r="C172" s="162" t="s">
        <v>859</v>
      </c>
      <c r="D172" s="162"/>
      <c r="E172" s="163">
        <v>15386</v>
      </c>
      <c r="F172" s="163">
        <v>16885</v>
      </c>
      <c r="G172" s="163">
        <v>20019</v>
      </c>
      <c r="H172" s="163">
        <v>21727</v>
      </c>
      <c r="I172" s="163">
        <v>20274</v>
      </c>
      <c r="J172" s="163">
        <v>22167.583333333332</v>
      </c>
      <c r="K172" s="163">
        <v>24851.846153846152</v>
      </c>
      <c r="L172" s="163">
        <v>28831.714285714286</v>
      </c>
      <c r="M172" s="163">
        <v>24430.5</v>
      </c>
      <c r="N172" s="163">
        <v>23489</v>
      </c>
      <c r="O172" s="163">
        <v>23861</v>
      </c>
      <c r="P172" s="163">
        <v>25329</v>
      </c>
      <c r="Q172" s="163">
        <v>25344</v>
      </c>
      <c r="R172" s="163">
        <v>26526</v>
      </c>
      <c r="S172" s="163" t="s">
        <v>563</v>
      </c>
      <c r="T172" s="163" t="s">
        <v>563</v>
      </c>
      <c r="U172" s="163" t="s">
        <v>563</v>
      </c>
    </row>
    <row r="173" spans="1:21" x14ac:dyDescent="0.15">
      <c r="A173" s="161" t="s">
        <v>860</v>
      </c>
      <c r="B173" s="162" t="s">
        <v>861</v>
      </c>
      <c r="C173" s="162" t="s">
        <v>862</v>
      </c>
      <c r="D173" s="162"/>
      <c r="E173" s="163">
        <v>0</v>
      </c>
      <c r="F173" s="163">
        <v>44</v>
      </c>
      <c r="G173" s="163">
        <v>44</v>
      </c>
      <c r="H173" s="163">
        <v>0</v>
      </c>
      <c r="I173" s="163">
        <v>0</v>
      </c>
      <c r="J173" s="163">
        <v>0</v>
      </c>
      <c r="K173" s="163">
        <v>0</v>
      </c>
      <c r="L173" s="163">
        <v>0</v>
      </c>
      <c r="M173" s="163">
        <v>0</v>
      </c>
      <c r="N173" s="163" t="s">
        <v>563</v>
      </c>
      <c r="O173" s="163" t="s">
        <v>563</v>
      </c>
      <c r="P173" s="163" t="s">
        <v>563</v>
      </c>
      <c r="Q173" s="163" t="s">
        <v>563</v>
      </c>
      <c r="R173" s="163" t="s">
        <v>563</v>
      </c>
      <c r="S173" s="163" t="s">
        <v>563</v>
      </c>
      <c r="T173" s="163" t="s">
        <v>563</v>
      </c>
      <c r="U173" s="163" t="s">
        <v>563</v>
      </c>
    </row>
    <row r="174" spans="1:21" x14ac:dyDescent="0.15">
      <c r="A174" s="161" t="s">
        <v>863</v>
      </c>
      <c r="B174" s="162" t="s">
        <v>864</v>
      </c>
      <c r="C174" s="162" t="s">
        <v>865</v>
      </c>
      <c r="D174" s="162"/>
      <c r="E174" s="163">
        <v>14938.8735</v>
      </c>
      <c r="F174" s="163">
        <v>15587.8722</v>
      </c>
      <c r="G174" s="163">
        <v>16643.8711</v>
      </c>
      <c r="H174" s="163">
        <v>17207.87</v>
      </c>
      <c r="I174" s="163">
        <v>18326.8691</v>
      </c>
      <c r="J174" s="163">
        <v>19285.154448887643</v>
      </c>
      <c r="K174" s="163">
        <v>20667.883259736849</v>
      </c>
      <c r="L174" s="163">
        <v>22045.956216819697</v>
      </c>
      <c r="M174" s="163">
        <v>21822.470830000704</v>
      </c>
      <c r="N174" s="163">
        <v>22417.413165173926</v>
      </c>
      <c r="O174" s="163">
        <v>17208</v>
      </c>
      <c r="P174" s="163">
        <v>17208</v>
      </c>
      <c r="Q174" s="163">
        <v>17208</v>
      </c>
      <c r="R174" s="163">
        <v>17208</v>
      </c>
      <c r="S174" s="163" t="s">
        <v>563</v>
      </c>
      <c r="T174" s="163" t="s">
        <v>563</v>
      </c>
      <c r="U174" s="163" t="s">
        <v>563</v>
      </c>
    </row>
    <row r="175" spans="1:21" x14ac:dyDescent="0.15">
      <c r="A175" s="161" t="s">
        <v>866</v>
      </c>
      <c r="B175" s="162" t="s">
        <v>867</v>
      </c>
      <c r="C175" s="162" t="s">
        <v>158</v>
      </c>
      <c r="D175" s="162"/>
      <c r="E175" s="163">
        <v>5511</v>
      </c>
      <c r="F175" s="163">
        <v>6872</v>
      </c>
      <c r="G175" s="163">
        <v>8507</v>
      </c>
      <c r="H175" s="163">
        <v>11880</v>
      </c>
      <c r="I175" s="163">
        <v>16079</v>
      </c>
      <c r="J175" s="163">
        <v>19598.546769091125</v>
      </c>
      <c r="K175" s="163">
        <v>23337.311613476377</v>
      </c>
      <c r="L175" s="163">
        <v>25980.625323217308</v>
      </c>
      <c r="M175" s="163">
        <v>32129.333333333332</v>
      </c>
      <c r="N175" s="163">
        <v>38954.5</v>
      </c>
      <c r="O175" s="163">
        <v>49880</v>
      </c>
      <c r="P175" s="163">
        <v>58880</v>
      </c>
      <c r="Q175" s="163">
        <v>70880</v>
      </c>
      <c r="R175" s="163">
        <v>82880</v>
      </c>
      <c r="S175" s="163" t="s">
        <v>563</v>
      </c>
      <c r="T175" s="163" t="s">
        <v>563</v>
      </c>
      <c r="U175" s="163" t="s">
        <v>563</v>
      </c>
    </row>
    <row r="176" spans="1:21" x14ac:dyDescent="0.15">
      <c r="A176" s="161" t="s">
        <v>868</v>
      </c>
      <c r="B176" s="162" t="s">
        <v>869</v>
      </c>
      <c r="C176" s="162" t="s">
        <v>157</v>
      </c>
      <c r="D176" s="162"/>
      <c r="E176" s="163">
        <v>5880</v>
      </c>
      <c r="F176" s="163">
        <v>8342</v>
      </c>
      <c r="G176" s="163">
        <v>12366</v>
      </c>
      <c r="H176" s="163">
        <v>16535</v>
      </c>
      <c r="I176" s="163">
        <v>18954</v>
      </c>
      <c r="J176" s="163">
        <v>22591.085378254469</v>
      </c>
      <c r="K176" s="163">
        <v>26785.842544773637</v>
      </c>
      <c r="L176" s="163">
        <v>30772.442782599432</v>
      </c>
      <c r="M176" s="163">
        <v>38992.851028848927</v>
      </c>
      <c r="N176" s="163">
        <v>48741.221503585111</v>
      </c>
      <c r="O176" s="163">
        <v>56668.855888841426</v>
      </c>
      <c r="P176" s="163">
        <v>67136.552186864079</v>
      </c>
      <c r="Q176" s="163">
        <v>79151.643186209432</v>
      </c>
      <c r="R176" s="163">
        <v>92333.630243239895</v>
      </c>
      <c r="S176" s="163" t="s">
        <v>563</v>
      </c>
      <c r="T176" s="163" t="s">
        <v>563</v>
      </c>
      <c r="U176" s="163" t="s">
        <v>563</v>
      </c>
    </row>
    <row r="177" spans="1:21" x14ac:dyDescent="0.15">
      <c r="A177" s="161" t="s">
        <v>870</v>
      </c>
      <c r="B177" s="162" t="s">
        <v>871</v>
      </c>
      <c r="C177" s="162" t="s">
        <v>872</v>
      </c>
      <c r="D177" s="162"/>
      <c r="E177" s="163">
        <v>78</v>
      </c>
      <c r="F177" s="163">
        <v>-173</v>
      </c>
      <c r="G177" s="163">
        <v>-484</v>
      </c>
      <c r="H177" s="163">
        <v>-136</v>
      </c>
      <c r="I177" s="163">
        <v>-928</v>
      </c>
      <c r="J177" s="163">
        <v>-928</v>
      </c>
      <c r="K177" s="163">
        <v>-928</v>
      </c>
      <c r="L177" s="163">
        <v>-928</v>
      </c>
      <c r="M177" s="163">
        <v>-928</v>
      </c>
      <c r="N177" s="163">
        <v>-928</v>
      </c>
      <c r="O177" s="163" t="s">
        <v>563</v>
      </c>
      <c r="P177" s="163" t="s">
        <v>563</v>
      </c>
      <c r="Q177" s="163" t="s">
        <v>563</v>
      </c>
      <c r="R177" s="163" t="s">
        <v>563</v>
      </c>
      <c r="S177" s="163" t="s">
        <v>563</v>
      </c>
      <c r="T177" s="163" t="s">
        <v>563</v>
      </c>
      <c r="U177" s="163" t="s">
        <v>563</v>
      </c>
    </row>
    <row r="178" spans="1:21" x14ac:dyDescent="0.15">
      <c r="A178" s="161" t="s">
        <v>829</v>
      </c>
      <c r="B178" s="162" t="s">
        <v>830</v>
      </c>
      <c r="C178" s="162" t="s">
        <v>873</v>
      </c>
      <c r="D178" s="162"/>
      <c r="E178" s="163">
        <v>43332</v>
      </c>
      <c r="F178" s="163">
        <v>51333</v>
      </c>
      <c r="G178" s="163">
        <v>70379</v>
      </c>
      <c r="H178" s="163">
        <v>75803</v>
      </c>
      <c r="I178" s="163">
        <v>78717</v>
      </c>
      <c r="J178" s="163">
        <v>83523.749711870754</v>
      </c>
      <c r="K178" s="163">
        <v>89443.042745136569</v>
      </c>
      <c r="L178" s="163">
        <v>99169.980523267106</v>
      </c>
      <c r="M178" s="163">
        <v>90575.276672141103</v>
      </c>
      <c r="N178" s="163">
        <v>107699.4942902427</v>
      </c>
      <c r="O178" s="163">
        <v>118827.08477780333</v>
      </c>
      <c r="P178" s="163">
        <v>128704.0360796059</v>
      </c>
      <c r="Q178" s="163">
        <v>137950.21278679415</v>
      </c>
      <c r="R178" s="163">
        <v>149286.22472876619</v>
      </c>
      <c r="S178" s="163" t="s">
        <v>563</v>
      </c>
      <c r="T178" s="163" t="s">
        <v>563</v>
      </c>
      <c r="U178" s="163" t="s">
        <v>563</v>
      </c>
    </row>
    <row r="179" spans="1:21" x14ac:dyDescent="0.15">
      <c r="A179" s="161" t="s">
        <v>566</v>
      </c>
      <c r="B179" s="162"/>
      <c r="C179" s="162"/>
      <c r="D179" s="162"/>
      <c r="E179" s="163"/>
      <c r="F179" s="163"/>
      <c r="G179" s="163"/>
      <c r="H179" s="163"/>
      <c r="I179" s="163"/>
      <c r="J179" s="163"/>
      <c r="K179" s="163"/>
      <c r="L179" s="163"/>
      <c r="M179" s="163"/>
      <c r="N179" s="163"/>
      <c r="O179" s="163"/>
      <c r="P179" s="163"/>
      <c r="Q179" s="163"/>
      <c r="R179" s="163"/>
      <c r="S179" s="163"/>
      <c r="T179" s="163"/>
      <c r="U179" s="163"/>
    </row>
    <row r="180" spans="1:21" x14ac:dyDescent="0.15">
      <c r="A180" s="161" t="s">
        <v>874</v>
      </c>
      <c r="B180" s="162"/>
      <c r="C180" s="162" t="s">
        <v>875</v>
      </c>
      <c r="D180" s="162"/>
      <c r="E180" s="163"/>
      <c r="F180" s="163"/>
      <c r="G180" s="163"/>
      <c r="H180" s="163"/>
      <c r="I180" s="163"/>
      <c r="J180" s="163"/>
      <c r="K180" s="163"/>
      <c r="L180" s="163"/>
      <c r="M180" s="163"/>
      <c r="N180" s="163"/>
      <c r="O180" s="163"/>
      <c r="P180" s="163"/>
      <c r="Q180" s="163"/>
      <c r="R180" s="163"/>
      <c r="S180" s="163"/>
      <c r="T180" s="163"/>
      <c r="U180" s="163"/>
    </row>
    <row r="181" spans="1:21" x14ac:dyDescent="0.15">
      <c r="A181" s="161" t="s">
        <v>876</v>
      </c>
      <c r="B181" s="162" t="s">
        <v>877</v>
      </c>
      <c r="C181" s="162" t="s">
        <v>878</v>
      </c>
      <c r="D181" s="162"/>
      <c r="E181" s="163">
        <v>8277</v>
      </c>
      <c r="F181" s="163">
        <v>9939</v>
      </c>
      <c r="G181" s="163">
        <v>9880</v>
      </c>
      <c r="H181" s="163">
        <v>8941</v>
      </c>
      <c r="I181" s="163">
        <v>8277</v>
      </c>
      <c r="J181" s="163">
        <v>9636.1606093388436</v>
      </c>
      <c r="K181" s="163">
        <v>11326.821331469031</v>
      </c>
      <c r="L181" s="163" t="s">
        <v>563</v>
      </c>
      <c r="M181" s="163" t="s">
        <v>563</v>
      </c>
      <c r="N181" s="163" t="s">
        <v>563</v>
      </c>
      <c r="O181" s="163" t="s">
        <v>563</v>
      </c>
      <c r="P181" s="163" t="s">
        <v>563</v>
      </c>
      <c r="Q181" s="163" t="s">
        <v>563</v>
      </c>
      <c r="R181" s="163" t="s">
        <v>563</v>
      </c>
      <c r="S181" s="163" t="s">
        <v>563</v>
      </c>
      <c r="T181" s="163" t="s">
        <v>563</v>
      </c>
      <c r="U181" s="163" t="s">
        <v>563</v>
      </c>
    </row>
    <row r="182" spans="1:21" x14ac:dyDescent="0.15">
      <c r="A182" s="161" t="s">
        <v>879</v>
      </c>
      <c r="B182" s="162" t="s">
        <v>880</v>
      </c>
      <c r="C182" s="162"/>
      <c r="D182" s="162"/>
      <c r="E182" s="163">
        <v>100</v>
      </c>
      <c r="F182" s="163">
        <v>100</v>
      </c>
      <c r="G182" s="163">
        <v>100</v>
      </c>
      <c r="H182" s="163">
        <v>100</v>
      </c>
      <c r="I182" s="163">
        <v>100</v>
      </c>
      <c r="J182" s="163">
        <v>100</v>
      </c>
      <c r="K182" s="163">
        <v>100</v>
      </c>
      <c r="L182" s="163">
        <v>100</v>
      </c>
      <c r="M182" s="163">
        <v>100</v>
      </c>
      <c r="N182" s="163">
        <v>100</v>
      </c>
      <c r="O182" s="163">
        <v>100</v>
      </c>
      <c r="P182" s="163">
        <v>100</v>
      </c>
      <c r="Q182" s="163">
        <v>100</v>
      </c>
      <c r="R182" s="163">
        <v>100</v>
      </c>
      <c r="S182" s="163" t="s">
        <v>563</v>
      </c>
      <c r="T182" s="163" t="s">
        <v>563</v>
      </c>
      <c r="U182" s="163" t="s">
        <v>563</v>
      </c>
    </row>
    <row r="183" spans="1:21" x14ac:dyDescent="0.15">
      <c r="A183" s="161" t="s">
        <v>881</v>
      </c>
      <c r="B183" s="162" t="s">
        <v>882</v>
      </c>
      <c r="C183" s="162"/>
      <c r="D183" s="162"/>
      <c r="E183" s="163">
        <v>2.8163265306122449</v>
      </c>
      <c r="F183" s="163">
        <v>3.0322523480418218</v>
      </c>
      <c r="G183" s="163">
        <v>3.5079001146388875</v>
      </c>
      <c r="H183" s="163">
        <v>3.4888847977171262</v>
      </c>
      <c r="I183" s="163">
        <v>3.8826575910032552</v>
      </c>
      <c r="J183" s="163">
        <v>4.437544675752779</v>
      </c>
      <c r="K183" s="163">
        <v>4.6951793070150014</v>
      </c>
      <c r="L183" s="163">
        <v>5.2099688156717416</v>
      </c>
      <c r="M183" s="163">
        <v>4.2744097774771399</v>
      </c>
      <c r="N183" s="163">
        <v>4.7178961155939483</v>
      </c>
      <c r="O183" s="163">
        <v>4.9800009409290737</v>
      </c>
      <c r="P183" s="163">
        <v>5.0813814832398716</v>
      </c>
      <c r="Q183" s="163">
        <v>5.4431879336850351</v>
      </c>
      <c r="R183" s="163">
        <v>5.627999160050571</v>
      </c>
      <c r="S183" s="163" t="s">
        <v>563</v>
      </c>
      <c r="T183" s="163" t="s">
        <v>563</v>
      </c>
      <c r="U183" s="163" t="s">
        <v>563</v>
      </c>
    </row>
    <row r="184" spans="1:21" x14ac:dyDescent="0.15">
      <c r="A184" s="161" t="s">
        <v>883</v>
      </c>
      <c r="B184" s="162" t="s">
        <v>884</v>
      </c>
      <c r="C184" s="162"/>
      <c r="D184" s="162"/>
      <c r="E184" s="163">
        <v>7.3940198045433956</v>
      </c>
      <c r="F184" s="163">
        <v>8.9339972991222147</v>
      </c>
      <c r="G184" s="163">
        <v>9.8434790715018181</v>
      </c>
      <c r="H184" s="163">
        <v>11.509203421228962</v>
      </c>
      <c r="I184" s="163">
        <v>12.773275674104221</v>
      </c>
      <c r="J184" s="163">
        <v>11.664732437826823</v>
      </c>
      <c r="K184" s="163">
        <v>11.617296301210549</v>
      </c>
      <c r="L184" s="163">
        <v>11.13685934196673</v>
      </c>
      <c r="M184" s="163">
        <v>10</v>
      </c>
      <c r="N184" s="163">
        <v>10</v>
      </c>
      <c r="O184" s="163">
        <v>10</v>
      </c>
      <c r="P184" s="163">
        <v>10</v>
      </c>
      <c r="Q184" s="163">
        <v>10</v>
      </c>
      <c r="R184" s="163">
        <v>10</v>
      </c>
      <c r="S184" s="163" t="s">
        <v>563</v>
      </c>
      <c r="T184" s="163" t="s">
        <v>563</v>
      </c>
      <c r="U184" s="163" t="s">
        <v>563</v>
      </c>
    </row>
    <row r="185" spans="1:21" x14ac:dyDescent="0.15">
      <c r="A185" s="161" t="s">
        <v>885</v>
      </c>
      <c r="B185" s="162" t="s">
        <v>886</v>
      </c>
      <c r="C185" s="162"/>
      <c r="D185" s="162"/>
      <c r="E185" s="163">
        <v>1174</v>
      </c>
      <c r="F185" s="163">
        <v>1173</v>
      </c>
      <c r="G185" s="163">
        <v>1172</v>
      </c>
      <c r="H185" s="163">
        <v>1168</v>
      </c>
      <c r="I185" s="163">
        <v>1136</v>
      </c>
      <c r="J185" s="163">
        <v>1116.819509383178</v>
      </c>
      <c r="K185" s="163">
        <v>1093.0169996666152</v>
      </c>
      <c r="L185" s="163">
        <v>1073.6373836566815</v>
      </c>
      <c r="M185" s="163">
        <v>1059.3027399846778</v>
      </c>
      <c r="N185" s="163" t="s">
        <v>563</v>
      </c>
      <c r="O185" s="163" t="s">
        <v>563</v>
      </c>
      <c r="P185" s="163" t="s">
        <v>563</v>
      </c>
      <c r="Q185" s="163" t="s">
        <v>563</v>
      </c>
      <c r="R185" s="163" t="s">
        <v>563</v>
      </c>
      <c r="S185" s="163" t="s">
        <v>563</v>
      </c>
      <c r="T185" s="163" t="s">
        <v>563</v>
      </c>
      <c r="U185" s="163" t="s">
        <v>563</v>
      </c>
    </row>
    <row r="186" spans="1:21" x14ac:dyDescent="0.15">
      <c r="A186" s="161" t="s">
        <v>887</v>
      </c>
      <c r="B186" s="162" t="s">
        <v>888</v>
      </c>
      <c r="C186" s="162" t="s">
        <v>889</v>
      </c>
      <c r="D186" s="162"/>
      <c r="E186" s="163">
        <v>13.105621805792163</v>
      </c>
      <c r="F186" s="163">
        <v>14.394714407502132</v>
      </c>
      <c r="G186" s="163">
        <v>17.081058020477816</v>
      </c>
      <c r="H186" s="163">
        <v>18.601883561643834</v>
      </c>
      <c r="I186" s="163">
        <v>17.846830985915492</v>
      </c>
      <c r="J186" s="163">
        <v>20.034000000000002</v>
      </c>
      <c r="K186" s="163">
        <v>24.322222222222223</v>
      </c>
      <c r="L186" s="163">
        <v>30.366000000000003</v>
      </c>
      <c r="M186" s="163" t="s">
        <v>563</v>
      </c>
      <c r="N186" s="163" t="s">
        <v>563</v>
      </c>
      <c r="O186" s="163" t="s">
        <v>563</v>
      </c>
      <c r="P186" s="163" t="s">
        <v>563</v>
      </c>
      <c r="Q186" s="163" t="s">
        <v>563</v>
      </c>
      <c r="R186" s="163" t="s">
        <v>563</v>
      </c>
      <c r="S186" s="163" t="s">
        <v>563</v>
      </c>
      <c r="T186" s="163" t="s">
        <v>563</v>
      </c>
      <c r="U186" s="163" t="s">
        <v>563</v>
      </c>
    </row>
    <row r="187" spans="1:21" x14ac:dyDescent="0.15">
      <c r="A187" s="161" t="s">
        <v>890</v>
      </c>
      <c r="B187" s="162" t="s">
        <v>891</v>
      </c>
      <c r="C187" s="162" t="s">
        <v>892</v>
      </c>
      <c r="D187" s="162"/>
      <c r="E187" s="163">
        <v>12.789692435577722</v>
      </c>
      <c r="F187" s="163">
        <v>14.212962962962964</v>
      </c>
      <c r="G187" s="163">
        <v>16.865206402695872</v>
      </c>
      <c r="H187" s="163">
        <v>18.319561551433388</v>
      </c>
      <c r="I187" s="163">
        <v>17.507772020725387</v>
      </c>
      <c r="J187" s="163">
        <v>18.767240348965288</v>
      </c>
      <c r="K187" s="163">
        <v>22.802386822644078</v>
      </c>
      <c r="L187" s="163">
        <v>29.737791973396352</v>
      </c>
      <c r="M187" s="163" t="s">
        <v>563</v>
      </c>
      <c r="N187" s="163" t="s">
        <v>563</v>
      </c>
      <c r="O187" s="163" t="s">
        <v>563</v>
      </c>
      <c r="P187" s="163" t="s">
        <v>563</v>
      </c>
      <c r="Q187" s="163" t="s">
        <v>563</v>
      </c>
      <c r="R187" s="163" t="s">
        <v>563</v>
      </c>
      <c r="S187" s="163" t="s">
        <v>563</v>
      </c>
      <c r="T187" s="163" t="s">
        <v>563</v>
      </c>
      <c r="U187" s="163" t="s">
        <v>563</v>
      </c>
    </row>
    <row r="188" spans="1:21" x14ac:dyDescent="0.15">
      <c r="A188" s="161" t="s">
        <v>893</v>
      </c>
      <c r="B188" s="162" t="s">
        <v>894</v>
      </c>
      <c r="C188" s="162"/>
      <c r="D188" s="162"/>
      <c r="E188" s="163">
        <v>7.0502555366269162</v>
      </c>
      <c r="F188" s="163">
        <v>8.4356351236146629</v>
      </c>
      <c r="G188" s="163">
        <v>8.3924914675767912</v>
      </c>
      <c r="H188" s="163">
        <v>7.6549657534246576</v>
      </c>
      <c r="I188" s="163">
        <v>7.286091549295775</v>
      </c>
      <c r="J188" s="163">
        <v>7.1249072883906059</v>
      </c>
      <c r="K188" s="163">
        <v>8.1856264547814046</v>
      </c>
      <c r="L188" s="163">
        <v>9.7598102299722065</v>
      </c>
      <c r="M188" s="163">
        <v>11.678308660213439</v>
      </c>
      <c r="N188" s="163">
        <v>10.30968239130549</v>
      </c>
      <c r="O188" s="163">
        <v>10.457015531590303</v>
      </c>
      <c r="P188" s="163">
        <v>11.795846089685138</v>
      </c>
      <c r="Q188" s="163">
        <v>11.597423029867782</v>
      </c>
      <c r="R188" s="163">
        <v>12.894020017467376</v>
      </c>
      <c r="S188" s="163" t="s">
        <v>563</v>
      </c>
      <c r="T188" s="163" t="s">
        <v>563</v>
      </c>
      <c r="U188" s="163" t="s">
        <v>563</v>
      </c>
    </row>
    <row r="189" spans="1:21" x14ac:dyDescent="0.15">
      <c r="A189" s="161" t="s">
        <v>895</v>
      </c>
      <c r="B189" s="162" t="s">
        <v>896</v>
      </c>
      <c r="C189" s="162" t="s">
        <v>897</v>
      </c>
      <c r="D189" s="162"/>
      <c r="E189" s="163">
        <v>44</v>
      </c>
      <c r="F189" s="163">
        <v>14</v>
      </c>
      <c r="G189" s="163">
        <v>12</v>
      </c>
      <c r="H189" s="163">
        <v>15.4</v>
      </c>
      <c r="I189" s="163">
        <v>40.4</v>
      </c>
      <c r="J189" s="163">
        <v>45.701081108321553</v>
      </c>
      <c r="K189" s="163">
        <v>40.393359848594969</v>
      </c>
      <c r="L189" s="163">
        <v>35.851343687205379</v>
      </c>
      <c r="M189" s="163" t="s">
        <v>563</v>
      </c>
      <c r="N189" s="163" t="s">
        <v>563</v>
      </c>
      <c r="O189" s="163" t="s">
        <v>563</v>
      </c>
      <c r="P189" s="163" t="s">
        <v>563</v>
      </c>
      <c r="Q189" s="163" t="s">
        <v>563</v>
      </c>
      <c r="R189" s="163" t="s">
        <v>563</v>
      </c>
      <c r="S189" s="163" t="s">
        <v>563</v>
      </c>
      <c r="T189" s="163" t="s">
        <v>563</v>
      </c>
      <c r="U189" s="163" t="s">
        <v>563</v>
      </c>
    </row>
    <row r="190" spans="1:21" x14ac:dyDescent="0.15">
      <c r="A190" s="161" t="s">
        <v>898</v>
      </c>
      <c r="B190" s="162" t="s">
        <v>899</v>
      </c>
      <c r="C190" s="162" t="s">
        <v>900</v>
      </c>
      <c r="D190" s="162"/>
      <c r="E190" s="163">
        <v>79.545455000000004</v>
      </c>
      <c r="F190" s="163">
        <v>100</v>
      </c>
      <c r="G190" s="163">
        <v>136.16999999999999</v>
      </c>
      <c r="H190" s="163">
        <v>219.75</v>
      </c>
      <c r="I190" s="163">
        <v>103.431</v>
      </c>
      <c r="J190" s="163">
        <v>87.379863284014007</v>
      </c>
      <c r="K190" s="163">
        <v>105.80379196343142</v>
      </c>
      <c r="L190" s="163">
        <v>112.71720299760422</v>
      </c>
      <c r="M190" s="163" t="s">
        <v>563</v>
      </c>
      <c r="N190" s="163" t="s">
        <v>563</v>
      </c>
      <c r="O190" s="163" t="s">
        <v>563</v>
      </c>
      <c r="P190" s="163" t="s">
        <v>563</v>
      </c>
      <c r="Q190" s="163" t="s">
        <v>563</v>
      </c>
      <c r="R190" s="163" t="s">
        <v>563</v>
      </c>
      <c r="S190" s="163" t="s">
        <v>563</v>
      </c>
      <c r="T190" s="163" t="s">
        <v>563</v>
      </c>
      <c r="U190" s="163" t="s">
        <v>563</v>
      </c>
    </row>
    <row r="191" spans="1:21" x14ac:dyDescent="0.15">
      <c r="A191" s="161" t="s">
        <v>901</v>
      </c>
      <c r="B191" s="162" t="s">
        <v>902</v>
      </c>
      <c r="C191" s="162" t="s">
        <v>903</v>
      </c>
      <c r="D191" s="162"/>
      <c r="E191" s="163">
        <v>4.8914465079780278</v>
      </c>
      <c r="F191" s="163">
        <v>5.1951618866529339</v>
      </c>
      <c r="G191" s="163">
        <v>6.9048245037465499</v>
      </c>
      <c r="H191" s="163">
        <v>5.7038486270539464</v>
      </c>
      <c r="I191" s="163">
        <v>3.1309862800931918</v>
      </c>
      <c r="J191" s="163">
        <v>5.9799999999999995</v>
      </c>
      <c r="K191" s="163">
        <v>6.3085714285714278</v>
      </c>
      <c r="L191" s="163">
        <v>5.7633333333333328</v>
      </c>
      <c r="M191" s="163">
        <v>6.28</v>
      </c>
      <c r="N191" s="163">
        <v>6.835</v>
      </c>
      <c r="O191" s="163">
        <v>8.16</v>
      </c>
      <c r="P191" s="163">
        <v>8.4600000000000009</v>
      </c>
      <c r="Q191" s="163">
        <v>9.01</v>
      </c>
      <c r="R191" s="163">
        <v>9.18</v>
      </c>
      <c r="S191" s="163" t="s">
        <v>563</v>
      </c>
      <c r="T191" s="163" t="s">
        <v>563</v>
      </c>
      <c r="U191" s="163" t="s">
        <v>563</v>
      </c>
    </row>
    <row r="192" spans="1:21" x14ac:dyDescent="0.15">
      <c r="A192" s="161" t="s">
        <v>904</v>
      </c>
      <c r="B192" s="162" t="s">
        <v>905</v>
      </c>
      <c r="C192" s="162" t="s">
        <v>906</v>
      </c>
      <c r="D192" s="162"/>
      <c r="E192" s="163">
        <v>13.110261312938176</v>
      </c>
      <c r="F192" s="163">
        <v>15.239688884757213</v>
      </c>
      <c r="G192" s="163">
        <v>22.772599176241055</v>
      </c>
      <c r="H192" s="163">
        <v>19.973171082259377</v>
      </c>
      <c r="I192" s="163">
        <v>11.518773362538987</v>
      </c>
      <c r="J192" s="163">
        <v>23.027857142857147</v>
      </c>
      <c r="K192" s="163">
        <v>23.428333333333338</v>
      </c>
      <c r="L192" s="163">
        <v>21.573333333333334</v>
      </c>
      <c r="M192" s="163" t="s">
        <v>563</v>
      </c>
      <c r="N192" s="163" t="s">
        <v>563</v>
      </c>
      <c r="O192" s="163" t="s">
        <v>563</v>
      </c>
      <c r="P192" s="163" t="s">
        <v>563</v>
      </c>
      <c r="Q192" s="163" t="s">
        <v>563</v>
      </c>
      <c r="R192" s="163" t="s">
        <v>563</v>
      </c>
      <c r="S192" s="163" t="s">
        <v>563</v>
      </c>
      <c r="T192" s="163" t="s">
        <v>563</v>
      </c>
      <c r="U192" s="163" t="s">
        <v>563</v>
      </c>
    </row>
    <row r="193" spans="1:21" x14ac:dyDescent="0.15">
      <c r="A193" s="161" t="s">
        <v>566</v>
      </c>
      <c r="B193" s="162"/>
      <c r="C193" s="162"/>
      <c r="D193" s="162"/>
      <c r="E193" s="163"/>
      <c r="F193" s="163"/>
      <c r="G193" s="163"/>
      <c r="H193" s="163"/>
      <c r="I193" s="163"/>
      <c r="J193" s="163"/>
      <c r="K193" s="163"/>
      <c r="L193" s="163"/>
      <c r="M193" s="163"/>
      <c r="N193" s="163"/>
      <c r="O193" s="163"/>
      <c r="P193" s="163"/>
      <c r="Q193" s="163"/>
      <c r="R193" s="163"/>
      <c r="S193" s="163"/>
      <c r="T193" s="163"/>
      <c r="U193" s="163"/>
    </row>
    <row r="194" spans="1:21" x14ac:dyDescent="0.15">
      <c r="A194" s="161" t="s">
        <v>907</v>
      </c>
      <c r="B194" s="162"/>
      <c r="C194" s="162" t="s">
        <v>908</v>
      </c>
      <c r="D194" s="162"/>
      <c r="E194" s="163"/>
      <c r="F194" s="163"/>
      <c r="G194" s="163"/>
      <c r="H194" s="163"/>
      <c r="I194" s="163"/>
      <c r="J194" s="163"/>
      <c r="K194" s="163"/>
      <c r="L194" s="163"/>
      <c r="M194" s="163"/>
      <c r="N194" s="163"/>
      <c r="O194" s="163"/>
      <c r="P194" s="163"/>
      <c r="Q194" s="163"/>
      <c r="R194" s="163"/>
      <c r="S194" s="163"/>
      <c r="T194" s="163"/>
      <c r="U194" s="163"/>
    </row>
    <row r="195" spans="1:21" x14ac:dyDescent="0.15">
      <c r="A195" s="161" t="s">
        <v>909</v>
      </c>
      <c r="B195" s="162"/>
      <c r="C195" s="162" t="s">
        <v>910</v>
      </c>
      <c r="D195" s="162"/>
      <c r="E195" s="163"/>
      <c r="F195" s="163"/>
      <c r="G195" s="163"/>
      <c r="H195" s="163"/>
      <c r="I195" s="163"/>
      <c r="J195" s="163"/>
      <c r="K195" s="163"/>
      <c r="L195" s="163"/>
      <c r="M195" s="163"/>
      <c r="N195" s="163"/>
      <c r="O195" s="163"/>
      <c r="P195" s="163"/>
      <c r="Q195" s="163"/>
      <c r="R195" s="163"/>
      <c r="S195" s="163"/>
      <c r="T195" s="163"/>
      <c r="U195" s="163"/>
    </row>
    <row r="196" spans="1:21" x14ac:dyDescent="0.15">
      <c r="A196" s="161" t="s">
        <v>911</v>
      </c>
      <c r="B196" s="162" t="s">
        <v>727</v>
      </c>
      <c r="C196" s="162" t="s">
        <v>28</v>
      </c>
      <c r="D196" s="162"/>
      <c r="E196" s="163">
        <v>2057</v>
      </c>
      <c r="F196" s="163">
        <v>2459</v>
      </c>
      <c r="G196" s="163">
        <v>4202</v>
      </c>
      <c r="H196" s="163">
        <v>4169</v>
      </c>
      <c r="I196" s="163">
        <v>2419</v>
      </c>
      <c r="J196" s="163">
        <v>3857.6571428571428</v>
      </c>
      <c r="K196" s="163">
        <v>4608.0857142857139</v>
      </c>
      <c r="L196" s="163">
        <v>5209.125</v>
      </c>
      <c r="M196" s="163">
        <v>5232</v>
      </c>
      <c r="N196" s="163">
        <v>7270</v>
      </c>
      <c r="O196" s="163">
        <v>9372</v>
      </c>
      <c r="P196" s="163">
        <v>10468</v>
      </c>
      <c r="Q196" s="163">
        <v>12015</v>
      </c>
      <c r="R196" s="163">
        <v>13182</v>
      </c>
      <c r="S196" s="163" t="s">
        <v>563</v>
      </c>
      <c r="T196" s="163" t="s">
        <v>563</v>
      </c>
      <c r="U196" s="163" t="s">
        <v>563</v>
      </c>
    </row>
    <row r="197" spans="1:21" x14ac:dyDescent="0.15">
      <c r="A197" s="161" t="s">
        <v>756</v>
      </c>
      <c r="B197" s="162" t="s">
        <v>757</v>
      </c>
      <c r="C197" s="162" t="s">
        <v>707</v>
      </c>
      <c r="D197" s="162"/>
      <c r="E197" s="163">
        <v>627</v>
      </c>
      <c r="F197" s="163">
        <v>701</v>
      </c>
      <c r="G197" s="163">
        <v>739</v>
      </c>
      <c r="H197" s="163">
        <v>822</v>
      </c>
      <c r="I197" s="163">
        <v>846</v>
      </c>
      <c r="J197" s="163">
        <v>719.86048067602735</v>
      </c>
      <c r="K197" s="163">
        <v>788.29000358315943</v>
      </c>
      <c r="L197" s="163">
        <v>1126.3462296372015</v>
      </c>
      <c r="M197" s="163">
        <v>1220.009723979648</v>
      </c>
      <c r="N197" s="163">
        <v>1739.74363810164</v>
      </c>
      <c r="O197" s="163">
        <v>1956.46273573896</v>
      </c>
      <c r="P197" s="163">
        <v>2183.4972396974099</v>
      </c>
      <c r="Q197" s="163">
        <v>2394.3631993788299</v>
      </c>
      <c r="R197" s="163">
        <v>2625.5965652802902</v>
      </c>
      <c r="S197" s="163" t="s">
        <v>563</v>
      </c>
      <c r="T197" s="163" t="s">
        <v>563</v>
      </c>
      <c r="U197" s="163" t="s">
        <v>563</v>
      </c>
    </row>
    <row r="198" spans="1:21" x14ac:dyDescent="0.15">
      <c r="A198" s="161" t="s">
        <v>912</v>
      </c>
      <c r="B198" s="162" t="s">
        <v>913</v>
      </c>
      <c r="C198" s="162" t="s">
        <v>191</v>
      </c>
      <c r="D198" s="162"/>
      <c r="E198" s="163">
        <v>853</v>
      </c>
      <c r="F198" s="163">
        <v>1021</v>
      </c>
      <c r="G198" s="163">
        <v>1376</v>
      </c>
      <c r="H198" s="163">
        <v>1376</v>
      </c>
      <c r="I198" s="163">
        <v>1261</v>
      </c>
      <c r="J198" s="163">
        <v>1478.0782867224884</v>
      </c>
      <c r="K198" s="163">
        <v>1537.7080890933928</v>
      </c>
      <c r="L198" s="163">
        <v>1628.5843985893052</v>
      </c>
      <c r="M198" s="163">
        <v>1657.1636995340539</v>
      </c>
      <c r="N198" s="163">
        <v>1986.9203547635018</v>
      </c>
      <c r="O198" s="163">
        <v>2191.2382640276364</v>
      </c>
      <c r="P198" s="163">
        <v>2445.5169084611002</v>
      </c>
      <c r="Q198" s="163">
        <v>2569.9498339999491</v>
      </c>
      <c r="R198" s="163">
        <v>2818.1403134008474</v>
      </c>
      <c r="S198" s="163" t="s">
        <v>563</v>
      </c>
      <c r="T198" s="163" t="s">
        <v>563</v>
      </c>
      <c r="U198" s="163" t="s">
        <v>563</v>
      </c>
    </row>
    <row r="199" spans="1:21" x14ac:dyDescent="0.15">
      <c r="A199" s="161" t="s">
        <v>914</v>
      </c>
      <c r="B199" s="162" t="s">
        <v>915</v>
      </c>
      <c r="C199" s="162" t="s">
        <v>916</v>
      </c>
      <c r="D199" s="162"/>
      <c r="E199" s="163">
        <v>328</v>
      </c>
      <c r="F199" s="163">
        <v>665</v>
      </c>
      <c r="G199" s="163">
        <v>565</v>
      </c>
      <c r="H199" s="163">
        <v>474</v>
      </c>
      <c r="I199" s="163">
        <v>878</v>
      </c>
      <c r="J199" s="163">
        <v>1203.3260869016765</v>
      </c>
      <c r="K199" s="163">
        <v>1242.1394259884066</v>
      </c>
      <c r="L199" s="163">
        <v>1355.8472558416343</v>
      </c>
      <c r="M199" s="163" t="s">
        <v>563</v>
      </c>
      <c r="N199" s="163" t="s">
        <v>563</v>
      </c>
      <c r="O199" s="163" t="s">
        <v>563</v>
      </c>
      <c r="P199" s="163" t="s">
        <v>563</v>
      </c>
      <c r="Q199" s="163" t="s">
        <v>563</v>
      </c>
      <c r="R199" s="163" t="s">
        <v>563</v>
      </c>
      <c r="S199" s="163" t="s">
        <v>563</v>
      </c>
      <c r="T199" s="163" t="s">
        <v>563</v>
      </c>
      <c r="U199" s="163" t="s">
        <v>563</v>
      </c>
    </row>
    <row r="200" spans="1:21" x14ac:dyDescent="0.15">
      <c r="A200" s="161" t="s">
        <v>917</v>
      </c>
      <c r="B200" s="162" t="s">
        <v>918</v>
      </c>
      <c r="C200" s="162" t="s">
        <v>919</v>
      </c>
      <c r="D200" s="162"/>
      <c r="E200" s="163">
        <v>-171</v>
      </c>
      <c r="F200" s="163">
        <v>-269</v>
      </c>
      <c r="G200" s="163">
        <v>165</v>
      </c>
      <c r="H200" s="163">
        <v>-482</v>
      </c>
      <c r="I200" s="163">
        <v>-811</v>
      </c>
      <c r="J200" s="163">
        <v>-864.14958734324387</v>
      </c>
      <c r="K200" s="163">
        <v>-792.9625381004663</v>
      </c>
      <c r="L200" s="163">
        <v>-968.87037037037044</v>
      </c>
      <c r="M200" s="163" t="s">
        <v>563</v>
      </c>
      <c r="N200" s="163" t="s">
        <v>563</v>
      </c>
      <c r="O200" s="163" t="s">
        <v>563</v>
      </c>
      <c r="P200" s="163" t="s">
        <v>563</v>
      </c>
      <c r="Q200" s="163" t="s">
        <v>563</v>
      </c>
      <c r="R200" s="163" t="s">
        <v>563</v>
      </c>
      <c r="S200" s="163" t="s">
        <v>563</v>
      </c>
      <c r="T200" s="163" t="s">
        <v>563</v>
      </c>
      <c r="U200" s="163" t="s">
        <v>563</v>
      </c>
    </row>
    <row r="201" spans="1:21" x14ac:dyDescent="0.15">
      <c r="A201" s="164" t="s">
        <v>920</v>
      </c>
      <c r="B201" s="165"/>
      <c r="C201" s="165" t="s">
        <v>921</v>
      </c>
      <c r="D201" s="165"/>
      <c r="E201" s="166">
        <f>SUM(E202:E205)</f>
        <v>-788</v>
      </c>
      <c r="F201" s="166">
        <f t="shared" ref="F201:Q201" si="1">SUM(F202:F205)</f>
        <v>-1079</v>
      </c>
      <c r="G201" s="166">
        <f t="shared" si="1"/>
        <v>-952</v>
      </c>
      <c r="H201" s="166">
        <f t="shared" si="1"/>
        <v>-1102</v>
      </c>
      <c r="I201" s="166">
        <f t="shared" si="1"/>
        <v>-572</v>
      </c>
      <c r="J201" s="166">
        <f t="shared" si="1"/>
        <v>-1691.7640037919587</v>
      </c>
      <c r="K201" s="166">
        <f t="shared" si="1"/>
        <v>-1412.0467667131118</v>
      </c>
      <c r="L201" s="166">
        <f t="shared" si="1"/>
        <v>279.54686377069959</v>
      </c>
      <c r="M201" s="166">
        <f t="shared" si="1"/>
        <v>401.82252270368264</v>
      </c>
      <c r="N201" s="166">
        <f t="shared" si="1"/>
        <v>848.40243238958146</v>
      </c>
      <c r="O201" s="166">
        <f t="shared" si="1"/>
        <v>-108.28973414623323</v>
      </c>
      <c r="P201" s="166">
        <f t="shared" si="1"/>
        <v>-103.36003617002336</v>
      </c>
      <c r="Q201" s="166">
        <f t="shared" si="1"/>
        <v>-104.3912052908247</v>
      </c>
      <c r="R201" s="166">
        <f t="shared" ref="R201" si="2">SUM(R202:R204)</f>
        <v>-114.47428407304994</v>
      </c>
      <c r="S201" s="163"/>
      <c r="T201" s="163"/>
      <c r="U201" s="163"/>
    </row>
    <row r="202" spans="1:21" x14ac:dyDescent="0.15">
      <c r="A202" s="176" t="s">
        <v>922</v>
      </c>
      <c r="B202" s="177" t="s">
        <v>923</v>
      </c>
      <c r="C202" s="177" t="s">
        <v>130</v>
      </c>
      <c r="D202" s="177"/>
      <c r="E202" s="178">
        <v>-59</v>
      </c>
      <c r="F202" s="178">
        <v>-120</v>
      </c>
      <c r="G202" s="178">
        <v>-100</v>
      </c>
      <c r="H202" s="178">
        <v>-222</v>
      </c>
      <c r="I202" s="178">
        <v>-163</v>
      </c>
      <c r="J202" s="178">
        <v>-168.78995366841608</v>
      </c>
      <c r="K202" s="163">
        <v>-111.92777434972074</v>
      </c>
      <c r="L202" s="163">
        <v>-161.40397432612929</v>
      </c>
      <c r="M202" s="163">
        <v>-76.510848285960336</v>
      </c>
      <c r="N202" s="163">
        <v>-125.52226115005168</v>
      </c>
      <c r="O202" s="163">
        <v>-158.33358731494013</v>
      </c>
      <c r="P202" s="163">
        <v>-165.86995722991787</v>
      </c>
      <c r="Q202" s="163">
        <v>-154.05732214167915</v>
      </c>
      <c r="R202" s="163">
        <v>-168.93761892343991</v>
      </c>
      <c r="S202" s="163" t="s">
        <v>563</v>
      </c>
      <c r="T202" s="163" t="s">
        <v>563</v>
      </c>
      <c r="U202" s="163" t="s">
        <v>563</v>
      </c>
    </row>
    <row r="203" spans="1:21" x14ac:dyDescent="0.15">
      <c r="A203" s="176" t="s">
        <v>924</v>
      </c>
      <c r="B203" s="177" t="s">
        <v>925</v>
      </c>
      <c r="C203" s="177" t="s">
        <v>147</v>
      </c>
      <c r="D203" s="177"/>
      <c r="E203" s="178">
        <v>26</v>
      </c>
      <c r="F203" s="178">
        <v>4</v>
      </c>
      <c r="G203" s="178">
        <v>-4</v>
      </c>
      <c r="H203" s="178">
        <v>-31</v>
      </c>
      <c r="I203" s="178">
        <v>-35</v>
      </c>
      <c r="J203" s="178">
        <v>16.368565933666634</v>
      </c>
      <c r="K203" s="163">
        <v>15.001575200152844</v>
      </c>
      <c r="L203" s="163">
        <v>4.0451221650191762</v>
      </c>
      <c r="M203" s="163">
        <v>17.437828901131432</v>
      </c>
      <c r="N203" s="163">
        <v>33.058506243181029</v>
      </c>
      <c r="O203" s="163">
        <v>50.043853168706903</v>
      </c>
      <c r="P203" s="163">
        <v>62.509921059894509</v>
      </c>
      <c r="Q203" s="163">
        <v>49.666116850854451</v>
      </c>
      <c r="R203" s="163">
        <v>54.46333485038997</v>
      </c>
      <c r="S203" s="163" t="s">
        <v>563</v>
      </c>
      <c r="T203" s="163" t="s">
        <v>563</v>
      </c>
      <c r="U203" s="163" t="s">
        <v>563</v>
      </c>
    </row>
    <row r="204" spans="1:21" x14ac:dyDescent="0.15">
      <c r="A204" s="176" t="s">
        <v>926</v>
      </c>
      <c r="B204" s="177" t="s">
        <v>927</v>
      </c>
      <c r="C204" s="177" t="s">
        <v>844</v>
      </c>
      <c r="D204" s="177"/>
      <c r="E204" s="178">
        <v>-44</v>
      </c>
      <c r="F204" s="178">
        <v>-40</v>
      </c>
      <c r="G204" s="178">
        <v>-230</v>
      </c>
      <c r="H204" s="178">
        <v>73</v>
      </c>
      <c r="I204" s="178">
        <v>373</v>
      </c>
      <c r="J204" s="178">
        <v>-579.22673125736947</v>
      </c>
      <c r="K204" s="163">
        <v>42.737355778577239</v>
      </c>
      <c r="L204" s="163">
        <v>41.537170092957467</v>
      </c>
      <c r="M204" s="163" t="s">
        <v>563</v>
      </c>
      <c r="N204" s="163" t="s">
        <v>563</v>
      </c>
      <c r="O204" s="163" t="s">
        <v>563</v>
      </c>
      <c r="P204" s="163" t="s">
        <v>563</v>
      </c>
      <c r="Q204" s="163" t="s">
        <v>563</v>
      </c>
      <c r="R204" s="163" t="s">
        <v>563</v>
      </c>
      <c r="S204" s="163" t="s">
        <v>563</v>
      </c>
      <c r="T204" s="163" t="s">
        <v>563</v>
      </c>
      <c r="U204" s="163" t="s">
        <v>563</v>
      </c>
    </row>
    <row r="205" spans="1:21" x14ac:dyDescent="0.15">
      <c r="A205" s="176" t="s">
        <v>928</v>
      </c>
      <c r="B205" s="177" t="s">
        <v>929</v>
      </c>
      <c r="C205" s="177" t="s">
        <v>930</v>
      </c>
      <c r="D205" s="177"/>
      <c r="E205" s="178">
        <v>-711</v>
      </c>
      <c r="F205" s="178">
        <v>-923</v>
      </c>
      <c r="G205" s="178">
        <v>-618</v>
      </c>
      <c r="H205" s="178">
        <v>-922</v>
      </c>
      <c r="I205" s="178">
        <v>-747</v>
      </c>
      <c r="J205" s="178">
        <v>-960.11588479983971</v>
      </c>
      <c r="K205" s="163">
        <v>-1357.857923342121</v>
      </c>
      <c r="L205" s="163">
        <v>395.36854583885224</v>
      </c>
      <c r="M205" s="163">
        <v>460.89554208851155</v>
      </c>
      <c r="N205" s="163">
        <v>940.86618729645215</v>
      </c>
      <c r="O205" s="163" t="s">
        <v>563</v>
      </c>
      <c r="P205" s="163" t="s">
        <v>563</v>
      </c>
      <c r="Q205" s="163" t="s">
        <v>563</v>
      </c>
      <c r="R205" s="163" t="s">
        <v>563</v>
      </c>
      <c r="S205" s="163" t="s">
        <v>563</v>
      </c>
      <c r="T205" s="163" t="s">
        <v>563</v>
      </c>
      <c r="U205" s="163" t="s">
        <v>563</v>
      </c>
    </row>
    <row r="206" spans="1:21" x14ac:dyDescent="0.15">
      <c r="A206" s="161" t="s">
        <v>931</v>
      </c>
      <c r="B206" s="162" t="s">
        <v>932</v>
      </c>
      <c r="C206" s="162" t="s">
        <v>933</v>
      </c>
      <c r="D206" s="162"/>
      <c r="E206" s="163">
        <v>5480</v>
      </c>
      <c r="F206" s="163">
        <v>4071</v>
      </c>
      <c r="G206" s="163">
        <v>5854</v>
      </c>
      <c r="H206" s="163">
        <v>6340</v>
      </c>
      <c r="I206" s="163">
        <v>5813</v>
      </c>
      <c r="J206" s="163">
        <v>7178.1520964156362</v>
      </c>
      <c r="K206" s="163">
        <v>7891.4176954551613</v>
      </c>
      <c r="L206" s="163">
        <v>8917.8970519033974</v>
      </c>
      <c r="M206" s="163">
        <v>10060.941148363916</v>
      </c>
      <c r="N206" s="163">
        <v>11460.927208102647</v>
      </c>
      <c r="O206" s="163" t="s">
        <v>563</v>
      </c>
      <c r="P206" s="163" t="s">
        <v>563</v>
      </c>
      <c r="Q206" s="163" t="s">
        <v>563</v>
      </c>
      <c r="R206" s="163" t="s">
        <v>563</v>
      </c>
      <c r="S206" s="163" t="s">
        <v>563</v>
      </c>
      <c r="T206" s="163" t="s">
        <v>563</v>
      </c>
      <c r="U206" s="163" t="s">
        <v>563</v>
      </c>
    </row>
    <row r="207" spans="1:21" x14ac:dyDescent="0.15">
      <c r="A207" s="161" t="s">
        <v>566</v>
      </c>
      <c r="B207" s="162"/>
      <c r="C207" s="162"/>
      <c r="D207" s="162"/>
      <c r="E207" s="163"/>
      <c r="F207" s="163"/>
      <c r="G207" s="163"/>
      <c r="H207" s="163"/>
      <c r="I207" s="163"/>
      <c r="J207" s="163"/>
      <c r="K207" s="163"/>
      <c r="L207" s="163"/>
      <c r="M207" s="163"/>
      <c r="N207" s="163"/>
      <c r="O207" s="163"/>
      <c r="P207" s="163"/>
      <c r="Q207" s="163"/>
      <c r="R207" s="163"/>
      <c r="S207" s="163"/>
      <c r="T207" s="163"/>
      <c r="U207" s="163"/>
    </row>
    <row r="208" spans="1:21" x14ac:dyDescent="0.15">
      <c r="A208" s="161" t="s">
        <v>934</v>
      </c>
      <c r="B208" s="162"/>
      <c r="C208" s="162" t="s">
        <v>935</v>
      </c>
      <c r="D208" s="162"/>
      <c r="E208" s="163"/>
      <c r="F208" s="163"/>
      <c r="G208" s="163"/>
      <c r="H208" s="163"/>
      <c r="I208" s="163"/>
      <c r="J208" s="163"/>
      <c r="K208" s="163"/>
      <c r="L208" s="163"/>
      <c r="M208" s="163"/>
      <c r="N208" s="163"/>
      <c r="O208" s="163"/>
      <c r="P208" s="163"/>
      <c r="Q208" s="163"/>
      <c r="R208" s="163"/>
      <c r="S208" s="163"/>
      <c r="T208" s="163"/>
      <c r="U208" s="163"/>
    </row>
    <row r="209" spans="1:21" x14ac:dyDescent="0.15">
      <c r="A209" s="164" t="s">
        <v>936</v>
      </c>
      <c r="B209" s="165" t="s">
        <v>639</v>
      </c>
      <c r="C209" s="165" t="s">
        <v>640</v>
      </c>
      <c r="D209" s="165"/>
      <c r="E209" s="166">
        <v>-823</v>
      </c>
      <c r="F209" s="166">
        <v>-704</v>
      </c>
      <c r="G209" s="166">
        <v>-866</v>
      </c>
      <c r="H209" s="166">
        <v>-908</v>
      </c>
      <c r="I209" s="166">
        <v>-706</v>
      </c>
      <c r="J209" s="166">
        <v>-960.70833333333337</v>
      </c>
      <c r="K209" s="163">
        <v>-1062</v>
      </c>
      <c r="L209" s="163">
        <v>-1230.5</v>
      </c>
      <c r="M209" s="163">
        <v>-1388.3333333333333</v>
      </c>
      <c r="N209" s="163">
        <v>-1542</v>
      </c>
      <c r="O209" s="163">
        <v>-2087</v>
      </c>
      <c r="P209" s="163">
        <v>-2329</v>
      </c>
      <c r="Q209" s="163">
        <v>-2554</v>
      </c>
      <c r="R209" s="163">
        <v>-2801</v>
      </c>
      <c r="S209" s="163" t="s">
        <v>563</v>
      </c>
      <c r="T209" s="163" t="s">
        <v>563</v>
      </c>
      <c r="U209" s="163" t="s">
        <v>563</v>
      </c>
    </row>
    <row r="210" spans="1:21" x14ac:dyDescent="0.15">
      <c r="A210" s="161" t="s">
        <v>937</v>
      </c>
      <c r="B210" s="162" t="s">
        <v>938</v>
      </c>
      <c r="C210" s="162" t="s">
        <v>649</v>
      </c>
      <c r="D210" s="162"/>
      <c r="E210" s="163">
        <v>5.3265160831014171</v>
      </c>
      <c r="F210" s="163">
        <v>3.9612874184109836</v>
      </c>
      <c r="G210" s="163">
        <v>4.0365433019483543</v>
      </c>
      <c r="H210" s="163">
        <v>3.5788892830396906</v>
      </c>
      <c r="I210" s="163">
        <v>2.5655934297550695</v>
      </c>
      <c r="J210" s="163">
        <v>3.1938820709090221</v>
      </c>
      <c r="K210" s="163">
        <v>3.1620022277500071</v>
      </c>
      <c r="L210" s="163">
        <v>3.3930191965834888</v>
      </c>
      <c r="M210" s="163">
        <v>3.6666666666666665</v>
      </c>
      <c r="N210" s="163">
        <v>3.5</v>
      </c>
      <c r="O210" s="163">
        <v>4</v>
      </c>
      <c r="P210" s="163">
        <v>4</v>
      </c>
      <c r="Q210" s="163">
        <v>4</v>
      </c>
      <c r="R210" s="163">
        <v>4</v>
      </c>
      <c r="S210" s="163" t="s">
        <v>563</v>
      </c>
      <c r="T210" s="163" t="s">
        <v>563</v>
      </c>
      <c r="U210" s="163" t="s">
        <v>563</v>
      </c>
    </row>
    <row r="211" spans="1:21" x14ac:dyDescent="0.15">
      <c r="A211" s="161" t="s">
        <v>939</v>
      </c>
      <c r="B211" s="162" t="s">
        <v>940</v>
      </c>
      <c r="C211" s="162" t="s">
        <v>941</v>
      </c>
      <c r="D211" s="162"/>
      <c r="E211" s="163">
        <v>3121</v>
      </c>
      <c r="F211" s="163">
        <v>-1631</v>
      </c>
      <c r="G211" s="163">
        <v>294</v>
      </c>
      <c r="H211" s="163">
        <v>-1594</v>
      </c>
      <c r="I211" s="163">
        <v>0</v>
      </c>
      <c r="J211" s="163">
        <v>-2427.2859218257345</v>
      </c>
      <c r="K211" s="163">
        <v>-2250.8970317602298</v>
      </c>
      <c r="L211" s="163">
        <v>-3252.8031581255232</v>
      </c>
      <c r="M211" s="163" t="s">
        <v>563</v>
      </c>
      <c r="N211" s="163" t="s">
        <v>563</v>
      </c>
      <c r="O211" s="163" t="s">
        <v>563</v>
      </c>
      <c r="P211" s="163" t="s">
        <v>563</v>
      </c>
      <c r="Q211" s="163" t="s">
        <v>563</v>
      </c>
      <c r="R211" s="163" t="s">
        <v>563</v>
      </c>
      <c r="S211" s="163" t="s">
        <v>563</v>
      </c>
      <c r="T211" s="163" t="s">
        <v>563</v>
      </c>
      <c r="U211" s="163" t="s">
        <v>563</v>
      </c>
    </row>
    <row r="212" spans="1:21" x14ac:dyDescent="0.15">
      <c r="A212" s="161" t="s">
        <v>942</v>
      </c>
      <c r="B212" s="162" t="s">
        <v>943</v>
      </c>
      <c r="C212" s="162" t="s">
        <v>944</v>
      </c>
      <c r="D212" s="162"/>
      <c r="E212" s="163">
        <v>3</v>
      </c>
      <c r="F212" s="163">
        <v>17</v>
      </c>
      <c r="G212" s="163">
        <v>120</v>
      </c>
      <c r="H212" s="163">
        <v>5</v>
      </c>
      <c r="I212" s="163">
        <v>5</v>
      </c>
      <c r="J212" s="163" t="s">
        <v>563</v>
      </c>
      <c r="K212" s="163" t="s">
        <v>563</v>
      </c>
      <c r="L212" s="163" t="s">
        <v>563</v>
      </c>
      <c r="M212" s="163" t="s">
        <v>563</v>
      </c>
      <c r="N212" s="163" t="s">
        <v>563</v>
      </c>
      <c r="O212" s="163" t="s">
        <v>563</v>
      </c>
      <c r="P212" s="163" t="s">
        <v>563</v>
      </c>
      <c r="Q212" s="163" t="s">
        <v>563</v>
      </c>
      <c r="R212" s="163" t="s">
        <v>563</v>
      </c>
      <c r="S212" s="163" t="s">
        <v>563</v>
      </c>
      <c r="T212" s="163" t="s">
        <v>563</v>
      </c>
      <c r="U212" s="163" t="s">
        <v>563</v>
      </c>
    </row>
    <row r="213" spans="1:21" x14ac:dyDescent="0.15">
      <c r="A213" s="161" t="s">
        <v>945</v>
      </c>
      <c r="B213" s="162" t="s">
        <v>946</v>
      </c>
      <c r="C213" s="162" t="s">
        <v>947</v>
      </c>
      <c r="D213" s="162"/>
      <c r="E213" s="163">
        <v>21898</v>
      </c>
      <c r="F213" s="163">
        <v>24878</v>
      </c>
      <c r="G213" s="163">
        <v>30908</v>
      </c>
      <c r="H213" s="163">
        <v>39698</v>
      </c>
      <c r="I213" s="163">
        <v>48314</v>
      </c>
      <c r="J213" s="163">
        <v>20014.095910851443</v>
      </c>
      <c r="K213" s="163">
        <v>20672.950900217627</v>
      </c>
      <c r="L213" s="163">
        <v>19708.041780176663</v>
      </c>
      <c r="M213" s="163" t="s">
        <v>563</v>
      </c>
      <c r="N213" s="163" t="s">
        <v>563</v>
      </c>
      <c r="O213" s="163" t="s">
        <v>563</v>
      </c>
      <c r="P213" s="163" t="s">
        <v>563</v>
      </c>
      <c r="Q213" s="163" t="s">
        <v>563</v>
      </c>
      <c r="R213" s="163" t="s">
        <v>563</v>
      </c>
      <c r="S213" s="163" t="s">
        <v>563</v>
      </c>
      <c r="T213" s="163" t="s">
        <v>563</v>
      </c>
      <c r="U213" s="163" t="s">
        <v>563</v>
      </c>
    </row>
    <row r="214" spans="1:21" x14ac:dyDescent="0.15">
      <c r="A214" s="161" t="s">
        <v>948</v>
      </c>
      <c r="B214" s="162" t="s">
        <v>949</v>
      </c>
      <c r="C214" s="162" t="s">
        <v>950</v>
      </c>
      <c r="D214" s="162"/>
      <c r="E214" s="163">
        <v>-2124</v>
      </c>
      <c r="F214" s="163">
        <v>-70</v>
      </c>
      <c r="G214" s="163">
        <v>-3609</v>
      </c>
      <c r="H214" s="163">
        <v>-2763</v>
      </c>
      <c r="I214" s="163">
        <v>0</v>
      </c>
      <c r="J214" s="163" t="s">
        <v>563</v>
      </c>
      <c r="K214" s="163" t="s">
        <v>563</v>
      </c>
      <c r="L214" s="163" t="s">
        <v>563</v>
      </c>
      <c r="M214" s="163">
        <v>-1000</v>
      </c>
      <c r="N214" s="163">
        <v>-1000</v>
      </c>
      <c r="O214" s="163">
        <v>-1000</v>
      </c>
      <c r="P214" s="163">
        <v>-1000</v>
      </c>
      <c r="Q214" s="163">
        <v>-1000</v>
      </c>
      <c r="R214" s="163">
        <v>-1000</v>
      </c>
      <c r="S214" s="163" t="s">
        <v>563</v>
      </c>
      <c r="T214" s="163" t="s">
        <v>563</v>
      </c>
      <c r="U214" s="163" t="s">
        <v>563</v>
      </c>
    </row>
    <row r="215" spans="1:21" x14ac:dyDescent="0.15">
      <c r="A215" s="161" t="s">
        <v>951</v>
      </c>
      <c r="B215" s="162" t="s">
        <v>952</v>
      </c>
      <c r="C215" s="162" t="s">
        <v>953</v>
      </c>
      <c r="D215" s="162"/>
      <c r="E215" s="163">
        <v>1127</v>
      </c>
      <c r="F215" s="163">
        <v>-351</v>
      </c>
      <c r="G215" s="163">
        <v>-1552</v>
      </c>
      <c r="H215" s="163">
        <v>193</v>
      </c>
      <c r="I215" s="163">
        <v>-2645</v>
      </c>
      <c r="J215" s="163">
        <v>-3988.4455015863882</v>
      </c>
      <c r="K215" s="163">
        <v>-4583.4789417030388</v>
      </c>
      <c r="L215" s="163">
        <v>-3351.7362939753366</v>
      </c>
      <c r="M215" s="163">
        <v>-385.21907364394406</v>
      </c>
      <c r="N215" s="163" t="s">
        <v>563</v>
      </c>
      <c r="O215" s="163" t="s">
        <v>563</v>
      </c>
      <c r="P215" s="163" t="s">
        <v>563</v>
      </c>
      <c r="Q215" s="163" t="s">
        <v>563</v>
      </c>
      <c r="R215" s="163" t="s">
        <v>563</v>
      </c>
      <c r="S215" s="163" t="s">
        <v>563</v>
      </c>
      <c r="T215" s="163" t="s">
        <v>563</v>
      </c>
      <c r="U215" s="163" t="s">
        <v>563</v>
      </c>
    </row>
    <row r="216" spans="1:21" x14ac:dyDescent="0.15">
      <c r="A216" s="161" t="s">
        <v>954</v>
      </c>
      <c r="B216" s="162" t="s">
        <v>955</v>
      </c>
      <c r="C216" s="162" t="s">
        <v>956</v>
      </c>
      <c r="D216" s="162"/>
      <c r="E216" s="163">
        <v>821</v>
      </c>
      <c r="F216" s="163">
        <v>-5742</v>
      </c>
      <c r="G216" s="163">
        <v>-16218</v>
      </c>
      <c r="H216" s="163">
        <v>-5485</v>
      </c>
      <c r="I216" s="163">
        <v>-3421</v>
      </c>
      <c r="J216" s="163">
        <v>-3388.4626513572744</v>
      </c>
      <c r="K216" s="163">
        <v>-3693.4131223178224</v>
      </c>
      <c r="L216" s="163">
        <v>-4305.3488979954682</v>
      </c>
      <c r="M216" s="163">
        <v>-2206.5931859165667</v>
      </c>
      <c r="N216" s="163">
        <v>-2855.7265473084126</v>
      </c>
      <c r="O216" s="163">
        <v>-3086.8935847882253</v>
      </c>
      <c r="P216" s="163">
        <v>-3329.0637223439053</v>
      </c>
      <c r="Q216" s="163">
        <v>-3553.9874126707568</v>
      </c>
      <c r="R216" s="163">
        <v>-3800.6363362989791</v>
      </c>
      <c r="S216" s="163" t="s">
        <v>563</v>
      </c>
      <c r="T216" s="163" t="s">
        <v>563</v>
      </c>
      <c r="U216" s="163" t="s">
        <v>563</v>
      </c>
    </row>
    <row r="217" spans="1:21" x14ac:dyDescent="0.15">
      <c r="A217" s="161" t="s">
        <v>566</v>
      </c>
      <c r="B217" s="162"/>
      <c r="C217" s="162"/>
      <c r="D217" s="162"/>
      <c r="E217" s="163"/>
      <c r="F217" s="163"/>
      <c r="G217" s="163"/>
      <c r="H217" s="163"/>
      <c r="I217" s="163"/>
      <c r="J217" s="163"/>
      <c r="K217" s="163"/>
      <c r="L217" s="163"/>
      <c r="M217" s="163"/>
      <c r="N217" s="163"/>
      <c r="O217" s="163"/>
      <c r="P217" s="163"/>
      <c r="Q217" s="163"/>
      <c r="R217" s="163"/>
      <c r="S217" s="163"/>
      <c r="T217" s="163"/>
      <c r="U217" s="163"/>
    </row>
    <row r="218" spans="1:21" x14ac:dyDescent="0.15">
      <c r="A218" s="161" t="s">
        <v>957</v>
      </c>
      <c r="B218" s="162"/>
      <c r="C218" s="162" t="s">
        <v>958</v>
      </c>
      <c r="D218" s="162"/>
      <c r="E218" s="163"/>
      <c r="F218" s="163"/>
      <c r="G218" s="163"/>
      <c r="H218" s="163"/>
      <c r="I218" s="163"/>
      <c r="J218" s="163"/>
      <c r="K218" s="163"/>
      <c r="L218" s="163"/>
      <c r="M218" s="163"/>
      <c r="N218" s="163"/>
      <c r="O218" s="163"/>
      <c r="P218" s="163"/>
      <c r="Q218" s="163"/>
      <c r="R218" s="163"/>
      <c r="S218" s="163"/>
      <c r="T218" s="163"/>
      <c r="U218" s="163"/>
    </row>
    <row r="219" spans="1:21" x14ac:dyDescent="0.15">
      <c r="A219" s="161" t="s">
        <v>959</v>
      </c>
      <c r="B219" s="162" t="s">
        <v>960</v>
      </c>
      <c r="C219" s="162" t="s">
        <v>961</v>
      </c>
      <c r="D219" s="162"/>
      <c r="E219" s="163">
        <v>960</v>
      </c>
      <c r="F219" s="163">
        <v>2955</v>
      </c>
      <c r="G219" s="163">
        <v>3966</v>
      </c>
      <c r="H219" s="163">
        <v>-89</v>
      </c>
      <c r="I219" s="163">
        <v>1789</v>
      </c>
      <c r="J219" s="163">
        <v>-1429</v>
      </c>
      <c r="K219" s="163">
        <v>1000</v>
      </c>
      <c r="L219" s="163">
        <v>1750</v>
      </c>
      <c r="M219" s="163" t="s">
        <v>563</v>
      </c>
      <c r="N219" s="163" t="s">
        <v>563</v>
      </c>
      <c r="O219" s="163" t="s">
        <v>563</v>
      </c>
      <c r="P219" s="163" t="s">
        <v>563</v>
      </c>
      <c r="Q219" s="163" t="s">
        <v>563</v>
      </c>
      <c r="R219" s="163" t="s">
        <v>563</v>
      </c>
      <c r="S219" s="163" t="s">
        <v>563</v>
      </c>
      <c r="T219" s="163" t="s">
        <v>563</v>
      </c>
      <c r="U219" s="163" t="s">
        <v>563</v>
      </c>
    </row>
    <row r="220" spans="1:21" x14ac:dyDescent="0.15">
      <c r="A220" s="161" t="s">
        <v>962</v>
      </c>
      <c r="B220" s="162" t="s">
        <v>963</v>
      </c>
      <c r="C220" s="162" t="s">
        <v>964</v>
      </c>
      <c r="D220" s="162"/>
      <c r="E220" s="163">
        <v>-3520</v>
      </c>
      <c r="F220" s="163">
        <v>-1411</v>
      </c>
      <c r="G220" s="163">
        <v>-1635</v>
      </c>
      <c r="H220" s="163">
        <v>-3373</v>
      </c>
      <c r="I220" s="163">
        <v>-4199</v>
      </c>
      <c r="J220" s="163">
        <v>-4279.1435612521127</v>
      </c>
      <c r="K220" s="163">
        <v>-4057.8811521056855</v>
      </c>
      <c r="L220" s="163">
        <v>-4048.3865037649803</v>
      </c>
      <c r="M220" s="163">
        <v>-4000</v>
      </c>
      <c r="N220" s="163" t="s">
        <v>563</v>
      </c>
      <c r="O220" s="163" t="s">
        <v>563</v>
      </c>
      <c r="P220" s="163" t="s">
        <v>563</v>
      </c>
      <c r="Q220" s="163" t="s">
        <v>563</v>
      </c>
      <c r="R220" s="163" t="s">
        <v>563</v>
      </c>
      <c r="S220" s="163" t="s">
        <v>563</v>
      </c>
      <c r="T220" s="163" t="s">
        <v>563</v>
      </c>
      <c r="U220" s="163" t="s">
        <v>563</v>
      </c>
    </row>
    <row r="221" spans="1:21" x14ac:dyDescent="0.15">
      <c r="A221" s="161" t="s">
        <v>965</v>
      </c>
      <c r="B221" s="162" t="s">
        <v>966</v>
      </c>
      <c r="C221" s="162" t="s">
        <v>967</v>
      </c>
      <c r="D221" s="162"/>
      <c r="E221" s="163">
        <v>144</v>
      </c>
      <c r="F221" s="163">
        <v>138</v>
      </c>
      <c r="G221" s="163">
        <v>137</v>
      </c>
      <c r="H221" s="163">
        <v>162</v>
      </c>
      <c r="I221" s="163">
        <v>143</v>
      </c>
      <c r="J221" s="163">
        <v>10</v>
      </c>
      <c r="K221" s="163">
        <v>10</v>
      </c>
      <c r="L221" s="163">
        <v>10</v>
      </c>
      <c r="M221" s="163" t="s">
        <v>563</v>
      </c>
      <c r="N221" s="163" t="s">
        <v>563</v>
      </c>
      <c r="O221" s="163" t="s">
        <v>563</v>
      </c>
      <c r="P221" s="163" t="s">
        <v>563</v>
      </c>
      <c r="Q221" s="163" t="s">
        <v>563</v>
      </c>
      <c r="R221" s="163" t="s">
        <v>563</v>
      </c>
      <c r="S221" s="163" t="s">
        <v>563</v>
      </c>
      <c r="T221" s="163" t="s">
        <v>563</v>
      </c>
      <c r="U221" s="163" t="s">
        <v>563</v>
      </c>
    </row>
    <row r="222" spans="1:21" x14ac:dyDescent="0.15">
      <c r="A222" s="161" t="s">
        <v>968</v>
      </c>
      <c r="B222" s="162" t="s">
        <v>969</v>
      </c>
      <c r="C222" s="162"/>
      <c r="D222" s="162"/>
      <c r="E222" s="163">
        <v>-419</v>
      </c>
      <c r="F222" s="163">
        <v>-504</v>
      </c>
      <c r="G222" s="163">
        <v>-521</v>
      </c>
      <c r="H222" s="163">
        <v>-1036</v>
      </c>
      <c r="I222" s="163">
        <v>-336</v>
      </c>
      <c r="J222" s="163">
        <v>200</v>
      </c>
      <c r="K222" s="163">
        <v>200</v>
      </c>
      <c r="L222" s="163" t="s">
        <v>563</v>
      </c>
      <c r="M222" s="163" t="s">
        <v>563</v>
      </c>
      <c r="N222" s="163" t="s">
        <v>563</v>
      </c>
      <c r="O222" s="163" t="s">
        <v>563</v>
      </c>
      <c r="P222" s="163" t="s">
        <v>563</v>
      </c>
      <c r="Q222" s="163" t="s">
        <v>563</v>
      </c>
      <c r="R222" s="163" t="s">
        <v>563</v>
      </c>
      <c r="S222" s="163" t="s">
        <v>563</v>
      </c>
      <c r="T222" s="163" t="s">
        <v>563</v>
      </c>
      <c r="U222" s="163" t="s">
        <v>563</v>
      </c>
    </row>
    <row r="223" spans="1:21" x14ac:dyDescent="0.15">
      <c r="A223" s="161" t="s">
        <v>970</v>
      </c>
      <c r="B223" s="162" t="s">
        <v>971</v>
      </c>
      <c r="C223" s="162" t="s">
        <v>972</v>
      </c>
      <c r="D223" s="162"/>
      <c r="E223" s="163">
        <v>-1240</v>
      </c>
      <c r="F223" s="163">
        <v>4187</v>
      </c>
      <c r="G223" s="163">
        <v>12492</v>
      </c>
      <c r="H223" s="163">
        <v>-764</v>
      </c>
      <c r="I223" s="163">
        <v>-1110</v>
      </c>
      <c r="J223" s="163">
        <v>-3885.295186566374</v>
      </c>
      <c r="K223" s="163">
        <v>-4152.6324255442796</v>
      </c>
      <c r="L223" s="163">
        <v>-2906.6552468737773</v>
      </c>
      <c r="M223" s="163">
        <v>-6940.4681958329083</v>
      </c>
      <c r="N223" s="163">
        <v>-11029.700911118576</v>
      </c>
      <c r="O223" s="163">
        <v>-11191.238264027637</v>
      </c>
      <c r="P223" s="163">
        <v>-11445.516908461101</v>
      </c>
      <c r="Q223" s="163">
        <v>-14569.949833999948</v>
      </c>
      <c r="R223" s="163">
        <v>-14818.140313400847</v>
      </c>
      <c r="S223" s="163" t="s">
        <v>563</v>
      </c>
      <c r="T223" s="163" t="s">
        <v>563</v>
      </c>
      <c r="U223" s="163" t="s">
        <v>563</v>
      </c>
    </row>
    <row r="224" spans="1:21" x14ac:dyDescent="0.15">
      <c r="A224" s="161" t="s">
        <v>566</v>
      </c>
      <c r="B224" s="162"/>
      <c r="C224" s="162"/>
      <c r="D224" s="162"/>
      <c r="E224" s="163"/>
      <c r="F224" s="163"/>
      <c r="G224" s="163"/>
      <c r="H224" s="163"/>
      <c r="I224" s="163"/>
      <c r="J224" s="163"/>
      <c r="K224" s="163"/>
      <c r="L224" s="163"/>
      <c r="M224" s="163"/>
      <c r="N224" s="163"/>
      <c r="O224" s="163"/>
      <c r="P224" s="163"/>
      <c r="Q224" s="163"/>
      <c r="R224" s="163"/>
      <c r="S224" s="163"/>
      <c r="T224" s="163"/>
      <c r="U224" s="163"/>
    </row>
    <row r="225" spans="1:21" x14ac:dyDescent="0.15">
      <c r="A225" s="161" t="s">
        <v>874</v>
      </c>
      <c r="B225" s="162"/>
      <c r="C225" s="162" t="s">
        <v>875</v>
      </c>
      <c r="D225" s="162"/>
      <c r="E225" s="163"/>
      <c r="F225" s="163"/>
      <c r="G225" s="163"/>
      <c r="H225" s="163"/>
      <c r="I225" s="163"/>
      <c r="J225" s="163"/>
      <c r="K225" s="163"/>
      <c r="L225" s="163"/>
      <c r="M225" s="163"/>
      <c r="N225" s="163"/>
      <c r="O225" s="163"/>
      <c r="P225" s="163"/>
      <c r="Q225" s="163"/>
      <c r="R225" s="163"/>
      <c r="S225" s="163"/>
      <c r="T225" s="163"/>
      <c r="U225" s="163"/>
    </row>
    <row r="226" spans="1:21" x14ac:dyDescent="0.15">
      <c r="A226" s="161" t="s">
        <v>973</v>
      </c>
      <c r="B226" s="162" t="s">
        <v>974</v>
      </c>
      <c r="C226" s="162" t="s">
        <v>975</v>
      </c>
      <c r="D226" s="162"/>
      <c r="E226" s="163">
        <v>-113</v>
      </c>
      <c r="F226" s="163">
        <v>-6</v>
      </c>
      <c r="G226" s="163">
        <v>169</v>
      </c>
      <c r="H226" s="163">
        <v>-102</v>
      </c>
      <c r="I226" s="163">
        <v>-155</v>
      </c>
      <c r="J226" s="163" t="s">
        <v>563</v>
      </c>
      <c r="K226" s="163" t="s">
        <v>563</v>
      </c>
      <c r="L226" s="163" t="s">
        <v>563</v>
      </c>
      <c r="M226" s="163" t="s">
        <v>563</v>
      </c>
      <c r="N226" s="163" t="s">
        <v>563</v>
      </c>
      <c r="O226" s="163" t="s">
        <v>563</v>
      </c>
      <c r="P226" s="163" t="s">
        <v>563</v>
      </c>
      <c r="Q226" s="163" t="s">
        <v>563</v>
      </c>
      <c r="R226" s="163" t="s">
        <v>563</v>
      </c>
      <c r="S226" s="163" t="s">
        <v>563</v>
      </c>
      <c r="T226" s="163" t="s">
        <v>563</v>
      </c>
      <c r="U226" s="163" t="s">
        <v>563</v>
      </c>
    </row>
    <row r="227" spans="1:21" x14ac:dyDescent="0.15">
      <c r="A227" s="161" t="s">
        <v>976</v>
      </c>
      <c r="B227" s="162" t="s">
        <v>977</v>
      </c>
      <c r="C227" s="162" t="s">
        <v>978</v>
      </c>
      <c r="D227" s="162"/>
      <c r="E227" s="163">
        <v>4948</v>
      </c>
      <c r="F227" s="163">
        <v>2510</v>
      </c>
      <c r="G227" s="163">
        <v>2297</v>
      </c>
      <c r="H227" s="163">
        <v>-11</v>
      </c>
      <c r="I227" s="163">
        <v>1127</v>
      </c>
      <c r="J227" s="163">
        <v>3033.9350956577073</v>
      </c>
      <c r="K227" s="163">
        <v>3145.8125049095675</v>
      </c>
      <c r="L227" s="163">
        <v>3178.7647092485468</v>
      </c>
      <c r="M227" s="163">
        <v>470.22492396403192</v>
      </c>
      <c r="N227" s="163">
        <v>-1960.2495712906748</v>
      </c>
      <c r="O227" s="163">
        <v>-551.62779860595583</v>
      </c>
      <c r="P227" s="163">
        <v>543.50819338613655</v>
      </c>
      <c r="Q227" s="163">
        <v>-913.31216363939711</v>
      </c>
      <c r="R227" s="163">
        <v>240.04648309654658</v>
      </c>
      <c r="S227" s="163" t="s">
        <v>563</v>
      </c>
      <c r="T227" s="163" t="s">
        <v>563</v>
      </c>
      <c r="U227" s="163" t="s">
        <v>563</v>
      </c>
    </row>
    <row r="228" spans="1:21" x14ac:dyDescent="0.15">
      <c r="A228" s="161" t="s">
        <v>979</v>
      </c>
      <c r="B228" s="162" t="s">
        <v>980</v>
      </c>
      <c r="C228" s="162" t="s">
        <v>981</v>
      </c>
      <c r="D228" s="162"/>
      <c r="E228" s="163">
        <v>8285</v>
      </c>
      <c r="F228" s="163">
        <v>13233</v>
      </c>
      <c r="G228" s="163">
        <v>15743</v>
      </c>
      <c r="H228" s="163">
        <v>18040</v>
      </c>
      <c r="I228" s="163">
        <v>18029</v>
      </c>
      <c r="J228" s="163">
        <v>17950.5</v>
      </c>
      <c r="K228" s="163">
        <v>19003.785763085347</v>
      </c>
      <c r="L228" s="163">
        <v>14737.422059009461</v>
      </c>
      <c r="M228" s="163">
        <v>14381.319967990225</v>
      </c>
      <c r="N228" s="163" t="s">
        <v>563</v>
      </c>
      <c r="O228" s="163" t="s">
        <v>563</v>
      </c>
      <c r="P228" s="163" t="s">
        <v>563</v>
      </c>
      <c r="Q228" s="163" t="s">
        <v>563</v>
      </c>
      <c r="R228" s="163" t="s">
        <v>563</v>
      </c>
      <c r="S228" s="163" t="s">
        <v>563</v>
      </c>
      <c r="T228" s="163" t="s">
        <v>563</v>
      </c>
      <c r="U228" s="163" t="s">
        <v>563</v>
      </c>
    </row>
    <row r="229" spans="1:21" x14ac:dyDescent="0.15">
      <c r="A229" s="161" t="s">
        <v>982</v>
      </c>
      <c r="B229" s="162" t="s">
        <v>983</v>
      </c>
      <c r="C229" s="162" t="s">
        <v>984</v>
      </c>
      <c r="D229" s="162"/>
      <c r="E229" s="163">
        <v>13233</v>
      </c>
      <c r="F229" s="163">
        <v>15743</v>
      </c>
      <c r="G229" s="163">
        <v>18040</v>
      </c>
      <c r="H229" s="163">
        <v>18029</v>
      </c>
      <c r="I229" s="163">
        <v>19156</v>
      </c>
      <c r="J229" s="163">
        <v>19339.695392056317</v>
      </c>
      <c r="K229" s="163">
        <v>24181.278438996454</v>
      </c>
      <c r="L229" s="163">
        <v>18842.983364971358</v>
      </c>
      <c r="M229" s="163">
        <v>13729.610562706308</v>
      </c>
      <c r="N229" s="163" t="s">
        <v>563</v>
      </c>
      <c r="O229" s="163" t="s">
        <v>563</v>
      </c>
      <c r="P229" s="163" t="s">
        <v>563</v>
      </c>
      <c r="Q229" s="163" t="s">
        <v>563</v>
      </c>
      <c r="R229" s="163" t="s">
        <v>563</v>
      </c>
      <c r="S229" s="163" t="s">
        <v>563</v>
      </c>
      <c r="T229" s="163" t="s">
        <v>563</v>
      </c>
      <c r="U229" s="163" t="s">
        <v>563</v>
      </c>
    </row>
    <row r="230" spans="1:21" x14ac:dyDescent="0.15">
      <c r="A230" s="161" t="s">
        <v>985</v>
      </c>
      <c r="B230" s="162"/>
      <c r="C230" s="162"/>
      <c r="D230" s="162"/>
      <c r="E230" s="163"/>
      <c r="F230" s="163"/>
      <c r="G230" s="163"/>
      <c r="H230" s="163"/>
      <c r="I230" s="163"/>
      <c r="J230" s="163"/>
      <c r="K230" s="163"/>
      <c r="L230" s="163"/>
      <c r="M230" s="163"/>
      <c r="N230" s="163"/>
      <c r="O230" s="163"/>
      <c r="P230" s="163"/>
      <c r="Q230" s="163"/>
      <c r="R230" s="163"/>
      <c r="S230" s="163"/>
      <c r="T230" s="163"/>
      <c r="U230" s="163"/>
    </row>
    <row r="231" spans="1:21" x14ac:dyDescent="0.15">
      <c r="A231" s="161" t="s">
        <v>986</v>
      </c>
      <c r="B231" s="162" t="s">
        <v>987</v>
      </c>
      <c r="C231" s="162" t="s">
        <v>988</v>
      </c>
      <c r="D231" s="162"/>
      <c r="E231" s="163">
        <v>69</v>
      </c>
      <c r="F231" s="163">
        <v>78</v>
      </c>
      <c r="G231" s="163">
        <v>190</v>
      </c>
      <c r="H231" s="163">
        <v>231</v>
      </c>
      <c r="I231" s="163">
        <v>280</v>
      </c>
      <c r="J231" s="163">
        <v>-5.2084999999999999</v>
      </c>
      <c r="K231" s="163">
        <v>-5.2084999999999999</v>
      </c>
      <c r="L231" s="163">
        <v>-5.2084999999999999</v>
      </c>
      <c r="M231" s="163" t="s">
        <v>563</v>
      </c>
      <c r="N231" s="163" t="s">
        <v>563</v>
      </c>
      <c r="O231" s="163" t="s">
        <v>563</v>
      </c>
      <c r="P231" s="163" t="s">
        <v>563</v>
      </c>
      <c r="Q231" s="163" t="s">
        <v>563</v>
      </c>
      <c r="R231" s="163" t="s">
        <v>563</v>
      </c>
      <c r="S231" s="163" t="s">
        <v>563</v>
      </c>
      <c r="T231" s="163" t="s">
        <v>563</v>
      </c>
      <c r="U231" s="163" t="s">
        <v>563</v>
      </c>
    </row>
    <row r="232" spans="1:21" x14ac:dyDescent="0.15">
      <c r="A232" s="161" t="s">
        <v>989</v>
      </c>
      <c r="B232" s="162" t="s">
        <v>990</v>
      </c>
      <c r="C232" s="162" t="s">
        <v>991</v>
      </c>
      <c r="D232" s="162"/>
      <c r="E232" s="163">
        <v>4657</v>
      </c>
      <c r="F232" s="163">
        <v>3367</v>
      </c>
      <c r="G232" s="163">
        <v>4988</v>
      </c>
      <c r="H232" s="163">
        <v>5432</v>
      </c>
      <c r="I232" s="163">
        <v>5107</v>
      </c>
      <c r="J232" s="163">
        <v>5944.8294693910602</v>
      </c>
      <c r="K232" s="163">
        <v>6711.2457081392677</v>
      </c>
      <c r="L232" s="163">
        <v>7397.645293960255</v>
      </c>
      <c r="M232" s="163">
        <v>8594.8275488524469</v>
      </c>
      <c r="N232" s="163">
        <v>10233.0494406868</v>
      </c>
      <c r="O232" s="163" t="s">
        <v>563</v>
      </c>
      <c r="P232" s="163" t="s">
        <v>563</v>
      </c>
      <c r="Q232" s="163" t="s">
        <v>563</v>
      </c>
      <c r="R232" s="163" t="s">
        <v>563</v>
      </c>
      <c r="S232" s="163" t="s">
        <v>563</v>
      </c>
      <c r="T232" s="163" t="s">
        <v>563</v>
      </c>
      <c r="U232" s="163" t="s">
        <v>563</v>
      </c>
    </row>
    <row r="233" spans="1:21" x14ac:dyDescent="0.15">
      <c r="A233" s="161" t="s">
        <v>992</v>
      </c>
      <c r="B233" s="162" t="s">
        <v>993</v>
      </c>
      <c r="C233" s="162" t="s">
        <v>994</v>
      </c>
      <c r="D233" s="162"/>
      <c r="E233" s="163">
        <v>3.8711554447215297</v>
      </c>
      <c r="F233" s="163">
        <v>2.8341750841750843</v>
      </c>
      <c r="G233" s="163">
        <v>4.2021903959561921</v>
      </c>
      <c r="H233" s="163">
        <v>4.5801011804384482</v>
      </c>
      <c r="I233" s="163">
        <v>4.4101899827288431</v>
      </c>
      <c r="J233" s="163">
        <v>5.1474240075568929</v>
      </c>
      <c r="K233" s="163">
        <v>5.8863663118313205</v>
      </c>
      <c r="L233" s="163">
        <v>6.3380894955706779</v>
      </c>
      <c r="M233" s="163" t="s">
        <v>563</v>
      </c>
      <c r="N233" s="163" t="s">
        <v>563</v>
      </c>
      <c r="O233" s="163" t="s">
        <v>563</v>
      </c>
      <c r="P233" s="163" t="s">
        <v>563</v>
      </c>
      <c r="Q233" s="163" t="s">
        <v>563</v>
      </c>
      <c r="R233" s="163" t="s">
        <v>563</v>
      </c>
      <c r="S233" s="163" t="s">
        <v>563</v>
      </c>
      <c r="T233" s="163" t="s">
        <v>563</v>
      </c>
      <c r="U233" s="163" t="s">
        <v>563</v>
      </c>
    </row>
    <row r="234" spans="1:21" x14ac:dyDescent="0.15">
      <c r="A234" s="161" t="s">
        <v>995</v>
      </c>
      <c r="B234" s="162" t="s">
        <v>996</v>
      </c>
      <c r="C234" s="162" t="s">
        <v>997</v>
      </c>
      <c r="D234" s="162"/>
      <c r="E234" s="163">
        <v>4657</v>
      </c>
      <c r="F234" s="163">
        <v>3367</v>
      </c>
      <c r="G234" s="163">
        <v>4988</v>
      </c>
      <c r="H234" s="163">
        <v>5432</v>
      </c>
      <c r="I234" s="163">
        <v>5107</v>
      </c>
      <c r="J234" s="163">
        <v>6095.8087209958076</v>
      </c>
      <c r="K234" s="163">
        <v>6920.2204348648684</v>
      </c>
      <c r="L234" s="163">
        <v>8911.2256600351575</v>
      </c>
      <c r="M234" s="163" t="s">
        <v>563</v>
      </c>
      <c r="N234" s="163" t="s">
        <v>563</v>
      </c>
      <c r="O234" s="163" t="s">
        <v>563</v>
      </c>
      <c r="P234" s="163" t="s">
        <v>563</v>
      </c>
      <c r="Q234" s="163" t="s">
        <v>563</v>
      </c>
      <c r="R234" s="163" t="s">
        <v>563</v>
      </c>
      <c r="S234" s="163" t="s">
        <v>563</v>
      </c>
      <c r="T234" s="163" t="s">
        <v>563</v>
      </c>
      <c r="U234" s="163" t="s">
        <v>563</v>
      </c>
    </row>
    <row r="235" spans="1:21" x14ac:dyDescent="0.15">
      <c r="A235" s="167" t="s">
        <v>998</v>
      </c>
      <c r="B235" s="167"/>
      <c r="C235" s="167"/>
      <c r="D235" s="167"/>
      <c r="E235" s="167"/>
      <c r="F235" s="167"/>
      <c r="G235" s="167"/>
      <c r="H235" s="167"/>
      <c r="I235" s="167"/>
      <c r="J235" s="16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B0310-8F0D-3A43-A380-A2EEF8A8F109}">
  <dimension ref="A1:D18"/>
  <sheetViews>
    <sheetView showGridLines="0" workbookViewId="0">
      <selection activeCell="G15" sqref="G15"/>
    </sheetView>
  </sheetViews>
  <sheetFormatPr baseColWidth="10" defaultRowHeight="13" x14ac:dyDescent="0.15"/>
  <cols>
    <col min="1" max="1" width="30.1640625" style="135" bestFit="1" customWidth="1"/>
    <col min="2" max="16384" width="10.83203125" style="135"/>
  </cols>
  <sheetData>
    <row r="1" spans="1:4" ht="15" x14ac:dyDescent="0.2">
      <c r="A1" s="252" t="s">
        <v>1045</v>
      </c>
      <c r="B1" s="252" t="s">
        <v>1047</v>
      </c>
      <c r="C1" s="252" t="s">
        <v>1048</v>
      </c>
      <c r="D1" s="252" t="s">
        <v>1049</v>
      </c>
    </row>
    <row r="2" spans="1:4" x14ac:dyDescent="0.15">
      <c r="A2" s="135" t="s">
        <v>1050</v>
      </c>
      <c r="B2" s="135">
        <v>0</v>
      </c>
      <c r="C2" s="135">
        <v>0</v>
      </c>
      <c r="D2" s="135">
        <v>0</v>
      </c>
    </row>
    <row r="3" spans="1:4" x14ac:dyDescent="0.15">
      <c r="A3" s="135" t="s">
        <v>1051</v>
      </c>
      <c r="B3" s="135" t="s">
        <v>1052</v>
      </c>
      <c r="C3" s="135" t="s">
        <v>1053</v>
      </c>
      <c r="D3" s="135" t="s">
        <v>1052</v>
      </c>
    </row>
    <row r="4" spans="1:4" x14ac:dyDescent="0.15">
      <c r="A4" s="135" t="s">
        <v>1054</v>
      </c>
      <c r="B4" s="135" t="s">
        <v>1055</v>
      </c>
      <c r="C4" s="135" t="s">
        <v>1056</v>
      </c>
      <c r="D4" s="135" t="s">
        <v>1057</v>
      </c>
    </row>
    <row r="5" spans="1:4" x14ac:dyDescent="0.15">
      <c r="A5" s="135" t="s">
        <v>1058</v>
      </c>
      <c r="B5" s="135" t="s">
        <v>1055</v>
      </c>
      <c r="C5" s="135" t="s">
        <v>1056</v>
      </c>
      <c r="D5" s="135" t="s">
        <v>1055</v>
      </c>
    </row>
    <row r="6" spans="1:4" x14ac:dyDescent="0.15">
      <c r="A6" s="135" t="s">
        <v>1059</v>
      </c>
      <c r="B6" s="135" t="s">
        <v>1060</v>
      </c>
      <c r="C6" s="135" t="s">
        <v>1061</v>
      </c>
      <c r="D6" s="135" t="s">
        <v>1055</v>
      </c>
    </row>
    <row r="7" spans="1:4" x14ac:dyDescent="0.15">
      <c r="A7" s="135" t="s">
        <v>1062</v>
      </c>
      <c r="B7" s="135" t="s">
        <v>1063</v>
      </c>
      <c r="C7" s="135" t="s">
        <v>1057</v>
      </c>
      <c r="D7" s="135" t="s">
        <v>1057</v>
      </c>
    </row>
    <row r="8" spans="1:4" x14ac:dyDescent="0.15">
      <c r="A8" s="135" t="s">
        <v>1064</v>
      </c>
      <c r="B8" s="135" t="s">
        <v>1065</v>
      </c>
      <c r="C8" s="135" t="s">
        <v>1066</v>
      </c>
      <c r="D8" s="135" t="s">
        <v>1057</v>
      </c>
    </row>
    <row r="9" spans="1:4" x14ac:dyDescent="0.15">
      <c r="A9" s="135" t="s">
        <v>1067</v>
      </c>
      <c r="B9" s="135" t="s">
        <v>1055</v>
      </c>
      <c r="C9" s="135" t="s">
        <v>1068</v>
      </c>
      <c r="D9" s="135" t="s">
        <v>1055</v>
      </c>
    </row>
    <row r="10" spans="1:4" x14ac:dyDescent="0.15">
      <c r="A10" s="135" t="s">
        <v>1069</v>
      </c>
      <c r="B10" s="135" t="s">
        <v>1055</v>
      </c>
      <c r="C10" s="135" t="s">
        <v>1056</v>
      </c>
      <c r="D10" s="135" t="s">
        <v>1070</v>
      </c>
    </row>
    <row r="11" spans="1:4" x14ac:dyDescent="0.15">
      <c r="A11" s="135" t="s">
        <v>1071</v>
      </c>
      <c r="B11" s="135" t="s">
        <v>1057</v>
      </c>
      <c r="C11" s="135" t="s">
        <v>1057</v>
      </c>
      <c r="D11" s="135" t="s">
        <v>1057</v>
      </c>
    </row>
    <row r="12" spans="1:4" x14ac:dyDescent="0.15">
      <c r="A12" s="135" t="s">
        <v>1072</v>
      </c>
      <c r="B12" s="135" t="s">
        <v>1057</v>
      </c>
      <c r="C12" s="135" t="s">
        <v>1057</v>
      </c>
      <c r="D12" s="135" t="s">
        <v>1057</v>
      </c>
    </row>
    <row r="13" spans="1:4" x14ac:dyDescent="0.15">
      <c r="A13" s="135" t="s">
        <v>1073</v>
      </c>
      <c r="B13" s="135" t="s">
        <v>1074</v>
      </c>
      <c r="C13" s="135" t="s">
        <v>1075</v>
      </c>
      <c r="D13" s="135" t="s">
        <v>1057</v>
      </c>
    </row>
    <row r="14" spans="1:4" x14ac:dyDescent="0.15">
      <c r="A14" s="135" t="s">
        <v>1076</v>
      </c>
      <c r="B14" s="135" t="s">
        <v>1077</v>
      </c>
      <c r="C14" s="135" t="s">
        <v>1075</v>
      </c>
      <c r="D14" s="135" t="s">
        <v>1057</v>
      </c>
    </row>
    <row r="15" spans="1:4" x14ac:dyDescent="0.15">
      <c r="A15" s="135" t="s">
        <v>1078</v>
      </c>
      <c r="B15" s="135" t="s">
        <v>1079</v>
      </c>
      <c r="C15" s="135" t="s">
        <v>1080</v>
      </c>
      <c r="D15" s="135" t="s">
        <v>1070</v>
      </c>
    </row>
    <row r="16" spans="1:4" x14ac:dyDescent="0.15">
      <c r="A16" s="135" t="s">
        <v>1081</v>
      </c>
      <c r="B16" s="135" t="s">
        <v>1082</v>
      </c>
      <c r="C16" s="135" t="s">
        <v>1066</v>
      </c>
      <c r="D16" s="135" t="s">
        <v>1082</v>
      </c>
    </row>
    <row r="17" spans="1:4" x14ac:dyDescent="0.15">
      <c r="A17" s="135" t="s">
        <v>1083</v>
      </c>
      <c r="B17" s="135" t="s">
        <v>1065</v>
      </c>
      <c r="C17" s="135" t="s">
        <v>1080</v>
      </c>
      <c r="D17" s="135" t="s">
        <v>1057</v>
      </c>
    </row>
    <row r="18" spans="1:4" x14ac:dyDescent="0.15">
      <c r="A18" s="135" t="s">
        <v>1084</v>
      </c>
      <c r="B18" s="135" t="s">
        <v>1082</v>
      </c>
      <c r="C18" s="135" t="s">
        <v>1085</v>
      </c>
      <c r="D18" s="135" t="s">
        <v>1057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912B-DB13-4240-9FC8-6D7B3CA8B79C}">
  <dimension ref="A1:F79"/>
  <sheetViews>
    <sheetView showGridLines="0" workbookViewId="0">
      <selection activeCell="H11" sqref="H11"/>
    </sheetView>
  </sheetViews>
  <sheetFormatPr baseColWidth="10" defaultRowHeight="11" x14ac:dyDescent="0.15"/>
  <cols>
    <col min="1" max="1" width="13.6640625" bestFit="1" customWidth="1"/>
    <col min="2" max="2" width="31.1640625" bestFit="1" customWidth="1"/>
    <col min="3" max="3" width="16.83203125" bestFit="1" customWidth="1"/>
    <col min="4" max="4" width="24.1640625" bestFit="1" customWidth="1"/>
    <col min="5" max="5" width="15.6640625" bestFit="1" customWidth="1"/>
    <col min="6" max="6" width="12.33203125" bestFit="1" customWidth="1"/>
  </cols>
  <sheetData>
    <row r="1" spans="1:6" ht="13" x14ac:dyDescent="0.15">
      <c r="A1" s="253" t="s">
        <v>1086</v>
      </c>
      <c r="B1" s="253" t="s">
        <v>1087</v>
      </c>
      <c r="C1" s="253" t="s">
        <v>1088</v>
      </c>
      <c r="D1" s="253" t="s">
        <v>1089</v>
      </c>
      <c r="E1" s="253" t="s">
        <v>1090</v>
      </c>
      <c r="F1" s="253" t="s">
        <v>1091</v>
      </c>
    </row>
    <row r="2" spans="1:6" ht="13" x14ac:dyDescent="0.15">
      <c r="A2" s="180" t="s">
        <v>1092</v>
      </c>
      <c r="B2" s="180" t="s">
        <v>1093</v>
      </c>
      <c r="C2" s="180" t="s">
        <v>1094</v>
      </c>
      <c r="D2" s="180">
        <v>20</v>
      </c>
      <c r="E2" s="180" t="s">
        <v>1095</v>
      </c>
      <c r="F2" s="180" t="s">
        <v>1096</v>
      </c>
    </row>
    <row r="3" spans="1:6" ht="13" x14ac:dyDescent="0.15">
      <c r="A3" s="180" t="s">
        <v>1097</v>
      </c>
      <c r="B3" s="180" t="s">
        <v>1098</v>
      </c>
      <c r="C3" s="180" t="s">
        <v>1094</v>
      </c>
      <c r="D3" s="180">
        <v>20</v>
      </c>
      <c r="E3" s="180" t="s">
        <v>1095</v>
      </c>
      <c r="F3" s="180" t="s">
        <v>1096</v>
      </c>
    </row>
    <row r="4" spans="1:6" ht="13" x14ac:dyDescent="0.15">
      <c r="A4" s="180" t="s">
        <v>1099</v>
      </c>
      <c r="B4" s="180" t="s">
        <v>1100</v>
      </c>
      <c r="C4" s="180" t="s">
        <v>1094</v>
      </c>
      <c r="D4" s="180">
        <v>58</v>
      </c>
      <c r="E4" s="180" t="s">
        <v>1095</v>
      </c>
      <c r="F4" s="180" t="s">
        <v>1096</v>
      </c>
    </row>
    <row r="5" spans="1:6" ht="13" x14ac:dyDescent="0.15">
      <c r="A5" s="180" t="s">
        <v>1101</v>
      </c>
      <c r="B5" s="180" t="s">
        <v>1102</v>
      </c>
      <c r="C5" s="180" t="s">
        <v>1094</v>
      </c>
      <c r="D5" s="180">
        <v>18</v>
      </c>
      <c r="E5" s="180" t="s">
        <v>1095</v>
      </c>
      <c r="F5" s="180" t="s">
        <v>1096</v>
      </c>
    </row>
    <row r="6" spans="1:6" ht="13" x14ac:dyDescent="0.15">
      <c r="A6" s="180" t="s">
        <v>1103</v>
      </c>
      <c r="B6" s="180" t="s">
        <v>1104</v>
      </c>
      <c r="C6" s="180" t="s">
        <v>1094</v>
      </c>
      <c r="D6" s="180">
        <v>32.630000000000003</v>
      </c>
      <c r="E6" s="180" t="s">
        <v>1095</v>
      </c>
      <c r="F6" s="180" t="s">
        <v>1096</v>
      </c>
    </row>
    <row r="7" spans="1:6" ht="13" x14ac:dyDescent="0.15">
      <c r="A7" s="180" t="s">
        <v>1105</v>
      </c>
      <c r="B7" s="180" t="s">
        <v>1106</v>
      </c>
      <c r="C7" s="180" t="s">
        <v>1094</v>
      </c>
      <c r="D7" s="180">
        <v>100</v>
      </c>
      <c r="E7" s="180" t="s">
        <v>1095</v>
      </c>
      <c r="F7" s="180" t="s">
        <v>1096</v>
      </c>
    </row>
    <row r="8" spans="1:6" ht="13" x14ac:dyDescent="0.15">
      <c r="A8" s="180" t="s">
        <v>1107</v>
      </c>
      <c r="B8" s="180" t="s">
        <v>1108</v>
      </c>
      <c r="C8" s="180" t="s">
        <v>1094</v>
      </c>
      <c r="D8" s="180">
        <v>56</v>
      </c>
      <c r="E8" s="180" t="s">
        <v>1095</v>
      </c>
      <c r="F8" s="180" t="s">
        <v>1096</v>
      </c>
    </row>
    <row r="9" spans="1:6" ht="13" x14ac:dyDescent="0.15">
      <c r="A9" s="180" t="s">
        <v>1109</v>
      </c>
      <c r="B9" s="180" t="s">
        <v>1110</v>
      </c>
      <c r="C9" s="180" t="s">
        <v>1094</v>
      </c>
      <c r="D9" s="180">
        <v>108</v>
      </c>
      <c r="E9" s="180" t="s">
        <v>1095</v>
      </c>
      <c r="F9" s="180" t="s">
        <v>1096</v>
      </c>
    </row>
    <row r="10" spans="1:6" ht="13" x14ac:dyDescent="0.15">
      <c r="A10" s="180" t="s">
        <v>1111</v>
      </c>
      <c r="B10" s="180" t="s">
        <v>1112</v>
      </c>
      <c r="C10" s="180" t="s">
        <v>1094</v>
      </c>
      <c r="D10" s="180">
        <v>105</v>
      </c>
      <c r="E10" s="180" t="s">
        <v>1095</v>
      </c>
      <c r="F10" s="180" t="s">
        <v>1096</v>
      </c>
    </row>
    <row r="11" spans="1:6" ht="13" x14ac:dyDescent="0.15">
      <c r="A11" s="180" t="s">
        <v>1113</v>
      </c>
      <c r="B11" s="180" t="s">
        <v>1114</v>
      </c>
      <c r="C11" s="180" t="s">
        <v>1094</v>
      </c>
      <c r="D11" s="180">
        <v>50</v>
      </c>
      <c r="E11" s="180" t="s">
        <v>1095</v>
      </c>
      <c r="F11" s="180" t="s">
        <v>1096</v>
      </c>
    </row>
    <row r="12" spans="1:6" ht="13" x14ac:dyDescent="0.15">
      <c r="A12" s="180" t="s">
        <v>1115</v>
      </c>
      <c r="B12" s="180" t="s">
        <v>1116</v>
      </c>
      <c r="C12" s="180" t="s">
        <v>1094</v>
      </c>
      <c r="D12" s="180">
        <v>21</v>
      </c>
      <c r="E12" s="180" t="s">
        <v>1095</v>
      </c>
      <c r="F12" s="180" t="s">
        <v>1096</v>
      </c>
    </row>
    <row r="13" spans="1:6" ht="13" x14ac:dyDescent="0.15">
      <c r="A13" s="180" t="s">
        <v>1117</v>
      </c>
      <c r="B13" s="180" t="s">
        <v>1118</v>
      </c>
      <c r="C13" s="180" t="s">
        <v>1094</v>
      </c>
      <c r="D13" s="180">
        <v>150</v>
      </c>
      <c r="E13" s="180" t="s">
        <v>1095</v>
      </c>
      <c r="F13" s="180" t="s">
        <v>1096</v>
      </c>
    </row>
    <row r="14" spans="1:6" ht="13" x14ac:dyDescent="0.15">
      <c r="A14" s="180" t="s">
        <v>1119</v>
      </c>
      <c r="B14" s="180" t="s">
        <v>1120</v>
      </c>
      <c r="C14" s="180" t="s">
        <v>1094</v>
      </c>
      <c r="D14" s="180">
        <v>135</v>
      </c>
      <c r="E14" s="180" t="s">
        <v>1095</v>
      </c>
      <c r="F14" s="180" t="s">
        <v>1096</v>
      </c>
    </row>
    <row r="15" spans="1:6" ht="13" x14ac:dyDescent="0.15">
      <c r="A15" s="180" t="s">
        <v>1121</v>
      </c>
      <c r="B15" s="180" t="s">
        <v>1122</v>
      </c>
      <c r="C15" s="180" t="s">
        <v>1094</v>
      </c>
      <c r="D15" s="180">
        <v>100</v>
      </c>
      <c r="E15" s="180" t="s">
        <v>1095</v>
      </c>
      <c r="F15" s="180" t="s">
        <v>1096</v>
      </c>
    </row>
    <row r="16" spans="1:6" ht="13" x14ac:dyDescent="0.15">
      <c r="A16" s="180" t="s">
        <v>1123</v>
      </c>
      <c r="B16" s="180" t="s">
        <v>1124</v>
      </c>
      <c r="C16" s="180" t="s">
        <v>1125</v>
      </c>
      <c r="D16" s="180">
        <v>2721.83</v>
      </c>
      <c r="E16" s="180" t="s">
        <v>1095</v>
      </c>
      <c r="F16" s="180" t="s">
        <v>1096</v>
      </c>
    </row>
    <row r="17" spans="1:6" ht="13" x14ac:dyDescent="0.15">
      <c r="A17" s="180" t="s">
        <v>1126</v>
      </c>
      <c r="B17" s="180" t="s">
        <v>1127</v>
      </c>
      <c r="C17" s="180" t="s">
        <v>1094</v>
      </c>
      <c r="D17" s="180">
        <v>14</v>
      </c>
      <c r="E17" s="180" t="s">
        <v>1095</v>
      </c>
      <c r="F17" s="180" t="s">
        <v>1096</v>
      </c>
    </row>
    <row r="18" spans="1:6" ht="13" x14ac:dyDescent="0.15">
      <c r="A18" s="180" t="s">
        <v>1128</v>
      </c>
      <c r="B18" s="180" t="s">
        <v>1129</v>
      </c>
      <c r="C18" s="180" t="s">
        <v>1094</v>
      </c>
      <c r="D18" s="180">
        <v>40</v>
      </c>
      <c r="E18" s="180" t="s">
        <v>1095</v>
      </c>
      <c r="F18" s="180" t="s">
        <v>1096</v>
      </c>
    </row>
    <row r="19" spans="1:6" ht="13" x14ac:dyDescent="0.15">
      <c r="A19" s="180" t="s">
        <v>1130</v>
      </c>
      <c r="B19" s="180" t="s">
        <v>1131</v>
      </c>
      <c r="C19" s="180" t="s">
        <v>1094</v>
      </c>
      <c r="D19" s="180">
        <v>260</v>
      </c>
      <c r="E19" s="180" t="s">
        <v>1095</v>
      </c>
      <c r="F19" s="180" t="s">
        <v>1096</v>
      </c>
    </row>
    <row r="20" spans="1:6" ht="13" x14ac:dyDescent="0.15">
      <c r="A20" s="180" t="s">
        <v>1132</v>
      </c>
      <c r="B20" s="180" t="s">
        <v>1133</v>
      </c>
      <c r="C20" s="180" t="s">
        <v>1125</v>
      </c>
      <c r="D20" s="180" t="s">
        <v>1134</v>
      </c>
      <c r="E20" s="180" t="s">
        <v>1095</v>
      </c>
      <c r="F20" s="180" t="s">
        <v>1096</v>
      </c>
    </row>
    <row r="21" spans="1:6" ht="13" x14ac:dyDescent="0.15">
      <c r="A21" s="180" t="s">
        <v>1135</v>
      </c>
      <c r="B21" s="180" t="s">
        <v>1136</v>
      </c>
      <c r="C21" s="180" t="s">
        <v>1094</v>
      </c>
      <c r="D21" s="180">
        <v>70</v>
      </c>
      <c r="E21" s="180" t="s">
        <v>1095</v>
      </c>
      <c r="F21" s="180" t="s">
        <v>1096</v>
      </c>
    </row>
    <row r="22" spans="1:6" ht="13" x14ac:dyDescent="0.15">
      <c r="A22" s="180" t="s">
        <v>1137</v>
      </c>
      <c r="B22" s="180" t="s">
        <v>1138</v>
      </c>
      <c r="C22" s="180" t="s">
        <v>1094</v>
      </c>
      <c r="D22" s="180">
        <v>300</v>
      </c>
      <c r="E22" s="180" t="s">
        <v>1095</v>
      </c>
      <c r="F22" s="180" t="s">
        <v>1096</v>
      </c>
    </row>
    <row r="23" spans="1:6" ht="13" x14ac:dyDescent="0.15">
      <c r="A23" s="180" t="s">
        <v>1139</v>
      </c>
      <c r="B23" s="180" t="s">
        <v>1140</v>
      </c>
      <c r="C23" s="180" t="s">
        <v>1125</v>
      </c>
      <c r="D23" s="180" t="s">
        <v>1134</v>
      </c>
      <c r="E23" s="180" t="s">
        <v>1095</v>
      </c>
      <c r="F23" s="180" t="s">
        <v>1096</v>
      </c>
    </row>
    <row r="24" spans="1:6" ht="13" x14ac:dyDescent="0.15">
      <c r="A24" s="180" t="s">
        <v>1141</v>
      </c>
      <c r="B24" s="180" t="s">
        <v>1106</v>
      </c>
      <c r="C24" s="180" t="s">
        <v>1094</v>
      </c>
      <c r="D24" s="180" t="s">
        <v>1134</v>
      </c>
      <c r="E24" s="180" t="s">
        <v>1095</v>
      </c>
      <c r="F24" s="180" t="s">
        <v>1096</v>
      </c>
    </row>
    <row r="25" spans="1:6" ht="13" x14ac:dyDescent="0.15">
      <c r="A25" s="180" t="s">
        <v>1142</v>
      </c>
      <c r="B25" s="180" t="s">
        <v>1143</v>
      </c>
      <c r="C25" s="180" t="s">
        <v>1094</v>
      </c>
      <c r="D25" s="180">
        <v>100</v>
      </c>
      <c r="E25" s="180" t="s">
        <v>1095</v>
      </c>
      <c r="F25" s="180" t="s">
        <v>1096</v>
      </c>
    </row>
    <row r="26" spans="1:6" ht="13" x14ac:dyDescent="0.15">
      <c r="A26" s="180" t="s">
        <v>1144</v>
      </c>
      <c r="B26" s="180" t="s">
        <v>1145</v>
      </c>
      <c r="C26" s="180" t="s">
        <v>1125</v>
      </c>
      <c r="D26" s="180" t="s">
        <v>1134</v>
      </c>
      <c r="E26" s="180" t="s">
        <v>1146</v>
      </c>
      <c r="F26" s="180" t="s">
        <v>1096</v>
      </c>
    </row>
    <row r="27" spans="1:6" ht="13" x14ac:dyDescent="0.15">
      <c r="A27" s="180" t="s">
        <v>1147</v>
      </c>
      <c r="B27" s="180" t="s">
        <v>1143</v>
      </c>
      <c r="C27" s="180" t="s">
        <v>1094</v>
      </c>
      <c r="D27" s="180" t="s">
        <v>1134</v>
      </c>
      <c r="E27" s="180" t="s">
        <v>1095</v>
      </c>
      <c r="F27" s="180" t="s">
        <v>1096</v>
      </c>
    </row>
    <row r="28" spans="1:6" ht="13" x14ac:dyDescent="0.15">
      <c r="A28" s="180" t="s">
        <v>1148</v>
      </c>
      <c r="B28" s="180" t="s">
        <v>1138</v>
      </c>
      <c r="C28" s="180" t="s">
        <v>1094</v>
      </c>
      <c r="D28" s="180">
        <v>142</v>
      </c>
      <c r="E28" s="180" t="s">
        <v>1095</v>
      </c>
      <c r="F28" s="180" t="s">
        <v>1096</v>
      </c>
    </row>
    <row r="29" spans="1:6" ht="13" x14ac:dyDescent="0.15">
      <c r="A29" s="180" t="s">
        <v>1149</v>
      </c>
      <c r="B29" s="180" t="s">
        <v>1150</v>
      </c>
      <c r="C29" s="180" t="s">
        <v>1094</v>
      </c>
      <c r="D29" s="180">
        <v>102.99</v>
      </c>
      <c r="E29" s="180" t="s">
        <v>1095</v>
      </c>
      <c r="F29" s="180" t="s">
        <v>1096</v>
      </c>
    </row>
    <row r="30" spans="1:6" ht="13" x14ac:dyDescent="0.15">
      <c r="A30" s="180" t="s">
        <v>1151</v>
      </c>
      <c r="B30" s="180" t="s">
        <v>1152</v>
      </c>
      <c r="C30" s="180" t="s">
        <v>1094</v>
      </c>
      <c r="D30" s="180">
        <v>175</v>
      </c>
      <c r="E30" s="180" t="s">
        <v>1095</v>
      </c>
      <c r="F30" s="180" t="s">
        <v>1096</v>
      </c>
    </row>
    <row r="31" spans="1:6" ht="13" x14ac:dyDescent="0.15">
      <c r="A31" s="180" t="s">
        <v>1151</v>
      </c>
      <c r="B31" s="180" t="s">
        <v>1110</v>
      </c>
      <c r="C31" s="180" t="s">
        <v>1125</v>
      </c>
      <c r="D31" s="180" t="s">
        <v>1134</v>
      </c>
      <c r="E31" s="180" t="s">
        <v>1095</v>
      </c>
      <c r="F31" s="180" t="s">
        <v>1096</v>
      </c>
    </row>
    <row r="32" spans="1:6" ht="13" x14ac:dyDescent="0.15">
      <c r="A32" s="180" t="s">
        <v>1153</v>
      </c>
      <c r="B32" s="180" t="s">
        <v>1131</v>
      </c>
      <c r="C32" s="180" t="s">
        <v>1094</v>
      </c>
      <c r="D32" s="180">
        <v>40</v>
      </c>
      <c r="E32" s="180" t="s">
        <v>1095</v>
      </c>
      <c r="F32" s="180" t="s">
        <v>1096</v>
      </c>
    </row>
    <row r="33" spans="1:6" ht="13" x14ac:dyDescent="0.15">
      <c r="A33" s="180" t="s">
        <v>1154</v>
      </c>
      <c r="B33" s="180" t="s">
        <v>1155</v>
      </c>
      <c r="C33" s="180" t="s">
        <v>1094</v>
      </c>
      <c r="D33" s="180">
        <v>300</v>
      </c>
      <c r="E33" s="180" t="s">
        <v>1095</v>
      </c>
      <c r="F33" s="180" t="s">
        <v>1096</v>
      </c>
    </row>
    <row r="34" spans="1:6" ht="13" x14ac:dyDescent="0.15">
      <c r="A34" s="180" t="s">
        <v>1156</v>
      </c>
      <c r="B34" s="180" t="s">
        <v>1157</v>
      </c>
      <c r="C34" s="180" t="s">
        <v>1094</v>
      </c>
      <c r="D34" s="180" t="s">
        <v>1134</v>
      </c>
      <c r="E34" s="180" t="s">
        <v>1095</v>
      </c>
      <c r="F34" s="180" t="s">
        <v>1096</v>
      </c>
    </row>
    <row r="35" spans="1:6" ht="13" x14ac:dyDescent="0.15">
      <c r="A35" s="180" t="s">
        <v>1158</v>
      </c>
      <c r="B35" s="180" t="s">
        <v>1159</v>
      </c>
      <c r="C35" s="180" t="s">
        <v>1094</v>
      </c>
      <c r="D35" s="180" t="s">
        <v>1134</v>
      </c>
      <c r="E35" s="180" t="s">
        <v>1095</v>
      </c>
      <c r="F35" s="180" t="s">
        <v>1096</v>
      </c>
    </row>
    <row r="36" spans="1:6" ht="13" x14ac:dyDescent="0.15">
      <c r="A36" s="180" t="s">
        <v>1158</v>
      </c>
      <c r="B36" s="180" t="s">
        <v>1150</v>
      </c>
      <c r="C36" s="180" t="s">
        <v>1125</v>
      </c>
      <c r="D36" s="180" t="s">
        <v>1134</v>
      </c>
      <c r="E36" s="180" t="s">
        <v>1146</v>
      </c>
      <c r="F36" s="180" t="s">
        <v>1096</v>
      </c>
    </row>
    <row r="37" spans="1:6" ht="13" x14ac:dyDescent="0.15">
      <c r="A37" s="180" t="s">
        <v>1160</v>
      </c>
      <c r="B37" s="180" t="s">
        <v>1161</v>
      </c>
      <c r="C37" s="180" t="s">
        <v>1094</v>
      </c>
      <c r="D37" s="180">
        <v>19</v>
      </c>
      <c r="E37" s="180" t="s">
        <v>1095</v>
      </c>
      <c r="F37" s="180" t="s">
        <v>1096</v>
      </c>
    </row>
    <row r="38" spans="1:6" ht="13" x14ac:dyDescent="0.15">
      <c r="A38" s="180" t="s">
        <v>1162</v>
      </c>
      <c r="B38" s="180" t="s">
        <v>1136</v>
      </c>
      <c r="C38" s="180" t="s">
        <v>1094</v>
      </c>
      <c r="D38" s="180">
        <v>22</v>
      </c>
      <c r="E38" s="180" t="s">
        <v>1095</v>
      </c>
      <c r="F38" s="180" t="s">
        <v>1096</v>
      </c>
    </row>
    <row r="39" spans="1:6" ht="13" x14ac:dyDescent="0.15">
      <c r="A39" s="180" t="s">
        <v>1163</v>
      </c>
      <c r="B39" s="180" t="s">
        <v>1164</v>
      </c>
      <c r="C39" s="180" t="s">
        <v>1125</v>
      </c>
      <c r="D39" s="180">
        <v>4000</v>
      </c>
      <c r="E39" s="180" t="s">
        <v>1095</v>
      </c>
      <c r="F39" s="180" t="s">
        <v>1096</v>
      </c>
    </row>
    <row r="40" spans="1:6" ht="13" x14ac:dyDescent="0.15">
      <c r="A40" s="180" t="s">
        <v>1165</v>
      </c>
      <c r="B40" s="180" t="s">
        <v>1127</v>
      </c>
      <c r="C40" s="180" t="s">
        <v>1094</v>
      </c>
      <c r="D40" s="180">
        <v>4.2</v>
      </c>
      <c r="E40" s="180" t="s">
        <v>1095</v>
      </c>
      <c r="F40" s="180" t="s">
        <v>1096</v>
      </c>
    </row>
    <row r="41" spans="1:6" ht="13" x14ac:dyDescent="0.15">
      <c r="A41" s="180" t="s">
        <v>1166</v>
      </c>
      <c r="B41" s="180" t="s">
        <v>1145</v>
      </c>
      <c r="C41" s="180" t="s">
        <v>1125</v>
      </c>
      <c r="D41" s="180" t="s">
        <v>1134</v>
      </c>
      <c r="E41" s="180" t="s">
        <v>1146</v>
      </c>
      <c r="F41" s="180" t="s">
        <v>1096</v>
      </c>
    </row>
    <row r="42" spans="1:6" ht="13" x14ac:dyDescent="0.15">
      <c r="A42" s="180" t="s">
        <v>1167</v>
      </c>
      <c r="B42" s="180" t="s">
        <v>1168</v>
      </c>
      <c r="C42" s="180" t="s">
        <v>1094</v>
      </c>
      <c r="D42" s="180">
        <v>110</v>
      </c>
      <c r="E42" s="180" t="s">
        <v>1095</v>
      </c>
      <c r="F42" s="180" t="s">
        <v>1096</v>
      </c>
    </row>
    <row r="43" spans="1:6" ht="13" x14ac:dyDescent="0.15">
      <c r="A43" s="180" t="s">
        <v>1169</v>
      </c>
      <c r="B43" s="180" t="s">
        <v>1170</v>
      </c>
      <c r="C43" s="180" t="s">
        <v>1094</v>
      </c>
      <c r="D43" s="180" t="s">
        <v>1134</v>
      </c>
      <c r="E43" s="180" t="s">
        <v>1095</v>
      </c>
      <c r="F43" s="180" t="s">
        <v>1096</v>
      </c>
    </row>
    <row r="44" spans="1:6" ht="13" x14ac:dyDescent="0.15">
      <c r="A44" s="180" t="s">
        <v>1171</v>
      </c>
      <c r="B44" s="180" t="s">
        <v>1150</v>
      </c>
      <c r="C44" s="180" t="s">
        <v>1125</v>
      </c>
      <c r="D44" s="180" t="s">
        <v>1134</v>
      </c>
      <c r="E44" s="180" t="s">
        <v>1146</v>
      </c>
      <c r="F44" s="180" t="s">
        <v>1096</v>
      </c>
    </row>
    <row r="45" spans="1:6" ht="13" x14ac:dyDescent="0.15">
      <c r="A45" s="180" t="s">
        <v>1172</v>
      </c>
      <c r="B45" s="180" t="s">
        <v>1173</v>
      </c>
      <c r="C45" s="180" t="s">
        <v>1125</v>
      </c>
      <c r="D45" s="180">
        <v>500</v>
      </c>
      <c r="E45" s="180" t="s">
        <v>1095</v>
      </c>
      <c r="F45" s="180" t="s">
        <v>1096</v>
      </c>
    </row>
    <row r="46" spans="1:6" ht="13" x14ac:dyDescent="0.15">
      <c r="A46" s="180" t="s">
        <v>1174</v>
      </c>
      <c r="B46" s="180" t="s">
        <v>1133</v>
      </c>
      <c r="C46" s="180" t="s">
        <v>1094</v>
      </c>
      <c r="D46" s="180">
        <v>11</v>
      </c>
      <c r="E46" s="180" t="s">
        <v>1095</v>
      </c>
      <c r="F46" s="180" t="s">
        <v>1096</v>
      </c>
    </row>
    <row r="47" spans="1:6" ht="13" x14ac:dyDescent="0.15">
      <c r="A47" s="180" t="s">
        <v>1175</v>
      </c>
      <c r="B47" s="180" t="s">
        <v>1176</v>
      </c>
      <c r="C47" s="180" t="s">
        <v>1094</v>
      </c>
      <c r="D47" s="180">
        <v>33</v>
      </c>
      <c r="E47" s="180" t="s">
        <v>1095</v>
      </c>
      <c r="F47" s="180" t="s">
        <v>1096</v>
      </c>
    </row>
    <row r="48" spans="1:6" ht="13" x14ac:dyDescent="0.15">
      <c r="A48" s="180" t="s">
        <v>1177</v>
      </c>
      <c r="B48" s="180" t="s">
        <v>1178</v>
      </c>
      <c r="C48" s="180" t="s">
        <v>1094</v>
      </c>
      <c r="D48" s="180">
        <v>3.4</v>
      </c>
      <c r="E48" s="180" t="s">
        <v>1095</v>
      </c>
      <c r="F48" s="180" t="s">
        <v>1096</v>
      </c>
    </row>
    <row r="49" spans="1:6" ht="13" x14ac:dyDescent="0.15">
      <c r="A49" s="180" t="s">
        <v>1179</v>
      </c>
      <c r="B49" s="180" t="s">
        <v>1180</v>
      </c>
      <c r="C49" s="180" t="s">
        <v>1125</v>
      </c>
      <c r="D49" s="180">
        <v>750</v>
      </c>
      <c r="E49" s="180" t="s">
        <v>1095</v>
      </c>
      <c r="F49" s="180" t="s">
        <v>1096</v>
      </c>
    </row>
    <row r="50" spans="1:6" ht="13" x14ac:dyDescent="0.15">
      <c r="A50" s="180" t="s">
        <v>1181</v>
      </c>
      <c r="B50" s="180" t="s">
        <v>1182</v>
      </c>
      <c r="C50" s="180" t="s">
        <v>1094</v>
      </c>
      <c r="D50" s="180">
        <v>114</v>
      </c>
      <c r="E50" s="180" t="s">
        <v>1095</v>
      </c>
      <c r="F50" s="180" t="s">
        <v>1096</v>
      </c>
    </row>
    <row r="51" spans="1:6" ht="13" x14ac:dyDescent="0.15">
      <c r="A51" s="180" t="s">
        <v>1183</v>
      </c>
      <c r="B51" s="180" t="s">
        <v>1184</v>
      </c>
      <c r="C51" s="180" t="s">
        <v>1094</v>
      </c>
      <c r="D51" s="180">
        <v>20</v>
      </c>
      <c r="E51" s="180" t="s">
        <v>1095</v>
      </c>
      <c r="F51" s="180" t="s">
        <v>1096</v>
      </c>
    </row>
    <row r="52" spans="1:6" ht="13" x14ac:dyDescent="0.15">
      <c r="A52" s="180" t="s">
        <v>1185</v>
      </c>
      <c r="B52" s="180" t="s">
        <v>1186</v>
      </c>
      <c r="C52" s="180" t="s">
        <v>1094</v>
      </c>
      <c r="D52" s="180">
        <v>80</v>
      </c>
      <c r="E52" s="180" t="s">
        <v>1095</v>
      </c>
      <c r="F52" s="180" t="s">
        <v>1096</v>
      </c>
    </row>
    <row r="53" spans="1:6" ht="13" x14ac:dyDescent="0.15">
      <c r="A53" s="180" t="s">
        <v>1187</v>
      </c>
      <c r="B53" s="180" t="s">
        <v>1188</v>
      </c>
      <c r="C53" s="180" t="s">
        <v>1125</v>
      </c>
      <c r="D53" s="180" t="s">
        <v>1134</v>
      </c>
      <c r="E53" s="180" t="s">
        <v>1095</v>
      </c>
      <c r="F53" s="180" t="s">
        <v>1096</v>
      </c>
    </row>
    <row r="54" spans="1:6" ht="13" x14ac:dyDescent="0.15">
      <c r="A54" s="180" t="s">
        <v>1189</v>
      </c>
      <c r="B54" s="180" t="s">
        <v>1168</v>
      </c>
      <c r="C54" s="180" t="s">
        <v>1125</v>
      </c>
      <c r="D54" s="180" t="s">
        <v>1134</v>
      </c>
      <c r="E54" s="180" t="s">
        <v>1146</v>
      </c>
      <c r="F54" s="180" t="s">
        <v>1096</v>
      </c>
    </row>
    <row r="55" spans="1:6" ht="13" x14ac:dyDescent="0.15">
      <c r="A55" s="180" t="s">
        <v>1190</v>
      </c>
      <c r="B55" s="180" t="s">
        <v>1191</v>
      </c>
      <c r="C55" s="180" t="s">
        <v>1094</v>
      </c>
      <c r="D55" s="180">
        <v>60</v>
      </c>
      <c r="E55" s="180" t="s">
        <v>1095</v>
      </c>
      <c r="F55" s="180" t="s">
        <v>1096</v>
      </c>
    </row>
    <row r="56" spans="1:6" ht="13" x14ac:dyDescent="0.15">
      <c r="A56" s="180" t="s">
        <v>1192</v>
      </c>
      <c r="B56" s="180" t="s">
        <v>1193</v>
      </c>
      <c r="C56" s="180" t="s">
        <v>1094</v>
      </c>
      <c r="D56" s="180">
        <v>50</v>
      </c>
      <c r="E56" s="180" t="s">
        <v>1095</v>
      </c>
      <c r="F56" s="180" t="s">
        <v>1096</v>
      </c>
    </row>
    <row r="57" spans="1:6" ht="13" x14ac:dyDescent="0.15">
      <c r="A57" s="180" t="s">
        <v>1194</v>
      </c>
      <c r="B57" s="180" t="s">
        <v>1124</v>
      </c>
      <c r="C57" s="180" t="s">
        <v>1094</v>
      </c>
      <c r="D57" s="180">
        <v>83</v>
      </c>
      <c r="E57" s="180" t="s">
        <v>1095</v>
      </c>
      <c r="F57" s="180" t="s">
        <v>1096</v>
      </c>
    </row>
    <row r="58" spans="1:6" ht="13" x14ac:dyDescent="0.15">
      <c r="A58" s="180" t="s">
        <v>1195</v>
      </c>
      <c r="B58" s="180" t="s">
        <v>1196</v>
      </c>
      <c r="C58" s="180" t="s">
        <v>1125</v>
      </c>
      <c r="D58" s="180">
        <v>120</v>
      </c>
      <c r="E58" s="180" t="s">
        <v>1095</v>
      </c>
      <c r="F58" s="180" t="s">
        <v>1096</v>
      </c>
    </row>
    <row r="59" spans="1:6" ht="13" x14ac:dyDescent="0.15">
      <c r="A59" s="180" t="s">
        <v>1197</v>
      </c>
      <c r="B59" s="180" t="s">
        <v>1198</v>
      </c>
      <c r="C59" s="180" t="s">
        <v>1125</v>
      </c>
      <c r="D59" s="180">
        <v>400</v>
      </c>
      <c r="E59" s="180" t="s">
        <v>1095</v>
      </c>
      <c r="F59" s="180" t="s">
        <v>1096</v>
      </c>
    </row>
    <row r="60" spans="1:6" ht="13" x14ac:dyDescent="0.15">
      <c r="A60" s="180" t="s">
        <v>1199</v>
      </c>
      <c r="B60" s="180" t="s">
        <v>1200</v>
      </c>
      <c r="C60" s="180" t="s">
        <v>1094</v>
      </c>
      <c r="D60" s="180">
        <v>125</v>
      </c>
      <c r="E60" s="180" t="s">
        <v>1095</v>
      </c>
      <c r="F60" s="180" t="s">
        <v>1096</v>
      </c>
    </row>
    <row r="61" spans="1:6" ht="13" x14ac:dyDescent="0.15">
      <c r="A61" s="180" t="s">
        <v>1201</v>
      </c>
      <c r="B61" s="180" t="s">
        <v>1202</v>
      </c>
      <c r="C61" s="180" t="s">
        <v>1125</v>
      </c>
      <c r="D61" s="180" t="s">
        <v>1134</v>
      </c>
      <c r="E61" s="180" t="s">
        <v>1095</v>
      </c>
      <c r="F61" s="180" t="s">
        <v>1096</v>
      </c>
    </row>
    <row r="62" spans="1:6" ht="13" x14ac:dyDescent="0.15">
      <c r="A62" s="180" t="s">
        <v>1203</v>
      </c>
      <c r="B62" s="180" t="s">
        <v>1204</v>
      </c>
      <c r="C62" s="180" t="s">
        <v>1125</v>
      </c>
      <c r="D62" s="180">
        <v>2200</v>
      </c>
      <c r="E62" s="180" t="s">
        <v>1095</v>
      </c>
      <c r="F62" s="180" t="s">
        <v>1096</v>
      </c>
    </row>
    <row r="63" spans="1:6" ht="13" x14ac:dyDescent="0.15">
      <c r="A63" s="180" t="s">
        <v>1205</v>
      </c>
      <c r="B63" s="180" t="s">
        <v>1206</v>
      </c>
      <c r="C63" s="180" t="s">
        <v>1094</v>
      </c>
      <c r="D63" s="180">
        <v>7</v>
      </c>
      <c r="E63" s="180" t="s">
        <v>1095</v>
      </c>
      <c r="F63" s="180" t="s">
        <v>1096</v>
      </c>
    </row>
    <row r="64" spans="1:6" ht="13" x14ac:dyDescent="0.15">
      <c r="A64" s="180" t="s">
        <v>1207</v>
      </c>
      <c r="B64" s="180" t="s">
        <v>1161</v>
      </c>
      <c r="C64" s="180" t="s">
        <v>1094</v>
      </c>
      <c r="D64" s="180">
        <v>15</v>
      </c>
      <c r="E64" s="180" t="s">
        <v>1095</v>
      </c>
      <c r="F64" s="180" t="s">
        <v>1096</v>
      </c>
    </row>
    <row r="65" spans="1:6" ht="13" x14ac:dyDescent="0.15">
      <c r="A65" s="180" t="s">
        <v>1208</v>
      </c>
      <c r="B65" s="180" t="s">
        <v>1184</v>
      </c>
      <c r="C65" s="180" t="s">
        <v>1094</v>
      </c>
      <c r="D65" s="180">
        <v>44</v>
      </c>
      <c r="E65" s="180" t="s">
        <v>1095</v>
      </c>
      <c r="F65" s="180" t="s">
        <v>1096</v>
      </c>
    </row>
    <row r="66" spans="1:6" ht="13" x14ac:dyDescent="0.15">
      <c r="A66" s="180" t="s">
        <v>1209</v>
      </c>
      <c r="B66" s="180" t="s">
        <v>1182</v>
      </c>
      <c r="C66" s="180" t="s">
        <v>1125</v>
      </c>
      <c r="D66" s="180" t="s">
        <v>1134</v>
      </c>
      <c r="E66" s="180" t="s">
        <v>1095</v>
      </c>
      <c r="F66" s="180" t="s">
        <v>1096</v>
      </c>
    </row>
    <row r="67" spans="1:6" ht="13" x14ac:dyDescent="0.15">
      <c r="A67" s="180" t="s">
        <v>1210</v>
      </c>
      <c r="B67" s="180" t="s">
        <v>1196</v>
      </c>
      <c r="C67" s="180" t="s">
        <v>1094</v>
      </c>
      <c r="D67" s="180">
        <v>17.5</v>
      </c>
      <c r="E67" s="180" t="s">
        <v>1095</v>
      </c>
      <c r="F67" s="180" t="s">
        <v>1096</v>
      </c>
    </row>
    <row r="68" spans="1:6" ht="13" x14ac:dyDescent="0.15">
      <c r="A68" s="180" t="s">
        <v>1211</v>
      </c>
      <c r="B68" s="180" t="s">
        <v>1212</v>
      </c>
      <c r="C68" s="180" t="s">
        <v>1094</v>
      </c>
      <c r="D68" s="180">
        <v>35</v>
      </c>
      <c r="E68" s="180" t="s">
        <v>1095</v>
      </c>
      <c r="F68" s="180" t="s">
        <v>1096</v>
      </c>
    </row>
    <row r="69" spans="1:6" ht="13" x14ac:dyDescent="0.15">
      <c r="A69" s="180" t="s">
        <v>1213</v>
      </c>
      <c r="B69" s="180" t="s">
        <v>1214</v>
      </c>
      <c r="C69" s="180" t="s">
        <v>1094</v>
      </c>
      <c r="D69" s="180">
        <v>60</v>
      </c>
      <c r="E69" s="180" t="s">
        <v>1095</v>
      </c>
      <c r="F69" s="180" t="s">
        <v>1096</v>
      </c>
    </row>
    <row r="70" spans="1:6" ht="13" x14ac:dyDescent="0.15">
      <c r="A70" s="180" t="s">
        <v>1215</v>
      </c>
      <c r="B70" s="180" t="s">
        <v>1216</v>
      </c>
      <c r="C70" s="180" t="s">
        <v>1125</v>
      </c>
      <c r="D70" s="180" t="s">
        <v>1134</v>
      </c>
      <c r="E70" s="180" t="s">
        <v>1095</v>
      </c>
      <c r="F70" s="180" t="s">
        <v>1096</v>
      </c>
    </row>
    <row r="71" spans="1:6" ht="13" x14ac:dyDescent="0.15">
      <c r="A71" s="180" t="s">
        <v>1217</v>
      </c>
      <c r="B71" s="180" t="s">
        <v>1218</v>
      </c>
      <c r="C71" s="180" t="s">
        <v>1094</v>
      </c>
      <c r="D71" s="180">
        <v>5.28</v>
      </c>
      <c r="E71" s="180" t="s">
        <v>1095</v>
      </c>
      <c r="F71" s="180" t="s">
        <v>1096</v>
      </c>
    </row>
    <row r="72" spans="1:6" ht="13" x14ac:dyDescent="0.15">
      <c r="A72" s="180" t="s">
        <v>1219</v>
      </c>
      <c r="B72" s="180" t="s">
        <v>1220</v>
      </c>
      <c r="C72" s="180" t="s">
        <v>1125</v>
      </c>
      <c r="D72" s="180" t="s">
        <v>1134</v>
      </c>
      <c r="E72" s="180" t="s">
        <v>1146</v>
      </c>
      <c r="F72" s="180" t="s">
        <v>1096</v>
      </c>
    </row>
    <row r="73" spans="1:6" ht="13" x14ac:dyDescent="0.15">
      <c r="A73" s="180" t="s">
        <v>1221</v>
      </c>
      <c r="B73" s="180" t="s">
        <v>1186</v>
      </c>
      <c r="C73" s="180" t="s">
        <v>1094</v>
      </c>
      <c r="D73" s="180">
        <v>48</v>
      </c>
      <c r="E73" s="180" t="s">
        <v>1095</v>
      </c>
      <c r="F73" s="180" t="s">
        <v>1096</v>
      </c>
    </row>
    <row r="74" spans="1:6" ht="13" x14ac:dyDescent="0.15">
      <c r="A74" s="180" t="s">
        <v>1222</v>
      </c>
      <c r="B74" s="180" t="s">
        <v>1223</v>
      </c>
      <c r="C74" s="180" t="s">
        <v>1125</v>
      </c>
      <c r="D74" s="180">
        <v>175.75</v>
      </c>
      <c r="E74" s="180" t="s">
        <v>1095</v>
      </c>
      <c r="F74" s="180" t="s">
        <v>1096</v>
      </c>
    </row>
    <row r="75" spans="1:6" ht="13" x14ac:dyDescent="0.15">
      <c r="A75" s="180" t="s">
        <v>1224</v>
      </c>
      <c r="B75" s="180" t="s">
        <v>1225</v>
      </c>
      <c r="C75" s="180" t="s">
        <v>1094</v>
      </c>
      <c r="D75" s="180">
        <v>1.5</v>
      </c>
      <c r="E75" s="180" t="s">
        <v>1095</v>
      </c>
      <c r="F75" s="180" t="s">
        <v>1096</v>
      </c>
    </row>
    <row r="76" spans="1:6" ht="13" x14ac:dyDescent="0.15">
      <c r="A76" s="180" t="s">
        <v>1226</v>
      </c>
      <c r="B76" s="180" t="s">
        <v>1170</v>
      </c>
      <c r="C76" s="180" t="s">
        <v>1094</v>
      </c>
      <c r="D76" s="180">
        <v>70</v>
      </c>
      <c r="E76" s="180" t="s">
        <v>1095</v>
      </c>
      <c r="F76" s="180" t="s">
        <v>1096</v>
      </c>
    </row>
    <row r="77" spans="1:6" ht="13" x14ac:dyDescent="0.15">
      <c r="A77" s="180" t="s">
        <v>1227</v>
      </c>
      <c r="B77" s="180" t="s">
        <v>1228</v>
      </c>
      <c r="C77" s="180" t="s">
        <v>1125</v>
      </c>
      <c r="D77" s="180" t="s">
        <v>1134</v>
      </c>
      <c r="E77" s="180" t="s">
        <v>1146</v>
      </c>
      <c r="F77" s="180" t="s">
        <v>1096</v>
      </c>
    </row>
    <row r="78" spans="1:6" ht="13" x14ac:dyDescent="0.15">
      <c r="A78" s="180" t="s">
        <v>1229</v>
      </c>
      <c r="B78" s="180" t="s">
        <v>1230</v>
      </c>
      <c r="C78" s="180" t="s">
        <v>1125</v>
      </c>
      <c r="D78" s="180">
        <v>842.45</v>
      </c>
      <c r="E78" s="180" t="s">
        <v>1095</v>
      </c>
      <c r="F78" s="180" t="s">
        <v>1096</v>
      </c>
    </row>
    <row r="79" spans="1:6" ht="13" x14ac:dyDescent="0.15">
      <c r="A79" s="180" t="s">
        <v>1231</v>
      </c>
      <c r="B79" s="180" t="s">
        <v>1232</v>
      </c>
      <c r="C79" s="180" t="s">
        <v>1094</v>
      </c>
      <c r="D79" s="180">
        <v>5.05</v>
      </c>
      <c r="E79" s="180" t="s">
        <v>1095</v>
      </c>
      <c r="F79" s="180" t="s">
        <v>1096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B0159-4830-E541-8CA7-6B2ED41CE482}">
  <dimension ref="B5:F81"/>
  <sheetViews>
    <sheetView showGridLines="0" zoomScale="125" workbookViewId="0">
      <selection activeCell="G13" sqref="G13"/>
    </sheetView>
  </sheetViews>
  <sheetFormatPr baseColWidth="10" defaultRowHeight="11" x14ac:dyDescent="0.15"/>
  <cols>
    <col min="2" max="2" width="25.6640625" bestFit="1" customWidth="1"/>
    <col min="3" max="3" width="17" bestFit="1" customWidth="1"/>
    <col min="4" max="4" width="12.33203125" bestFit="1" customWidth="1"/>
    <col min="5" max="5" width="8.5" bestFit="1" customWidth="1"/>
    <col min="6" max="6" width="5" bestFit="1" customWidth="1"/>
  </cols>
  <sheetData>
    <row r="5" spans="2:5" x14ac:dyDescent="0.15">
      <c r="B5" t="s">
        <v>1233</v>
      </c>
      <c r="C5" t="s">
        <v>1264</v>
      </c>
      <c r="D5" t="s">
        <v>1265</v>
      </c>
      <c r="E5">
        <v>44995</v>
      </c>
    </row>
    <row r="8" spans="2:5" x14ac:dyDescent="0.15">
      <c r="B8" t="s">
        <v>1266</v>
      </c>
      <c r="C8">
        <v>0.71698113207547165</v>
      </c>
      <c r="D8" t="s">
        <v>1267</v>
      </c>
      <c r="E8">
        <v>4.3769999999999998</v>
      </c>
    </row>
    <row r="9" spans="2:5" x14ac:dyDescent="0.15">
      <c r="B9" t="s">
        <v>1268</v>
      </c>
      <c r="C9">
        <v>0.26415094339622641</v>
      </c>
      <c r="D9" t="s">
        <v>1269</v>
      </c>
      <c r="E9">
        <v>38</v>
      </c>
    </row>
    <row r="10" spans="2:5" x14ac:dyDescent="0.15">
      <c r="B10" t="s">
        <v>1270</v>
      </c>
      <c r="C10">
        <v>1.8867924528301886E-2</v>
      </c>
      <c r="D10" t="s">
        <v>1271</v>
      </c>
      <c r="E10">
        <v>14</v>
      </c>
    </row>
    <row r="11" spans="2:5" x14ac:dyDescent="0.15">
      <c r="B11" t="s">
        <v>1272</v>
      </c>
      <c r="C11">
        <v>73.430000000000007</v>
      </c>
      <c r="D11" t="s">
        <v>1273</v>
      </c>
      <c r="E11">
        <v>1</v>
      </c>
    </row>
    <row r="12" spans="2:5" x14ac:dyDescent="0.15">
      <c r="B12" t="s">
        <v>1274</v>
      </c>
      <c r="C12" t="s">
        <v>21</v>
      </c>
      <c r="D12" t="s">
        <v>1275</v>
      </c>
      <c r="E12">
        <v>99.251000000000005</v>
      </c>
    </row>
    <row r="13" spans="2:5" x14ac:dyDescent="0.15">
      <c r="B13" t="s">
        <v>1276</v>
      </c>
      <c r="C13">
        <v>0.35164101865722452</v>
      </c>
    </row>
    <row r="14" spans="2:5" x14ac:dyDescent="0.15">
      <c r="B14" t="s">
        <v>1277</v>
      </c>
      <c r="C14">
        <v>-0.25489598878563385</v>
      </c>
    </row>
    <row r="18" spans="2:6" x14ac:dyDescent="0.15">
      <c r="B18" t="s">
        <v>1278</v>
      </c>
      <c r="C18" t="s">
        <v>1259</v>
      </c>
      <c r="D18" t="s">
        <v>1279</v>
      </c>
      <c r="E18" t="s">
        <v>1260</v>
      </c>
      <c r="F18" t="s">
        <v>1265</v>
      </c>
    </row>
    <row r="19" spans="2:6" x14ac:dyDescent="0.15">
      <c r="B19" t="s">
        <v>1280</v>
      </c>
      <c r="C19" t="s">
        <v>1281</v>
      </c>
      <c r="D19" t="s">
        <v>1282</v>
      </c>
      <c r="E19">
        <v>133</v>
      </c>
      <c r="F19">
        <v>44994</v>
      </c>
    </row>
    <row r="20" spans="2:6" x14ac:dyDescent="0.15">
      <c r="B20" t="s">
        <v>1283</v>
      </c>
      <c r="C20" t="s">
        <v>1284</v>
      </c>
      <c r="D20" t="s">
        <v>1285</v>
      </c>
      <c r="E20">
        <v>90</v>
      </c>
      <c r="F20">
        <v>44994</v>
      </c>
    </row>
    <row r="21" spans="2:6" x14ac:dyDescent="0.15">
      <c r="B21" t="s">
        <v>1286</v>
      </c>
      <c r="C21" t="s">
        <v>1287</v>
      </c>
      <c r="D21" t="s">
        <v>1288</v>
      </c>
      <c r="E21">
        <v>90</v>
      </c>
      <c r="F21">
        <v>44994</v>
      </c>
    </row>
    <row r="22" spans="2:6" x14ac:dyDescent="0.15">
      <c r="B22" t="s">
        <v>1289</v>
      </c>
      <c r="C22" t="s">
        <v>1290</v>
      </c>
      <c r="D22" t="s">
        <v>1291</v>
      </c>
      <c r="F22">
        <v>44993</v>
      </c>
    </row>
    <row r="23" spans="2:6" x14ac:dyDescent="0.15">
      <c r="B23" t="s">
        <v>1292</v>
      </c>
      <c r="C23" t="s">
        <v>1293</v>
      </c>
      <c r="D23" t="s">
        <v>1288</v>
      </c>
      <c r="E23">
        <v>96</v>
      </c>
      <c r="F23">
        <v>44992</v>
      </c>
    </row>
    <row r="24" spans="2:6" x14ac:dyDescent="0.15">
      <c r="B24" t="s">
        <v>1294</v>
      </c>
      <c r="C24" t="s">
        <v>1295</v>
      </c>
      <c r="D24" t="s">
        <v>1288</v>
      </c>
      <c r="E24">
        <v>95</v>
      </c>
      <c r="F24">
        <v>44992</v>
      </c>
    </row>
    <row r="25" spans="2:6" x14ac:dyDescent="0.15">
      <c r="B25" t="s">
        <v>1296</v>
      </c>
      <c r="C25" t="s">
        <v>1297</v>
      </c>
      <c r="D25" t="s">
        <v>1288</v>
      </c>
      <c r="E25">
        <v>90</v>
      </c>
      <c r="F25">
        <v>44992</v>
      </c>
    </row>
    <row r="26" spans="2:6" x14ac:dyDescent="0.15">
      <c r="B26" t="s">
        <v>1298</v>
      </c>
      <c r="C26" t="s">
        <v>1299</v>
      </c>
      <c r="D26" t="s">
        <v>1288</v>
      </c>
      <c r="E26">
        <v>100</v>
      </c>
      <c r="F26">
        <v>44991</v>
      </c>
    </row>
    <row r="27" spans="2:6" x14ac:dyDescent="0.15">
      <c r="B27" t="s">
        <v>1300</v>
      </c>
      <c r="C27" t="s">
        <v>1301</v>
      </c>
      <c r="D27" t="s">
        <v>1288</v>
      </c>
      <c r="E27">
        <v>115</v>
      </c>
      <c r="F27">
        <v>44990</v>
      </c>
    </row>
    <row r="28" spans="2:6" x14ac:dyDescent="0.15">
      <c r="B28" t="s">
        <v>1302</v>
      </c>
      <c r="C28" t="s">
        <v>1303</v>
      </c>
      <c r="D28" t="s">
        <v>1304</v>
      </c>
      <c r="E28">
        <v>81</v>
      </c>
      <c r="F28">
        <v>44988</v>
      </c>
    </row>
    <row r="29" spans="2:6" x14ac:dyDescent="0.15">
      <c r="B29" t="s">
        <v>1305</v>
      </c>
      <c r="C29" t="s">
        <v>1306</v>
      </c>
      <c r="D29" t="s">
        <v>1304</v>
      </c>
      <c r="E29">
        <v>77</v>
      </c>
      <c r="F29">
        <v>44986</v>
      </c>
    </row>
    <row r="30" spans="2:6" x14ac:dyDescent="0.15">
      <c r="B30" t="s">
        <v>1307</v>
      </c>
      <c r="C30" t="s">
        <v>1308</v>
      </c>
      <c r="D30" t="s">
        <v>1288</v>
      </c>
      <c r="E30">
        <v>110</v>
      </c>
      <c r="F30">
        <v>44984</v>
      </c>
    </row>
    <row r="31" spans="2:6" x14ac:dyDescent="0.15">
      <c r="B31" t="s">
        <v>1309</v>
      </c>
      <c r="C31" t="s">
        <v>1310</v>
      </c>
      <c r="D31" t="s">
        <v>1304</v>
      </c>
      <c r="F31">
        <v>44984</v>
      </c>
    </row>
    <row r="32" spans="2:6" x14ac:dyDescent="0.15">
      <c r="B32" t="s">
        <v>1311</v>
      </c>
      <c r="C32" t="s">
        <v>1312</v>
      </c>
      <c r="D32" t="s">
        <v>1288</v>
      </c>
      <c r="E32">
        <v>100</v>
      </c>
      <c r="F32">
        <v>44983</v>
      </c>
    </row>
    <row r="33" spans="2:6" x14ac:dyDescent="0.15">
      <c r="B33" t="s">
        <v>1313</v>
      </c>
      <c r="C33" t="s">
        <v>1314</v>
      </c>
      <c r="D33" t="s">
        <v>1304</v>
      </c>
      <c r="E33">
        <v>80</v>
      </c>
      <c r="F33">
        <v>44981</v>
      </c>
    </row>
    <row r="34" spans="2:6" x14ac:dyDescent="0.15">
      <c r="B34" t="s">
        <v>1315</v>
      </c>
      <c r="C34" t="s">
        <v>1316</v>
      </c>
      <c r="D34" t="s">
        <v>1317</v>
      </c>
      <c r="E34">
        <v>95.5</v>
      </c>
      <c r="F34">
        <v>44975</v>
      </c>
    </row>
    <row r="35" spans="2:6" x14ac:dyDescent="0.15">
      <c r="B35" t="s">
        <v>1318</v>
      </c>
      <c r="C35" t="s">
        <v>1306</v>
      </c>
      <c r="D35" t="s">
        <v>1317</v>
      </c>
      <c r="E35">
        <v>103</v>
      </c>
      <c r="F35">
        <v>44972</v>
      </c>
    </row>
    <row r="36" spans="2:6" x14ac:dyDescent="0.15">
      <c r="B36" t="s">
        <v>1319</v>
      </c>
      <c r="C36" t="s">
        <v>1320</v>
      </c>
      <c r="D36" t="s">
        <v>1317</v>
      </c>
      <c r="E36">
        <v>135</v>
      </c>
      <c r="F36">
        <v>44972</v>
      </c>
    </row>
    <row r="37" spans="2:6" x14ac:dyDescent="0.15">
      <c r="B37" t="s">
        <v>1321</v>
      </c>
      <c r="C37" t="s">
        <v>1322</v>
      </c>
      <c r="D37" t="s">
        <v>1288</v>
      </c>
      <c r="E37">
        <v>90</v>
      </c>
      <c r="F37">
        <v>44971</v>
      </c>
    </row>
    <row r="38" spans="2:6" x14ac:dyDescent="0.15">
      <c r="B38" t="s">
        <v>1323</v>
      </c>
      <c r="C38" t="s">
        <v>1324</v>
      </c>
      <c r="D38" t="s">
        <v>1288</v>
      </c>
      <c r="E38">
        <v>95</v>
      </c>
      <c r="F38">
        <v>44971</v>
      </c>
    </row>
    <row r="39" spans="2:6" x14ac:dyDescent="0.15">
      <c r="B39" t="s">
        <v>1325</v>
      </c>
      <c r="C39" t="s">
        <v>1326</v>
      </c>
      <c r="D39" t="s">
        <v>1327</v>
      </c>
      <c r="E39">
        <v>84</v>
      </c>
      <c r="F39">
        <v>44970</v>
      </c>
    </row>
    <row r="40" spans="2:6" x14ac:dyDescent="0.15">
      <c r="B40" t="s">
        <v>1328</v>
      </c>
      <c r="C40" t="s">
        <v>1329</v>
      </c>
      <c r="D40" t="s">
        <v>1317</v>
      </c>
      <c r="E40">
        <v>102</v>
      </c>
      <c r="F40">
        <v>44969</v>
      </c>
    </row>
    <row r="41" spans="2:6" x14ac:dyDescent="0.15">
      <c r="B41" t="s">
        <v>1330</v>
      </c>
      <c r="C41" t="s">
        <v>1331</v>
      </c>
      <c r="D41" t="s">
        <v>1288</v>
      </c>
      <c r="E41">
        <v>108</v>
      </c>
      <c r="F41">
        <v>44967</v>
      </c>
    </row>
    <row r="42" spans="2:6" x14ac:dyDescent="0.15">
      <c r="B42" t="s">
        <v>1332</v>
      </c>
      <c r="C42" t="s">
        <v>1333</v>
      </c>
      <c r="D42" t="s">
        <v>1317</v>
      </c>
      <c r="E42">
        <v>100</v>
      </c>
      <c r="F42">
        <v>44967</v>
      </c>
    </row>
    <row r="43" spans="2:6" x14ac:dyDescent="0.15">
      <c r="B43" t="s">
        <v>1334</v>
      </c>
      <c r="C43" t="s">
        <v>1335</v>
      </c>
      <c r="D43" t="s">
        <v>1317</v>
      </c>
      <c r="E43">
        <v>102</v>
      </c>
      <c r="F43">
        <v>44967</v>
      </c>
    </row>
    <row r="44" spans="2:6" x14ac:dyDescent="0.15">
      <c r="B44" t="s">
        <v>1336</v>
      </c>
      <c r="C44" t="s">
        <v>1337</v>
      </c>
      <c r="D44" t="s">
        <v>1317</v>
      </c>
      <c r="E44">
        <v>110</v>
      </c>
      <c r="F44">
        <v>44967</v>
      </c>
    </row>
    <row r="45" spans="2:6" x14ac:dyDescent="0.15">
      <c r="B45" t="s">
        <v>1338</v>
      </c>
      <c r="C45" t="s">
        <v>1339</v>
      </c>
      <c r="D45" t="s">
        <v>1340</v>
      </c>
      <c r="E45">
        <v>103</v>
      </c>
      <c r="F45">
        <v>44967</v>
      </c>
    </row>
    <row r="46" spans="2:6" x14ac:dyDescent="0.15">
      <c r="B46" t="s">
        <v>1341</v>
      </c>
      <c r="C46" t="s">
        <v>1342</v>
      </c>
      <c r="D46" t="s">
        <v>1327</v>
      </c>
      <c r="E46">
        <v>85</v>
      </c>
      <c r="F46">
        <v>44967</v>
      </c>
    </row>
    <row r="47" spans="2:6" x14ac:dyDescent="0.15">
      <c r="B47" t="s">
        <v>1343</v>
      </c>
      <c r="C47" t="s">
        <v>1344</v>
      </c>
      <c r="D47" t="s">
        <v>1327</v>
      </c>
      <c r="F47">
        <v>44967</v>
      </c>
    </row>
    <row r="48" spans="2:6" x14ac:dyDescent="0.15">
      <c r="B48" t="s">
        <v>1345</v>
      </c>
      <c r="C48" t="s">
        <v>1346</v>
      </c>
      <c r="D48" t="s">
        <v>1317</v>
      </c>
      <c r="E48">
        <v>102</v>
      </c>
      <c r="F48">
        <v>44967</v>
      </c>
    </row>
    <row r="49" spans="2:6" x14ac:dyDescent="0.15">
      <c r="B49" t="s">
        <v>1347</v>
      </c>
      <c r="C49" t="s">
        <v>1348</v>
      </c>
      <c r="D49" t="s">
        <v>1349</v>
      </c>
      <c r="E49">
        <v>80</v>
      </c>
      <c r="F49">
        <v>44967</v>
      </c>
    </row>
    <row r="50" spans="2:6" x14ac:dyDescent="0.15">
      <c r="B50" t="s">
        <v>1350</v>
      </c>
      <c r="C50" t="s">
        <v>1351</v>
      </c>
      <c r="D50" t="s">
        <v>1288</v>
      </c>
      <c r="F50">
        <v>44967</v>
      </c>
    </row>
    <row r="51" spans="2:6" x14ac:dyDescent="0.15">
      <c r="B51" t="s">
        <v>1352</v>
      </c>
      <c r="C51" t="s">
        <v>1353</v>
      </c>
      <c r="D51" t="s">
        <v>1285</v>
      </c>
      <c r="F51">
        <v>44967</v>
      </c>
    </row>
    <row r="52" spans="2:6" x14ac:dyDescent="0.15">
      <c r="B52" t="s">
        <v>1354</v>
      </c>
      <c r="C52" t="s">
        <v>1355</v>
      </c>
      <c r="D52" t="s">
        <v>1317</v>
      </c>
      <c r="E52">
        <v>100</v>
      </c>
      <c r="F52">
        <v>44967</v>
      </c>
    </row>
    <row r="53" spans="2:6" x14ac:dyDescent="0.15">
      <c r="B53" t="s">
        <v>1356</v>
      </c>
      <c r="C53" t="s">
        <v>1357</v>
      </c>
      <c r="D53" t="s">
        <v>1304</v>
      </c>
      <c r="E53">
        <v>80</v>
      </c>
      <c r="F53">
        <v>44967</v>
      </c>
    </row>
    <row r="54" spans="2:6" x14ac:dyDescent="0.15">
      <c r="B54" t="s">
        <v>1358</v>
      </c>
      <c r="C54" t="s">
        <v>1359</v>
      </c>
      <c r="D54" t="s">
        <v>1317</v>
      </c>
      <c r="E54">
        <v>160</v>
      </c>
      <c r="F54">
        <v>44967</v>
      </c>
    </row>
    <row r="55" spans="2:6" x14ac:dyDescent="0.15">
      <c r="B55" t="s">
        <v>1360</v>
      </c>
      <c r="C55" t="s">
        <v>1361</v>
      </c>
      <c r="D55" t="s">
        <v>1288</v>
      </c>
      <c r="E55">
        <v>97.55</v>
      </c>
      <c r="F55">
        <v>44967</v>
      </c>
    </row>
    <row r="56" spans="2:6" x14ac:dyDescent="0.15">
      <c r="B56" t="s">
        <v>1362</v>
      </c>
      <c r="C56" t="s">
        <v>1363</v>
      </c>
      <c r="D56" t="s">
        <v>1340</v>
      </c>
      <c r="E56">
        <v>97</v>
      </c>
      <c r="F56">
        <v>44967</v>
      </c>
    </row>
    <row r="57" spans="2:6" x14ac:dyDescent="0.15">
      <c r="B57" t="s">
        <v>1364</v>
      </c>
      <c r="C57" t="s">
        <v>1365</v>
      </c>
      <c r="D57" t="s">
        <v>1366</v>
      </c>
      <c r="E57">
        <v>100</v>
      </c>
      <c r="F57">
        <v>44967</v>
      </c>
    </row>
    <row r="58" spans="2:6" x14ac:dyDescent="0.15">
      <c r="B58" t="s">
        <v>1367</v>
      </c>
      <c r="C58" t="s">
        <v>1368</v>
      </c>
      <c r="D58" t="s">
        <v>1369</v>
      </c>
      <c r="E58">
        <v>70</v>
      </c>
      <c r="F58">
        <v>44967</v>
      </c>
    </row>
    <row r="59" spans="2:6" x14ac:dyDescent="0.15">
      <c r="B59" t="s">
        <v>1370</v>
      </c>
      <c r="C59" t="s">
        <v>1371</v>
      </c>
      <c r="D59" t="s">
        <v>1304</v>
      </c>
      <c r="E59">
        <v>80</v>
      </c>
      <c r="F59">
        <v>44967</v>
      </c>
    </row>
    <row r="60" spans="2:6" x14ac:dyDescent="0.15">
      <c r="B60" t="s">
        <v>1372</v>
      </c>
      <c r="C60" t="s">
        <v>1373</v>
      </c>
      <c r="D60" t="s">
        <v>1340</v>
      </c>
      <c r="E60">
        <v>90</v>
      </c>
      <c r="F60">
        <v>44967</v>
      </c>
    </row>
    <row r="61" spans="2:6" x14ac:dyDescent="0.15">
      <c r="B61" t="s">
        <v>1374</v>
      </c>
      <c r="C61" t="s">
        <v>1375</v>
      </c>
      <c r="D61" t="s">
        <v>1340</v>
      </c>
      <c r="E61">
        <v>108</v>
      </c>
      <c r="F61">
        <v>44967</v>
      </c>
    </row>
    <row r="62" spans="2:6" x14ac:dyDescent="0.15">
      <c r="B62" t="s">
        <v>1376</v>
      </c>
      <c r="C62" t="s">
        <v>1377</v>
      </c>
      <c r="D62" t="s">
        <v>1378</v>
      </c>
      <c r="F62">
        <v>44967</v>
      </c>
    </row>
    <row r="63" spans="2:6" x14ac:dyDescent="0.15">
      <c r="B63" t="s">
        <v>1379</v>
      </c>
      <c r="C63" t="s">
        <v>1380</v>
      </c>
      <c r="D63" t="s">
        <v>1317</v>
      </c>
      <c r="E63">
        <v>102</v>
      </c>
      <c r="F63">
        <v>44966</v>
      </c>
    </row>
    <row r="64" spans="2:6" x14ac:dyDescent="0.15">
      <c r="B64" t="s">
        <v>1381</v>
      </c>
      <c r="C64" t="s">
        <v>1382</v>
      </c>
      <c r="D64" t="s">
        <v>1317</v>
      </c>
      <c r="E64">
        <v>95</v>
      </c>
      <c r="F64">
        <v>44966</v>
      </c>
    </row>
    <row r="65" spans="2:6" x14ac:dyDescent="0.15">
      <c r="B65" t="s">
        <v>1383</v>
      </c>
      <c r="C65" t="s">
        <v>1384</v>
      </c>
      <c r="D65" t="s">
        <v>1288</v>
      </c>
      <c r="E65">
        <v>95</v>
      </c>
      <c r="F65">
        <v>44966</v>
      </c>
    </row>
    <row r="66" spans="2:6" x14ac:dyDescent="0.15">
      <c r="B66" t="s">
        <v>1385</v>
      </c>
      <c r="C66" t="s">
        <v>1386</v>
      </c>
      <c r="D66" t="s">
        <v>1387</v>
      </c>
      <c r="F66">
        <v>44966</v>
      </c>
    </row>
    <row r="67" spans="2:6" x14ac:dyDescent="0.15">
      <c r="B67" t="s">
        <v>1388</v>
      </c>
      <c r="C67" t="s">
        <v>1389</v>
      </c>
      <c r="D67" t="s">
        <v>1304</v>
      </c>
      <c r="E67">
        <v>82</v>
      </c>
      <c r="F67">
        <v>44966</v>
      </c>
    </row>
    <row r="68" spans="2:6" x14ac:dyDescent="0.15">
      <c r="B68" t="s">
        <v>1390</v>
      </c>
      <c r="C68" t="s">
        <v>1391</v>
      </c>
      <c r="D68" t="s">
        <v>1317</v>
      </c>
      <c r="E68">
        <v>99</v>
      </c>
      <c r="F68">
        <v>44966</v>
      </c>
    </row>
    <row r="69" spans="2:6" x14ac:dyDescent="0.15">
      <c r="B69" t="s">
        <v>1392</v>
      </c>
      <c r="C69" t="s">
        <v>1393</v>
      </c>
      <c r="D69" t="s">
        <v>1394</v>
      </c>
      <c r="F69">
        <v>44946</v>
      </c>
    </row>
    <row r="70" spans="2:6" x14ac:dyDescent="0.15">
      <c r="B70" t="s">
        <v>1395</v>
      </c>
      <c r="C70" t="s">
        <v>1396</v>
      </c>
      <c r="D70" t="s">
        <v>1317</v>
      </c>
      <c r="E70">
        <v>97</v>
      </c>
      <c r="F70">
        <v>44870</v>
      </c>
    </row>
    <row r="71" spans="2:6" x14ac:dyDescent="0.15">
      <c r="B71" t="s">
        <v>1397</v>
      </c>
      <c r="C71" t="s">
        <v>1306</v>
      </c>
      <c r="D71" t="s">
        <v>1398</v>
      </c>
      <c r="E71">
        <v>109.03</v>
      </c>
      <c r="F71">
        <v>44840</v>
      </c>
    </row>
    <row r="72" spans="2:6" x14ac:dyDescent="0.15">
      <c r="B72" t="s">
        <v>1399</v>
      </c>
      <c r="C72" t="s">
        <v>1306</v>
      </c>
      <c r="D72" t="s">
        <v>1317</v>
      </c>
      <c r="E72">
        <v>120</v>
      </c>
      <c r="F72">
        <v>44776</v>
      </c>
    </row>
    <row r="73" spans="2:6" x14ac:dyDescent="0.15">
      <c r="B73" t="s">
        <v>1400</v>
      </c>
      <c r="C73" t="s">
        <v>1401</v>
      </c>
      <c r="D73" t="s">
        <v>1317</v>
      </c>
      <c r="E73">
        <v>145</v>
      </c>
      <c r="F73">
        <v>44768</v>
      </c>
    </row>
    <row r="74" spans="2:6" x14ac:dyDescent="0.15">
      <c r="B74" t="s">
        <v>1402</v>
      </c>
      <c r="C74" t="s">
        <v>1403</v>
      </c>
      <c r="D74" t="s">
        <v>1304</v>
      </c>
      <c r="E74">
        <v>184</v>
      </c>
      <c r="F74">
        <v>44599</v>
      </c>
    </row>
    <row r="75" spans="2:6" x14ac:dyDescent="0.15">
      <c r="B75" t="s">
        <v>1404</v>
      </c>
      <c r="C75" t="s">
        <v>1405</v>
      </c>
      <c r="D75" t="s">
        <v>1406</v>
      </c>
      <c r="F75">
        <v>44509</v>
      </c>
    </row>
    <row r="76" spans="2:6" x14ac:dyDescent="0.15">
      <c r="B76" t="s">
        <v>1407</v>
      </c>
      <c r="C76" t="s">
        <v>1408</v>
      </c>
      <c r="D76" t="s">
        <v>1317</v>
      </c>
      <c r="E76">
        <v>235</v>
      </c>
      <c r="F76">
        <v>44509</v>
      </c>
    </row>
    <row r="77" spans="2:6" x14ac:dyDescent="0.15">
      <c r="B77" t="s">
        <v>1409</v>
      </c>
      <c r="C77" t="s">
        <v>1410</v>
      </c>
      <c r="D77" t="s">
        <v>1327</v>
      </c>
      <c r="F77">
        <v>44505</v>
      </c>
    </row>
    <row r="78" spans="2:6" x14ac:dyDescent="0.15">
      <c r="B78" t="s">
        <v>1411</v>
      </c>
      <c r="C78" t="s">
        <v>1412</v>
      </c>
      <c r="D78" t="s">
        <v>1317</v>
      </c>
      <c r="F78">
        <v>43642</v>
      </c>
    </row>
    <row r="80" spans="2:6" x14ac:dyDescent="0.15">
      <c r="D80" t="s">
        <v>1414</v>
      </c>
      <c r="E80">
        <f>MIN(E19:E78)</f>
        <v>70</v>
      </c>
    </row>
    <row r="81" spans="4:5" x14ac:dyDescent="0.15">
      <c r="D81" t="s">
        <v>1415</v>
      </c>
      <c r="E81">
        <f>MAX(E19:E78)</f>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39923-B2FB-FD47-A63F-22E1B3EA5E09}">
  <dimension ref="A2:AG153"/>
  <sheetViews>
    <sheetView showGridLines="0" tabSelected="1" topLeftCell="A76" zoomScale="63" zoomScaleNormal="110" workbookViewId="0">
      <selection activeCell="L105" sqref="L105"/>
    </sheetView>
  </sheetViews>
  <sheetFormatPr baseColWidth="10" defaultColWidth="8.83203125" defaultRowHeight="13" outlineLevelRow="1" x14ac:dyDescent="0.15"/>
  <cols>
    <col min="1" max="1" width="3.6640625" style="135" customWidth="1"/>
    <col min="2" max="2" width="32.5" style="135" customWidth="1"/>
    <col min="3" max="3" width="12.33203125" style="135" customWidth="1"/>
    <col min="4" max="4" width="10.1640625" style="135" bestFit="1" customWidth="1"/>
    <col min="5" max="5" width="16.1640625" style="135" customWidth="1"/>
    <col min="6" max="6" width="12.6640625" style="135" customWidth="1"/>
    <col min="7" max="7" width="9.6640625" style="135" customWidth="1"/>
    <col min="8" max="8" width="11.1640625" style="135" bestFit="1" customWidth="1"/>
    <col min="9" max="9" width="9.6640625" style="135" customWidth="1"/>
    <col min="10" max="10" width="10.33203125" style="135" customWidth="1"/>
    <col min="11" max="11" width="20.6640625" style="135" bestFit="1" customWidth="1"/>
    <col min="12" max="12" width="14" style="135" customWidth="1"/>
    <col min="13" max="15" width="9.6640625" style="135" customWidth="1"/>
    <col min="16" max="16" width="15.6640625" style="135" bestFit="1" customWidth="1"/>
    <col min="17" max="19" width="9.6640625" style="135" customWidth="1"/>
    <col min="20" max="23" width="8.83203125" style="135"/>
    <col min="24" max="24" width="11.83203125" style="135" customWidth="1"/>
    <col min="25" max="16384" width="8.83203125" style="135"/>
  </cols>
  <sheetData>
    <row r="2" spans="1:16" s="133" customFormat="1" ht="21" x14ac:dyDescent="0.25">
      <c r="B2" s="134" t="s">
        <v>999</v>
      </c>
    </row>
    <row r="4" spans="1:16" x14ac:dyDescent="0.15">
      <c r="B4" s="180" t="s">
        <v>1000</v>
      </c>
      <c r="C4" s="267" t="s">
        <v>1234</v>
      </c>
      <c r="D4" s="182"/>
      <c r="E4" s="182"/>
    </row>
    <row r="5" spans="1:16" x14ac:dyDescent="0.15">
      <c r="B5" s="180" t="s">
        <v>1001</v>
      </c>
      <c r="C5" s="181">
        <v>45291</v>
      </c>
    </row>
    <row r="6" spans="1:16" x14ac:dyDescent="0.15">
      <c r="B6" s="180" t="s">
        <v>1002</v>
      </c>
      <c r="C6" s="179">
        <f ca="1">TODAY()</f>
        <v>45190</v>
      </c>
    </row>
    <row r="7" spans="1:16" x14ac:dyDescent="0.15">
      <c r="B7" s="180" t="s">
        <v>1003</v>
      </c>
      <c r="C7" s="183">
        <v>73.239999999999995</v>
      </c>
    </row>
    <row r="8" spans="1:16" x14ac:dyDescent="0.15">
      <c r="B8" s="180" t="s">
        <v>1004</v>
      </c>
      <c r="C8" s="184">
        <f ca="1">(C5-C6)/365</f>
        <v>0.27671232876712326</v>
      </c>
    </row>
    <row r="9" spans="1:16" x14ac:dyDescent="0.15">
      <c r="A9" s="136" t="s">
        <v>516</v>
      </c>
    </row>
    <row r="10" spans="1:16" ht="15" x14ac:dyDescent="0.2">
      <c r="B10" s="137" t="s">
        <v>517</v>
      </c>
      <c r="C10" s="138"/>
      <c r="D10" s="138"/>
      <c r="E10" s="138"/>
      <c r="F10" s="138"/>
      <c r="G10" s="138"/>
      <c r="H10" s="138"/>
      <c r="I10" s="138"/>
      <c r="J10" s="138"/>
      <c r="K10" s="138"/>
      <c r="L10" s="138"/>
      <c r="M10" s="138"/>
      <c r="N10" s="138"/>
      <c r="O10" s="138"/>
      <c r="P10" s="138"/>
    </row>
    <row r="11" spans="1:16" ht="15" x14ac:dyDescent="0.2">
      <c r="B11" s="139" t="s">
        <v>518</v>
      </c>
      <c r="F11" s="139" t="s">
        <v>1016</v>
      </c>
      <c r="J11" s="139" t="s">
        <v>1017</v>
      </c>
      <c r="N11" s="139" t="s">
        <v>1018</v>
      </c>
    </row>
    <row r="12" spans="1:16" x14ac:dyDescent="0.15">
      <c r="B12" s="135" t="s">
        <v>521</v>
      </c>
      <c r="C12" s="140">
        <v>2</v>
      </c>
      <c r="E12" s="180" t="s">
        <v>1013</v>
      </c>
      <c r="G12" s="190">
        <v>0.8</v>
      </c>
      <c r="I12" s="180" t="s">
        <v>1010</v>
      </c>
      <c r="K12" s="142">
        <v>0.03</v>
      </c>
      <c r="M12" s="180" t="s">
        <v>1013</v>
      </c>
      <c r="O12" s="141">
        <v>1.2</v>
      </c>
    </row>
    <row r="13" spans="1:16" x14ac:dyDescent="0.15">
      <c r="B13" s="135" t="s">
        <v>522</v>
      </c>
      <c r="C13" s="140">
        <v>2</v>
      </c>
      <c r="E13" s="180" t="s">
        <v>1011</v>
      </c>
      <c r="G13" s="143">
        <v>0.01</v>
      </c>
      <c r="I13" s="135" t="s">
        <v>523</v>
      </c>
      <c r="K13" s="144">
        <v>0.27</v>
      </c>
      <c r="M13" s="180" t="s">
        <v>1011</v>
      </c>
      <c r="O13" s="141">
        <v>0.05</v>
      </c>
    </row>
    <row r="14" spans="1:16" x14ac:dyDescent="0.15">
      <c r="B14" s="135" t="s">
        <v>510</v>
      </c>
      <c r="C14" s="140">
        <v>2</v>
      </c>
      <c r="E14" s="180" t="s">
        <v>1014</v>
      </c>
      <c r="G14" s="143">
        <v>0.8</v>
      </c>
      <c r="I14" s="135" t="s">
        <v>510</v>
      </c>
      <c r="K14" s="143">
        <v>0.21</v>
      </c>
      <c r="M14" s="180" t="s">
        <v>1014</v>
      </c>
      <c r="O14" s="141">
        <v>1.2</v>
      </c>
    </row>
    <row r="15" spans="1:16" x14ac:dyDescent="0.15">
      <c r="B15" s="135" t="s">
        <v>502</v>
      </c>
      <c r="C15" s="140">
        <v>2</v>
      </c>
      <c r="E15" s="180" t="s">
        <v>1012</v>
      </c>
      <c r="G15" s="143">
        <v>0.25</v>
      </c>
      <c r="I15" s="135" t="s">
        <v>511</v>
      </c>
      <c r="K15" s="141">
        <v>0.03</v>
      </c>
      <c r="M15" s="180" t="s">
        <v>1012</v>
      </c>
      <c r="O15" s="141">
        <v>0.28999999999999998</v>
      </c>
    </row>
    <row r="16" spans="1:16" x14ac:dyDescent="0.15">
      <c r="B16" s="135" t="s">
        <v>524</v>
      </c>
      <c r="C16" s="140">
        <v>2</v>
      </c>
      <c r="E16" s="135" t="s">
        <v>510</v>
      </c>
      <c r="G16" s="143">
        <v>0.23</v>
      </c>
      <c r="I16" s="135" t="s">
        <v>512</v>
      </c>
      <c r="K16" s="141">
        <v>0.04</v>
      </c>
      <c r="M16" s="135" t="s">
        <v>510</v>
      </c>
      <c r="O16" s="141">
        <v>0.18</v>
      </c>
    </row>
    <row r="17" spans="1:23" x14ac:dyDescent="0.15">
      <c r="E17" s="135" t="s">
        <v>502</v>
      </c>
      <c r="G17" s="143">
        <f>K18+1%</f>
        <v>0.114562</v>
      </c>
      <c r="I17" s="135" t="s">
        <v>1015</v>
      </c>
      <c r="K17" s="141">
        <v>0</v>
      </c>
      <c r="M17" s="135" t="s">
        <v>502</v>
      </c>
      <c r="O17" s="141">
        <f>K18-1%</f>
        <v>9.4562000000000007E-2</v>
      </c>
    </row>
    <row r="18" spans="1:23" ht="15" x14ac:dyDescent="0.2">
      <c r="B18" s="139" t="s">
        <v>525</v>
      </c>
      <c r="E18" s="135" t="s">
        <v>524</v>
      </c>
      <c r="G18" s="143">
        <v>0.01</v>
      </c>
      <c r="I18" s="135" t="s">
        <v>502</v>
      </c>
      <c r="K18" s="141">
        <f>X95</f>
        <v>0.104562</v>
      </c>
      <c r="M18" s="135" t="s">
        <v>524</v>
      </c>
      <c r="O18" s="141">
        <v>0.03</v>
      </c>
    </row>
    <row r="19" spans="1:23" x14ac:dyDescent="0.15">
      <c r="B19" s="135" t="s">
        <v>502</v>
      </c>
      <c r="C19" s="197">
        <f>CHOOSE(C15,G17,K18,O17)</f>
        <v>0.104562</v>
      </c>
      <c r="I19" s="135" t="s">
        <v>524</v>
      </c>
      <c r="K19" s="141">
        <v>0.02</v>
      </c>
    </row>
    <row r="20" spans="1:23" x14ac:dyDescent="0.15">
      <c r="B20" s="135" t="s">
        <v>524</v>
      </c>
      <c r="C20" s="189">
        <f>CHOOSE(C16,G18,K19,O18)</f>
        <v>0.02</v>
      </c>
    </row>
    <row r="21" spans="1:23" ht="15" outlineLevel="1" x14ac:dyDescent="0.2">
      <c r="A21" s="136" t="s">
        <v>516</v>
      </c>
      <c r="I21" s="153">
        <v>1</v>
      </c>
      <c r="J21" s="135">
        <v>2</v>
      </c>
      <c r="K21" s="135">
        <v>3</v>
      </c>
      <c r="L21" s="135">
        <v>4</v>
      </c>
      <c r="M21" s="135">
        <v>5</v>
      </c>
      <c r="N21" s="135">
        <v>6</v>
      </c>
      <c r="O21" s="135">
        <v>7</v>
      </c>
      <c r="P21" s="135">
        <v>8</v>
      </c>
      <c r="Q21" s="135">
        <v>9</v>
      </c>
      <c r="R21" s="135">
        <v>10</v>
      </c>
      <c r="S21" s="135">
        <v>11</v>
      </c>
      <c r="T21" s="135">
        <v>12</v>
      </c>
      <c r="U21" s="135">
        <v>13</v>
      </c>
      <c r="V21" s="135">
        <v>14</v>
      </c>
      <c r="W21" s="135">
        <v>15</v>
      </c>
    </row>
    <row r="22" spans="1:23" ht="15" outlineLevel="1" x14ac:dyDescent="0.2">
      <c r="B22" s="137" t="s">
        <v>64</v>
      </c>
      <c r="C22" s="138"/>
      <c r="D22" s="137">
        <v>2018</v>
      </c>
      <c r="E22" s="137">
        <f>D22+1</f>
        <v>2019</v>
      </c>
      <c r="F22" s="137">
        <f>E22+1</f>
        <v>2020</v>
      </c>
      <c r="G22" s="137">
        <f t="shared" ref="G22:R22" si="0">F22+1</f>
        <v>2021</v>
      </c>
      <c r="H22" s="171">
        <f t="shared" si="0"/>
        <v>2022</v>
      </c>
      <c r="I22" s="137">
        <f t="shared" si="0"/>
        <v>2023</v>
      </c>
      <c r="J22" s="137">
        <f t="shared" si="0"/>
        <v>2024</v>
      </c>
      <c r="K22" s="171">
        <f t="shared" si="0"/>
        <v>2025</v>
      </c>
      <c r="L22" s="137">
        <f t="shared" si="0"/>
        <v>2026</v>
      </c>
      <c r="M22" s="137">
        <f t="shared" si="0"/>
        <v>2027</v>
      </c>
      <c r="N22" s="171">
        <f t="shared" si="0"/>
        <v>2028</v>
      </c>
      <c r="O22" s="137">
        <f t="shared" si="0"/>
        <v>2029</v>
      </c>
      <c r="P22" s="137">
        <f>O22+1</f>
        <v>2030</v>
      </c>
      <c r="Q22" s="137">
        <f t="shared" si="0"/>
        <v>2031</v>
      </c>
      <c r="R22" s="137">
        <f t="shared" si="0"/>
        <v>2032</v>
      </c>
      <c r="S22" s="137">
        <f t="shared" ref="S22" si="1">R22+1</f>
        <v>2033</v>
      </c>
      <c r="T22" s="137">
        <f>S22+1</f>
        <v>2034</v>
      </c>
      <c r="U22" s="137">
        <f t="shared" ref="U22" si="2">T22+1</f>
        <v>2035</v>
      </c>
      <c r="V22" s="137">
        <f t="shared" ref="V22" si="3">U22+1</f>
        <v>2036</v>
      </c>
      <c r="W22" s="137">
        <f t="shared" ref="W22" si="4">V22+1</f>
        <v>2037</v>
      </c>
    </row>
    <row r="23" spans="1:23" ht="15" outlineLevel="1" x14ac:dyDescent="0.2">
      <c r="B23" s="145" t="s">
        <v>70</v>
      </c>
      <c r="D23" s="146">
        <f>'DATA - Estimate'!E62</f>
        <v>15451</v>
      </c>
      <c r="E23" s="146">
        <f>'DATA - Estimate'!F62</f>
        <v>17772</v>
      </c>
      <c r="F23" s="146">
        <f>'DATA - Estimate'!G62</f>
        <v>21454</v>
      </c>
      <c r="G23" s="146">
        <f>'DATA - Estimate'!H62</f>
        <v>25371</v>
      </c>
      <c r="H23" s="168">
        <f>'DATA - Estimate'!I62</f>
        <v>27518</v>
      </c>
      <c r="I23" s="146">
        <f>'DATA - Estimate'!J62</f>
        <v>29386.813915669845</v>
      </c>
      <c r="J23" s="146">
        <f>'DATA - Estimate'!K62</f>
        <v>31378.95502380047</v>
      </c>
      <c r="K23" s="168">
        <f>'DATA - Estimate'!L62</f>
        <v>35204.097370256946</v>
      </c>
      <c r="L23" s="146">
        <f>'DATA - Estimate'!M62</f>
        <v>37724.286668283072</v>
      </c>
      <c r="M23" s="146">
        <f>'DATA - Estimate'!N62</f>
        <v>43661.211298285976</v>
      </c>
      <c r="N23" s="168">
        <f>'DATA - Estimate'!O62</f>
        <v>52172.339619705628</v>
      </c>
      <c r="O23" s="146">
        <f>'DATA - Estimate'!P62</f>
        <v>58226.593058597631</v>
      </c>
      <c r="P23" s="146">
        <f>'DATA - Estimate'!Q62</f>
        <v>63849.685316768919</v>
      </c>
      <c r="Q23" s="146">
        <f>'DATA - Estimate'!R62</f>
        <v>70015.908407474475</v>
      </c>
      <c r="R23" s="146"/>
    </row>
    <row r="24" spans="1:23" ht="15" outlineLevel="1" x14ac:dyDescent="0.2">
      <c r="B24" s="147" t="s">
        <v>526</v>
      </c>
      <c r="E24" s="148">
        <f>(E23/D23)-1</f>
        <v>0.15021681444566704</v>
      </c>
      <c r="F24" s="148">
        <f>(F23/E23)-1</f>
        <v>0.20717983344586988</v>
      </c>
      <c r="G24" s="148">
        <f t="shared" ref="G24:Q24" si="5">(G23/F23)-1</f>
        <v>0.18257667567819524</v>
      </c>
      <c r="H24" s="169">
        <f t="shared" si="5"/>
        <v>8.4624177210200546E-2</v>
      </c>
      <c r="I24" s="148">
        <f t="shared" si="5"/>
        <v>6.7912417896280441E-2</v>
      </c>
      <c r="J24" s="148">
        <f t="shared" si="5"/>
        <v>6.7790306014370749E-2</v>
      </c>
      <c r="K24" s="169">
        <f t="shared" si="5"/>
        <v>0.12190152105304852</v>
      </c>
      <c r="L24" s="148">
        <f t="shared" si="5"/>
        <v>7.158795385435357E-2</v>
      </c>
      <c r="M24" s="148">
        <f t="shared" si="5"/>
        <v>0.15737672344098708</v>
      </c>
      <c r="N24" s="169">
        <f t="shared" si="5"/>
        <v>0.19493568933012573</v>
      </c>
      <c r="O24" s="148">
        <f t="shared" si="5"/>
        <v>0.11604335713181801</v>
      </c>
      <c r="P24" s="148">
        <f>(P23/O23)-1</f>
        <v>9.6572579002043968E-2</v>
      </c>
      <c r="Q24" s="148">
        <f t="shared" si="5"/>
        <v>9.65740560836581E-2</v>
      </c>
      <c r="R24" s="148"/>
    </row>
    <row r="25" spans="1:23" ht="15" outlineLevel="1" x14ac:dyDescent="0.2">
      <c r="B25" s="149"/>
      <c r="H25" s="170"/>
      <c r="K25" s="170"/>
      <c r="N25" s="170"/>
    </row>
    <row r="26" spans="1:23" ht="15" outlineLevel="1" x14ac:dyDescent="0.2">
      <c r="B26" s="145" t="s">
        <v>27</v>
      </c>
      <c r="D26" s="146">
        <f>'DATA - Estimate'!E93</f>
        <v>2194</v>
      </c>
      <c r="E26" s="146">
        <f>'DATA - Estimate'!F93</f>
        <v>2719</v>
      </c>
      <c r="F26" s="146">
        <f>'DATA - Estimate'!G93</f>
        <v>3289</v>
      </c>
      <c r="G26" s="146">
        <f>'DATA - Estimate'!H93</f>
        <v>4262</v>
      </c>
      <c r="H26" s="168">
        <f>'DATA - Estimate'!I93</f>
        <v>3837</v>
      </c>
      <c r="I26" s="146">
        <f>'DATA - Estimate'!J93</f>
        <v>4874.5654728133568</v>
      </c>
      <c r="J26" s="146">
        <f>'DATA - Estimate'!K93</f>
        <v>5627.2057238202733</v>
      </c>
      <c r="K26" s="168">
        <f>'DATA - Estimate'!L93</f>
        <v>6030.7175970505677</v>
      </c>
      <c r="L26" s="146">
        <f>'DATA - Estimate'!M93</f>
        <v>6457.6193255645521</v>
      </c>
      <c r="M26" s="146">
        <f>'DATA - Estimate'!N93</f>
        <v>9048.5432149800599</v>
      </c>
      <c r="N26" s="168">
        <f>'DATA - Estimate'!O93</f>
        <v>11373.570037095837</v>
      </c>
      <c r="O26" s="146">
        <f>'DATA - Estimate'!P93</f>
        <v>12693.397286774285</v>
      </c>
      <c r="P26" s="146">
        <f>'DATA - Estimate'!Q93</f>
        <v>14557.728252223307</v>
      </c>
      <c r="Q26" s="146">
        <f>'DATA - Estimate'!R93</f>
        <v>15963.627116904187</v>
      </c>
      <c r="R26" s="146"/>
    </row>
    <row r="27" spans="1:23" ht="15" outlineLevel="1" x14ac:dyDescent="0.2">
      <c r="B27" s="147" t="s">
        <v>527</v>
      </c>
      <c r="D27" s="148">
        <f>D26/D23</f>
        <v>0.1419972817293379</v>
      </c>
      <c r="E27" s="148">
        <f t="shared" ref="E27:Q27" si="6">E26/E23</f>
        <v>0.15299347287868556</v>
      </c>
      <c r="F27" s="148">
        <f t="shared" si="6"/>
        <v>0.15330474503589075</v>
      </c>
      <c r="G27" s="148">
        <f t="shared" si="6"/>
        <v>0.16798707185369122</v>
      </c>
      <c r="H27" s="169">
        <f t="shared" si="6"/>
        <v>0.13943600552365723</v>
      </c>
      <c r="I27" s="148">
        <f t="shared" si="6"/>
        <v>0.1658759430948078</v>
      </c>
      <c r="J27" s="148">
        <f t="shared" si="6"/>
        <v>0.1793305646906381</v>
      </c>
      <c r="K27" s="169">
        <f t="shared" si="6"/>
        <v>0.1713072638568989</v>
      </c>
      <c r="L27" s="148">
        <f t="shared" si="6"/>
        <v>0.17117936204725737</v>
      </c>
      <c r="M27" s="148">
        <f t="shared" si="6"/>
        <v>0.20724443839090836</v>
      </c>
      <c r="N27" s="169">
        <f t="shared" si="6"/>
        <v>0.21800000000000019</v>
      </c>
      <c r="O27" s="148">
        <f t="shared" si="6"/>
        <v>0.21800000000000003</v>
      </c>
      <c r="P27" s="148">
        <f t="shared" si="6"/>
        <v>0.2279999999999999</v>
      </c>
      <c r="Q27" s="148">
        <f t="shared" si="6"/>
        <v>0.22800000000000009</v>
      </c>
      <c r="R27" s="148"/>
    </row>
    <row r="28" spans="1:23" ht="15" outlineLevel="1" x14ac:dyDescent="0.2">
      <c r="B28" s="145"/>
      <c r="H28" s="170"/>
      <c r="K28" s="170"/>
      <c r="N28" s="170"/>
    </row>
    <row r="29" spans="1:23" ht="15" outlineLevel="1" x14ac:dyDescent="0.2">
      <c r="B29" s="145" t="s">
        <v>510</v>
      </c>
      <c r="D29" s="146">
        <f>'DATA - Estimate'!E104</f>
        <v>319</v>
      </c>
      <c r="E29" s="146">
        <f>'DATA - Estimate'!F104</f>
        <v>539</v>
      </c>
      <c r="F29" s="146">
        <f>'DATA - Estimate'!G104</f>
        <v>863</v>
      </c>
      <c r="G29" s="146">
        <f>'DATA - Estimate'!H104</f>
        <v>-70</v>
      </c>
      <c r="H29" s="168">
        <f>'DATA - Estimate'!I104</f>
        <v>947</v>
      </c>
      <c r="I29" s="146">
        <f>'DATA - Estimate'!J104</f>
        <v>897.31969439810894</v>
      </c>
      <c r="J29" s="146">
        <f>'DATA - Estimate'!K104</f>
        <v>1042.1909092798862</v>
      </c>
      <c r="K29" s="168">
        <f>'DATA - Estimate'!L104</f>
        <v>1121.8686814066714</v>
      </c>
      <c r="L29" s="146">
        <f>'DATA - Estimate'!M104</f>
        <v>1118.962668322225</v>
      </c>
      <c r="M29" s="146">
        <f>'DATA - Estimate'!N104</f>
        <v>1571.503526309277</v>
      </c>
      <c r="N29" s="168">
        <f>'DATA - Estimate'!O104</f>
        <v>1919.6153563062908</v>
      </c>
      <c r="O29" s="146">
        <f>'DATA - Estimate'!P104</f>
        <v>2143.9859887516282</v>
      </c>
      <c r="P29" s="146">
        <f>'DATA - Estimate'!Q104</f>
        <v>2460.9222528779637</v>
      </c>
      <c r="Q29" s="146">
        <f>'DATA - Estimate'!R104</f>
        <v>2699.9250598737108</v>
      </c>
      <c r="R29" s="146"/>
    </row>
    <row r="30" spans="1:23" ht="15" outlineLevel="1" x14ac:dyDescent="0.2">
      <c r="B30" s="147" t="s">
        <v>528</v>
      </c>
      <c r="D30" s="148">
        <f>D29/D26</f>
        <v>0.1453965360072926</v>
      </c>
      <c r="E30" s="148">
        <f t="shared" ref="E30:Q30" si="7">E29/E26</f>
        <v>0.19823464509010666</v>
      </c>
      <c r="F30" s="148">
        <f t="shared" si="7"/>
        <v>0.26238978412891456</v>
      </c>
      <c r="G30" s="148">
        <f t="shared" si="7"/>
        <v>-1.642421398404505E-2</v>
      </c>
      <c r="H30" s="169">
        <f t="shared" si="7"/>
        <v>0.24680740161584572</v>
      </c>
      <c r="I30" s="148">
        <f t="shared" si="7"/>
        <v>0.18408198626168429</v>
      </c>
      <c r="J30" s="148">
        <f t="shared" si="7"/>
        <v>0.18520575938218048</v>
      </c>
      <c r="K30" s="169">
        <f t="shared" si="7"/>
        <v>0.18602573629966385</v>
      </c>
      <c r="L30" s="148">
        <f t="shared" si="7"/>
        <v>0.17327789265812762</v>
      </c>
      <c r="M30" s="148">
        <f t="shared" si="7"/>
        <v>0.17367475503765278</v>
      </c>
      <c r="N30" s="169">
        <f t="shared" si="7"/>
        <v>0.16877861129313901</v>
      </c>
      <c r="O30" s="148">
        <f t="shared" si="7"/>
        <v>0.16890560819249908</v>
      </c>
      <c r="P30" s="148">
        <f t="shared" si="7"/>
        <v>0.16904576114079634</v>
      </c>
      <c r="Q30" s="148">
        <f t="shared" si="7"/>
        <v>0.16912979989458091</v>
      </c>
      <c r="R30" s="148"/>
    </row>
    <row r="31" spans="1:23" outlineLevel="1" x14ac:dyDescent="0.15">
      <c r="A31" s="136" t="s">
        <v>516</v>
      </c>
      <c r="H31" s="170"/>
      <c r="K31" s="170"/>
      <c r="N31" s="170"/>
    </row>
    <row r="32" spans="1:23" ht="15" outlineLevel="1" x14ac:dyDescent="0.2">
      <c r="B32" s="137" t="s">
        <v>529</v>
      </c>
      <c r="C32" s="138"/>
      <c r="D32" s="137">
        <f>D22</f>
        <v>2018</v>
      </c>
      <c r="E32" s="137">
        <f>D32+1</f>
        <v>2019</v>
      </c>
      <c r="F32" s="137">
        <f>E32+1</f>
        <v>2020</v>
      </c>
      <c r="G32" s="137">
        <f t="shared" ref="G32:R32" si="8">F32+1</f>
        <v>2021</v>
      </c>
      <c r="H32" s="171">
        <f t="shared" si="8"/>
        <v>2022</v>
      </c>
      <c r="I32" s="137">
        <f t="shared" si="8"/>
        <v>2023</v>
      </c>
      <c r="J32" s="137">
        <f t="shared" si="8"/>
        <v>2024</v>
      </c>
      <c r="K32" s="171">
        <f t="shared" si="8"/>
        <v>2025</v>
      </c>
      <c r="L32" s="137">
        <f t="shared" si="8"/>
        <v>2026</v>
      </c>
      <c r="M32" s="137">
        <f t="shared" si="8"/>
        <v>2027</v>
      </c>
      <c r="N32" s="171">
        <f t="shared" si="8"/>
        <v>2028</v>
      </c>
      <c r="O32" s="137">
        <f t="shared" si="8"/>
        <v>2029</v>
      </c>
      <c r="P32" s="137">
        <f>O32+1</f>
        <v>2030</v>
      </c>
      <c r="Q32" s="137">
        <f t="shared" si="8"/>
        <v>2031</v>
      </c>
      <c r="R32" s="137">
        <f t="shared" si="8"/>
        <v>2032</v>
      </c>
      <c r="S32" s="137">
        <f t="shared" ref="S32" si="9">R32+1</f>
        <v>2033</v>
      </c>
      <c r="T32" s="137">
        <f>S32+1</f>
        <v>2034</v>
      </c>
      <c r="U32" s="137">
        <f t="shared" ref="U32" si="10">T32+1</f>
        <v>2035</v>
      </c>
      <c r="V32" s="137">
        <f t="shared" ref="V32" si="11">U32+1</f>
        <v>2036</v>
      </c>
      <c r="W32" s="137">
        <f t="shared" ref="W32" si="12">V32+1</f>
        <v>2037</v>
      </c>
    </row>
    <row r="33" spans="1:23" ht="15" outlineLevel="1" x14ac:dyDescent="0.2">
      <c r="B33" s="145" t="s">
        <v>511</v>
      </c>
      <c r="D33" s="175">
        <f>'DATA - Estimate'!E96</f>
        <v>776</v>
      </c>
      <c r="E33" s="175">
        <f>'DATA - Estimate'!F96</f>
        <v>912</v>
      </c>
      <c r="F33" s="175">
        <f>'DATA - Estimate'!G96</f>
        <v>1189</v>
      </c>
      <c r="G33" s="175">
        <f>'DATA - Estimate'!H96</f>
        <v>1265</v>
      </c>
      <c r="H33" s="192">
        <f>'DATA - Estimate'!I96</f>
        <v>1317</v>
      </c>
      <c r="I33" s="175">
        <f>'DATA - Estimate'!J96</f>
        <v>1301.0470748942844</v>
      </c>
      <c r="J33" s="175">
        <f>'DATA - Estimate'!K96</f>
        <v>1357.5389760395776</v>
      </c>
      <c r="K33" s="192">
        <f>'DATA - Estimate'!L96</f>
        <v>1382.6205222514734</v>
      </c>
      <c r="L33" s="175">
        <f>'DATA - Estimate'!M96</f>
        <v>1307.8977868175641</v>
      </c>
      <c r="M33" s="175">
        <f>'DATA - Estimate'!N96</f>
        <v>1480.2303999999999</v>
      </c>
      <c r="N33" s="172" t="str">
        <f>'DATA - Estimate'!O96</f>
        <v/>
      </c>
      <c r="O33" s="150" t="str">
        <f>'DATA - Estimate'!P96</f>
        <v/>
      </c>
      <c r="P33" s="150" t="str">
        <f>'DATA - Estimate'!Q96</f>
        <v/>
      </c>
      <c r="Q33" s="150" t="str">
        <f>'DATA - Estimate'!R96</f>
        <v/>
      </c>
    </row>
    <row r="34" spans="1:23" ht="15" outlineLevel="1" x14ac:dyDescent="0.2">
      <c r="B34" s="147" t="s">
        <v>527</v>
      </c>
      <c r="D34" s="148">
        <f>D33/D23</f>
        <v>5.0223286518671931E-2</v>
      </c>
      <c r="E34" s="148">
        <f t="shared" ref="E34:M34" si="13">E33/E23</f>
        <v>5.1316677920324107E-2</v>
      </c>
      <c r="F34" s="148">
        <f t="shared" si="13"/>
        <v>5.5420900531369444E-2</v>
      </c>
      <c r="G34" s="148">
        <f t="shared" si="13"/>
        <v>4.9860076465255608E-2</v>
      </c>
      <c r="H34" s="169">
        <f t="shared" si="13"/>
        <v>4.7859582818518785E-2</v>
      </c>
      <c r="I34" s="148">
        <f t="shared" si="13"/>
        <v>4.427315865639081E-2</v>
      </c>
      <c r="J34" s="148">
        <f t="shared" si="13"/>
        <v>4.326272098640329E-2</v>
      </c>
      <c r="K34" s="169">
        <f t="shared" si="13"/>
        <v>3.9274420466170357E-2</v>
      </c>
      <c r="L34" s="148">
        <f t="shared" si="13"/>
        <v>3.4669914326496389E-2</v>
      </c>
      <c r="M34" s="148">
        <f t="shared" si="13"/>
        <v>3.3902641635096133E-2</v>
      </c>
      <c r="N34" s="170"/>
    </row>
    <row r="35" spans="1:23" ht="15" outlineLevel="1" x14ac:dyDescent="0.2">
      <c r="B35" s="147" t="s">
        <v>530</v>
      </c>
      <c r="D35" s="148">
        <f>D33/D37</f>
        <v>-0.94289185905224793</v>
      </c>
      <c r="E35" s="148">
        <f t="shared" ref="E35:M35" si="14">E33/E37</f>
        <v>-1.2954545454545454</v>
      </c>
      <c r="F35" s="148">
        <f t="shared" si="14"/>
        <v>-1.3729792147806004</v>
      </c>
      <c r="G35" s="148">
        <f t="shared" si="14"/>
        <v>-1.3931718061674008</v>
      </c>
      <c r="H35" s="169">
        <f t="shared" si="14"/>
        <v>-1.8654390934844192</v>
      </c>
      <c r="I35" s="148">
        <f t="shared" si="14"/>
        <v>-1.354258134079144</v>
      </c>
      <c r="J35" s="148">
        <f t="shared" si="14"/>
        <v>-1.2782852881728604</v>
      </c>
      <c r="K35" s="169">
        <f t="shared" si="14"/>
        <v>-1.1236249672909171</v>
      </c>
      <c r="L35" s="148">
        <f t="shared" si="14"/>
        <v>-0.94206323180136675</v>
      </c>
      <c r="M35" s="148">
        <f t="shared" si="14"/>
        <v>-0.95994189364461735</v>
      </c>
      <c r="N35" s="170"/>
    </row>
    <row r="36" spans="1:23" ht="15" outlineLevel="1" x14ac:dyDescent="0.2">
      <c r="B36" s="145"/>
      <c r="H36" s="170"/>
      <c r="K36" s="170"/>
      <c r="N36" s="170"/>
    </row>
    <row r="37" spans="1:23" ht="15" outlineLevel="1" x14ac:dyDescent="0.2">
      <c r="B37" s="145" t="s">
        <v>531</v>
      </c>
      <c r="D37" s="175">
        <f>'DATA - Estimate'!E209</f>
        <v>-823</v>
      </c>
      <c r="E37" s="175">
        <f>'DATA - Estimate'!F209</f>
        <v>-704</v>
      </c>
      <c r="F37" s="175">
        <f>'DATA - Estimate'!G209</f>
        <v>-866</v>
      </c>
      <c r="G37" s="175">
        <f>'DATA - Estimate'!H209</f>
        <v>-908</v>
      </c>
      <c r="H37" s="192">
        <f>'DATA - Estimate'!I209</f>
        <v>-706</v>
      </c>
      <c r="I37" s="175">
        <f>'DATA - Estimate'!J209</f>
        <v>-960.70833333333337</v>
      </c>
      <c r="J37" s="175">
        <f>'DATA - Estimate'!K209</f>
        <v>-1062</v>
      </c>
      <c r="K37" s="192">
        <f>'DATA - Estimate'!L209</f>
        <v>-1230.5</v>
      </c>
      <c r="L37" s="175">
        <f>'DATA - Estimate'!M209</f>
        <v>-1388.3333333333333</v>
      </c>
      <c r="M37" s="175">
        <f>'DATA - Estimate'!N209</f>
        <v>-1542</v>
      </c>
      <c r="N37" s="192">
        <f>'DATA - Estimate'!O209</f>
        <v>-2087</v>
      </c>
      <c r="O37" s="175">
        <f>'DATA - Estimate'!P209</f>
        <v>-2329</v>
      </c>
      <c r="P37" s="175">
        <f>'DATA - Estimate'!Q209</f>
        <v>-2554</v>
      </c>
      <c r="Q37" s="175">
        <f>'DATA - Estimate'!R209</f>
        <v>-2801</v>
      </c>
      <c r="R37" s="150" t="str">
        <f>'DATA - Estimate'!S209</f>
        <v/>
      </c>
    </row>
    <row r="38" spans="1:23" ht="15" outlineLevel="1" x14ac:dyDescent="0.2">
      <c r="B38" s="147" t="s">
        <v>527</v>
      </c>
      <c r="D38" s="148">
        <f>D37/D23</f>
        <v>-5.3265160831014173E-2</v>
      </c>
      <c r="E38" s="148">
        <f t="shared" ref="E38:Q38" si="15">E37/E23</f>
        <v>-3.9612874184109838E-2</v>
      </c>
      <c r="F38" s="148">
        <f t="shared" si="15"/>
        <v>-4.0365433019483546E-2</v>
      </c>
      <c r="G38" s="148">
        <f t="shared" si="15"/>
        <v>-3.5788892830396907E-2</v>
      </c>
      <c r="H38" s="169">
        <f t="shared" si="15"/>
        <v>-2.5655934297550694E-2</v>
      </c>
      <c r="I38" s="148">
        <f t="shared" si="15"/>
        <v>-3.2691816679761176E-2</v>
      </c>
      <c r="J38" s="148">
        <f t="shared" si="15"/>
        <v>-3.3844339277534538E-2</v>
      </c>
      <c r="K38" s="169">
        <f t="shared" si="15"/>
        <v>-3.495331770783075E-2</v>
      </c>
      <c r="L38" s="148">
        <f t="shared" si="15"/>
        <v>-3.6802109620818438E-2</v>
      </c>
      <c r="M38" s="148">
        <f t="shared" si="15"/>
        <v>-3.5317389374869106E-2</v>
      </c>
      <c r="N38" s="169">
        <f t="shared" si="15"/>
        <v>-4.0002039686403763E-2</v>
      </c>
      <c r="O38" s="148">
        <f t="shared" si="15"/>
        <v>-3.9998905614418462E-2</v>
      </c>
      <c r="P38" s="148">
        <f t="shared" si="15"/>
        <v>-4.0000197140035706E-2</v>
      </c>
      <c r="Q38" s="148">
        <f t="shared" si="15"/>
        <v>-4.0005194015321557E-2</v>
      </c>
    </row>
    <row r="39" spans="1:23" ht="15" outlineLevel="1" x14ac:dyDescent="0.2">
      <c r="B39" s="145"/>
      <c r="H39" s="170"/>
      <c r="K39" s="170"/>
      <c r="N39" s="170"/>
    </row>
    <row r="40" spans="1:23" ht="15" outlineLevel="1" x14ac:dyDescent="0.2">
      <c r="B40" s="145" t="s">
        <v>513</v>
      </c>
      <c r="D40" s="175">
        <f>'DATA - Estimate'!E201</f>
        <v>-788</v>
      </c>
      <c r="E40" s="175">
        <f>'DATA - Estimate'!F201</f>
        <v>-1079</v>
      </c>
      <c r="F40" s="175">
        <f>'DATA - Estimate'!G201</f>
        <v>-952</v>
      </c>
      <c r="G40" s="175">
        <f>'DATA - Estimate'!H201</f>
        <v>-1102</v>
      </c>
      <c r="H40" s="192">
        <f>'DATA - Estimate'!I201</f>
        <v>-572</v>
      </c>
      <c r="I40" s="175">
        <f>'DATA - Estimate'!J201</f>
        <v>-1691.7640037919587</v>
      </c>
      <c r="J40" s="175">
        <f>'DATA - Estimate'!K201</f>
        <v>-1412.0467667131118</v>
      </c>
      <c r="K40" s="192">
        <f>'DATA - Estimate'!L201</f>
        <v>279.54686377069959</v>
      </c>
      <c r="L40" s="175">
        <f>'DATA - Estimate'!M201</f>
        <v>401.82252270368264</v>
      </c>
      <c r="M40" s="175">
        <f>'DATA - Estimate'!N201</f>
        <v>848.40243238958146</v>
      </c>
      <c r="N40" s="192">
        <f>'DATA - Estimate'!O201</f>
        <v>-108.28973414623323</v>
      </c>
      <c r="O40" s="175">
        <f>'DATA - Estimate'!P201</f>
        <v>-103.36003617002336</v>
      </c>
      <c r="P40" s="175">
        <f>'DATA - Estimate'!Q201</f>
        <v>-104.3912052908247</v>
      </c>
      <c r="Q40" s="175">
        <f>'DATA - Estimate'!R201</f>
        <v>-114.47428407304994</v>
      </c>
    </row>
    <row r="41" spans="1:23" ht="15" outlineLevel="1" x14ac:dyDescent="0.2">
      <c r="B41" s="147" t="s">
        <v>527</v>
      </c>
      <c r="D41" s="148">
        <f>D40/D23</f>
        <v>-5.0999935279269951E-2</v>
      </c>
      <c r="E41" s="148">
        <f t="shared" ref="E41:Q41" si="16">E40/E23</f>
        <v>-6.0713481881611527E-2</v>
      </c>
      <c r="F41" s="148">
        <f t="shared" si="16"/>
        <v>-4.4374009508716325E-2</v>
      </c>
      <c r="G41" s="148">
        <f t="shared" si="16"/>
        <v>-4.3435418391076425E-2</v>
      </c>
      <c r="H41" s="169">
        <f t="shared" si="16"/>
        <v>-2.0786394360055235E-2</v>
      </c>
      <c r="I41" s="148">
        <f t="shared" si="16"/>
        <v>-5.7568813299963231E-2</v>
      </c>
      <c r="J41" s="148">
        <f t="shared" si="16"/>
        <v>-4.4999802117122616E-2</v>
      </c>
      <c r="K41" s="169">
        <f t="shared" si="16"/>
        <v>7.9407479427915026E-3</v>
      </c>
      <c r="L41" s="148">
        <f t="shared" si="16"/>
        <v>1.0651560524841347E-2</v>
      </c>
      <c r="M41" s="148">
        <f t="shared" si="16"/>
        <v>1.943149095414326E-2</v>
      </c>
      <c r="N41" s="169">
        <f t="shared" si="16"/>
        <v>-2.0756158327492739E-3</v>
      </c>
      <c r="O41" s="148">
        <f t="shared" si="16"/>
        <v>-1.7751345345932345E-3</v>
      </c>
      <c r="P41" s="148">
        <f t="shared" si="16"/>
        <v>-1.6349525416283974E-3</v>
      </c>
      <c r="Q41" s="148">
        <f t="shared" si="16"/>
        <v>-1.6349753459862183E-3</v>
      </c>
    </row>
    <row r="42" spans="1:23" ht="15" outlineLevel="1" x14ac:dyDescent="0.2">
      <c r="B42" s="147"/>
      <c r="D42" s="151"/>
      <c r="E42" s="148"/>
      <c r="F42" s="148"/>
      <c r="G42" s="148"/>
      <c r="H42" s="169"/>
      <c r="I42" s="148"/>
      <c r="J42" s="148"/>
      <c r="K42" s="169"/>
      <c r="L42" s="148"/>
      <c r="N42" s="170"/>
    </row>
    <row r="43" spans="1:23" x14ac:dyDescent="0.15">
      <c r="A43" s="136" t="s">
        <v>516</v>
      </c>
      <c r="H43" s="170"/>
      <c r="K43" s="170"/>
      <c r="N43" s="170"/>
    </row>
    <row r="44" spans="1:23" ht="15" x14ac:dyDescent="0.2">
      <c r="B44" s="137" t="s">
        <v>532</v>
      </c>
      <c r="C44" s="138"/>
      <c r="D44" s="137">
        <f>D22</f>
        <v>2018</v>
      </c>
      <c r="E44" s="137">
        <f>D44+1</f>
        <v>2019</v>
      </c>
      <c r="F44" s="137">
        <f>E44+1</f>
        <v>2020</v>
      </c>
      <c r="G44" s="137">
        <f t="shared" ref="G44:R44" si="17">F44+1</f>
        <v>2021</v>
      </c>
      <c r="H44" s="171">
        <f t="shared" si="17"/>
        <v>2022</v>
      </c>
      <c r="I44" s="137">
        <f t="shared" si="17"/>
        <v>2023</v>
      </c>
      <c r="J44" s="137">
        <f t="shared" si="17"/>
        <v>2024</v>
      </c>
      <c r="K44" s="171">
        <f t="shared" si="17"/>
        <v>2025</v>
      </c>
      <c r="L44" s="137">
        <f t="shared" si="17"/>
        <v>2026</v>
      </c>
      <c r="M44" s="137">
        <f t="shared" si="17"/>
        <v>2027</v>
      </c>
      <c r="N44" s="171">
        <f t="shared" si="17"/>
        <v>2028</v>
      </c>
      <c r="O44" s="137">
        <f t="shared" si="17"/>
        <v>2029</v>
      </c>
      <c r="P44" s="137">
        <f>O44+1</f>
        <v>2030</v>
      </c>
      <c r="Q44" s="137">
        <f t="shared" si="17"/>
        <v>2031</v>
      </c>
      <c r="R44" s="137">
        <f t="shared" si="17"/>
        <v>2032</v>
      </c>
      <c r="S44" s="137">
        <f t="shared" ref="S44" si="18">R44+1</f>
        <v>2033</v>
      </c>
      <c r="T44" s="137">
        <f>S44+1</f>
        <v>2034</v>
      </c>
      <c r="U44" s="137">
        <f t="shared" ref="U44" si="19">T44+1</f>
        <v>2035</v>
      </c>
      <c r="V44" s="137">
        <f t="shared" ref="V44" si="20">U44+1</f>
        <v>2036</v>
      </c>
      <c r="W44" s="137">
        <f t="shared" ref="W44" si="21">V44+1</f>
        <v>2037</v>
      </c>
    </row>
    <row r="45" spans="1:23" ht="15" x14ac:dyDescent="0.2">
      <c r="B45" s="135" t="s">
        <v>70</v>
      </c>
      <c r="D45" s="188">
        <f>D23</f>
        <v>15451</v>
      </c>
      <c r="E45" s="188">
        <f t="shared" ref="E45:H45" si="22">E23</f>
        <v>17772</v>
      </c>
      <c r="F45" s="188">
        <f t="shared" si="22"/>
        <v>21454</v>
      </c>
      <c r="G45" s="188">
        <f t="shared" si="22"/>
        <v>25371</v>
      </c>
      <c r="H45" s="269">
        <f t="shared" si="22"/>
        <v>27518</v>
      </c>
      <c r="I45" s="152">
        <f ca="1">H45*(1+I46)</f>
        <v>29386.813915669845</v>
      </c>
      <c r="J45" s="152">
        <f t="shared" ref="J45:W45" ca="1" si="23">I45*(1+J46)</f>
        <v>32175.827366921967</v>
      </c>
      <c r="K45" s="270">
        <f t="shared" ca="1" si="23"/>
        <v>36098.109664090058</v>
      </c>
      <c r="L45" s="152">
        <f t="shared" ca="1" si="23"/>
        <v>40925.386721334246</v>
      </c>
      <c r="M45" s="152">
        <f t="shared" ca="1" si="23"/>
        <v>46882.144530178448</v>
      </c>
      <c r="N45" s="270">
        <f t="shared" ca="1" si="23"/>
        <v>54260.302824224724</v>
      </c>
      <c r="O45" s="152">
        <f t="shared" ca="1" si="23"/>
        <v>62031.667097098558</v>
      </c>
      <c r="P45" s="152">
        <f ca="1">O45*(1+P46)</f>
        <v>70038.143057886351</v>
      </c>
      <c r="Q45" s="152">
        <f t="shared" ca="1" si="23"/>
        <v>78086.773468692729</v>
      </c>
      <c r="R45" s="152">
        <f t="shared" ca="1" si="23"/>
        <v>85955.17519970944</v>
      </c>
      <c r="S45" s="152">
        <f t="shared" ca="1" si="23"/>
        <v>93399.914268916269</v>
      </c>
      <c r="T45" s="152">
        <f ca="1">S45*(1+T46)</f>
        <v>100167.57004673165</v>
      </c>
      <c r="U45" s="152">
        <f t="shared" ca="1" si="23"/>
        <v>106007.9342298221</v>
      </c>
      <c r="V45" s="152">
        <f t="shared" ca="1" si="23"/>
        <v>110688.49929237703</v>
      </c>
      <c r="W45" s="152">
        <f t="shared" ca="1" si="23"/>
        <v>114009.15427114835</v>
      </c>
    </row>
    <row r="46" spans="1:23" ht="15" x14ac:dyDescent="0.2">
      <c r="B46" s="151" t="s">
        <v>526</v>
      </c>
      <c r="E46" s="148">
        <f>E45/D45-1</f>
        <v>0.15021681444566704</v>
      </c>
      <c r="F46" s="148">
        <f>F45/E45-1</f>
        <v>0.20717983344586988</v>
      </c>
      <c r="G46" s="148">
        <f t="shared" ref="G46:H46" si="24">G45/F45-1</f>
        <v>0.18257667567819524</v>
      </c>
      <c r="H46" s="169">
        <f t="shared" si="24"/>
        <v>8.4624177210200546E-2</v>
      </c>
      <c r="I46" s="148">
        <f ca="1">OFFSET(I46,$C$12,0)</f>
        <v>6.7912417896280441E-2</v>
      </c>
      <c r="J46" s="148">
        <f t="shared" ref="J46:W46" ca="1" si="25">OFFSET(J46,$C$12,0)</f>
        <v>9.4906969474664482E-2</v>
      </c>
      <c r="K46" s="169">
        <f t="shared" ca="1" si="25"/>
        <v>0.12190152105304852</v>
      </c>
      <c r="L46" s="148">
        <f t="shared" ca="1" si="25"/>
        <v>0.13372658851569472</v>
      </c>
      <c r="M46" s="148">
        <f t="shared" ca="1" si="25"/>
        <v>0.14555165597834091</v>
      </c>
      <c r="N46" s="169">
        <f t="shared" ca="1" si="25"/>
        <v>0.15737672344098708</v>
      </c>
      <c r="O46" s="148">
        <f t="shared" ca="1" si="25"/>
        <v>0.14322375416976629</v>
      </c>
      <c r="P46" s="148">
        <f t="shared" ca="1" si="25"/>
        <v>0.12907078489854551</v>
      </c>
      <c r="Q46" s="148">
        <f t="shared" ca="1" si="25"/>
        <v>0.11491781562732473</v>
      </c>
      <c r="R46" s="148">
        <f t="shared" ca="1" si="25"/>
        <v>0.10076484635610394</v>
      </c>
      <c r="S46" s="148">
        <f t="shared" ca="1" si="25"/>
        <v>8.661187708488316E-2</v>
      </c>
      <c r="T46" s="148">
        <f t="shared" ca="1" si="25"/>
        <v>7.2458907813662377E-2</v>
      </c>
      <c r="U46" s="148">
        <f t="shared" ca="1" si="25"/>
        <v>5.8305938542441593E-2</v>
      </c>
      <c r="V46" s="148">
        <f t="shared" ca="1" si="25"/>
        <v>4.415296927122081E-2</v>
      </c>
      <c r="W46" s="148">
        <f t="shared" ca="1" si="25"/>
        <v>0.03</v>
      </c>
    </row>
    <row r="47" spans="1:23" ht="15" x14ac:dyDescent="0.2">
      <c r="B47" s="135" t="s">
        <v>519</v>
      </c>
      <c r="H47" s="170"/>
      <c r="I47" s="173">
        <f>I48</f>
        <v>6.7912417896280441E-2</v>
      </c>
      <c r="J47" s="154">
        <f>$G$12*J48</f>
        <v>7.5925575579731591E-2</v>
      </c>
      <c r="K47" s="174">
        <f>$G$12*K48</f>
        <v>9.7521216842438821E-2</v>
      </c>
      <c r="L47" s="273">
        <v>0.1</v>
      </c>
      <c r="M47" s="191">
        <v>0.1</v>
      </c>
      <c r="N47" s="174">
        <f>$G$12*N48</f>
        <v>0.12590137875278967</v>
      </c>
      <c r="O47" s="173">
        <f t="shared" ref="O47:V47" si="26">N47-($N$47-$W$47)/($W$44-$N$44)</f>
        <v>0.11302344778025748</v>
      </c>
      <c r="P47" s="173">
        <f t="shared" si="26"/>
        <v>0.10014551680772529</v>
      </c>
      <c r="Q47" s="173">
        <f t="shared" si="26"/>
        <v>8.7267585835193104E-2</v>
      </c>
      <c r="R47" s="173">
        <f t="shared" si="26"/>
        <v>7.4389654862660914E-2</v>
      </c>
      <c r="S47" s="173">
        <f t="shared" si="26"/>
        <v>6.1511723890128725E-2</v>
      </c>
      <c r="T47" s="173">
        <f t="shared" si="26"/>
        <v>4.8633792917596536E-2</v>
      </c>
      <c r="U47" s="173">
        <f t="shared" si="26"/>
        <v>3.5755861945064346E-2</v>
      </c>
      <c r="V47" s="173">
        <f t="shared" si="26"/>
        <v>2.287793097253216E-2</v>
      </c>
      <c r="W47" s="154">
        <f>G13</f>
        <v>0.01</v>
      </c>
    </row>
    <row r="48" spans="1:23" ht="15" x14ac:dyDescent="0.2">
      <c r="B48" s="135" t="s">
        <v>533</v>
      </c>
      <c r="H48" s="170"/>
      <c r="I48" s="268">
        <f>I24</f>
        <v>6.7912417896280441E-2</v>
      </c>
      <c r="J48" s="155">
        <f>AVERAGE(I48,K48)</f>
        <v>9.4906969474664482E-2</v>
      </c>
      <c r="K48" s="174">
        <f>K24</f>
        <v>0.12190152105304852</v>
      </c>
      <c r="L48" s="173">
        <f>K48+($N$48-$K$48)/($N$44-$K$44)</f>
        <v>0.13372658851569472</v>
      </c>
      <c r="M48" s="173">
        <f>L48+($N$48-$K$48)/($N$44-$K$44)</f>
        <v>0.14555165597834091</v>
      </c>
      <c r="N48" s="193">
        <f>M24</f>
        <v>0.15737672344098708</v>
      </c>
      <c r="O48" s="173">
        <f t="shared" ref="O48:V48" si="27">N48-($N$48-$W$48)/($W$44-$N$44)</f>
        <v>0.14322375416976629</v>
      </c>
      <c r="P48" s="154">
        <f t="shared" si="27"/>
        <v>0.12907078489854551</v>
      </c>
      <c r="Q48" s="154">
        <f t="shared" si="27"/>
        <v>0.11491781562732473</v>
      </c>
      <c r="R48" s="154">
        <f t="shared" si="27"/>
        <v>0.10076484635610394</v>
      </c>
      <c r="S48" s="154">
        <f t="shared" si="27"/>
        <v>8.661187708488316E-2</v>
      </c>
      <c r="T48" s="154">
        <f t="shared" si="27"/>
        <v>7.2458907813662377E-2</v>
      </c>
      <c r="U48" s="154">
        <f t="shared" si="27"/>
        <v>5.8305938542441593E-2</v>
      </c>
      <c r="V48" s="154">
        <f t="shared" si="27"/>
        <v>4.415296927122081E-2</v>
      </c>
      <c r="W48" s="154">
        <f>K12</f>
        <v>0.03</v>
      </c>
    </row>
    <row r="49" spans="1:23" ht="15" x14ac:dyDescent="0.2">
      <c r="B49" s="135" t="s">
        <v>520</v>
      </c>
      <c r="H49" s="170"/>
      <c r="I49" s="173">
        <f>I48</f>
        <v>6.7912417896280441E-2</v>
      </c>
      <c r="J49" s="154">
        <f>J48*$O$12</f>
        <v>0.11388836336959737</v>
      </c>
      <c r="K49" s="174">
        <f>K48*$O$12</f>
        <v>0.14628182526365821</v>
      </c>
      <c r="L49" s="173">
        <f>L48*$O$12</f>
        <v>0.16047190621883364</v>
      </c>
      <c r="M49" s="154">
        <f>M48*$O$12</f>
        <v>0.17466198717400908</v>
      </c>
      <c r="N49" s="174">
        <f>N48*$O$12</f>
        <v>0.18885206812918448</v>
      </c>
      <c r="O49" s="173">
        <f t="shared" ref="O49:V49" si="28">N49-($N$49-$W$49)/($W$44-$N$44)</f>
        <v>0.17342406055927509</v>
      </c>
      <c r="P49" s="173">
        <f t="shared" si="28"/>
        <v>0.1579960529893657</v>
      </c>
      <c r="Q49" s="173">
        <f t="shared" si="28"/>
        <v>0.14256804541945631</v>
      </c>
      <c r="R49" s="173">
        <f t="shared" si="28"/>
        <v>0.12714003784954692</v>
      </c>
      <c r="S49" s="173">
        <f t="shared" si="28"/>
        <v>0.11171203027963753</v>
      </c>
      <c r="T49" s="173">
        <f t="shared" si="28"/>
        <v>9.6284022709728134E-2</v>
      </c>
      <c r="U49" s="173">
        <f t="shared" si="28"/>
        <v>8.0856015139818743E-2</v>
      </c>
      <c r="V49" s="173">
        <f t="shared" si="28"/>
        <v>6.5428007569909352E-2</v>
      </c>
      <c r="W49" s="154">
        <f>O13</f>
        <v>0.05</v>
      </c>
    </row>
    <row r="50" spans="1:23" x14ac:dyDescent="0.15">
      <c r="H50" s="170"/>
      <c r="K50" s="170"/>
      <c r="N50" s="170"/>
    </row>
    <row r="51" spans="1:23" ht="15" x14ac:dyDescent="0.2">
      <c r="B51" s="135" t="s">
        <v>27</v>
      </c>
      <c r="D51" s="152">
        <f>D26</f>
        <v>2194</v>
      </c>
      <c r="E51" s="152">
        <f t="shared" ref="E51:H51" si="29">E26</f>
        <v>2719</v>
      </c>
      <c r="F51" s="152">
        <f t="shared" si="29"/>
        <v>3289</v>
      </c>
      <c r="G51" s="152">
        <f t="shared" si="29"/>
        <v>4262</v>
      </c>
      <c r="H51" s="270">
        <f t="shared" si="29"/>
        <v>3837</v>
      </c>
      <c r="I51" s="152">
        <f ca="1">I45*I52</f>
        <v>4874.5654728133568</v>
      </c>
      <c r="J51" s="152">
        <f t="shared" ref="J51:W51" ca="1" si="30">J45*J52</f>
        <v>5770.1092910986035</v>
      </c>
      <c r="K51" s="270">
        <f t="shared" ca="1" si="30"/>
        <v>6183.8683969615477</v>
      </c>
      <c r="L51" s="152">
        <f t="shared" ca="1" si="30"/>
        <v>7005.5815904952942</v>
      </c>
      <c r="M51" s="152">
        <f t="shared" ca="1" si="30"/>
        <v>9716.0637137182293</v>
      </c>
      <c r="N51" s="270">
        <f t="shared" ca="1" si="30"/>
        <v>11828.746015681001</v>
      </c>
      <c r="O51" s="152">
        <f t="shared" ca="1" si="30"/>
        <v>13881.308614839621</v>
      </c>
      <c r="P51" s="152">
        <f t="shared" ca="1" si="30"/>
        <v>16077.644839732591</v>
      </c>
      <c r="Q51" s="152">
        <f t="shared" ca="1" si="30"/>
        <v>18376.42068963237</v>
      </c>
      <c r="R51" s="152">
        <f t="shared" ca="1" si="30"/>
        <v>20724.747798152181</v>
      </c>
      <c r="S51" s="152">
        <f t="shared" ca="1" si="30"/>
        <v>23059.401056170231</v>
      </c>
      <c r="T51" s="152">
        <f t="shared" ca="1" si="30"/>
        <v>25309.006031807545</v>
      </c>
      <c r="U51" s="152">
        <f t="shared" ca="1" si="30"/>
        <v>27397.161668729594</v>
      </c>
      <c r="V51" s="152">
        <f t="shared" ca="1" si="30"/>
        <v>29246.361257474746</v>
      </c>
      <c r="W51" s="152">
        <f t="shared" ca="1" si="30"/>
        <v>30782.471653210057</v>
      </c>
    </row>
    <row r="52" spans="1:23" ht="15" x14ac:dyDescent="0.2">
      <c r="B52" s="151" t="s">
        <v>1006</v>
      </c>
      <c r="D52" s="148">
        <f>D51/D45</f>
        <v>0.1419972817293379</v>
      </c>
      <c r="E52" s="148">
        <f t="shared" ref="E52:H52" si="31">E51/E45</f>
        <v>0.15299347287868556</v>
      </c>
      <c r="F52" s="148">
        <f t="shared" si="31"/>
        <v>0.15330474503589075</v>
      </c>
      <c r="G52" s="148">
        <f t="shared" si="31"/>
        <v>0.16798707185369122</v>
      </c>
      <c r="H52" s="169">
        <f t="shared" si="31"/>
        <v>0.13943600552365723</v>
      </c>
      <c r="I52" s="148">
        <f ca="1">OFFSET(I52,$C$13,0)</f>
        <v>0.1658759430948078</v>
      </c>
      <c r="J52" s="148">
        <f t="shared" ref="J52:W52" ca="1" si="32">OFFSET(J52,$C$13,0)</f>
        <v>0.1793305646906381</v>
      </c>
      <c r="K52" s="169">
        <f t="shared" ca="1" si="32"/>
        <v>0.1713072638568989</v>
      </c>
      <c r="L52" s="148">
        <f t="shared" ca="1" si="32"/>
        <v>0.17117936204725737</v>
      </c>
      <c r="M52" s="148">
        <f t="shared" ca="1" si="32"/>
        <v>0.20724443839090836</v>
      </c>
      <c r="N52" s="169">
        <f t="shared" ca="1" si="32"/>
        <v>0.21800000000000019</v>
      </c>
      <c r="O52" s="148">
        <f t="shared" ca="1" si="32"/>
        <v>0.22377777777777796</v>
      </c>
      <c r="P52" s="148">
        <f t="shared" ca="1" si="32"/>
        <v>0.22955555555555573</v>
      </c>
      <c r="Q52" s="148">
        <f t="shared" ca="1" si="32"/>
        <v>0.23533333333333351</v>
      </c>
      <c r="R52" s="148">
        <f t="shared" ca="1" si="32"/>
        <v>0.24111111111111128</v>
      </c>
      <c r="S52" s="148">
        <f t="shared" ca="1" si="32"/>
        <v>0.24688888888888905</v>
      </c>
      <c r="T52" s="148">
        <f t="shared" ca="1" si="32"/>
        <v>0.25266666666666682</v>
      </c>
      <c r="U52" s="148">
        <f t="shared" ca="1" si="32"/>
        <v>0.25844444444444459</v>
      </c>
      <c r="V52" s="148">
        <f t="shared" ca="1" si="32"/>
        <v>0.26422222222222236</v>
      </c>
      <c r="W52" s="148">
        <f t="shared" ca="1" si="32"/>
        <v>0.27</v>
      </c>
    </row>
    <row r="53" spans="1:23" ht="15" x14ac:dyDescent="0.2">
      <c r="B53" s="135" t="s">
        <v>519</v>
      </c>
      <c r="H53" s="170"/>
      <c r="I53" s="173">
        <f>I54</f>
        <v>0.1658759430948078</v>
      </c>
      <c r="J53" s="154">
        <f>J54*$G$14</f>
        <v>0.14346445175251049</v>
      </c>
      <c r="K53" s="174">
        <f t="shared" ref="K53:N53" si="33">K54*$G$14</f>
        <v>0.13704581108551914</v>
      </c>
      <c r="L53" s="173">
        <f t="shared" si="33"/>
        <v>0.13694348963780589</v>
      </c>
      <c r="M53" s="154">
        <f t="shared" si="33"/>
        <v>0.1657955507127267</v>
      </c>
      <c r="N53" s="174">
        <f t="shared" si="33"/>
        <v>0.17440000000000017</v>
      </c>
      <c r="O53" s="173">
        <f t="shared" ref="O53:V53" si="34">N53+($W$53-$N$53)/($W$44-$N$44)</f>
        <v>0.18280000000000016</v>
      </c>
      <c r="P53" s="173">
        <f t="shared" si="34"/>
        <v>0.19120000000000015</v>
      </c>
      <c r="Q53" s="173">
        <f t="shared" si="34"/>
        <v>0.19960000000000014</v>
      </c>
      <c r="R53" s="173">
        <f t="shared" si="34"/>
        <v>0.20800000000000013</v>
      </c>
      <c r="S53" s="173">
        <f t="shared" si="34"/>
        <v>0.21640000000000012</v>
      </c>
      <c r="T53" s="173">
        <f t="shared" si="34"/>
        <v>0.22480000000000011</v>
      </c>
      <c r="U53" s="173">
        <f t="shared" si="34"/>
        <v>0.2332000000000001</v>
      </c>
      <c r="V53" s="173">
        <f t="shared" si="34"/>
        <v>0.24160000000000009</v>
      </c>
      <c r="W53" s="154">
        <f>G15</f>
        <v>0.25</v>
      </c>
    </row>
    <row r="54" spans="1:23" ht="15" x14ac:dyDescent="0.2">
      <c r="B54" s="135" t="s">
        <v>533</v>
      </c>
      <c r="H54" s="170"/>
      <c r="I54" s="268">
        <f>I27</f>
        <v>0.1658759430948078</v>
      </c>
      <c r="J54" s="155">
        <f t="shared" ref="J54:N54" si="35">J27</f>
        <v>0.1793305646906381</v>
      </c>
      <c r="K54" s="193">
        <f t="shared" si="35"/>
        <v>0.1713072638568989</v>
      </c>
      <c r="L54" s="268">
        <f t="shared" si="35"/>
        <v>0.17117936204725737</v>
      </c>
      <c r="M54" s="155">
        <f t="shared" si="35"/>
        <v>0.20724443839090836</v>
      </c>
      <c r="N54" s="193">
        <f t="shared" si="35"/>
        <v>0.21800000000000019</v>
      </c>
      <c r="O54" s="173">
        <f t="shared" ref="O54:V54" si="36">N54+($W$54-$N$54)/($W$44-$N$44)</f>
        <v>0.22377777777777796</v>
      </c>
      <c r="P54" s="173">
        <f t="shared" si="36"/>
        <v>0.22955555555555573</v>
      </c>
      <c r="Q54" s="173">
        <f t="shared" si="36"/>
        <v>0.23533333333333351</v>
      </c>
      <c r="R54" s="173">
        <f t="shared" si="36"/>
        <v>0.24111111111111128</v>
      </c>
      <c r="S54" s="173">
        <f t="shared" si="36"/>
        <v>0.24688888888888905</v>
      </c>
      <c r="T54" s="173">
        <f t="shared" si="36"/>
        <v>0.25266666666666682</v>
      </c>
      <c r="U54" s="173">
        <f t="shared" si="36"/>
        <v>0.25844444444444459</v>
      </c>
      <c r="V54" s="173">
        <f t="shared" si="36"/>
        <v>0.26422222222222236</v>
      </c>
      <c r="W54" s="173">
        <f>K13</f>
        <v>0.27</v>
      </c>
    </row>
    <row r="55" spans="1:23" ht="15" x14ac:dyDescent="0.2">
      <c r="B55" s="135" t="s">
        <v>520</v>
      </c>
      <c r="H55" s="170"/>
      <c r="I55" s="173">
        <f>I54</f>
        <v>0.1658759430948078</v>
      </c>
      <c r="J55" s="154">
        <f>J54*$O$14</f>
        <v>0.21519667762876571</v>
      </c>
      <c r="K55" s="174">
        <f t="shared" ref="K55:N55" si="37">K54*$O$14</f>
        <v>0.20556871662827866</v>
      </c>
      <c r="L55" s="173">
        <f t="shared" si="37"/>
        <v>0.20541523445670884</v>
      </c>
      <c r="M55" s="154">
        <f t="shared" si="37"/>
        <v>0.24869332606909003</v>
      </c>
      <c r="N55" s="174">
        <f t="shared" si="37"/>
        <v>0.26160000000000022</v>
      </c>
      <c r="O55" s="173">
        <f t="shared" ref="O55:V55" si="38">N55+($W$55-$N$55)/($W$44-$N$44)</f>
        <v>0.26475555555555574</v>
      </c>
      <c r="P55" s="173">
        <f t="shared" si="38"/>
        <v>0.26791111111111127</v>
      </c>
      <c r="Q55" s="173">
        <f t="shared" si="38"/>
        <v>0.27106666666666679</v>
      </c>
      <c r="R55" s="173">
        <f t="shared" si="38"/>
        <v>0.27422222222222231</v>
      </c>
      <c r="S55" s="173">
        <f t="shared" si="38"/>
        <v>0.27737777777777783</v>
      </c>
      <c r="T55" s="173">
        <f t="shared" si="38"/>
        <v>0.28053333333333336</v>
      </c>
      <c r="U55" s="173">
        <f t="shared" si="38"/>
        <v>0.28368888888888888</v>
      </c>
      <c r="V55" s="173">
        <f t="shared" si="38"/>
        <v>0.2868444444444444</v>
      </c>
      <c r="W55" s="154">
        <f>O15</f>
        <v>0.28999999999999998</v>
      </c>
    </row>
    <row r="56" spans="1:23" x14ac:dyDescent="0.15">
      <c r="H56" s="170"/>
      <c r="K56" s="170"/>
      <c r="N56" s="170"/>
    </row>
    <row r="57" spans="1:23" ht="15" x14ac:dyDescent="0.2">
      <c r="B57" s="135" t="s">
        <v>510</v>
      </c>
      <c r="D57" s="152">
        <f>-1*D29</f>
        <v>-319</v>
      </c>
      <c r="E57" s="152">
        <f t="shared" ref="E57:H57" si="39">-1*E29</f>
        <v>-539</v>
      </c>
      <c r="F57" s="152">
        <f t="shared" si="39"/>
        <v>-863</v>
      </c>
      <c r="G57" s="152">
        <f t="shared" si="39"/>
        <v>70</v>
      </c>
      <c r="H57" s="270">
        <f t="shared" si="39"/>
        <v>-947</v>
      </c>
      <c r="I57" s="152">
        <f ca="1">-1*I51*I58</f>
        <v>-897.31969439810894</v>
      </c>
      <c r="J57" s="152">
        <f t="shared" ref="J57:W57" ca="1" si="40">-1*J51*J58</f>
        <v>-1068.6574729760919</v>
      </c>
      <c r="K57" s="270">
        <f t="shared" ca="1" si="40"/>
        <v>-1150.3586717249939</v>
      </c>
      <c r="L57" s="152">
        <f t="shared" ca="1" si="40"/>
        <v>-1213.9124148455985</v>
      </c>
      <c r="M57" s="152">
        <f t="shared" ca="1" si="40"/>
        <v>-1687.4349854102404</v>
      </c>
      <c r="N57" s="270">
        <f t="shared" ca="1" si="40"/>
        <v>-1996.4393258658904</v>
      </c>
      <c r="O57" s="152">
        <f t="shared" ca="1" si="40"/>
        <v>-2406.4465262965855</v>
      </c>
      <c r="P57" s="152">
        <f t="shared" ca="1" si="40"/>
        <v>-2860.8387572320303</v>
      </c>
      <c r="Q57" s="152">
        <f t="shared" ca="1" si="40"/>
        <v>-3354.0472912973723</v>
      </c>
      <c r="R57" s="152">
        <f t="shared" ca="1" si="40"/>
        <v>-3877.5843238123512</v>
      </c>
      <c r="S57" s="152">
        <f t="shared" ca="1" si="40"/>
        <v>-4420.0117621140625</v>
      </c>
      <c r="T57" s="152">
        <f t="shared" ca="1" si="40"/>
        <v>-4967.1338082057755</v>
      </c>
      <c r="U57" s="152">
        <f t="shared" ca="1" si="40"/>
        <v>-5502.4374947417891</v>
      </c>
      <c r="V57" s="152">
        <f t="shared" ca="1" si="40"/>
        <v>-6007.7830167746251</v>
      </c>
      <c r="W57" s="152">
        <f t="shared" ca="1" si="40"/>
        <v>-6464.3190471741118</v>
      </c>
    </row>
    <row r="58" spans="1:23" ht="15" x14ac:dyDescent="0.2">
      <c r="B58" s="151" t="s">
        <v>528</v>
      </c>
      <c r="D58" s="148">
        <f>D57/D51</f>
        <v>-0.1453965360072926</v>
      </c>
      <c r="E58" s="148">
        <f t="shared" ref="E58:H58" si="41">E57/E51</f>
        <v>-0.19823464509010666</v>
      </c>
      <c r="F58" s="148">
        <f t="shared" si="41"/>
        <v>-0.26238978412891456</v>
      </c>
      <c r="G58" s="148">
        <f t="shared" si="41"/>
        <v>1.642421398404505E-2</v>
      </c>
      <c r="H58" s="169">
        <f t="shared" si="41"/>
        <v>-0.24680740161584572</v>
      </c>
      <c r="I58" s="148">
        <f ca="1">OFFSET(I58,$C$14,0)</f>
        <v>0.18408198626168429</v>
      </c>
      <c r="J58" s="148">
        <f t="shared" ref="J58:W58" ca="1" si="42">OFFSET(J58,$C$14,0)</f>
        <v>0.18520575938218048</v>
      </c>
      <c r="K58" s="169">
        <f t="shared" ca="1" si="42"/>
        <v>0.18602573629966385</v>
      </c>
      <c r="L58" s="148">
        <f t="shared" ca="1" si="42"/>
        <v>0.17327789265812762</v>
      </c>
      <c r="M58" s="148">
        <f t="shared" ca="1" si="42"/>
        <v>0.17367475503765278</v>
      </c>
      <c r="N58" s="169">
        <f t="shared" ca="1" si="42"/>
        <v>0.16877861129313901</v>
      </c>
      <c r="O58" s="148">
        <f t="shared" ca="1" si="42"/>
        <v>0.17335876559390134</v>
      </c>
      <c r="P58" s="148">
        <f t="shared" ca="1" si="42"/>
        <v>0.17793891989466368</v>
      </c>
      <c r="Q58" s="148">
        <f t="shared" ca="1" si="42"/>
        <v>0.18251907419542601</v>
      </c>
      <c r="R58" s="148">
        <f t="shared" ca="1" si="42"/>
        <v>0.18709922849618835</v>
      </c>
      <c r="S58" s="148">
        <f t="shared" ca="1" si="42"/>
        <v>0.19167938279695068</v>
      </c>
      <c r="T58" s="148">
        <f t="shared" ca="1" si="42"/>
        <v>0.19625953709771302</v>
      </c>
      <c r="U58" s="148">
        <f t="shared" ca="1" si="42"/>
        <v>0.20083969139847535</v>
      </c>
      <c r="V58" s="148">
        <f t="shared" ca="1" si="42"/>
        <v>0.20541984569923769</v>
      </c>
      <c r="W58" s="148">
        <f t="shared" ca="1" si="42"/>
        <v>0.21</v>
      </c>
    </row>
    <row r="59" spans="1:23" ht="15" x14ac:dyDescent="0.2">
      <c r="B59" s="135" t="s">
        <v>519</v>
      </c>
      <c r="H59" s="170"/>
      <c r="I59" s="173">
        <f>I60</f>
        <v>0.18408198626168429</v>
      </c>
      <c r="J59" s="154">
        <f t="shared" ref="J59:N59" si="43">J60</f>
        <v>0.18520575938218048</v>
      </c>
      <c r="K59" s="174">
        <f t="shared" si="43"/>
        <v>0.18602573629966385</v>
      </c>
      <c r="L59" s="173">
        <f t="shared" si="43"/>
        <v>0.17327789265812762</v>
      </c>
      <c r="M59" s="154">
        <f t="shared" si="43"/>
        <v>0.17367475503765278</v>
      </c>
      <c r="N59" s="174">
        <f t="shared" si="43"/>
        <v>0.16877861129313901</v>
      </c>
      <c r="O59" s="268">
        <f t="shared" ref="O59:V59" si="44">N59+($W$59-$N$59)/($W$44-$N$44)</f>
        <v>0.17558098781612355</v>
      </c>
      <c r="P59" s="155">
        <f t="shared" si="44"/>
        <v>0.18238336433910809</v>
      </c>
      <c r="Q59" s="155">
        <f t="shared" si="44"/>
        <v>0.18918574086209264</v>
      </c>
      <c r="R59" s="155">
        <f t="shared" si="44"/>
        <v>0.19598811738507718</v>
      </c>
      <c r="S59" s="155">
        <f t="shared" si="44"/>
        <v>0.20279049390806173</v>
      </c>
      <c r="T59" s="155">
        <f t="shared" si="44"/>
        <v>0.20959287043104627</v>
      </c>
      <c r="U59" s="155">
        <f t="shared" si="44"/>
        <v>0.21639524695403081</v>
      </c>
      <c r="V59" s="155">
        <f t="shared" si="44"/>
        <v>0.22319762347701536</v>
      </c>
      <c r="W59" s="154">
        <f>G16</f>
        <v>0.23</v>
      </c>
    </row>
    <row r="60" spans="1:23" ht="15" x14ac:dyDescent="0.2">
      <c r="A60" s="135" t="s">
        <v>516</v>
      </c>
      <c r="B60" s="135" t="s">
        <v>533</v>
      </c>
      <c r="H60" s="170"/>
      <c r="I60" s="268">
        <f>I30</f>
        <v>0.18408198626168429</v>
      </c>
      <c r="J60" s="155">
        <f t="shared" ref="J60:N60" si="45">J30</f>
        <v>0.18520575938218048</v>
      </c>
      <c r="K60" s="193">
        <f t="shared" si="45"/>
        <v>0.18602573629966385</v>
      </c>
      <c r="L60" s="268">
        <f t="shared" si="45"/>
        <v>0.17327789265812762</v>
      </c>
      <c r="M60" s="155">
        <f t="shared" si="45"/>
        <v>0.17367475503765278</v>
      </c>
      <c r="N60" s="193">
        <f t="shared" si="45"/>
        <v>0.16877861129313901</v>
      </c>
      <c r="O60" s="268">
        <f t="shared" ref="O60:V60" si="46">N60+($W$60-$N$60)/($W$44-$N$44)</f>
        <v>0.17335876559390134</v>
      </c>
      <c r="P60" s="155">
        <f t="shared" si="46"/>
        <v>0.17793891989466368</v>
      </c>
      <c r="Q60" s="155">
        <f t="shared" si="46"/>
        <v>0.18251907419542601</v>
      </c>
      <c r="R60" s="155">
        <f t="shared" si="46"/>
        <v>0.18709922849618835</v>
      </c>
      <c r="S60" s="155">
        <f t="shared" si="46"/>
        <v>0.19167938279695068</v>
      </c>
      <c r="T60" s="155">
        <f t="shared" si="46"/>
        <v>0.19625953709771302</v>
      </c>
      <c r="U60" s="155">
        <f t="shared" si="46"/>
        <v>0.20083969139847535</v>
      </c>
      <c r="V60" s="155">
        <f t="shared" si="46"/>
        <v>0.20541984569923769</v>
      </c>
      <c r="W60" s="155">
        <f>K14</f>
        <v>0.21</v>
      </c>
    </row>
    <row r="61" spans="1:23" ht="15" x14ac:dyDescent="0.2">
      <c r="B61" s="135" t="s">
        <v>520</v>
      </c>
      <c r="H61" s="170"/>
      <c r="I61" s="173">
        <f>I60</f>
        <v>0.18408198626168429</v>
      </c>
      <c r="J61" s="154">
        <f t="shared" ref="J61:N61" si="47">J60</f>
        <v>0.18520575938218048</v>
      </c>
      <c r="K61" s="174">
        <f t="shared" si="47"/>
        <v>0.18602573629966385</v>
      </c>
      <c r="L61" s="173">
        <f t="shared" si="47"/>
        <v>0.17327789265812762</v>
      </c>
      <c r="M61" s="154">
        <f t="shared" si="47"/>
        <v>0.17367475503765278</v>
      </c>
      <c r="N61" s="174">
        <f t="shared" si="47"/>
        <v>0.16877861129313901</v>
      </c>
      <c r="O61" s="268">
        <f t="shared" ref="O61:V61" si="48">N61+($W$61-$N$61)/($W$44-$N$44)</f>
        <v>0.17002543226056802</v>
      </c>
      <c r="P61" s="155">
        <f t="shared" si="48"/>
        <v>0.17127225322799702</v>
      </c>
      <c r="Q61" s="155">
        <f t="shared" si="48"/>
        <v>0.17251907419542603</v>
      </c>
      <c r="R61" s="155">
        <f t="shared" si="48"/>
        <v>0.17376589516285504</v>
      </c>
      <c r="S61" s="155">
        <f t="shared" si="48"/>
        <v>0.17501271613028405</v>
      </c>
      <c r="T61" s="155">
        <f t="shared" si="48"/>
        <v>0.17625953709771305</v>
      </c>
      <c r="U61" s="155">
        <f t="shared" si="48"/>
        <v>0.17750635806514206</v>
      </c>
      <c r="V61" s="155">
        <f t="shared" si="48"/>
        <v>0.17875317903257107</v>
      </c>
      <c r="W61" s="154">
        <f>O16</f>
        <v>0.18</v>
      </c>
    </row>
    <row r="62" spans="1:23" x14ac:dyDescent="0.15">
      <c r="H62" s="170"/>
      <c r="K62" s="170"/>
      <c r="N62" s="170"/>
    </row>
    <row r="63" spans="1:23" x14ac:dyDescent="0.15">
      <c r="H63" s="170"/>
      <c r="K63" s="170"/>
      <c r="N63" s="170"/>
    </row>
    <row r="64" spans="1:23" x14ac:dyDescent="0.15">
      <c r="B64" s="185" t="s">
        <v>1005</v>
      </c>
      <c r="C64" s="186"/>
      <c r="D64" s="194"/>
      <c r="E64" s="194"/>
      <c r="F64" s="194"/>
      <c r="G64" s="194"/>
      <c r="H64" s="271"/>
      <c r="I64" s="194">
        <f ca="1">SUM(I51,I57)</f>
        <v>3977.245778415248</v>
      </c>
      <c r="J64" s="194">
        <f t="shared" ref="J64:W64" ca="1" si="49">SUM(J51,J57)</f>
        <v>4701.4518181225121</v>
      </c>
      <c r="K64" s="271">
        <f t="shared" ca="1" si="49"/>
        <v>5033.509725236554</v>
      </c>
      <c r="L64" s="194">
        <f t="shared" ca="1" si="49"/>
        <v>5791.6691756496957</v>
      </c>
      <c r="M64" s="194">
        <f t="shared" ca="1" si="49"/>
        <v>8028.6287283079891</v>
      </c>
      <c r="N64" s="271">
        <f t="shared" ca="1" si="49"/>
        <v>9832.3066898151101</v>
      </c>
      <c r="O64" s="194">
        <f t="shared" ca="1" si="49"/>
        <v>11474.862088543035</v>
      </c>
      <c r="P64" s="194">
        <f t="shared" ca="1" si="49"/>
        <v>13216.806082500561</v>
      </c>
      <c r="Q64" s="194">
        <f t="shared" ca="1" si="49"/>
        <v>15022.373398334998</v>
      </c>
      <c r="R64" s="194">
        <f t="shared" ca="1" si="49"/>
        <v>16847.163474339828</v>
      </c>
      <c r="S64" s="194">
        <f t="shared" ca="1" si="49"/>
        <v>18639.389294056167</v>
      </c>
      <c r="T64" s="194">
        <f t="shared" ca="1" si="49"/>
        <v>20341.872223601771</v>
      </c>
      <c r="U64" s="194">
        <f t="shared" ca="1" si="49"/>
        <v>21894.724173987805</v>
      </c>
      <c r="V64" s="194">
        <f t="shared" ca="1" si="49"/>
        <v>23238.578240700121</v>
      </c>
      <c r="W64" s="194">
        <f t="shared" ca="1" si="49"/>
        <v>24318.152606035947</v>
      </c>
    </row>
    <row r="65" spans="2:23" x14ac:dyDescent="0.15">
      <c r="H65" s="170"/>
      <c r="K65" s="170"/>
      <c r="N65" s="170"/>
    </row>
    <row r="66" spans="2:23" x14ac:dyDescent="0.15">
      <c r="H66" s="170"/>
      <c r="K66" s="170"/>
      <c r="N66" s="170"/>
    </row>
    <row r="67" spans="2:23" ht="15" x14ac:dyDescent="0.2">
      <c r="B67" s="180" t="s">
        <v>511</v>
      </c>
      <c r="D67" s="195">
        <f>D33</f>
        <v>776</v>
      </c>
      <c r="E67" s="195">
        <f t="shared" ref="E67:H67" si="50">E33</f>
        <v>912</v>
      </c>
      <c r="F67" s="195">
        <f t="shared" si="50"/>
        <v>1189</v>
      </c>
      <c r="G67" s="195">
        <f t="shared" si="50"/>
        <v>1265</v>
      </c>
      <c r="H67" s="272">
        <f t="shared" si="50"/>
        <v>1317</v>
      </c>
      <c r="I67" s="195">
        <f ca="1">I68*I45</f>
        <v>1301.0470748942844</v>
      </c>
      <c r="J67" s="195">
        <f t="shared" ref="J67:W67" ca="1" si="51">J68*J45</f>
        <v>1392.0138418818242</v>
      </c>
      <c r="K67" s="272">
        <f t="shared" ca="1" si="51"/>
        <v>1417.7323369814005</v>
      </c>
      <c r="L67" s="195">
        <f t="shared" ca="1" si="51"/>
        <v>1418.8796514073913</v>
      </c>
      <c r="M67" s="195">
        <f t="shared" ca="1" si="51"/>
        <v>1589.4285450914222</v>
      </c>
      <c r="N67" s="272">
        <f t="shared" ca="1" si="51"/>
        <v>1839.5676016614855</v>
      </c>
      <c r="O67" s="195">
        <f t="shared" ca="1" si="51"/>
        <v>2103.0373796205163</v>
      </c>
      <c r="P67" s="195">
        <f t="shared" ca="1" si="51"/>
        <v>2374.478064879117</v>
      </c>
      <c r="Q67" s="195">
        <f t="shared" ca="1" si="51"/>
        <v>2647.3478973500223</v>
      </c>
      <c r="R67" s="195">
        <f t="shared" ca="1" si="51"/>
        <v>2914.1075014776516</v>
      </c>
      <c r="S67" s="195">
        <f t="shared" ca="1" si="51"/>
        <v>3166.5038222077701</v>
      </c>
      <c r="T67" s="195">
        <f t="shared" ca="1" si="51"/>
        <v>3395.9452307527326</v>
      </c>
      <c r="U67" s="195">
        <f t="shared" ca="1" si="51"/>
        <v>3593.9490046704991</v>
      </c>
      <c r="V67" s="195">
        <f t="shared" ca="1" si="51"/>
        <v>3752.6325246360502</v>
      </c>
      <c r="W67" s="195">
        <f t="shared" ca="1" si="51"/>
        <v>3420.2746281344503</v>
      </c>
    </row>
    <row r="68" spans="2:23" ht="15" x14ac:dyDescent="0.2">
      <c r="B68" s="151" t="s">
        <v>1006</v>
      </c>
      <c r="E68" s="148"/>
      <c r="F68" s="148"/>
      <c r="G68" s="148"/>
      <c r="H68" s="169"/>
      <c r="I68" s="148">
        <f>I69</f>
        <v>4.427315865639081E-2</v>
      </c>
      <c r="J68" s="148">
        <f t="shared" ref="J68:W68" si="52">J69</f>
        <v>4.326272098640329E-2</v>
      </c>
      <c r="K68" s="169">
        <f t="shared" si="52"/>
        <v>3.9274420466170357E-2</v>
      </c>
      <c r="L68" s="148">
        <f t="shared" si="52"/>
        <v>3.4669914326496389E-2</v>
      </c>
      <c r="M68" s="148">
        <f t="shared" si="52"/>
        <v>3.3902641635096133E-2</v>
      </c>
      <c r="N68" s="169">
        <f t="shared" si="52"/>
        <v>3.3902641635096133E-2</v>
      </c>
      <c r="O68" s="148">
        <f t="shared" si="52"/>
        <v>3.3902641635096133E-2</v>
      </c>
      <c r="P68" s="148">
        <f t="shared" si="52"/>
        <v>3.3902641635096133E-2</v>
      </c>
      <c r="Q68" s="148">
        <f t="shared" si="52"/>
        <v>3.3902641635096133E-2</v>
      </c>
      <c r="R68" s="148">
        <f t="shared" si="52"/>
        <v>3.3902641635096133E-2</v>
      </c>
      <c r="S68" s="148">
        <f t="shared" si="52"/>
        <v>3.3902641635096133E-2</v>
      </c>
      <c r="T68" s="148">
        <f t="shared" si="52"/>
        <v>3.3902641635096133E-2</v>
      </c>
      <c r="U68" s="148">
        <f t="shared" si="52"/>
        <v>3.3902641635096133E-2</v>
      </c>
      <c r="V68" s="148">
        <f t="shared" si="52"/>
        <v>3.3902641635096133E-2</v>
      </c>
      <c r="W68" s="148">
        <f t="shared" si="52"/>
        <v>0.03</v>
      </c>
    </row>
    <row r="69" spans="2:23" ht="15" x14ac:dyDescent="0.2">
      <c r="B69" s="135" t="s">
        <v>533</v>
      </c>
      <c r="H69" s="170"/>
      <c r="I69" s="173">
        <f>I34</f>
        <v>4.427315865639081E-2</v>
      </c>
      <c r="J69" s="154">
        <f t="shared" ref="J69:M69" si="53">J34</f>
        <v>4.326272098640329E-2</v>
      </c>
      <c r="K69" s="174">
        <f t="shared" si="53"/>
        <v>3.9274420466170357E-2</v>
      </c>
      <c r="L69" s="173">
        <f t="shared" si="53"/>
        <v>3.4669914326496389E-2</v>
      </c>
      <c r="M69" s="154">
        <f t="shared" si="53"/>
        <v>3.3902641635096133E-2</v>
      </c>
      <c r="N69" s="174">
        <f>M69</f>
        <v>3.3902641635096133E-2</v>
      </c>
      <c r="O69" s="173">
        <f t="shared" ref="O69:V69" si="54">N69</f>
        <v>3.3902641635096133E-2</v>
      </c>
      <c r="P69" s="154">
        <f t="shared" si="54"/>
        <v>3.3902641635096133E-2</v>
      </c>
      <c r="Q69" s="154">
        <f t="shared" si="54"/>
        <v>3.3902641635096133E-2</v>
      </c>
      <c r="R69" s="154">
        <f t="shared" si="54"/>
        <v>3.3902641635096133E-2</v>
      </c>
      <c r="S69" s="154">
        <f t="shared" si="54"/>
        <v>3.3902641635096133E-2</v>
      </c>
      <c r="T69" s="154">
        <f t="shared" si="54"/>
        <v>3.3902641635096133E-2</v>
      </c>
      <c r="U69" s="154">
        <f t="shared" si="54"/>
        <v>3.3902641635096133E-2</v>
      </c>
      <c r="V69" s="154">
        <f t="shared" si="54"/>
        <v>3.3902641635096133E-2</v>
      </c>
      <c r="W69" s="154">
        <f>K15</f>
        <v>0.03</v>
      </c>
    </row>
    <row r="70" spans="2:23" x14ac:dyDescent="0.15">
      <c r="H70" s="170"/>
      <c r="K70" s="170"/>
      <c r="N70" s="170"/>
    </row>
    <row r="71" spans="2:23" ht="15" x14ac:dyDescent="0.2">
      <c r="B71" s="180" t="s">
        <v>512</v>
      </c>
      <c r="D71" s="152">
        <f>D37</f>
        <v>-823</v>
      </c>
      <c r="E71" s="152">
        <f t="shared" ref="E71:H71" si="55">E37</f>
        <v>-704</v>
      </c>
      <c r="F71" s="152">
        <f t="shared" si="55"/>
        <v>-866</v>
      </c>
      <c r="G71" s="152">
        <f t="shared" si="55"/>
        <v>-908</v>
      </c>
      <c r="H71" s="270">
        <f t="shared" si="55"/>
        <v>-706</v>
      </c>
      <c r="I71" s="152">
        <f ca="1">-1*I72*I45</f>
        <v>-960.70833333333326</v>
      </c>
      <c r="J71" s="152">
        <f t="shared" ref="J71:W71" ca="1" si="56">-1*J72*J45</f>
        <v>-1088.9696179414877</v>
      </c>
      <c r="K71" s="270">
        <f t="shared" ca="1" si="56"/>
        <v>-1261.7486957410554</v>
      </c>
      <c r="L71" s="152">
        <f t="shared" ca="1" si="56"/>
        <v>-1506.1405683929302</v>
      </c>
      <c r="M71" s="152">
        <f t="shared" ca="1" si="56"/>
        <v>-1655.7549531012021</v>
      </c>
      <c r="N71" s="270">
        <f t="shared" ca="1" si="56"/>
        <v>-2170.5227869709238</v>
      </c>
      <c r="O71" s="152">
        <f t="shared" ca="1" si="56"/>
        <v>-2481.1987973218725</v>
      </c>
      <c r="P71" s="152">
        <f t="shared" ca="1" si="56"/>
        <v>-2801.5395296374772</v>
      </c>
      <c r="Q71" s="152">
        <f t="shared" ca="1" si="56"/>
        <v>-3123.8765226455166</v>
      </c>
      <c r="R71" s="152">
        <f t="shared" ca="1" si="56"/>
        <v>-3438.6534604853318</v>
      </c>
      <c r="S71" s="152">
        <f t="shared" ca="1" si="56"/>
        <v>-3736.4816913423956</v>
      </c>
      <c r="T71" s="152">
        <f t="shared" ca="1" si="56"/>
        <v>-4007.223073762812</v>
      </c>
      <c r="U71" s="152">
        <f t="shared" ca="1" si="56"/>
        <v>-4240.8679760274808</v>
      </c>
      <c r="V71" s="152">
        <f t="shared" ca="1" si="56"/>
        <v>-4428.1148894563257</v>
      </c>
      <c r="W71" s="152">
        <f t="shared" ca="1" si="56"/>
        <v>-4560.366170845934</v>
      </c>
    </row>
    <row r="72" spans="2:23" ht="15" x14ac:dyDescent="0.2">
      <c r="B72" s="151" t="s">
        <v>1006</v>
      </c>
      <c r="D72" s="148"/>
      <c r="E72" s="148"/>
      <c r="F72" s="148"/>
      <c r="G72" s="148"/>
      <c r="H72" s="169"/>
      <c r="I72" s="148">
        <f>I73</f>
        <v>3.2691816679761176E-2</v>
      </c>
      <c r="J72" s="148">
        <f t="shared" ref="J72:W72" si="57">J73</f>
        <v>3.3844339277534538E-2</v>
      </c>
      <c r="K72" s="169">
        <f t="shared" si="57"/>
        <v>3.495331770783075E-2</v>
      </c>
      <c r="L72" s="148">
        <f t="shared" si="57"/>
        <v>3.6802109620818438E-2</v>
      </c>
      <c r="M72" s="148">
        <f t="shared" si="57"/>
        <v>3.5317389374869106E-2</v>
      </c>
      <c r="N72" s="169">
        <f t="shared" si="57"/>
        <v>4.0002039686403763E-2</v>
      </c>
      <c r="O72" s="148">
        <f t="shared" si="57"/>
        <v>3.9998905614418462E-2</v>
      </c>
      <c r="P72" s="148">
        <f t="shared" si="57"/>
        <v>4.0000197140035706E-2</v>
      </c>
      <c r="Q72" s="148">
        <f t="shared" si="57"/>
        <v>4.0005194015321557E-2</v>
      </c>
      <c r="R72" s="148">
        <f t="shared" si="57"/>
        <v>4.0005194015321557E-2</v>
      </c>
      <c r="S72" s="148">
        <f t="shared" si="57"/>
        <v>4.0005194015321557E-2</v>
      </c>
      <c r="T72" s="148">
        <f t="shared" si="57"/>
        <v>4.0005194015321557E-2</v>
      </c>
      <c r="U72" s="148">
        <f t="shared" si="57"/>
        <v>4.0005194015321557E-2</v>
      </c>
      <c r="V72" s="148">
        <f t="shared" si="57"/>
        <v>4.0005194015321557E-2</v>
      </c>
      <c r="W72" s="148">
        <f t="shared" si="57"/>
        <v>0.04</v>
      </c>
    </row>
    <row r="73" spans="2:23" ht="15" x14ac:dyDescent="0.2">
      <c r="B73" s="135" t="s">
        <v>533</v>
      </c>
      <c r="H73" s="170"/>
      <c r="I73" s="173">
        <f>-1*I38</f>
        <v>3.2691816679761176E-2</v>
      </c>
      <c r="J73" s="154">
        <f t="shared" ref="J73:Q73" si="58">-1*J38</f>
        <v>3.3844339277534538E-2</v>
      </c>
      <c r="K73" s="174">
        <f t="shared" si="58"/>
        <v>3.495331770783075E-2</v>
      </c>
      <c r="L73" s="173">
        <f t="shared" si="58"/>
        <v>3.6802109620818438E-2</v>
      </c>
      <c r="M73" s="154">
        <f t="shared" si="58"/>
        <v>3.5317389374869106E-2</v>
      </c>
      <c r="N73" s="174">
        <f t="shared" si="58"/>
        <v>4.0002039686403763E-2</v>
      </c>
      <c r="O73" s="173">
        <f t="shared" si="58"/>
        <v>3.9998905614418462E-2</v>
      </c>
      <c r="P73" s="154">
        <f t="shared" si="58"/>
        <v>4.0000197140035706E-2</v>
      </c>
      <c r="Q73" s="154">
        <f t="shared" si="58"/>
        <v>4.0005194015321557E-2</v>
      </c>
      <c r="R73" s="154">
        <f>Q73</f>
        <v>4.0005194015321557E-2</v>
      </c>
      <c r="S73" s="154">
        <f t="shared" ref="S73:V73" si="59">R73</f>
        <v>4.0005194015321557E-2</v>
      </c>
      <c r="T73" s="154">
        <f t="shared" si="59"/>
        <v>4.0005194015321557E-2</v>
      </c>
      <c r="U73" s="154">
        <f t="shared" si="59"/>
        <v>4.0005194015321557E-2</v>
      </c>
      <c r="V73" s="154">
        <f t="shared" si="59"/>
        <v>4.0005194015321557E-2</v>
      </c>
      <c r="W73" s="154">
        <f>K16</f>
        <v>0.04</v>
      </c>
    </row>
    <row r="74" spans="2:23" x14ac:dyDescent="0.15">
      <c r="H74" s="170"/>
      <c r="K74" s="170"/>
      <c r="N74" s="170"/>
    </row>
    <row r="75" spans="2:23" ht="15" x14ac:dyDescent="0.2">
      <c r="B75" s="180" t="s">
        <v>513</v>
      </c>
      <c r="D75" s="152">
        <f>D40</f>
        <v>-788</v>
      </c>
      <c r="E75" s="152">
        <f t="shared" ref="E75:H75" si="60">E40</f>
        <v>-1079</v>
      </c>
      <c r="F75" s="152">
        <f t="shared" si="60"/>
        <v>-952</v>
      </c>
      <c r="G75" s="152">
        <f t="shared" si="60"/>
        <v>-1102</v>
      </c>
      <c r="H75" s="270">
        <f t="shared" si="60"/>
        <v>-572</v>
      </c>
      <c r="I75" s="152">
        <f ca="1">-1*I76*I45</f>
        <v>-1691.7640037919587</v>
      </c>
      <c r="J75" s="152">
        <f t="shared" ref="J75:W75" ca="1" si="61">-1*J76*J45</f>
        <v>-1447.905864466187</v>
      </c>
      <c r="K75" s="270">
        <f t="shared" ca="1" si="61"/>
        <v>286.64599005378517</v>
      </c>
      <c r="L75" s="152">
        <f t="shared" ca="1" si="61"/>
        <v>435.91923366483007</v>
      </c>
      <c r="M75" s="152">
        <f t="shared" ca="1" si="61"/>
        <v>910.98996734899947</v>
      </c>
      <c r="N75" s="270">
        <f t="shared" ca="1" si="61"/>
        <v>-112.62354363173098</v>
      </c>
      <c r="O75" s="152">
        <f t="shared" ca="1" si="61"/>
        <v>-110.1145545024505</v>
      </c>
      <c r="P75" s="152">
        <f t="shared" ca="1" si="61"/>
        <v>-114.50904000342459</v>
      </c>
      <c r="Q75" s="152">
        <f t="shared" ca="1" si="61"/>
        <v>-127.66994946892335</v>
      </c>
      <c r="R75" s="152">
        <f t="shared" ca="1" si="61"/>
        <v>-140.53459231145095</v>
      </c>
      <c r="S75" s="152">
        <f t="shared" ca="1" si="61"/>
        <v>-152.70655714690452</v>
      </c>
      <c r="T75" s="152">
        <f t="shared" ca="1" si="61"/>
        <v>-163.77150749375383</v>
      </c>
      <c r="U75" s="152">
        <f t="shared" ca="1" si="61"/>
        <v>-173.32035894468765</v>
      </c>
      <c r="V75" s="152">
        <f t="shared" ca="1" si="61"/>
        <v>-180.97296742724942</v>
      </c>
      <c r="W75" s="152">
        <f t="shared" ca="1" si="61"/>
        <v>0</v>
      </c>
    </row>
    <row r="76" spans="2:23" ht="15" x14ac:dyDescent="0.2">
      <c r="B76" s="151" t="s">
        <v>527</v>
      </c>
      <c r="D76" s="148"/>
      <c r="E76" s="148"/>
      <c r="F76" s="148"/>
      <c r="G76" s="148"/>
      <c r="H76" s="169"/>
      <c r="I76" s="148">
        <f>I77</f>
        <v>5.7568813299963231E-2</v>
      </c>
      <c r="J76" s="148">
        <f t="shared" ref="J76:W76" si="62">J77</f>
        <v>4.4999802117122616E-2</v>
      </c>
      <c r="K76" s="169">
        <f t="shared" si="62"/>
        <v>-7.9407479427915026E-3</v>
      </c>
      <c r="L76" s="148">
        <f t="shared" si="62"/>
        <v>-1.0651560524841347E-2</v>
      </c>
      <c r="M76" s="148">
        <f t="shared" si="62"/>
        <v>-1.943149095414326E-2</v>
      </c>
      <c r="N76" s="169">
        <f t="shared" si="62"/>
        <v>2.0756158327492739E-3</v>
      </c>
      <c r="O76" s="148">
        <f t="shared" si="62"/>
        <v>1.7751345345932345E-3</v>
      </c>
      <c r="P76" s="148">
        <f t="shared" si="62"/>
        <v>1.6349525416283974E-3</v>
      </c>
      <c r="Q76" s="148">
        <f t="shared" si="62"/>
        <v>1.6349753459862183E-3</v>
      </c>
      <c r="R76" s="148">
        <f t="shared" si="62"/>
        <v>1.6349753459862183E-3</v>
      </c>
      <c r="S76" s="148">
        <f t="shared" si="62"/>
        <v>1.6349753459862183E-3</v>
      </c>
      <c r="T76" s="148">
        <f t="shared" si="62"/>
        <v>1.6349753459862183E-3</v>
      </c>
      <c r="U76" s="148">
        <f t="shared" si="62"/>
        <v>1.6349753459862183E-3</v>
      </c>
      <c r="V76" s="148">
        <f t="shared" si="62"/>
        <v>1.6349753459862183E-3</v>
      </c>
      <c r="W76" s="148">
        <f t="shared" si="62"/>
        <v>0</v>
      </c>
    </row>
    <row r="77" spans="2:23" ht="15" x14ac:dyDescent="0.2">
      <c r="B77" s="135" t="s">
        <v>533</v>
      </c>
      <c r="H77" s="170"/>
      <c r="I77" s="173">
        <f>-1*I41</f>
        <v>5.7568813299963231E-2</v>
      </c>
      <c r="J77" s="154">
        <f t="shared" ref="J77:Q77" si="63">-1*J41</f>
        <v>4.4999802117122616E-2</v>
      </c>
      <c r="K77" s="174">
        <f t="shared" si="63"/>
        <v>-7.9407479427915026E-3</v>
      </c>
      <c r="L77" s="173">
        <f t="shared" si="63"/>
        <v>-1.0651560524841347E-2</v>
      </c>
      <c r="M77" s="154">
        <f t="shared" si="63"/>
        <v>-1.943149095414326E-2</v>
      </c>
      <c r="N77" s="174">
        <f t="shared" si="63"/>
        <v>2.0756158327492739E-3</v>
      </c>
      <c r="O77" s="173">
        <f t="shared" si="63"/>
        <v>1.7751345345932345E-3</v>
      </c>
      <c r="P77" s="154">
        <f t="shared" si="63"/>
        <v>1.6349525416283974E-3</v>
      </c>
      <c r="Q77" s="154">
        <f t="shared" si="63"/>
        <v>1.6349753459862183E-3</v>
      </c>
      <c r="R77" s="154">
        <f>Q77</f>
        <v>1.6349753459862183E-3</v>
      </c>
      <c r="S77" s="154">
        <f t="shared" ref="S77:V77" si="64">R77</f>
        <v>1.6349753459862183E-3</v>
      </c>
      <c r="T77" s="154">
        <f t="shared" si="64"/>
        <v>1.6349753459862183E-3</v>
      </c>
      <c r="U77" s="154">
        <f t="shared" si="64"/>
        <v>1.6349753459862183E-3</v>
      </c>
      <c r="V77" s="154">
        <f t="shared" si="64"/>
        <v>1.6349753459862183E-3</v>
      </c>
      <c r="W77" s="154">
        <f>K17</f>
        <v>0</v>
      </c>
    </row>
    <row r="78" spans="2:23" x14ac:dyDescent="0.15">
      <c r="H78" s="170"/>
      <c r="K78" s="170"/>
      <c r="N78" s="170"/>
    </row>
    <row r="80" spans="2:23" x14ac:dyDescent="0.15">
      <c r="B80" s="185" t="s">
        <v>1007</v>
      </c>
      <c r="C80" s="186"/>
      <c r="D80" s="194"/>
      <c r="E80" s="194"/>
      <c r="F80" s="194"/>
      <c r="G80" s="194"/>
      <c r="H80" s="196">
        <f ca="1">I80*C8</f>
        <v>726.59690995783103</v>
      </c>
      <c r="I80" s="194">
        <f ca="1">SUM(I64,I67,I71,I75)</f>
        <v>2625.8205161842411</v>
      </c>
      <c r="J80" s="194">
        <f t="shared" ref="J80:W80" ca="1" si="65">SUM(J64,J67,J71,J75)</f>
        <v>3556.5901775966613</v>
      </c>
      <c r="K80" s="194">
        <f t="shared" ca="1" si="65"/>
        <v>5476.1393565306835</v>
      </c>
      <c r="L80" s="194">
        <f t="shared" ca="1" si="65"/>
        <v>6140.3274923289864</v>
      </c>
      <c r="M80" s="194">
        <f t="shared" ca="1" si="65"/>
        <v>8873.2922876472094</v>
      </c>
      <c r="N80" s="194">
        <f t="shared" ca="1" si="65"/>
        <v>9388.7279608739409</v>
      </c>
      <c r="O80" s="194">
        <f t="shared" ca="1" si="65"/>
        <v>10986.586116339229</v>
      </c>
      <c r="P80" s="194">
        <f t="shared" ca="1" si="65"/>
        <v>12675.235577738777</v>
      </c>
      <c r="Q80" s="194">
        <f t="shared" ca="1" si="65"/>
        <v>14418.17482357058</v>
      </c>
      <c r="R80" s="194">
        <f t="shared" ca="1" si="65"/>
        <v>16182.082923020696</v>
      </c>
      <c r="S80" s="194">
        <f t="shared" ca="1" si="65"/>
        <v>17916.704867774639</v>
      </c>
      <c r="T80" s="194">
        <f t="shared" ca="1" si="65"/>
        <v>19566.822873097935</v>
      </c>
      <c r="U80" s="194">
        <f t="shared" ca="1" si="65"/>
        <v>21074.484843686132</v>
      </c>
      <c r="V80" s="194">
        <f t="shared" ca="1" si="65"/>
        <v>22382.122908452595</v>
      </c>
      <c r="W80" s="194">
        <f t="shared" ca="1" si="65"/>
        <v>23178.061063324465</v>
      </c>
    </row>
    <row r="82" spans="2:33" x14ac:dyDescent="0.15">
      <c r="B82" s="180" t="s">
        <v>1008</v>
      </c>
      <c r="H82" s="135">
        <f ca="1">C8</f>
        <v>0.27671232876712326</v>
      </c>
      <c r="I82" s="187"/>
      <c r="J82" s="135">
        <f ca="1">H82+1</f>
        <v>1.2767123287671232</v>
      </c>
      <c r="K82" s="135">
        <f ca="1">J82+1</f>
        <v>2.2767123287671232</v>
      </c>
      <c r="L82" s="135">
        <f t="shared" ref="L82:R82" ca="1" si="66">K82+1</f>
        <v>3.2767123287671232</v>
      </c>
      <c r="M82" s="135">
        <f t="shared" ca="1" si="66"/>
        <v>4.2767123287671236</v>
      </c>
      <c r="N82" s="135">
        <f t="shared" ca="1" si="66"/>
        <v>5.2767123287671236</v>
      </c>
      <c r="O82" s="135">
        <f t="shared" ca="1" si="66"/>
        <v>6.2767123287671236</v>
      </c>
      <c r="P82" s="135">
        <f ca="1">O82+1</f>
        <v>7.2767123287671236</v>
      </c>
      <c r="Q82" s="135">
        <f t="shared" ca="1" si="66"/>
        <v>8.2767123287671236</v>
      </c>
      <c r="R82" s="135">
        <f t="shared" ca="1" si="66"/>
        <v>9.2767123287671236</v>
      </c>
      <c r="S82" s="135">
        <f t="shared" ref="S82" ca="1" si="67">R82+1</f>
        <v>10.276712328767124</v>
      </c>
      <c r="T82" s="135">
        <f ca="1">S82+1</f>
        <v>11.276712328767124</v>
      </c>
      <c r="U82" s="135">
        <f t="shared" ref="U82" ca="1" si="68">T82+1</f>
        <v>12.276712328767124</v>
      </c>
      <c r="V82" s="135">
        <f t="shared" ref="V82" ca="1" si="69">U82+1</f>
        <v>13.276712328767124</v>
      </c>
      <c r="W82" s="135">
        <f t="shared" ref="W82" ca="1" si="70">V82+1</f>
        <v>14.276712328767124</v>
      </c>
    </row>
    <row r="84" spans="2:33" x14ac:dyDescent="0.15">
      <c r="B84" s="185" t="s">
        <v>1009</v>
      </c>
      <c r="C84" s="186"/>
      <c r="D84" s="186"/>
      <c r="E84" s="186"/>
      <c r="F84" s="186"/>
      <c r="G84" s="186"/>
      <c r="H84" s="198">
        <f ca="1">H80/(1+$C$19)^H82</f>
        <v>706.87449812719581</v>
      </c>
      <c r="I84" s="199"/>
      <c r="J84" s="198">
        <f ca="1">J80/(1+$C$19)^J82</f>
        <v>3132.5102005072067</v>
      </c>
      <c r="K84" s="198">
        <f t="shared" ref="K84:W84" ca="1" si="71">K80/(1+$C$19)^K82</f>
        <v>4366.596501049371</v>
      </c>
      <c r="L84" s="198">
        <f t="shared" ca="1" si="71"/>
        <v>4432.7170215298884</v>
      </c>
      <c r="M84" s="198">
        <f t="shared" ca="1" si="71"/>
        <v>5799.267770979387</v>
      </c>
      <c r="N84" s="198">
        <f t="shared" ca="1" si="71"/>
        <v>5555.2682122790202</v>
      </c>
      <c r="O84" s="198">
        <f t="shared" ca="1" si="71"/>
        <v>5885.3316646219291</v>
      </c>
      <c r="P84" s="198">
        <f t="shared" ca="1" si="71"/>
        <v>6147.1543724178737</v>
      </c>
      <c r="Q84" s="198">
        <f t="shared" ca="1" si="71"/>
        <v>6330.5037270614475</v>
      </c>
      <c r="R84" s="198">
        <f t="shared" ca="1" si="71"/>
        <v>6432.3890772830246</v>
      </c>
      <c r="S84" s="198">
        <f t="shared" ca="1" si="71"/>
        <v>6447.7163724850525</v>
      </c>
      <c r="T84" s="198">
        <f t="shared" ca="1" si="71"/>
        <v>6374.967876008237</v>
      </c>
      <c r="U84" s="198">
        <f t="shared" ca="1" si="71"/>
        <v>6216.1939473104476</v>
      </c>
      <c r="V84" s="198">
        <f t="shared" ca="1" si="71"/>
        <v>5976.9382213504141</v>
      </c>
      <c r="W84" s="198">
        <f t="shared" ca="1" si="71"/>
        <v>5603.5660465159426</v>
      </c>
    </row>
    <row r="88" spans="2:33" ht="15" x14ac:dyDescent="0.2">
      <c r="H88" s="211"/>
      <c r="I88" s="211"/>
      <c r="J88" s="211"/>
      <c r="K88" s="211"/>
      <c r="L88" s="211"/>
      <c r="M88" s="211"/>
      <c r="N88" s="211"/>
      <c r="O88" s="211"/>
      <c r="P88" s="211"/>
      <c r="Q88" s="211"/>
    </row>
    <row r="89" spans="2:33" ht="15" x14ac:dyDescent="0.2">
      <c r="B89" s="137" t="s">
        <v>1019</v>
      </c>
      <c r="C89" s="138"/>
      <c r="D89" s="211"/>
      <c r="E89" s="137" t="s">
        <v>1030</v>
      </c>
      <c r="F89" s="138"/>
      <c r="G89" s="224"/>
      <c r="H89" s="224"/>
      <c r="I89" s="201"/>
      <c r="J89" s="137" t="s">
        <v>1032</v>
      </c>
      <c r="K89" s="138"/>
      <c r="L89" s="224"/>
      <c r="M89" s="224"/>
      <c r="N89" s="224"/>
      <c r="O89" s="224"/>
    </row>
    <row r="90" spans="2:33" ht="19" x14ac:dyDescent="0.25">
      <c r="B90" s="200"/>
      <c r="C90" s="201"/>
      <c r="D90" s="201"/>
      <c r="E90" s="204"/>
      <c r="F90" s="204"/>
      <c r="G90" s="204"/>
      <c r="H90" s="204"/>
      <c r="I90" s="204"/>
      <c r="U90" s="135" t="s">
        <v>1419</v>
      </c>
    </row>
    <row r="91" spans="2:33" ht="17" x14ac:dyDescent="0.25">
      <c r="B91" s="82" t="s">
        <v>1020</v>
      </c>
      <c r="C91" s="202">
        <f ca="1">W80+(1*C20)</f>
        <v>23178.081063324466</v>
      </c>
      <c r="D91" s="82"/>
      <c r="E91" s="67" t="s">
        <v>491</v>
      </c>
      <c r="F91" s="67" t="s">
        <v>492</v>
      </c>
      <c r="G91" s="67" t="s">
        <v>493</v>
      </c>
      <c r="H91" s="67" t="s">
        <v>494</v>
      </c>
      <c r="I91" s="204"/>
      <c r="J91" s="67" t="s">
        <v>491</v>
      </c>
      <c r="K91" s="67" t="s">
        <v>492</v>
      </c>
      <c r="L91" s="67" t="s">
        <v>493</v>
      </c>
      <c r="M91" s="67" t="s">
        <v>494</v>
      </c>
      <c r="N91" s="67" t="s">
        <v>495</v>
      </c>
      <c r="O91" s="67" t="s">
        <v>496</v>
      </c>
      <c r="Q91" s="279" t="s">
        <v>508</v>
      </c>
      <c r="R91" s="279"/>
      <c r="S91" s="279"/>
      <c r="T91" s="82"/>
      <c r="U91" s="276" t="s">
        <v>509</v>
      </c>
      <c r="V91" s="277"/>
      <c r="W91" s="277"/>
      <c r="X91" s="278"/>
    </row>
    <row r="92" spans="2:33" ht="32" x14ac:dyDescent="0.25">
      <c r="B92" s="203" t="s">
        <v>1021</v>
      </c>
      <c r="C92" s="202">
        <f ca="1">C91/(C19-C20)</f>
        <v>274095.70567541529</v>
      </c>
      <c r="D92" s="82"/>
      <c r="E92" s="68" t="s">
        <v>1031</v>
      </c>
      <c r="F92" s="74">
        <f>S93</f>
        <v>5.6</v>
      </c>
      <c r="G92" s="74">
        <f>S94</f>
        <v>17.899999999999999</v>
      </c>
      <c r="H92" s="74">
        <f>S95</f>
        <v>22.8</v>
      </c>
      <c r="I92" s="204"/>
      <c r="J92" s="68" t="str">
        <f>"Mean Multiples"</f>
        <v>Mean Multiples</v>
      </c>
      <c r="K92" s="74">
        <f>S93</f>
        <v>5.6</v>
      </c>
      <c r="L92" s="74">
        <f>S94</f>
        <v>17.899999999999999</v>
      </c>
      <c r="M92" s="74">
        <f>S95</f>
        <v>22.8</v>
      </c>
      <c r="N92" s="74">
        <f>S97</f>
        <v>5.9</v>
      </c>
      <c r="O92" s="74">
        <f>S96</f>
        <v>31.6</v>
      </c>
      <c r="Q92" s="247"/>
      <c r="R92" s="247" t="s">
        <v>486</v>
      </c>
      <c r="S92" s="247" t="s">
        <v>487</v>
      </c>
      <c r="T92" s="82"/>
      <c r="U92" s="99"/>
      <c r="V92" s="248" t="s">
        <v>505</v>
      </c>
      <c r="W92" s="248" t="s">
        <v>506</v>
      </c>
      <c r="X92" s="248" t="s">
        <v>507</v>
      </c>
    </row>
    <row r="93" spans="2:33" ht="48" x14ac:dyDescent="0.2">
      <c r="B93" s="82"/>
      <c r="C93" s="202"/>
      <c r="D93" s="82"/>
      <c r="E93" s="68" t="s">
        <v>1028</v>
      </c>
      <c r="F93" s="209">
        <f>K93</f>
        <v>27518</v>
      </c>
      <c r="G93" s="209">
        <f>L93</f>
        <v>4930</v>
      </c>
      <c r="H93" s="209">
        <f>M93</f>
        <v>4039</v>
      </c>
      <c r="I93" s="204"/>
      <c r="J93" s="69" t="s">
        <v>497</v>
      </c>
      <c r="K93" s="75">
        <f>'DATA - Income Statement'!$F$17</f>
        <v>27518</v>
      </c>
      <c r="L93" s="75">
        <f>'DATA - Income Statement'!$F$80</f>
        <v>4930</v>
      </c>
      <c r="M93" s="75">
        <f>'DATA - Income Statement'!$F$82</f>
        <v>4039</v>
      </c>
      <c r="N93" s="75">
        <f>' DATA - Balance Sheet'!$F$63</f>
        <v>20274</v>
      </c>
      <c r="O93" s="75">
        <f>'DATA - Income Statement'!$F$56</f>
        <v>2419</v>
      </c>
      <c r="Q93" s="87" t="s">
        <v>488</v>
      </c>
      <c r="R93" s="227">
        <f>'DATA - Key Stats'!$F$76</f>
        <v>3.0439609999999999</v>
      </c>
      <c r="S93" s="228">
        <f>'DATA - Industry'!$J$8</f>
        <v>5.6</v>
      </c>
      <c r="T93" s="86"/>
      <c r="U93" s="250" t="s">
        <v>503</v>
      </c>
      <c r="V93" s="229">
        <v>0.879</v>
      </c>
      <c r="W93" s="229">
        <v>0.114</v>
      </c>
      <c r="X93" s="229">
        <f>W93*V93</f>
        <v>0.100206</v>
      </c>
      <c r="AG93" s="135">
        <v>1</v>
      </c>
    </row>
    <row r="94" spans="2:33" ht="16" x14ac:dyDescent="0.2">
      <c r="B94" s="82" t="s">
        <v>1022</v>
      </c>
      <c r="C94" s="202">
        <f ca="1">SUM(H84,J84:W84)</f>
        <v>79407.995509526445</v>
      </c>
      <c r="D94" s="82"/>
      <c r="E94" s="69" t="s">
        <v>1029</v>
      </c>
      <c r="F94" s="207">
        <f>F93*F92</f>
        <v>154100.79999999999</v>
      </c>
      <c r="G94" s="207">
        <f t="shared" ref="G94:H94" si="72">G93*G92</f>
        <v>88247</v>
      </c>
      <c r="H94" s="207">
        <f t="shared" si="72"/>
        <v>92089.2</v>
      </c>
      <c r="I94" s="204"/>
      <c r="J94" s="68" t="s">
        <v>498</v>
      </c>
      <c r="K94" s="101">
        <f>K93*K92</f>
        <v>154100.79999999999</v>
      </c>
      <c r="L94" s="101">
        <f>L93*L92</f>
        <v>88247</v>
      </c>
      <c r="M94" s="101">
        <f>M93*M92</f>
        <v>92089.2</v>
      </c>
      <c r="N94" s="102"/>
      <c r="O94" s="102"/>
      <c r="Q94" s="87" t="s">
        <v>489</v>
      </c>
      <c r="R94" s="227">
        <f>'DATA - Key Stats'!$F$78</f>
        <v>16.347334</v>
      </c>
      <c r="S94" s="228">
        <f>'DATA - Industry'!$J$9</f>
        <v>17.899999999999999</v>
      </c>
      <c r="T94" s="85"/>
      <c r="U94" s="250" t="s">
        <v>504</v>
      </c>
      <c r="V94" s="230">
        <f>1-V93</f>
        <v>0.121</v>
      </c>
      <c r="W94" s="229">
        <v>3.5999999999999997E-2</v>
      </c>
      <c r="X94" s="229">
        <f>W94*V94</f>
        <v>4.3559999999999996E-3</v>
      </c>
    </row>
    <row r="95" spans="2:33" ht="16" x14ac:dyDescent="0.2">
      <c r="B95" s="82" t="s">
        <v>1023</v>
      </c>
      <c r="C95" s="202">
        <f ca="1">C92/(1+C19)^W82</f>
        <v>66265.827224388457</v>
      </c>
      <c r="D95" s="82"/>
      <c r="E95" s="68" t="s">
        <v>1023</v>
      </c>
      <c r="F95" s="202">
        <f ca="1">F94/(1+$C$19)^$W$82</f>
        <v>37255.662078969806</v>
      </c>
      <c r="G95" s="202">
        <f t="shared" ref="G95:H95" ca="1" si="73">G94/(1+$C$19)^$W$82</f>
        <v>21334.739413960531</v>
      </c>
      <c r="H95" s="202">
        <f t="shared" ca="1" si="73"/>
        <v>22263.635985813613</v>
      </c>
      <c r="I95" s="204"/>
      <c r="J95" s="70" t="s">
        <v>499</v>
      </c>
      <c r="K95" s="76">
        <f>-1*' DATA - Balance Sheet'!$F$78</f>
        <v>-687</v>
      </c>
      <c r="L95" s="76">
        <f>-1*' DATA - Balance Sheet'!$F$78</f>
        <v>-687</v>
      </c>
      <c r="M95" s="76">
        <f>-1*' DATA - Balance Sheet'!$F$78</f>
        <v>-687</v>
      </c>
      <c r="N95" s="80"/>
      <c r="O95" s="103"/>
      <c r="Q95" s="87" t="s">
        <v>490</v>
      </c>
      <c r="R95" s="227">
        <f>'DATA - Key Stats'!$F$80</f>
        <v>20.738731999999999</v>
      </c>
      <c r="S95" s="228">
        <f>'DATA - Industry'!$J$10</f>
        <v>22.8</v>
      </c>
      <c r="T95" s="91"/>
      <c r="U95" s="251" t="s">
        <v>502</v>
      </c>
      <c r="V95" s="231"/>
      <c r="W95" s="231"/>
      <c r="X95" s="229">
        <f>SUM(X93:X94)</f>
        <v>0.104562</v>
      </c>
    </row>
    <row r="96" spans="2:33" ht="32" x14ac:dyDescent="0.2">
      <c r="B96" s="82"/>
      <c r="C96" s="82"/>
      <c r="D96" s="204"/>
      <c r="E96" s="69" t="s">
        <v>1022</v>
      </c>
      <c r="F96" s="207">
        <f ca="1">SUM($C$94)</f>
        <v>79407.995509526445</v>
      </c>
      <c r="G96" s="207">
        <f t="shared" ref="G96:H96" ca="1" si="74">SUM($C$94)</f>
        <v>79407.995509526445</v>
      </c>
      <c r="H96" s="207">
        <f t="shared" ca="1" si="74"/>
        <v>79407.995509526445</v>
      </c>
      <c r="I96" s="204"/>
      <c r="J96" s="71" t="s">
        <v>500</v>
      </c>
      <c r="K96" s="77">
        <f>SUM(K94:K95)</f>
        <v>153413.79999999999</v>
      </c>
      <c r="L96" s="77">
        <f>SUM(L94:L95)</f>
        <v>87560</v>
      </c>
      <c r="M96" s="77">
        <f>SUM(M94:M95)</f>
        <v>91402.2</v>
      </c>
      <c r="N96" s="77">
        <f>N93*N92</f>
        <v>119616.6</v>
      </c>
      <c r="O96" s="77">
        <f>O93*O92</f>
        <v>76440.400000000009</v>
      </c>
      <c r="Q96" s="249" t="s">
        <v>287</v>
      </c>
      <c r="R96" s="227">
        <f>'DATA - Key Stats'!$F$82</f>
        <v>35.133971000000003</v>
      </c>
      <c r="S96" s="228">
        <f>'DATA - Industry'!$J$11</f>
        <v>31.6</v>
      </c>
      <c r="T96" s="94"/>
      <c r="U96" s="82"/>
      <c r="V96" s="82"/>
      <c r="W96" s="82"/>
      <c r="X96" s="82"/>
    </row>
    <row r="97" spans="2:25" ht="16" x14ac:dyDescent="0.2">
      <c r="B97" s="83" t="s">
        <v>1024</v>
      </c>
      <c r="C97" s="205">
        <f ca="1">SUM(C94:C95)</f>
        <v>145673.82273391489</v>
      </c>
      <c r="D97" s="204"/>
      <c r="E97" s="68" t="s">
        <v>498</v>
      </c>
      <c r="F97" s="225">
        <f ca="1">SUM(F95:F96)</f>
        <v>116663.65758849625</v>
      </c>
      <c r="G97" s="225">
        <f t="shared" ref="G97:H97" ca="1" si="75">SUM(G95:G96)</f>
        <v>100742.73492348698</v>
      </c>
      <c r="H97" s="225">
        <f t="shared" ca="1" si="75"/>
        <v>101671.63149534006</v>
      </c>
      <c r="I97" s="204"/>
      <c r="J97" s="72" t="str">
        <f>'DATA - Income Statement'!$A$66</f>
        <v>Weighted Avg, Basic Shares Out,</v>
      </c>
      <c r="K97" s="78">
        <f>'DATA - Income Statement'!$F$66</f>
        <v>1154</v>
      </c>
      <c r="L97" s="78">
        <f>'DATA - Income Statement'!$F$66</f>
        <v>1154</v>
      </c>
      <c r="M97" s="78">
        <f>'DATA - Income Statement'!$F$66</f>
        <v>1154</v>
      </c>
      <c r="N97" s="78">
        <f>'DATA - Income Statement'!$F$66</f>
        <v>1154</v>
      </c>
      <c r="O97" s="78">
        <f>'DATA - Income Statement'!$F$66</f>
        <v>1154</v>
      </c>
      <c r="Q97" s="249" t="s">
        <v>49</v>
      </c>
      <c r="R97" s="227">
        <f>'DATA - Key Stats'!$F$84</f>
        <v>4.1144559999999997</v>
      </c>
      <c r="S97" s="228">
        <f>'DATA - Industry'!$J$12</f>
        <v>5.9</v>
      </c>
      <c r="T97" s="96"/>
      <c r="U97" s="81"/>
      <c r="V97" s="82"/>
      <c r="W97" s="82"/>
      <c r="X97" s="82"/>
      <c r="Y97" s="180" t="s">
        <v>1045</v>
      </c>
    </row>
    <row r="98" spans="2:25" ht="15" x14ac:dyDescent="0.2">
      <c r="B98" s="206" t="s">
        <v>1025</v>
      </c>
      <c r="C98" s="207">
        <f>-1*' DATA - Balance Sheet'!F78</f>
        <v>-687</v>
      </c>
      <c r="D98" s="82"/>
      <c r="E98" s="70" t="s">
        <v>499</v>
      </c>
      <c r="F98" s="76">
        <f>$C$98</f>
        <v>-687</v>
      </c>
      <c r="G98" s="76">
        <f t="shared" ref="G98:H98" si="76">$C$98</f>
        <v>-687</v>
      </c>
      <c r="H98" s="76">
        <f t="shared" si="76"/>
        <v>-687</v>
      </c>
      <c r="I98" s="204"/>
      <c r="J98" s="73" t="s">
        <v>501</v>
      </c>
      <c r="K98" s="223">
        <f>K96/K97</f>
        <v>132.94090121317157</v>
      </c>
      <c r="L98" s="79">
        <f>L96/L97</f>
        <v>75.875216637781634</v>
      </c>
      <c r="M98" s="79">
        <f>M96/M97</f>
        <v>79.204679376083192</v>
      </c>
      <c r="N98" s="79">
        <f>N96/N97</f>
        <v>103.65389948006933</v>
      </c>
      <c r="O98" s="223">
        <f>O96/O97</f>
        <v>66.239514731369155</v>
      </c>
    </row>
    <row r="99" spans="2:25" ht="15" x14ac:dyDescent="0.2">
      <c r="B99" s="83" t="s">
        <v>500</v>
      </c>
      <c r="C99" s="205">
        <f ca="1">SUM(C97:C98)</f>
        <v>144986.82273391489</v>
      </c>
      <c r="D99" s="82"/>
      <c r="E99" s="71" t="s">
        <v>500</v>
      </c>
      <c r="F99" s="77">
        <f ca="1">SUM(F97:F98)</f>
        <v>115976.65758849625</v>
      </c>
      <c r="G99" s="77">
        <f t="shared" ref="G99:H99" ca="1" si="77">SUM(G97:G98)</f>
        <v>100055.73492348698</v>
      </c>
      <c r="H99" s="77">
        <f t="shared" ca="1" si="77"/>
        <v>100984.63149534006</v>
      </c>
      <c r="I99" s="204"/>
      <c r="J99" s="204"/>
    </row>
    <row r="100" spans="2:25" ht="15" x14ac:dyDescent="0.2">
      <c r="B100" s="82"/>
      <c r="C100" s="82"/>
      <c r="D100" s="82"/>
      <c r="E100" s="72" t="s">
        <v>1026</v>
      </c>
      <c r="F100" s="75">
        <f>$C$101</f>
        <v>1154</v>
      </c>
      <c r="G100" s="75">
        <f t="shared" ref="G100:H100" si="78">$C$101</f>
        <v>1154</v>
      </c>
      <c r="H100" s="75">
        <f t="shared" si="78"/>
        <v>1154</v>
      </c>
      <c r="I100" s="204"/>
      <c r="J100" s="204"/>
    </row>
    <row r="101" spans="2:25" ht="15" x14ac:dyDescent="0.2">
      <c r="B101" s="208" t="s">
        <v>1026</v>
      </c>
      <c r="C101" s="209">
        <f>K97</f>
        <v>1154</v>
      </c>
      <c r="D101" s="204"/>
      <c r="E101" s="73" t="s">
        <v>501</v>
      </c>
      <c r="F101" s="222">
        <f ca="1">F99/F100</f>
        <v>100.49970328292569</v>
      </c>
      <c r="G101" s="223">
        <f t="shared" ref="G101:H101" ca="1" si="79">G99/G100</f>
        <v>86.7034098123804</v>
      </c>
      <c r="H101" s="222">
        <f t="shared" ca="1" si="79"/>
        <v>87.508346183136965</v>
      </c>
      <c r="I101" s="204"/>
      <c r="J101" s="204"/>
    </row>
    <row r="102" spans="2:25" ht="15" x14ac:dyDescent="0.2">
      <c r="B102" s="204"/>
      <c r="C102" s="204"/>
      <c r="D102" s="204"/>
      <c r="E102" s="204"/>
      <c r="F102" s="204"/>
      <c r="G102" s="204"/>
      <c r="H102" s="82"/>
    </row>
    <row r="103" spans="2:25" ht="15" x14ac:dyDescent="0.2">
      <c r="B103" s="83" t="s">
        <v>1027</v>
      </c>
      <c r="C103" s="210">
        <f ca="1">C99/C101</f>
        <v>125.63849457011689</v>
      </c>
      <c r="D103" s="204"/>
      <c r="E103" s="204"/>
      <c r="F103" s="204"/>
      <c r="G103" s="204"/>
      <c r="H103" s="82"/>
    </row>
    <row r="109" spans="2:25" ht="15" x14ac:dyDescent="0.2">
      <c r="B109" s="232" t="s">
        <v>1033</v>
      </c>
      <c r="C109" s="233"/>
      <c r="D109" s="233"/>
      <c r="E109" s="234"/>
      <c r="F109" s="234"/>
      <c r="G109" s="233"/>
      <c r="H109" s="234"/>
      <c r="I109" s="234"/>
      <c r="J109" s="204"/>
      <c r="M109" s="82"/>
      <c r="N109" s="82"/>
    </row>
    <row r="110" spans="2:25" ht="15" x14ac:dyDescent="0.2">
      <c r="B110" s="235">
        <f ca="1">C103</f>
        <v>125.63849457011689</v>
      </c>
      <c r="C110" s="236">
        <v>0.09</v>
      </c>
      <c r="D110" s="236">
        <f>C110+0.5%</f>
        <v>9.5000000000000001E-2</v>
      </c>
      <c r="E110" s="236">
        <f t="shared" ref="E110:I110" si="80">D110+0.5%</f>
        <v>0.1</v>
      </c>
      <c r="F110" s="236">
        <f t="shared" si="80"/>
        <v>0.10500000000000001</v>
      </c>
      <c r="G110" s="236">
        <f t="shared" si="80"/>
        <v>0.11000000000000001</v>
      </c>
      <c r="H110" s="236">
        <f t="shared" si="80"/>
        <v>0.11500000000000002</v>
      </c>
      <c r="I110" s="236">
        <f t="shared" si="80"/>
        <v>0.12000000000000002</v>
      </c>
      <c r="J110" s="204"/>
      <c r="K110" s="243" t="s">
        <v>1037</v>
      </c>
      <c r="L110" s="244" t="s">
        <v>1038</v>
      </c>
      <c r="M110" s="244" t="s">
        <v>1039</v>
      </c>
      <c r="N110" s="244" t="s">
        <v>1040</v>
      </c>
      <c r="P110" s="265" t="s">
        <v>1263</v>
      </c>
      <c r="Q110" s="133"/>
      <c r="R110" s="133"/>
      <c r="S110" s="133"/>
    </row>
    <row r="111" spans="2:25" ht="15" x14ac:dyDescent="0.2">
      <c r="B111" s="237">
        <v>1.6E-2</v>
      </c>
      <c r="C111" s="238">
        <f t="dataTable" ref="C111:I118" dt2D="1" dtr="1" r1="C19" r2="C20" ca="1"/>
        <v>155.52356330427475</v>
      </c>
      <c r="D111" s="238">
        <v>142.92458791617346</v>
      </c>
      <c r="E111" s="238">
        <v>131.92260819257686</v>
      </c>
      <c r="F111" s="238">
        <v>122.24416972102324</v>
      </c>
      <c r="G111" s="238">
        <v>113.67421921279156</v>
      </c>
      <c r="H111" s="238">
        <v>106.04134428214533</v>
      </c>
      <c r="I111" s="238">
        <v>99.207271754333973</v>
      </c>
      <c r="J111" s="204"/>
      <c r="K111" s="245" t="s">
        <v>1041</v>
      </c>
      <c r="L111" s="246">
        <f>MIN(C111:$I$118)</f>
        <v>99.207271754333973</v>
      </c>
      <c r="M111" s="246">
        <f>N111-L111</f>
        <v>64.602143196515684</v>
      </c>
      <c r="N111" s="246">
        <f>MAX(C111:I118)</f>
        <v>163.80941495084966</v>
      </c>
      <c r="P111" s="274" t="s">
        <v>1261</v>
      </c>
      <c r="Q111" s="135">
        <v>0.6</v>
      </c>
      <c r="R111" s="262">
        <f>L115</f>
        <v>76.529001268429582</v>
      </c>
      <c r="S111" s="262">
        <f>Q111*R111</f>
        <v>45.917400761057749</v>
      </c>
    </row>
    <row r="112" spans="2:25" ht="15" x14ac:dyDescent="0.2">
      <c r="B112" s="237">
        <f>B111+0.1%</f>
        <v>1.7000000000000001E-2</v>
      </c>
      <c r="C112" s="238">
        <v>156.60996655343428</v>
      </c>
      <c r="D112" s="238">
        <v>143.81675734743166</v>
      </c>
      <c r="E112" s="238">
        <v>132.66147189296422</v>
      </c>
      <c r="F112" s="238">
        <v>122.86066508244174</v>
      </c>
      <c r="G112" s="238">
        <v>114.19206377814645</v>
      </c>
      <c r="H112" s="238">
        <v>106.47894950464345</v>
      </c>
      <c r="I112" s="238">
        <v>99.579090624866609</v>
      </c>
      <c r="J112" s="204"/>
      <c r="K112" s="245" t="s">
        <v>1042</v>
      </c>
      <c r="L112" s="246">
        <f>MIN($C$122:$I$129)</f>
        <v>81.854140598413821</v>
      </c>
      <c r="M112" s="246">
        <f t="shared" ref="M112:M114" si="81">N112-L112</f>
        <v>7.8562057944332651</v>
      </c>
      <c r="N112" s="246">
        <f>MAX($C$122:$I$129)</f>
        <v>89.710346392847086</v>
      </c>
      <c r="P112" s="170" t="s">
        <v>1262</v>
      </c>
      <c r="Q112" s="135">
        <v>0.4</v>
      </c>
      <c r="R112" s="262">
        <f>N115</f>
        <v>128.98067690438174</v>
      </c>
      <c r="S112" s="262">
        <f>Q112*R112</f>
        <v>51.592270761752701</v>
      </c>
    </row>
    <row r="113" spans="2:19" ht="15" x14ac:dyDescent="0.2">
      <c r="B113" s="237">
        <f t="shared" ref="B113:B118" si="82">B112+0.1%</f>
        <v>1.8000000000000002E-2</v>
      </c>
      <c r="C113" s="238">
        <v>157.72654767062599</v>
      </c>
      <c r="D113" s="238">
        <v>144.73210001067059</v>
      </c>
      <c r="E113" s="238">
        <v>133.41835665921471</v>
      </c>
      <c r="F113" s="238">
        <v>123.49133275101931</v>
      </c>
      <c r="G113" s="238">
        <v>114.72116583405253</v>
      </c>
      <c r="H113" s="238">
        <v>106.92557751523432</v>
      </c>
      <c r="I113" s="238">
        <v>99.958200061488114</v>
      </c>
      <c r="J113" s="204"/>
      <c r="K113" s="245" t="s">
        <v>1043</v>
      </c>
      <c r="L113" s="246">
        <f>MIN($C$133:$I$140)</f>
        <v>46.793760831889081</v>
      </c>
      <c r="M113" s="246">
        <f t="shared" si="81"/>
        <v>40.294627383015602</v>
      </c>
      <c r="N113" s="246">
        <f>MAX($C$133:$I$140)</f>
        <v>87.088388214904683</v>
      </c>
      <c r="P113" s="170" t="s">
        <v>1416</v>
      </c>
      <c r="S113" s="262">
        <f>SUM(S111:S112)</f>
        <v>97.50967152281045</v>
      </c>
    </row>
    <row r="114" spans="2:19" ht="15" x14ac:dyDescent="0.2">
      <c r="B114" s="237">
        <f t="shared" si="82"/>
        <v>1.9000000000000003E-2</v>
      </c>
      <c r="C114" s="238">
        <v>158.87458177703442</v>
      </c>
      <c r="D114" s="238">
        <v>145.67153063873161</v>
      </c>
      <c r="E114" s="238">
        <v>134.19392993821214</v>
      </c>
      <c r="F114" s="238">
        <v>124.1366671095638</v>
      </c>
      <c r="G114" s="238">
        <v>115.26189650657194</v>
      </c>
      <c r="H114" s="238">
        <v>107.38151027604583</v>
      </c>
      <c r="I114" s="238">
        <v>100.3448166156665</v>
      </c>
      <c r="J114" s="204"/>
      <c r="K114" s="245" t="s">
        <v>1044</v>
      </c>
      <c r="L114" s="246">
        <f>MIN(C144:I151)</f>
        <v>78.260831889081459</v>
      </c>
      <c r="M114" s="246">
        <f t="shared" si="81"/>
        <v>97.053726169844026</v>
      </c>
      <c r="N114" s="246">
        <f>MAX(C144:I151)</f>
        <v>175.31455805892548</v>
      </c>
    </row>
    <row r="115" spans="2:19" ht="15" x14ac:dyDescent="0.2">
      <c r="B115" s="237">
        <f t="shared" si="82"/>
        <v>2.0000000000000004E-2</v>
      </c>
      <c r="C115" s="238">
        <v>160.05541685791164</v>
      </c>
      <c r="D115" s="238">
        <v>146.63601275020758</v>
      </c>
      <c r="E115" s="238">
        <v>134.98889254918447</v>
      </c>
      <c r="F115" s="238">
        <v>124.79718580595642</v>
      </c>
      <c r="G115" s="238">
        <v>115.81464341625843</v>
      </c>
      <c r="H115" s="238">
        <v>107.84704162129547</v>
      </c>
      <c r="I115" s="238">
        <v>100.73916550092842</v>
      </c>
      <c r="J115" s="204"/>
      <c r="K115" s="245" t="s">
        <v>1418</v>
      </c>
      <c r="L115" s="246">
        <f>AVERAGE(L111:L114)</f>
        <v>76.529001268429582</v>
      </c>
      <c r="M115" s="246">
        <f>N115-L115</f>
        <v>52.451675635952157</v>
      </c>
      <c r="N115" s="246">
        <f>AVERAGE(N111:N114)</f>
        <v>128.98067690438174</v>
      </c>
      <c r="P115" s="135" t="s">
        <v>1413</v>
      </c>
      <c r="R115" s="135">
        <f>S113/C7-1</f>
        <v>0.33137181216289546</v>
      </c>
    </row>
    <row r="116" spans="2:19" ht="15" x14ac:dyDescent="0.2">
      <c r="B116" s="237">
        <f t="shared" si="82"/>
        <v>2.1000000000000005E-2</v>
      </c>
      <c r="C116" s="238">
        <v>161.27047904258239</v>
      </c>
      <c r="D116" s="238">
        <v>147.6265619457775</v>
      </c>
      <c r="E116" s="238">
        <v>135.80398079587761</v>
      </c>
      <c r="F116" s="238">
        <v>125.4734311379774</v>
      </c>
      <c r="G116" s="238">
        <v>116.37981160481429</v>
      </c>
      <c r="H116" s="238">
        <v>108.32247788878448</v>
      </c>
      <c r="I116" s="238">
        <v>101.14148103033708</v>
      </c>
      <c r="J116" s="204"/>
      <c r="K116" s="266" t="s">
        <v>1417</v>
      </c>
      <c r="L116" s="238">
        <f>'DATA - ANR'!E80</f>
        <v>70</v>
      </c>
      <c r="M116" s="221">
        <f>N116-L116</f>
        <v>165</v>
      </c>
      <c r="N116" s="238">
        <f>'DATA - ANR'!E81</f>
        <v>235</v>
      </c>
    </row>
    <row r="117" spans="2:19" ht="15" x14ac:dyDescent="0.2">
      <c r="B117" s="237">
        <f t="shared" si="82"/>
        <v>2.2000000000000006E-2</v>
      </c>
      <c r="C117" s="238">
        <v>162.5212783503317</v>
      </c>
      <c r="D117" s="238">
        <v>148.64424947547263</v>
      </c>
      <c r="E117" s="238">
        <v>136.63996874120394</v>
      </c>
      <c r="F117" s="238">
        <v>126.16597153823987</v>
      </c>
      <c r="G117" s="238">
        <v>116.95782452492823</v>
      </c>
      <c r="H117" s="238">
        <v>108.80813859213347</v>
      </c>
      <c r="I117" s="238">
        <v>101.55200708075407</v>
      </c>
      <c r="J117" s="204"/>
      <c r="K117" s="82"/>
      <c r="L117" s="82"/>
      <c r="M117" s="82"/>
      <c r="N117" s="82"/>
    </row>
    <row r="118" spans="2:19" ht="15" x14ac:dyDescent="0.2">
      <c r="B118" s="237">
        <f t="shared" si="82"/>
        <v>2.3000000000000007E-2</v>
      </c>
      <c r="C118" s="238">
        <v>163.80941495084966</v>
      </c>
      <c r="D118" s="238">
        <v>149.69020610321485</v>
      </c>
      <c r="E118" s="238">
        <v>137.49767065913613</v>
      </c>
      <c r="F118" s="238">
        <v>126.87540316777705</v>
      </c>
      <c r="G118" s="238">
        <v>117.54912509837814</v>
      </c>
      <c r="H118" s="238">
        <v>109.30435713685959</v>
      </c>
      <c r="I118" s="238">
        <v>101.97099758581882</v>
      </c>
      <c r="J118" s="204"/>
      <c r="K118" s="82"/>
      <c r="L118" s="82"/>
      <c r="M118" s="82"/>
    </row>
    <row r="119" spans="2:19" ht="15" x14ac:dyDescent="0.2">
      <c r="B119" s="204"/>
      <c r="C119" s="204"/>
      <c r="D119" s="204"/>
      <c r="E119" s="204"/>
      <c r="F119" s="204"/>
      <c r="G119" s="82"/>
      <c r="H119" s="204"/>
      <c r="I119" s="204"/>
      <c r="J119" s="204"/>
      <c r="K119" s="82"/>
      <c r="L119" s="82"/>
      <c r="M119" s="82"/>
    </row>
    <row r="120" spans="2:19" ht="15" x14ac:dyDescent="0.2">
      <c r="B120" s="232" t="s">
        <v>1034</v>
      </c>
      <c r="C120" s="233"/>
      <c r="D120" s="233"/>
      <c r="E120" s="234"/>
      <c r="F120" s="234"/>
      <c r="G120" s="233"/>
      <c r="H120" s="234"/>
      <c r="I120" s="234"/>
      <c r="J120" s="204"/>
      <c r="K120" s="82"/>
      <c r="L120" s="82"/>
      <c r="M120" s="82"/>
    </row>
    <row r="121" spans="2:19" ht="15" x14ac:dyDescent="0.2">
      <c r="B121" s="235">
        <f ca="1">G101</f>
        <v>86.7034098123804</v>
      </c>
      <c r="C121" s="239">
        <f>4200</f>
        <v>4200</v>
      </c>
      <c r="D121" s="239">
        <f>C121+200</f>
        <v>4400</v>
      </c>
      <c r="E121" s="239">
        <f t="shared" ref="E121:I121" si="83">D121+200</f>
        <v>4600</v>
      </c>
      <c r="F121" s="239">
        <f t="shared" si="83"/>
        <v>4800</v>
      </c>
      <c r="G121" s="239">
        <f t="shared" si="83"/>
        <v>5000</v>
      </c>
      <c r="H121" s="239">
        <f t="shared" si="83"/>
        <v>5200</v>
      </c>
      <c r="I121" s="239">
        <f t="shared" si="83"/>
        <v>5400</v>
      </c>
      <c r="J121" s="204"/>
      <c r="K121" s="82"/>
      <c r="L121" s="82"/>
      <c r="M121" s="82"/>
    </row>
    <row r="122" spans="2:19" ht="15" x14ac:dyDescent="0.2">
      <c r="B122" s="240">
        <f>15.5</f>
        <v>15.5</v>
      </c>
      <c r="C122" s="238">
        <f t="dataTable" ref="C122:I129" dt2D="1" dtr="1" r1="G93" r2="G92" ca="1"/>
        <v>81.854140598413821</v>
      </c>
      <c r="D122" s="238">
        <v>82.503586944086962</v>
      </c>
      <c r="E122" s="238">
        <v>83.153033289760117</v>
      </c>
      <c r="F122" s="238">
        <v>83.802479635433272</v>
      </c>
      <c r="G122" s="238">
        <v>84.451925981106413</v>
      </c>
      <c r="H122" s="238">
        <v>85.101372326779568</v>
      </c>
      <c r="I122" s="238">
        <v>85.750818672452709</v>
      </c>
      <c r="J122" s="204"/>
      <c r="K122" s="82"/>
      <c r="L122" s="82"/>
      <c r="M122" s="82"/>
    </row>
    <row r="123" spans="2:19" ht="15" x14ac:dyDescent="0.2">
      <c r="B123" s="240">
        <f>B122+0.5</f>
        <v>16</v>
      </c>
      <c r="C123" s="238">
        <v>82.294088122902082</v>
      </c>
      <c r="D123" s="238">
        <v>82.964484350693724</v>
      </c>
      <c r="E123" s="238">
        <v>83.634880578485351</v>
      </c>
      <c r="F123" s="238">
        <v>84.305276806276993</v>
      </c>
      <c r="G123" s="238">
        <v>84.975673034068635</v>
      </c>
      <c r="H123" s="238">
        <v>85.646069261860262</v>
      </c>
      <c r="I123" s="238">
        <v>86.316465489651904</v>
      </c>
      <c r="J123" s="204"/>
      <c r="K123" s="82"/>
      <c r="L123" s="82"/>
      <c r="M123" s="82"/>
    </row>
    <row r="124" spans="2:19" ht="15" x14ac:dyDescent="0.2">
      <c r="B124" s="240">
        <f t="shared" ref="B124:B129" si="84">B123+0.5</f>
        <v>16.5</v>
      </c>
      <c r="C124" s="238">
        <v>82.734035647390343</v>
      </c>
      <c r="D124" s="238">
        <v>83.425381757300457</v>
      </c>
      <c r="E124" s="238">
        <v>84.116727867210599</v>
      </c>
      <c r="F124" s="238">
        <v>84.808073977120713</v>
      </c>
      <c r="G124" s="238">
        <v>85.499420087030856</v>
      </c>
      <c r="H124" s="238">
        <v>86.19076619694097</v>
      </c>
      <c r="I124" s="238">
        <v>86.882112306851113</v>
      </c>
      <c r="J124" s="204"/>
      <c r="K124" s="82"/>
      <c r="L124" s="82"/>
      <c r="M124" s="82"/>
    </row>
    <row r="125" spans="2:19" ht="15" x14ac:dyDescent="0.2">
      <c r="B125" s="240">
        <f t="shared" si="84"/>
        <v>17</v>
      </c>
      <c r="C125" s="238">
        <v>83.173983171878604</v>
      </c>
      <c r="D125" s="238">
        <v>83.886279163907219</v>
      </c>
      <c r="E125" s="238">
        <v>84.598575155935848</v>
      </c>
      <c r="F125" s="238">
        <v>85.310871147964448</v>
      </c>
      <c r="G125" s="238">
        <v>86.023167139993078</v>
      </c>
      <c r="H125" s="238">
        <v>86.735463132021692</v>
      </c>
      <c r="I125" s="238">
        <v>87.447759124050293</v>
      </c>
      <c r="J125" s="204"/>
      <c r="K125" s="82"/>
      <c r="L125" s="82"/>
      <c r="M125" s="82"/>
    </row>
    <row r="126" spans="2:19" ht="15" x14ac:dyDescent="0.2">
      <c r="B126" s="240">
        <f t="shared" si="84"/>
        <v>17.5</v>
      </c>
      <c r="C126" s="238">
        <v>83.613930696366864</v>
      </c>
      <c r="D126" s="238">
        <v>84.347176570513966</v>
      </c>
      <c r="E126" s="238">
        <v>85.080422444661082</v>
      </c>
      <c r="F126" s="238">
        <v>85.813668318808183</v>
      </c>
      <c r="G126" s="238">
        <v>86.546914192955285</v>
      </c>
      <c r="H126" s="238">
        <v>87.280160067102386</v>
      </c>
      <c r="I126" s="238">
        <v>88.013405941249502</v>
      </c>
      <c r="J126" s="204"/>
      <c r="K126" s="82"/>
      <c r="L126" s="82"/>
      <c r="M126" s="82"/>
    </row>
    <row r="127" spans="2:19" ht="15" x14ac:dyDescent="0.2">
      <c r="B127" s="240">
        <f t="shared" si="84"/>
        <v>18</v>
      </c>
      <c r="C127" s="238">
        <v>84.053878220855125</v>
      </c>
      <c r="D127" s="238">
        <v>84.808073977120713</v>
      </c>
      <c r="E127" s="238">
        <v>85.562269733386316</v>
      </c>
      <c r="F127" s="238">
        <v>86.316465489651904</v>
      </c>
      <c r="G127" s="238">
        <v>87.070661245917506</v>
      </c>
      <c r="H127" s="238">
        <v>87.824857002183094</v>
      </c>
      <c r="I127" s="238">
        <v>88.579052758448697</v>
      </c>
      <c r="J127" s="204"/>
      <c r="K127" s="82"/>
      <c r="L127" s="82"/>
      <c r="M127" s="82"/>
    </row>
    <row r="128" spans="2:19" ht="15" x14ac:dyDescent="0.2">
      <c r="B128" s="240">
        <f t="shared" si="84"/>
        <v>18.5</v>
      </c>
      <c r="C128" s="238">
        <v>84.493825745343401</v>
      </c>
      <c r="D128" s="238">
        <v>85.268971383727475</v>
      </c>
      <c r="E128" s="238">
        <v>86.044117022111564</v>
      </c>
      <c r="F128" s="238">
        <v>86.819262660495639</v>
      </c>
      <c r="G128" s="238">
        <v>87.594408298879713</v>
      </c>
      <c r="H128" s="238">
        <v>88.369553937263802</v>
      </c>
      <c r="I128" s="238">
        <v>89.144699575647877</v>
      </c>
      <c r="J128" s="204"/>
      <c r="K128" s="82"/>
      <c r="L128" s="82"/>
      <c r="M128" s="82"/>
    </row>
    <row r="129" spans="2:13" ht="15" x14ac:dyDescent="0.2">
      <c r="B129" s="240">
        <f t="shared" si="84"/>
        <v>19</v>
      </c>
      <c r="C129" s="238">
        <v>84.933773269831661</v>
      </c>
      <c r="D129" s="238">
        <v>85.729868790334223</v>
      </c>
      <c r="E129" s="238">
        <v>86.525964310836798</v>
      </c>
      <c r="F129" s="238">
        <v>87.322059831339374</v>
      </c>
      <c r="G129" s="238">
        <v>88.118155351841935</v>
      </c>
      <c r="H129" s="238">
        <v>88.91425087234451</v>
      </c>
      <c r="I129" s="238">
        <v>89.710346392847086</v>
      </c>
      <c r="J129" s="204"/>
      <c r="K129" s="82"/>
      <c r="L129" s="82"/>
      <c r="M129" s="82"/>
    </row>
    <row r="130" spans="2:13" ht="15" x14ac:dyDescent="0.2">
      <c r="B130" s="241"/>
      <c r="C130" s="204"/>
      <c r="D130" s="204"/>
      <c r="E130" s="204"/>
      <c r="F130" s="204"/>
      <c r="G130" s="82"/>
      <c r="H130" s="204"/>
      <c r="I130" s="204"/>
      <c r="J130" s="204"/>
      <c r="K130" s="82"/>
      <c r="L130" s="82"/>
      <c r="M130" s="82"/>
    </row>
    <row r="131" spans="2:13" ht="15" x14ac:dyDescent="0.2">
      <c r="B131" s="232" t="s">
        <v>1035</v>
      </c>
      <c r="C131" s="233"/>
      <c r="D131" s="233"/>
      <c r="E131" s="234"/>
      <c r="F131" s="234"/>
      <c r="G131" s="233"/>
      <c r="H131" s="234"/>
      <c r="I131" s="234"/>
      <c r="J131" s="204"/>
      <c r="K131" s="82"/>
      <c r="L131" s="82"/>
      <c r="M131" s="82"/>
    </row>
    <row r="132" spans="2:13" ht="15" x14ac:dyDescent="0.2">
      <c r="B132" s="235">
        <f>O98</f>
        <v>66.239514731369155</v>
      </c>
      <c r="C132" s="239">
        <v>1800</v>
      </c>
      <c r="D132" s="239">
        <f>C132+200</f>
        <v>2000</v>
      </c>
      <c r="E132" s="239">
        <f t="shared" ref="E132:I132" si="85">D132+200</f>
        <v>2200</v>
      </c>
      <c r="F132" s="239">
        <f t="shared" si="85"/>
        <v>2400</v>
      </c>
      <c r="G132" s="239">
        <f t="shared" si="85"/>
        <v>2600</v>
      </c>
      <c r="H132" s="239">
        <f t="shared" si="85"/>
        <v>2800</v>
      </c>
      <c r="I132" s="239">
        <f t="shared" si="85"/>
        <v>3000</v>
      </c>
      <c r="J132" s="204"/>
    </row>
    <row r="133" spans="2:13" ht="15" x14ac:dyDescent="0.2">
      <c r="B133" s="240">
        <v>30</v>
      </c>
      <c r="C133" s="238">
        <f t="dataTable" ref="C133:I140" dt2D="1" dtr="1" r1="O93" r2="O92"/>
        <v>46.793760831889081</v>
      </c>
      <c r="D133" s="238">
        <v>51.99306759098787</v>
      </c>
      <c r="E133" s="238">
        <v>57.192374350086652</v>
      </c>
      <c r="F133" s="238">
        <v>62.391681109185441</v>
      </c>
      <c r="G133" s="238">
        <v>67.59098786828423</v>
      </c>
      <c r="H133" s="238">
        <v>72.79029462738302</v>
      </c>
      <c r="I133" s="238">
        <v>77.989601386481809</v>
      </c>
      <c r="J133" s="204"/>
    </row>
    <row r="134" spans="2:13" ht="15" x14ac:dyDescent="0.2">
      <c r="B134" s="240">
        <f>B133+0.5</f>
        <v>30.5</v>
      </c>
      <c r="C134" s="238">
        <v>47.573656845753902</v>
      </c>
      <c r="D134" s="238">
        <v>52.859618717504333</v>
      </c>
      <c r="E134" s="238">
        <v>58.145580589254763</v>
      </c>
      <c r="F134" s="238">
        <v>63.431542461005201</v>
      </c>
      <c r="G134" s="238">
        <v>68.717504332755638</v>
      </c>
      <c r="H134" s="238">
        <v>74.003466204506068</v>
      </c>
      <c r="I134" s="238">
        <v>79.289428076256499</v>
      </c>
      <c r="J134" s="204"/>
    </row>
    <row r="135" spans="2:13" ht="15" x14ac:dyDescent="0.2">
      <c r="B135" s="240">
        <f t="shared" ref="B135:B140" si="86">B134+0.5</f>
        <v>31</v>
      </c>
      <c r="C135" s="238">
        <v>48.353552859618716</v>
      </c>
      <c r="D135" s="238">
        <v>53.726169844020795</v>
      </c>
      <c r="E135" s="238">
        <v>59.098786828422874</v>
      </c>
      <c r="F135" s="238">
        <v>64.47140381282496</v>
      </c>
      <c r="G135" s="238">
        <v>69.844020797227031</v>
      </c>
      <c r="H135" s="238">
        <v>75.216637781629117</v>
      </c>
      <c r="I135" s="238">
        <v>80.589254766031189</v>
      </c>
      <c r="J135" s="204"/>
    </row>
    <row r="136" spans="2:13" ht="15" x14ac:dyDescent="0.2">
      <c r="B136" s="240">
        <f t="shared" si="86"/>
        <v>31.5</v>
      </c>
      <c r="C136" s="238">
        <v>49.133448873483538</v>
      </c>
      <c r="D136" s="238">
        <v>54.592720970537265</v>
      </c>
      <c r="E136" s="238">
        <v>60.051993067590985</v>
      </c>
      <c r="F136" s="238">
        <v>65.511265164644712</v>
      </c>
      <c r="G136" s="238">
        <v>70.970537261698439</v>
      </c>
      <c r="H136" s="238">
        <v>76.429809358752166</v>
      </c>
      <c r="I136" s="238">
        <v>81.889081455805893</v>
      </c>
      <c r="J136" s="204"/>
    </row>
    <row r="137" spans="2:13" ht="15" x14ac:dyDescent="0.2">
      <c r="B137" s="240">
        <f t="shared" si="86"/>
        <v>32</v>
      </c>
      <c r="C137" s="238">
        <v>49.913344887348352</v>
      </c>
      <c r="D137" s="238">
        <v>55.459272097053727</v>
      </c>
      <c r="E137" s="238">
        <v>61.005199306759096</v>
      </c>
      <c r="F137" s="238">
        <v>66.551126516464478</v>
      </c>
      <c r="G137" s="238">
        <v>72.097053726169847</v>
      </c>
      <c r="H137" s="238">
        <v>77.642980935875215</v>
      </c>
      <c r="I137" s="238">
        <v>83.188908145580584</v>
      </c>
      <c r="J137" s="204"/>
    </row>
    <row r="138" spans="2:13" ht="15" x14ac:dyDescent="0.2">
      <c r="B138" s="240">
        <f t="shared" si="86"/>
        <v>32.5</v>
      </c>
      <c r="C138" s="238">
        <v>50.693240901213173</v>
      </c>
      <c r="D138" s="238">
        <v>56.32582322357019</v>
      </c>
      <c r="E138" s="238">
        <v>61.958405545927207</v>
      </c>
      <c r="F138" s="238">
        <v>67.59098786828423</v>
      </c>
      <c r="G138" s="238">
        <v>73.223570190641254</v>
      </c>
      <c r="H138" s="238">
        <v>78.856152512998264</v>
      </c>
      <c r="I138" s="238">
        <v>84.488734835355288</v>
      </c>
      <c r="J138" s="204"/>
    </row>
    <row r="139" spans="2:13" ht="15" x14ac:dyDescent="0.2">
      <c r="B139" s="240">
        <f t="shared" si="86"/>
        <v>33</v>
      </c>
      <c r="C139" s="238">
        <v>51.473136915077987</v>
      </c>
      <c r="D139" s="238">
        <v>57.192374350086652</v>
      </c>
      <c r="E139" s="238">
        <v>62.911611785095317</v>
      </c>
      <c r="F139" s="238">
        <v>68.630849220103983</v>
      </c>
      <c r="G139" s="238">
        <v>74.350086655112648</v>
      </c>
      <c r="H139" s="238">
        <v>80.069324090121313</v>
      </c>
      <c r="I139" s="238">
        <v>85.788561525129978</v>
      </c>
      <c r="J139" s="204"/>
    </row>
    <row r="140" spans="2:13" ht="15" x14ac:dyDescent="0.2">
      <c r="B140" s="240">
        <f t="shared" si="86"/>
        <v>33.5</v>
      </c>
      <c r="C140" s="238">
        <v>52.253032928942808</v>
      </c>
      <c r="D140" s="238">
        <v>58.058925476603122</v>
      </c>
      <c r="E140" s="238">
        <v>63.864818024263428</v>
      </c>
      <c r="F140" s="238">
        <v>69.670710571923749</v>
      </c>
      <c r="G140" s="238">
        <v>75.476603119584055</v>
      </c>
      <c r="H140" s="238">
        <v>81.282495667244362</v>
      </c>
      <c r="I140" s="238">
        <v>87.088388214904683</v>
      </c>
      <c r="J140" s="204"/>
    </row>
    <row r="141" spans="2:13" ht="15" x14ac:dyDescent="0.2">
      <c r="B141" s="204"/>
      <c r="C141" s="204"/>
      <c r="D141" s="204"/>
      <c r="E141" s="204"/>
      <c r="F141" s="204"/>
      <c r="G141" s="82"/>
      <c r="H141" s="204"/>
      <c r="I141" s="204"/>
      <c r="J141" s="204"/>
    </row>
    <row r="142" spans="2:13" ht="15" x14ac:dyDescent="0.2">
      <c r="B142" s="232" t="s">
        <v>1036</v>
      </c>
      <c r="C142" s="233"/>
      <c r="D142" s="233"/>
      <c r="E142" s="234"/>
      <c r="F142" s="234"/>
      <c r="G142" s="233"/>
      <c r="H142" s="234"/>
      <c r="I142" s="234"/>
      <c r="J142" s="204"/>
    </row>
    <row r="143" spans="2:13" ht="15" x14ac:dyDescent="0.2">
      <c r="B143" s="235">
        <f>K98</f>
        <v>132.94090121317157</v>
      </c>
      <c r="C143" s="239">
        <v>26000</v>
      </c>
      <c r="D143" s="239">
        <f>C143+500</f>
        <v>26500</v>
      </c>
      <c r="E143" s="239">
        <f t="shared" ref="E143:I143" si="87">D143+500</f>
        <v>27000</v>
      </c>
      <c r="F143" s="239">
        <f t="shared" si="87"/>
        <v>27500</v>
      </c>
      <c r="G143" s="239">
        <f t="shared" si="87"/>
        <v>28000</v>
      </c>
      <c r="H143" s="239">
        <f t="shared" si="87"/>
        <v>28500</v>
      </c>
      <c r="I143" s="239">
        <f t="shared" si="87"/>
        <v>29000</v>
      </c>
      <c r="J143" s="204"/>
    </row>
    <row r="144" spans="2:13" ht="15" x14ac:dyDescent="0.2">
      <c r="B144" s="242">
        <v>3.5</v>
      </c>
      <c r="C144" s="238">
        <f t="dataTable" ref="C144:I151" dt2D="1" dtr="1" r1="K93" r2="K92"/>
        <v>78.260831889081459</v>
      </c>
      <c r="D144" s="238">
        <v>79.777296360485266</v>
      </c>
      <c r="E144" s="238">
        <v>81.293760831889088</v>
      </c>
      <c r="F144" s="238">
        <v>82.810225303292896</v>
      </c>
      <c r="G144" s="238">
        <v>84.326689774696703</v>
      </c>
      <c r="H144" s="238">
        <v>85.843154246100525</v>
      </c>
      <c r="I144" s="238">
        <v>87.359618717504333</v>
      </c>
      <c r="J144" s="204"/>
    </row>
    <row r="145" spans="2:10" ht="15" x14ac:dyDescent="0.2">
      <c r="B145" s="242">
        <f>B144+0.5</f>
        <v>4</v>
      </c>
      <c r="C145" s="238">
        <v>89.525996533795492</v>
      </c>
      <c r="D145" s="238">
        <v>91.259098786828417</v>
      </c>
      <c r="E145" s="238">
        <v>92.992201039861357</v>
      </c>
      <c r="F145" s="238">
        <v>94.725303292894282</v>
      </c>
      <c r="G145" s="238">
        <v>96.458405545927207</v>
      </c>
      <c r="H145" s="238">
        <v>98.191507798960146</v>
      </c>
      <c r="I145" s="238">
        <v>99.924610051993071</v>
      </c>
      <c r="J145" s="204"/>
    </row>
    <row r="146" spans="2:10" ht="15" x14ac:dyDescent="0.2">
      <c r="B146" s="242">
        <f t="shared" ref="B146:B151" si="88">B145+0.5</f>
        <v>4.5</v>
      </c>
      <c r="C146" s="238">
        <v>100.79116117850953</v>
      </c>
      <c r="D146" s="238">
        <v>102.74090121317158</v>
      </c>
      <c r="E146" s="238">
        <v>104.69064124783363</v>
      </c>
      <c r="F146" s="238">
        <v>106.64038128249567</v>
      </c>
      <c r="G146" s="238">
        <v>108.59012131715771</v>
      </c>
      <c r="H146" s="238">
        <v>110.53986135181975</v>
      </c>
      <c r="I146" s="238">
        <v>112.48960138648181</v>
      </c>
      <c r="J146" s="204"/>
    </row>
    <row r="147" spans="2:10" ht="15" x14ac:dyDescent="0.2">
      <c r="B147" s="242">
        <f t="shared" si="88"/>
        <v>5</v>
      </c>
      <c r="C147" s="238">
        <v>112.05632582322357</v>
      </c>
      <c r="D147" s="238">
        <v>114.22270363951473</v>
      </c>
      <c r="E147" s="238">
        <v>116.38908145580589</v>
      </c>
      <c r="F147" s="238">
        <v>118.55545927209705</v>
      </c>
      <c r="G147" s="238">
        <v>120.72183708838821</v>
      </c>
      <c r="H147" s="238">
        <v>122.88821490467937</v>
      </c>
      <c r="I147" s="238">
        <v>125.05459272097053</v>
      </c>
      <c r="J147" s="204"/>
    </row>
    <row r="148" spans="2:10" ht="15" x14ac:dyDescent="0.2">
      <c r="B148" s="242">
        <f t="shared" si="88"/>
        <v>5.5</v>
      </c>
      <c r="C148" s="238">
        <v>123.32149046793761</v>
      </c>
      <c r="D148" s="238">
        <v>125.70450606585788</v>
      </c>
      <c r="E148" s="238">
        <v>128.08752166377818</v>
      </c>
      <c r="F148" s="238">
        <v>130.47053726169844</v>
      </c>
      <c r="G148" s="238">
        <v>132.85355285961873</v>
      </c>
      <c r="H148" s="238">
        <v>135.23656845753899</v>
      </c>
      <c r="I148" s="238">
        <v>137.61958405545928</v>
      </c>
      <c r="J148" s="204"/>
    </row>
    <row r="149" spans="2:10" ht="15" x14ac:dyDescent="0.2">
      <c r="B149" s="242">
        <f t="shared" si="88"/>
        <v>6</v>
      </c>
      <c r="C149" s="238">
        <v>134.58665511265164</v>
      </c>
      <c r="D149" s="238">
        <v>137.18630849220105</v>
      </c>
      <c r="E149" s="238">
        <v>139.78596187175043</v>
      </c>
      <c r="F149" s="238">
        <v>142.38561525129984</v>
      </c>
      <c r="G149" s="238">
        <v>144.98526863084922</v>
      </c>
      <c r="H149" s="238">
        <v>147.5849220103986</v>
      </c>
      <c r="I149" s="238">
        <v>150.18457538994801</v>
      </c>
      <c r="J149" s="204"/>
    </row>
    <row r="150" spans="2:10" ht="15" x14ac:dyDescent="0.2">
      <c r="B150" s="242">
        <f t="shared" si="88"/>
        <v>6.5</v>
      </c>
      <c r="C150" s="238">
        <v>145.85181975736569</v>
      </c>
      <c r="D150" s="238">
        <v>148.66811091854419</v>
      </c>
      <c r="E150" s="238">
        <v>151.48440207972271</v>
      </c>
      <c r="F150" s="238">
        <v>154.30069324090121</v>
      </c>
      <c r="G150" s="238">
        <v>157.11698440207971</v>
      </c>
      <c r="H150" s="238">
        <v>159.93327556325823</v>
      </c>
      <c r="I150" s="238">
        <v>162.74956672443673</v>
      </c>
      <c r="J150" s="204"/>
    </row>
    <row r="151" spans="2:10" ht="15" x14ac:dyDescent="0.2">
      <c r="B151" s="242">
        <f t="shared" si="88"/>
        <v>7</v>
      </c>
      <c r="C151" s="238">
        <v>157.11698440207971</v>
      </c>
      <c r="D151" s="238">
        <v>160.14991334488735</v>
      </c>
      <c r="E151" s="238">
        <v>163.18284228769497</v>
      </c>
      <c r="F151" s="238">
        <v>166.21577123050261</v>
      </c>
      <c r="G151" s="238">
        <v>169.24870017331023</v>
      </c>
      <c r="H151" s="238">
        <v>172.28162911611784</v>
      </c>
      <c r="I151" s="238">
        <v>175.31455805892548</v>
      </c>
      <c r="J151" s="204"/>
    </row>
    <row r="153" spans="2:10" x14ac:dyDescent="0.15">
      <c r="J153" s="180"/>
    </row>
  </sheetData>
  <mergeCells count="2">
    <mergeCell ref="U91:X91"/>
    <mergeCell ref="Q91:S91"/>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3824-11B3-A64A-8245-D1092A89D517}">
  <dimension ref="C4:J23"/>
  <sheetViews>
    <sheetView showGridLines="0" zoomScale="125" zoomScaleNormal="125" workbookViewId="0">
      <selection activeCell="I17" sqref="I17"/>
    </sheetView>
  </sheetViews>
  <sheetFormatPr baseColWidth="10" defaultRowHeight="11" x14ac:dyDescent="0.15"/>
  <cols>
    <col min="3" max="3" width="12.5" customWidth="1"/>
    <col min="4" max="4" width="15.1640625" bestFit="1" customWidth="1"/>
    <col min="5" max="5" width="2.33203125" customWidth="1"/>
    <col min="6" max="6" width="11.83203125" bestFit="1" customWidth="1"/>
    <col min="7" max="7" width="12.83203125" bestFit="1" customWidth="1"/>
    <col min="8" max="8" width="2.33203125" customWidth="1"/>
    <col min="9" max="9" width="12.33203125" bestFit="1" customWidth="1"/>
  </cols>
  <sheetData>
    <row r="4" spans="3:10" x14ac:dyDescent="0.15">
      <c r="J4" s="255" t="s">
        <v>1237</v>
      </c>
    </row>
    <row r="5" spans="3:10" x14ac:dyDescent="0.15">
      <c r="C5" t="s">
        <v>1233</v>
      </c>
      <c r="D5" s="256" t="s">
        <v>1234</v>
      </c>
      <c r="F5" t="s">
        <v>1252</v>
      </c>
      <c r="G5" s="255">
        <v>0</v>
      </c>
      <c r="I5" t="s">
        <v>1243</v>
      </c>
      <c r="J5" s="255" t="s">
        <v>1244</v>
      </c>
    </row>
    <row r="6" spans="3:10" x14ac:dyDescent="0.15">
      <c r="C6" t="s">
        <v>1242</v>
      </c>
      <c r="D6" s="256" t="s">
        <v>1240</v>
      </c>
      <c r="F6" t="s">
        <v>1253</v>
      </c>
      <c r="G6" s="260" t="e">
        <f>NA()</f>
        <v>#N/A</v>
      </c>
      <c r="I6" t="s">
        <v>1245</v>
      </c>
      <c r="J6" s="255">
        <v>34.659999999999997</v>
      </c>
    </row>
    <row r="7" spans="3:10" x14ac:dyDescent="0.15">
      <c r="C7" t="s">
        <v>1241</v>
      </c>
      <c r="D7" s="256" t="s">
        <v>1235</v>
      </c>
      <c r="I7" t="s">
        <v>70</v>
      </c>
      <c r="J7" s="255" t="s">
        <v>1246</v>
      </c>
    </row>
    <row r="8" spans="3:10" x14ac:dyDescent="0.15">
      <c r="C8" t="s">
        <v>1236</v>
      </c>
      <c r="D8" s="256" t="s">
        <v>21</v>
      </c>
      <c r="I8" t="s">
        <v>1247</v>
      </c>
      <c r="J8" s="255">
        <v>2.1</v>
      </c>
    </row>
    <row r="9" spans="3:10" x14ac:dyDescent="0.15">
      <c r="D9" s="255"/>
      <c r="F9" t="s">
        <v>1238</v>
      </c>
      <c r="G9" s="264">
        <v>73.239999999999995</v>
      </c>
      <c r="I9" t="s">
        <v>1248</v>
      </c>
      <c r="J9" s="255">
        <v>1.3</v>
      </c>
    </row>
    <row r="10" spans="3:10" x14ac:dyDescent="0.15">
      <c r="C10" t="s">
        <v>1254</v>
      </c>
      <c r="D10" s="261" t="s">
        <v>1255</v>
      </c>
      <c r="F10" t="s">
        <v>1239</v>
      </c>
      <c r="G10" s="257">
        <v>-0.24809999999999999</v>
      </c>
    </row>
    <row r="11" spans="3:10" x14ac:dyDescent="0.15">
      <c r="C11" t="s">
        <v>1260</v>
      </c>
      <c r="D11" s="263">
        <f>DCF!S113</f>
        <v>97.50967152281045</v>
      </c>
      <c r="F11" t="s">
        <v>1250</v>
      </c>
      <c r="G11" s="255" t="s">
        <v>1251</v>
      </c>
      <c r="I11" t="s">
        <v>1249</v>
      </c>
      <c r="J11" s="258">
        <v>45049</v>
      </c>
    </row>
    <row r="13" spans="3:10" x14ac:dyDescent="0.15">
      <c r="D13" s="255"/>
    </row>
    <row r="20" spans="4:4" x14ac:dyDescent="0.15">
      <c r="D20" s="255"/>
    </row>
    <row r="21" spans="4:4" x14ac:dyDescent="0.15">
      <c r="D21" s="259"/>
    </row>
    <row r="22" spans="4:4" x14ac:dyDescent="0.15">
      <c r="D22" s="254"/>
    </row>
    <row r="23" spans="4:4" x14ac:dyDescent="0.15">
      <c r="D23" s="254"/>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5:IU89"/>
  <sheetViews>
    <sheetView showGridLines="0" workbookViewId="0">
      <selection activeCell="F48" sqref="F48"/>
    </sheetView>
  </sheetViews>
  <sheetFormatPr baseColWidth="10" defaultRowHeight="11" x14ac:dyDescent="0.15"/>
  <cols>
    <col min="1" max="1" width="45.83203125" customWidth="1"/>
    <col min="2" max="6" width="14.83203125" customWidth="1"/>
    <col min="7" max="256" width="8.83203125" customWidth="1"/>
  </cols>
  <sheetData>
    <row r="5" spans="1:255" ht="17" x14ac:dyDescent="0.2">
      <c r="A5" s="1" t="s">
        <v>397</v>
      </c>
    </row>
    <row r="7" spans="1:255" ht="12" x14ac:dyDescent="0.15">
      <c r="A7" s="2" t="s">
        <v>398</v>
      </c>
      <c r="B7" s="3" t="s">
        <v>0</v>
      </c>
      <c r="C7" t="s">
        <v>1</v>
      </c>
      <c r="D7" s="4" t="s">
        <v>2</v>
      </c>
      <c r="E7" s="3" t="s">
        <v>3</v>
      </c>
      <c r="F7" t="s">
        <v>4</v>
      </c>
    </row>
    <row r="8" spans="1:255" x14ac:dyDescent="0.15">
      <c r="A8" s="4"/>
      <c r="B8" s="3" t="s">
        <v>5</v>
      </c>
      <c r="C8" t="s">
        <v>6</v>
      </c>
      <c r="D8" s="4" t="s">
        <v>2</v>
      </c>
      <c r="E8" s="3" t="s">
        <v>7</v>
      </c>
      <c r="F8" t="s">
        <v>8</v>
      </c>
    </row>
    <row r="9" spans="1:255" x14ac:dyDescent="0.15">
      <c r="A9" s="4"/>
      <c r="B9" s="3" t="s">
        <v>9</v>
      </c>
      <c r="C9" s="5" t="s">
        <v>10</v>
      </c>
      <c r="D9" s="4" t="s">
        <v>2</v>
      </c>
      <c r="E9" s="3" t="s">
        <v>11</v>
      </c>
      <c r="F9" t="s">
        <v>12</v>
      </c>
    </row>
    <row r="12" spans="1:255" x14ac:dyDescent="0.15">
      <c r="A12" s="6" t="s">
        <v>13</v>
      </c>
      <c r="B12" s="6"/>
      <c r="C12" s="6"/>
      <c r="D12" s="6"/>
      <c r="E12" s="6"/>
      <c r="F12" s="6"/>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ht="24" x14ac:dyDescent="0.15">
      <c r="A13" s="7" t="s">
        <v>14</v>
      </c>
      <c r="B13" s="12" t="s">
        <v>15</v>
      </c>
      <c r="C13" s="12" t="s">
        <v>16</v>
      </c>
      <c r="D13" s="12" t="s">
        <v>17</v>
      </c>
      <c r="E13" s="12" t="s">
        <v>18</v>
      </c>
      <c r="F13" s="12" t="s">
        <v>19</v>
      </c>
    </row>
    <row r="14" spans="1:255" ht="12" x14ac:dyDescent="0.15">
      <c r="A14" s="8" t="s">
        <v>20</v>
      </c>
      <c r="B14" s="13" t="s">
        <v>21</v>
      </c>
      <c r="C14" s="13" t="s">
        <v>21</v>
      </c>
      <c r="D14" s="13" t="s">
        <v>21</v>
      </c>
      <c r="E14" s="13" t="s">
        <v>21</v>
      </c>
      <c r="F14" s="13" t="s">
        <v>21</v>
      </c>
    </row>
    <row r="15" spans="1:255" x14ac:dyDescent="0.15">
      <c r="A15" s="9"/>
      <c r="B15" s="4"/>
      <c r="C15" s="4"/>
      <c r="D15" s="4"/>
      <c r="E15" s="4"/>
      <c r="F15" s="4"/>
    </row>
    <row r="16" spans="1:255" x14ac:dyDescent="0.15">
      <c r="A16" s="9" t="s">
        <v>22</v>
      </c>
      <c r="B16" s="14">
        <v>15451</v>
      </c>
      <c r="C16" s="14">
        <v>17772</v>
      </c>
      <c r="D16" s="14">
        <v>21454</v>
      </c>
      <c r="E16" s="14">
        <v>25371</v>
      </c>
      <c r="F16" s="14">
        <v>27518</v>
      </c>
    </row>
    <row r="17" spans="1:6" x14ac:dyDescent="0.15">
      <c r="A17" s="10" t="s">
        <v>23</v>
      </c>
      <c r="B17" s="15">
        <v>0.180006</v>
      </c>
      <c r="C17" s="15">
        <v>0.15021599999999999</v>
      </c>
      <c r="D17" s="15">
        <v>0.207179</v>
      </c>
      <c r="E17" s="15">
        <v>0.18257599999999999</v>
      </c>
      <c r="F17" s="15">
        <v>8.4624000000000005E-2</v>
      </c>
    </row>
    <row r="18" spans="1:6" x14ac:dyDescent="0.15">
      <c r="A18" s="4"/>
      <c r="B18" s="4"/>
      <c r="C18" s="4"/>
      <c r="D18" s="4"/>
      <c r="E18" s="4"/>
      <c r="F18" s="4"/>
    </row>
    <row r="19" spans="1:6" x14ac:dyDescent="0.15">
      <c r="A19" s="9" t="s">
        <v>24</v>
      </c>
      <c r="B19" s="14">
        <v>7189</v>
      </c>
      <c r="C19" s="14">
        <v>7987</v>
      </c>
      <c r="D19" s="14">
        <v>10001</v>
      </c>
      <c r="E19" s="14">
        <v>11921</v>
      </c>
      <c r="F19" s="14">
        <v>11653</v>
      </c>
    </row>
    <row r="20" spans="1:6" x14ac:dyDescent="0.15">
      <c r="A20" s="10" t="s">
        <v>25</v>
      </c>
      <c r="B20" s="15">
        <v>0.465277</v>
      </c>
      <c r="C20" s="15">
        <v>0.44941399999999998</v>
      </c>
      <c r="D20" s="15">
        <v>0.46616000000000002</v>
      </c>
      <c r="E20" s="15">
        <v>0.46986699999999998</v>
      </c>
      <c r="F20" s="15">
        <v>0.42346800000000001</v>
      </c>
    </row>
    <row r="21" spans="1:6" x14ac:dyDescent="0.15">
      <c r="A21" s="4"/>
      <c r="B21" s="4"/>
      <c r="C21" s="4"/>
      <c r="D21" s="4"/>
      <c r="E21" s="4"/>
      <c r="F21" s="4"/>
    </row>
    <row r="22" spans="1:6" x14ac:dyDescent="0.15">
      <c r="A22" s="9" t="s">
        <v>26</v>
      </c>
      <c r="B22" s="14">
        <v>2733</v>
      </c>
      <c r="C22" s="14">
        <v>3411</v>
      </c>
      <c r="D22" s="14">
        <v>4295</v>
      </c>
      <c r="E22" s="14">
        <v>5214</v>
      </c>
      <c r="F22" s="14">
        <v>4930</v>
      </c>
    </row>
    <row r="23" spans="1:6" x14ac:dyDescent="0.15">
      <c r="A23" s="10" t="s">
        <v>25</v>
      </c>
      <c r="B23" s="15">
        <v>0.17688100000000001</v>
      </c>
      <c r="C23" s="15">
        <v>0.19193099999999999</v>
      </c>
      <c r="D23" s="15">
        <v>0.20019500000000001</v>
      </c>
      <c r="E23" s="15">
        <v>0.20551</v>
      </c>
      <c r="F23" s="15">
        <v>0.17915500000000001</v>
      </c>
    </row>
    <row r="24" spans="1:6" x14ac:dyDescent="0.15">
      <c r="A24" s="4"/>
      <c r="B24" s="4"/>
      <c r="C24" s="4"/>
      <c r="D24" s="4"/>
      <c r="E24" s="4"/>
      <c r="F24" s="4"/>
    </row>
    <row r="25" spans="1:6" x14ac:dyDescent="0.15">
      <c r="A25" s="9" t="s">
        <v>27</v>
      </c>
      <c r="B25" s="14">
        <v>2219</v>
      </c>
      <c r="C25" s="14">
        <v>2797</v>
      </c>
      <c r="D25" s="14">
        <v>3428</v>
      </c>
      <c r="E25" s="14">
        <v>4315</v>
      </c>
      <c r="F25" s="14">
        <v>4039</v>
      </c>
    </row>
    <row r="26" spans="1:6" x14ac:dyDescent="0.15">
      <c r="A26" s="10" t="s">
        <v>25</v>
      </c>
      <c r="B26" s="15">
        <v>0.14361499999999999</v>
      </c>
      <c r="C26" s="15">
        <v>0.15738199999999999</v>
      </c>
      <c r="D26" s="15">
        <v>0.15978300000000001</v>
      </c>
      <c r="E26" s="15">
        <v>0.170076</v>
      </c>
      <c r="F26" s="15">
        <v>0.14677599999999999</v>
      </c>
    </row>
    <row r="27" spans="1:6" x14ac:dyDescent="0.15">
      <c r="A27" s="4"/>
      <c r="B27" s="4"/>
      <c r="C27" s="4"/>
      <c r="D27" s="4"/>
      <c r="E27" s="4"/>
      <c r="F27" s="4"/>
    </row>
    <row r="28" spans="1:6" x14ac:dyDescent="0.15">
      <c r="A28" s="9" t="s">
        <v>399</v>
      </c>
      <c r="B28" s="14">
        <v>2057</v>
      </c>
      <c r="C28" s="14">
        <v>2459</v>
      </c>
      <c r="D28" s="14">
        <v>4202</v>
      </c>
      <c r="E28" s="14">
        <v>4169</v>
      </c>
      <c r="F28" s="14">
        <v>2419</v>
      </c>
    </row>
    <row r="29" spans="1:6" x14ac:dyDescent="0.15">
      <c r="A29" s="10" t="s">
        <v>25</v>
      </c>
      <c r="B29" s="15">
        <v>0.13313</v>
      </c>
      <c r="C29" s="15">
        <v>0.13836300000000001</v>
      </c>
      <c r="D29" s="15">
        <v>0.19586000000000001</v>
      </c>
      <c r="E29" s="15">
        <v>0.16432099999999999</v>
      </c>
      <c r="F29" s="15">
        <v>8.7905999999999998E-2</v>
      </c>
    </row>
    <row r="30" spans="1:6" x14ac:dyDescent="0.15">
      <c r="A30" s="4"/>
      <c r="B30" s="4"/>
      <c r="C30" s="4"/>
      <c r="D30" s="4"/>
      <c r="E30" s="4"/>
      <c r="F30" s="4"/>
    </row>
    <row r="31" spans="1:6" x14ac:dyDescent="0.15">
      <c r="A31" s="9" t="s">
        <v>28</v>
      </c>
      <c r="B31" s="14">
        <v>2057</v>
      </c>
      <c r="C31" s="14">
        <v>2459</v>
      </c>
      <c r="D31" s="14">
        <v>4202</v>
      </c>
      <c r="E31" s="14">
        <v>4169</v>
      </c>
      <c r="F31" s="14">
        <v>2419</v>
      </c>
    </row>
    <row r="32" spans="1:6" x14ac:dyDescent="0.15">
      <c r="A32" s="10" t="s">
        <v>25</v>
      </c>
      <c r="B32" s="15">
        <v>0.13313</v>
      </c>
      <c r="C32" s="15">
        <v>0.13836300000000001</v>
      </c>
      <c r="D32" s="15">
        <v>0.19586000000000001</v>
      </c>
      <c r="E32" s="15">
        <v>0.16432099999999999</v>
      </c>
      <c r="F32" s="15">
        <v>8.7905999999999998E-2</v>
      </c>
    </row>
    <row r="33" spans="1:255" x14ac:dyDescent="0.15">
      <c r="A33" s="4"/>
      <c r="B33" s="4"/>
      <c r="C33" s="4"/>
      <c r="D33" s="4"/>
      <c r="E33" s="4"/>
      <c r="F33" s="4"/>
    </row>
    <row r="34" spans="1:255" x14ac:dyDescent="0.15">
      <c r="A34" s="9" t="s">
        <v>400</v>
      </c>
      <c r="B34" s="16">
        <v>1.71</v>
      </c>
      <c r="C34" s="16">
        <v>2.0699999999999998</v>
      </c>
      <c r="D34" s="16">
        <v>3.54</v>
      </c>
      <c r="E34" s="16">
        <v>3.52</v>
      </c>
      <c r="F34" s="16">
        <v>2.09</v>
      </c>
    </row>
    <row r="35" spans="1:255" x14ac:dyDescent="0.15">
      <c r="A35" s="10" t="s">
        <v>23</v>
      </c>
      <c r="B35" s="15">
        <v>0.16326499999999999</v>
      </c>
      <c r="C35" s="15">
        <v>0.21052599999999999</v>
      </c>
      <c r="D35" s="15">
        <v>0.710144</v>
      </c>
      <c r="E35" s="15">
        <v>-5.6499999999999996E-3</v>
      </c>
      <c r="F35" s="15">
        <v>-0.40625</v>
      </c>
    </row>
    <row r="36" spans="1:255" x14ac:dyDescent="0.15">
      <c r="A36" s="4"/>
      <c r="B36" s="4"/>
      <c r="C36" s="4"/>
      <c r="D36" s="4"/>
      <c r="E36" s="4"/>
      <c r="F36" s="4"/>
    </row>
    <row r="37" spans="1:255" x14ac:dyDescent="0.15">
      <c r="A37" s="4"/>
      <c r="B37" s="4" t="s">
        <v>29</v>
      </c>
      <c r="C37" s="4" t="s">
        <v>29</v>
      </c>
      <c r="D37" s="4" t="s">
        <v>29</v>
      </c>
      <c r="E37" s="4" t="s">
        <v>29</v>
      </c>
      <c r="F37" s="4" t="s">
        <v>29</v>
      </c>
    </row>
    <row r="38" spans="1:255" ht="12" x14ac:dyDescent="0.15">
      <c r="A38" s="4" t="s">
        <v>20</v>
      </c>
      <c r="B38" s="17" t="s">
        <v>21</v>
      </c>
      <c r="C38" s="17" t="s">
        <v>21</v>
      </c>
      <c r="D38" s="17" t="s">
        <v>21</v>
      </c>
      <c r="E38" s="17" t="s">
        <v>21</v>
      </c>
      <c r="F38" s="17" t="s">
        <v>21</v>
      </c>
    </row>
    <row r="39" spans="1:255" x14ac:dyDescent="0.15">
      <c r="A39" s="4" t="s">
        <v>30</v>
      </c>
      <c r="B39" s="18">
        <v>1</v>
      </c>
      <c r="C39" s="18">
        <v>1</v>
      </c>
      <c r="D39" s="18">
        <v>1</v>
      </c>
      <c r="E39" s="18">
        <v>1</v>
      </c>
      <c r="F39" s="18">
        <v>1</v>
      </c>
    </row>
    <row r="40" spans="1:255" ht="12" x14ac:dyDescent="0.15">
      <c r="A40" s="4" t="s">
        <v>31</v>
      </c>
      <c r="B40" s="17" t="s">
        <v>32</v>
      </c>
      <c r="C40" s="17" t="s">
        <v>32</v>
      </c>
      <c r="D40" s="17" t="s">
        <v>32</v>
      </c>
      <c r="E40" s="17" t="s">
        <v>32</v>
      </c>
      <c r="F40" s="17" t="s">
        <v>32</v>
      </c>
    </row>
    <row r="41" spans="1:255" x14ac:dyDescent="0.15">
      <c r="A41" s="11"/>
      <c r="B41" s="11"/>
      <c r="C41" s="11"/>
      <c r="D41" s="11"/>
      <c r="E41" s="11"/>
      <c r="F41" s="11"/>
    </row>
    <row r="42" spans="1:255" x14ac:dyDescent="0.15">
      <c r="A42" t="s">
        <v>401</v>
      </c>
    </row>
    <row r="44" spans="1:255" x14ac:dyDescent="0.15">
      <c r="A44" t="s">
        <v>402</v>
      </c>
    </row>
    <row r="46" spans="1:255" x14ac:dyDescent="0.15">
      <c r="A46" s="6" t="s">
        <v>33</v>
      </c>
      <c r="B46" s="6"/>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row>
    <row r="47" spans="1:255" ht="12" x14ac:dyDescent="0.15">
      <c r="A47" s="8" t="s">
        <v>20</v>
      </c>
      <c r="B47" s="13" t="s">
        <v>21</v>
      </c>
    </row>
    <row r="48" spans="1:255" x14ac:dyDescent="0.15">
      <c r="A48" s="4" t="s">
        <v>34</v>
      </c>
      <c r="B48" s="19">
        <v>73.430000000000007</v>
      </c>
    </row>
    <row r="49" spans="1:2" x14ac:dyDescent="0.15">
      <c r="A49" s="4" t="s">
        <v>403</v>
      </c>
      <c r="B49" s="18">
        <v>1131.373298</v>
      </c>
    </row>
    <row r="50" spans="1:2" x14ac:dyDescent="0.15">
      <c r="A50" s="4"/>
      <c r="B50" s="4"/>
    </row>
    <row r="51" spans="1:2" x14ac:dyDescent="0.15">
      <c r="A51" s="9" t="s">
        <v>35</v>
      </c>
      <c r="B51" s="14">
        <v>83076.741271999999</v>
      </c>
    </row>
    <row r="52" spans="1:2" x14ac:dyDescent="0.15">
      <c r="A52" s="4" t="s">
        <v>36</v>
      </c>
      <c r="B52" s="18">
        <v>10868</v>
      </c>
    </row>
    <row r="53" spans="1:2" x14ac:dyDescent="0.15">
      <c r="A53" s="4" t="s">
        <v>37</v>
      </c>
      <c r="B53" s="18">
        <v>11555</v>
      </c>
    </row>
    <row r="54" spans="1:2" ht="12" x14ac:dyDescent="0.15">
      <c r="A54" s="4" t="s">
        <v>404</v>
      </c>
      <c r="B54" s="18" t="s">
        <v>38</v>
      </c>
    </row>
    <row r="55" spans="1:2" ht="12" x14ac:dyDescent="0.15">
      <c r="A55" s="4" t="s">
        <v>39</v>
      </c>
      <c r="B55" s="18" t="s">
        <v>38</v>
      </c>
    </row>
    <row r="56" spans="1:2" ht="12" x14ac:dyDescent="0.15">
      <c r="A56" s="4" t="s">
        <v>40</v>
      </c>
      <c r="B56" s="18" t="s">
        <v>38</v>
      </c>
    </row>
    <row r="57" spans="1:2" x14ac:dyDescent="0.15">
      <c r="A57" s="9" t="s">
        <v>41</v>
      </c>
      <c r="B57" s="14">
        <v>83763.741271999999</v>
      </c>
    </row>
    <row r="58" spans="1:2" x14ac:dyDescent="0.15">
      <c r="A58" s="4"/>
      <c r="B58" s="4"/>
    </row>
    <row r="59" spans="1:2" x14ac:dyDescent="0.15">
      <c r="A59" s="4" t="s">
        <v>42</v>
      </c>
      <c r="B59" s="18">
        <v>20274</v>
      </c>
    </row>
    <row r="60" spans="1:2" ht="12" x14ac:dyDescent="0.15">
      <c r="A60" s="4" t="s">
        <v>404</v>
      </c>
      <c r="B60" s="18" t="s">
        <v>38</v>
      </c>
    </row>
    <row r="61" spans="1:2" ht="12" x14ac:dyDescent="0.15">
      <c r="A61" s="4" t="s">
        <v>39</v>
      </c>
      <c r="B61" s="18" t="s">
        <v>38</v>
      </c>
    </row>
    <row r="62" spans="1:2" x14ac:dyDescent="0.15">
      <c r="A62" s="4" t="s">
        <v>37</v>
      </c>
      <c r="B62" s="18">
        <v>11555</v>
      </c>
    </row>
    <row r="63" spans="1:2" x14ac:dyDescent="0.15">
      <c r="A63" s="9" t="s">
        <v>43</v>
      </c>
      <c r="B63" s="14">
        <v>31829</v>
      </c>
    </row>
    <row r="64" spans="1:2" x14ac:dyDescent="0.15">
      <c r="A64" s="4"/>
      <c r="B64" s="4"/>
    </row>
    <row r="65" spans="1:255" ht="60" x14ac:dyDescent="0.15">
      <c r="A65" s="11" t="s">
        <v>405</v>
      </c>
      <c r="B65" s="11"/>
    </row>
    <row r="67" spans="1:255" ht="200" customHeight="1" x14ac:dyDescent="0.15">
      <c r="A67" s="20"/>
    </row>
    <row r="69" spans="1:255" x14ac:dyDescent="0.15">
      <c r="A69" t="s">
        <v>406</v>
      </c>
    </row>
    <row r="70" spans="1:255" x14ac:dyDescent="0.15">
      <c r="A70" t="s">
        <v>407</v>
      </c>
    </row>
    <row r="71" spans="1:255" x14ac:dyDescent="0.15">
      <c r="A71" t="s">
        <v>408</v>
      </c>
    </row>
    <row r="72" spans="1:255" x14ac:dyDescent="0.15">
      <c r="A72" t="s">
        <v>409</v>
      </c>
    </row>
    <row r="74" spans="1:255" x14ac:dyDescent="0.15">
      <c r="A74" s="6" t="s">
        <v>44</v>
      </c>
      <c r="B74" s="6"/>
      <c r="C74" s="6"/>
      <c r="D74" s="6"/>
      <c r="E74" s="6"/>
      <c r="F74" s="6"/>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row>
    <row r="75" spans="1:255" ht="24" x14ac:dyDescent="0.15">
      <c r="A75" s="7" t="s">
        <v>14</v>
      </c>
      <c r="B75" s="12" t="s">
        <v>15</v>
      </c>
      <c r="C75" s="12" t="s">
        <v>16</v>
      </c>
      <c r="D75" s="12" t="s">
        <v>17</v>
      </c>
      <c r="E75" s="12" t="s">
        <v>18</v>
      </c>
      <c r="F75" s="12" t="s">
        <v>19</v>
      </c>
    </row>
    <row r="76" spans="1:255" ht="12" x14ac:dyDescent="0.15">
      <c r="A76" s="9" t="s">
        <v>45</v>
      </c>
      <c r="B76" s="17" t="s">
        <v>38</v>
      </c>
      <c r="C76" s="21">
        <v>4.7132420000000002</v>
      </c>
      <c r="D76" s="21">
        <v>3.9043410000000001</v>
      </c>
      <c r="E76" s="21">
        <v>3.3015539999999999</v>
      </c>
      <c r="F76" s="21">
        <v>3.0439609999999999</v>
      </c>
    </row>
    <row r="77" spans="1:255" x14ac:dyDescent="0.15">
      <c r="A77" s="4"/>
      <c r="B77" s="4"/>
      <c r="C77" s="4"/>
      <c r="D77" s="4"/>
      <c r="E77" s="4"/>
      <c r="F77" s="4"/>
    </row>
    <row r="78" spans="1:255" ht="12" x14ac:dyDescent="0.15">
      <c r="A78" s="9" t="s">
        <v>46</v>
      </c>
      <c r="B78" s="17" t="s">
        <v>38</v>
      </c>
      <c r="C78" s="21">
        <v>23.655391000000002</v>
      </c>
      <c r="D78" s="21">
        <v>18.776897000000002</v>
      </c>
      <c r="E78" s="21">
        <v>15.517550999999999</v>
      </c>
      <c r="F78" s="21">
        <v>16.347334</v>
      </c>
    </row>
    <row r="79" spans="1:255" x14ac:dyDescent="0.15">
      <c r="A79" s="4"/>
      <c r="B79" s="4"/>
      <c r="C79" s="4"/>
      <c r="D79" s="4"/>
      <c r="E79" s="4"/>
      <c r="F79" s="4"/>
    </row>
    <row r="80" spans="1:255" ht="12" x14ac:dyDescent="0.15">
      <c r="A80" s="9" t="s">
        <v>47</v>
      </c>
      <c r="B80" s="17" t="s">
        <v>38</v>
      </c>
      <c r="C80" s="21">
        <v>29.947707999999999</v>
      </c>
      <c r="D80" s="21">
        <v>24.435162999999999</v>
      </c>
      <c r="E80" s="21">
        <v>19.412222</v>
      </c>
      <c r="F80" s="21">
        <v>20.738731999999999</v>
      </c>
    </row>
    <row r="81" spans="1:6" x14ac:dyDescent="0.15">
      <c r="A81" s="4"/>
      <c r="B81" s="4"/>
      <c r="C81" s="4"/>
      <c r="D81" s="4"/>
      <c r="E81" s="4"/>
      <c r="F81" s="4"/>
    </row>
    <row r="82" spans="1:6" ht="12" x14ac:dyDescent="0.15">
      <c r="A82" s="9" t="s">
        <v>48</v>
      </c>
      <c r="B82" s="17" t="s">
        <v>38</v>
      </c>
      <c r="C82" s="21">
        <v>35.473429000000003</v>
      </c>
      <c r="D82" s="21">
        <v>20.742937000000001</v>
      </c>
      <c r="E82" s="21">
        <v>20.860795</v>
      </c>
      <c r="F82" s="21">
        <v>35.133971000000003</v>
      </c>
    </row>
    <row r="83" spans="1:6" x14ac:dyDescent="0.15">
      <c r="A83" s="4"/>
      <c r="B83" s="4"/>
      <c r="C83" s="4"/>
      <c r="D83" s="4"/>
      <c r="E83" s="4"/>
      <c r="F83" s="4"/>
    </row>
    <row r="84" spans="1:6" ht="12" x14ac:dyDescent="0.15">
      <c r="A84" s="9" t="s">
        <v>49</v>
      </c>
      <c r="B84" s="17" t="s">
        <v>38</v>
      </c>
      <c r="C84" s="21">
        <v>5.101178</v>
      </c>
      <c r="D84" s="21">
        <v>4.2989139999999999</v>
      </c>
      <c r="E84" s="21">
        <v>3.9474490000000002</v>
      </c>
      <c r="F84" s="21">
        <v>4.1144559999999997</v>
      </c>
    </row>
    <row r="85" spans="1:6" x14ac:dyDescent="0.15">
      <c r="A85" s="4"/>
      <c r="B85" s="4"/>
      <c r="C85" s="4"/>
      <c r="D85" s="4"/>
      <c r="E85" s="4"/>
      <c r="F85" s="4"/>
    </row>
    <row r="86" spans="1:6" ht="12" x14ac:dyDescent="0.15">
      <c r="A86" s="9" t="s">
        <v>50</v>
      </c>
      <c r="B86" s="17" t="s">
        <v>38</v>
      </c>
      <c r="C86" s="21">
        <v>8.7047380000000008</v>
      </c>
      <c r="D86" s="21">
        <v>8.7494879999999995</v>
      </c>
      <c r="E86" s="21">
        <v>9.5924669999999992</v>
      </c>
      <c r="F86" s="21">
        <v>10.078106</v>
      </c>
    </row>
    <row r="87" spans="1:6" x14ac:dyDescent="0.15">
      <c r="A87" s="4"/>
      <c r="B87" s="4"/>
      <c r="C87" s="4"/>
      <c r="D87" s="4"/>
      <c r="E87" s="4"/>
      <c r="F87" s="4"/>
    </row>
    <row r="88" spans="1:6" x14ac:dyDescent="0.15">
      <c r="A88" s="11"/>
      <c r="B88" s="11"/>
      <c r="C88" s="11"/>
      <c r="D88" s="11"/>
      <c r="E88" s="11"/>
      <c r="F88" s="11"/>
    </row>
    <row r="89" spans="1:6" x14ac:dyDescent="0.15">
      <c r="A89" s="22" t="s">
        <v>51</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autoPageBreaks="0"/>
  </sheetPr>
  <dimension ref="A5:IU115"/>
  <sheetViews>
    <sheetView showGridLines="0" workbookViewId="0">
      <selection activeCell="G68" sqref="G68"/>
    </sheetView>
  </sheetViews>
  <sheetFormatPr baseColWidth="10" defaultRowHeight="11" x14ac:dyDescent="0.15"/>
  <cols>
    <col min="1" max="1" width="45.83203125" customWidth="1"/>
    <col min="2" max="6" width="14.83203125" customWidth="1"/>
    <col min="7" max="256" width="8.83203125" customWidth="1"/>
  </cols>
  <sheetData>
    <row r="5" spans="1:255" ht="17" x14ac:dyDescent="0.2">
      <c r="A5" s="1" t="s">
        <v>410</v>
      </c>
    </row>
    <row r="7" spans="1:255" ht="12" x14ac:dyDescent="0.15">
      <c r="A7" s="2" t="s">
        <v>411</v>
      </c>
      <c r="B7" s="3" t="s">
        <v>52</v>
      </c>
      <c r="C7" t="s">
        <v>53</v>
      </c>
      <c r="D7" s="4" t="s">
        <v>2</v>
      </c>
      <c r="E7" s="3" t="s">
        <v>54</v>
      </c>
      <c r="F7" t="s">
        <v>55</v>
      </c>
    </row>
    <row r="8" spans="1:255" x14ac:dyDescent="0.15">
      <c r="A8" s="4"/>
      <c r="B8" s="3" t="s">
        <v>56</v>
      </c>
      <c r="C8" t="s">
        <v>57</v>
      </c>
      <c r="D8" s="4" t="s">
        <v>2</v>
      </c>
      <c r="E8" s="3" t="s">
        <v>58</v>
      </c>
      <c r="F8" t="s">
        <v>6</v>
      </c>
    </row>
    <row r="9" spans="1:255" x14ac:dyDescent="0.15">
      <c r="A9" s="4"/>
      <c r="B9" s="3" t="s">
        <v>59</v>
      </c>
      <c r="C9" t="s">
        <v>60</v>
      </c>
      <c r="D9" s="4" t="s">
        <v>2</v>
      </c>
      <c r="E9" s="3" t="s">
        <v>61</v>
      </c>
      <c r="F9" t="s">
        <v>4</v>
      </c>
    </row>
    <row r="10" spans="1:255" x14ac:dyDescent="0.15">
      <c r="A10" s="4"/>
      <c r="B10" s="3" t="s">
        <v>62</v>
      </c>
      <c r="C10" t="s">
        <v>8</v>
      </c>
      <c r="D10" s="4" t="s">
        <v>2</v>
      </c>
      <c r="E10" s="3" t="s">
        <v>63</v>
      </c>
      <c r="F10" s="5" t="s">
        <v>10</v>
      </c>
    </row>
    <row r="13" spans="1:255" x14ac:dyDescent="0.15">
      <c r="A13" s="6" t="s">
        <v>64</v>
      </c>
      <c r="B13" s="6"/>
      <c r="C13" s="6"/>
      <c r="D13" s="6"/>
      <c r="E13" s="6"/>
      <c r="F13" s="6"/>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ht="36" x14ac:dyDescent="0.15">
      <c r="A14" s="7" t="s">
        <v>14</v>
      </c>
      <c r="B14" s="12" t="s">
        <v>65</v>
      </c>
      <c r="C14" s="12" t="s">
        <v>66</v>
      </c>
      <c r="D14" s="12" t="s">
        <v>67</v>
      </c>
      <c r="E14" s="12" t="s">
        <v>68</v>
      </c>
      <c r="F14" s="12" t="s">
        <v>69</v>
      </c>
    </row>
    <row r="15" spans="1:255" ht="12" x14ac:dyDescent="0.15">
      <c r="A15" s="8" t="s">
        <v>20</v>
      </c>
      <c r="B15" s="13" t="s">
        <v>21</v>
      </c>
      <c r="C15" s="13" t="s">
        <v>21</v>
      </c>
      <c r="D15" s="13" t="s">
        <v>21</v>
      </c>
      <c r="E15" s="13" t="s">
        <v>21</v>
      </c>
      <c r="F15" s="13" t="s">
        <v>21</v>
      </c>
    </row>
    <row r="16" spans="1:255" x14ac:dyDescent="0.15">
      <c r="A16" s="9" t="s">
        <v>29</v>
      </c>
      <c r="B16" s="4"/>
      <c r="C16" s="4"/>
      <c r="D16" s="4"/>
      <c r="E16" s="4"/>
      <c r="F16" s="4"/>
    </row>
    <row r="17" spans="1:6" x14ac:dyDescent="0.15">
      <c r="A17" s="4" t="s">
        <v>70</v>
      </c>
      <c r="B17" s="18">
        <v>15451</v>
      </c>
      <c r="C17" s="18">
        <v>17772</v>
      </c>
      <c r="D17" s="18">
        <v>21454</v>
      </c>
      <c r="E17" s="18">
        <v>25371</v>
      </c>
      <c r="F17" s="18">
        <v>27518</v>
      </c>
    </row>
    <row r="18" spans="1:6" ht="12" x14ac:dyDescent="0.15">
      <c r="A18" s="4" t="s">
        <v>71</v>
      </c>
      <c r="B18" s="18" t="s">
        <v>38</v>
      </c>
      <c r="C18" s="18" t="s">
        <v>38</v>
      </c>
      <c r="D18" s="18" t="s">
        <v>38</v>
      </c>
      <c r="E18" s="18" t="s">
        <v>38</v>
      </c>
      <c r="F18" s="18" t="s">
        <v>38</v>
      </c>
    </row>
    <row r="19" spans="1:6" x14ac:dyDescent="0.15">
      <c r="A19" s="9" t="s">
        <v>72</v>
      </c>
      <c r="B19" s="23">
        <v>15451</v>
      </c>
      <c r="C19" s="23">
        <v>17772</v>
      </c>
      <c r="D19" s="23">
        <v>21454</v>
      </c>
      <c r="E19" s="23">
        <v>25371</v>
      </c>
      <c r="F19" s="23">
        <v>27518</v>
      </c>
    </row>
    <row r="20" spans="1:6" x14ac:dyDescent="0.15">
      <c r="A20" s="4"/>
      <c r="B20" s="4"/>
      <c r="C20" s="4"/>
      <c r="D20" s="4"/>
      <c r="E20" s="4"/>
      <c r="F20" s="4"/>
    </row>
    <row r="21" spans="1:6" x14ac:dyDescent="0.15">
      <c r="A21" s="4" t="s">
        <v>73</v>
      </c>
      <c r="B21" s="18">
        <v>8262</v>
      </c>
      <c r="C21" s="18">
        <v>9785</v>
      </c>
      <c r="D21" s="18">
        <v>11453</v>
      </c>
      <c r="E21" s="18">
        <v>13450</v>
      </c>
      <c r="F21" s="18">
        <v>15865</v>
      </c>
    </row>
    <row r="22" spans="1:6" x14ac:dyDescent="0.15">
      <c r="A22" s="9" t="s">
        <v>74</v>
      </c>
      <c r="B22" s="23">
        <v>7189</v>
      </c>
      <c r="C22" s="23">
        <v>7987</v>
      </c>
      <c r="D22" s="23">
        <v>10001</v>
      </c>
      <c r="E22" s="23">
        <v>11921</v>
      </c>
      <c r="F22" s="23">
        <v>11653</v>
      </c>
    </row>
    <row r="23" spans="1:6" x14ac:dyDescent="0.15">
      <c r="A23" s="4"/>
      <c r="B23" s="4"/>
      <c r="C23" s="4"/>
      <c r="D23" s="4"/>
      <c r="E23" s="4"/>
      <c r="F23" s="4"/>
    </row>
    <row r="24" spans="1:6" x14ac:dyDescent="0.15">
      <c r="A24" s="4" t="s">
        <v>412</v>
      </c>
      <c r="B24" s="18">
        <v>2855</v>
      </c>
      <c r="C24" s="18">
        <v>3112</v>
      </c>
      <c r="D24" s="18">
        <v>3931</v>
      </c>
      <c r="E24" s="18">
        <v>4559</v>
      </c>
      <c r="F24" s="18">
        <v>4356</v>
      </c>
    </row>
    <row r="25" spans="1:6" x14ac:dyDescent="0.15">
      <c r="A25" s="4" t="s">
        <v>413</v>
      </c>
      <c r="B25" s="18">
        <v>1831</v>
      </c>
      <c r="C25" s="18">
        <v>2085</v>
      </c>
      <c r="D25" s="18">
        <v>2642</v>
      </c>
      <c r="E25" s="18">
        <v>3038</v>
      </c>
      <c r="F25" s="18">
        <v>3253</v>
      </c>
    </row>
    <row r="26" spans="1:6" ht="12" x14ac:dyDescent="0.15">
      <c r="A26" s="4" t="s">
        <v>414</v>
      </c>
      <c r="B26" s="18" t="s">
        <v>38</v>
      </c>
      <c r="C26" s="18" t="s">
        <v>38</v>
      </c>
      <c r="D26" s="18" t="s">
        <v>38</v>
      </c>
      <c r="E26" s="18" t="s">
        <v>38</v>
      </c>
      <c r="F26" s="18" t="s">
        <v>38</v>
      </c>
    </row>
    <row r="27" spans="1:6" ht="12" x14ac:dyDescent="0.15">
      <c r="A27" s="4" t="s">
        <v>75</v>
      </c>
      <c r="B27" s="18">
        <v>284</v>
      </c>
      <c r="C27" s="18">
        <v>-7</v>
      </c>
      <c r="D27" s="18" t="s">
        <v>38</v>
      </c>
      <c r="E27" s="18">
        <v>9</v>
      </c>
      <c r="F27" s="18">
        <v>5</v>
      </c>
    </row>
    <row r="28" spans="1:6" x14ac:dyDescent="0.15">
      <c r="A28" s="4"/>
      <c r="B28" s="4"/>
      <c r="C28" s="4"/>
      <c r="D28" s="4"/>
      <c r="E28" s="4"/>
      <c r="F28" s="4"/>
    </row>
    <row r="29" spans="1:6" x14ac:dyDescent="0.15">
      <c r="A29" s="9" t="s">
        <v>415</v>
      </c>
      <c r="B29" s="23">
        <v>4970</v>
      </c>
      <c r="C29" s="23">
        <v>5190</v>
      </c>
      <c r="D29" s="23">
        <v>6573</v>
      </c>
      <c r="E29" s="23">
        <v>7606</v>
      </c>
      <c r="F29" s="23">
        <v>7614</v>
      </c>
    </row>
    <row r="30" spans="1:6" x14ac:dyDescent="0.15">
      <c r="A30" s="4"/>
      <c r="B30" s="4"/>
      <c r="C30" s="4"/>
      <c r="D30" s="4"/>
      <c r="E30" s="4"/>
      <c r="F30" s="4"/>
    </row>
    <row r="31" spans="1:6" x14ac:dyDescent="0.15">
      <c r="A31" s="9" t="s">
        <v>76</v>
      </c>
      <c r="B31" s="14">
        <v>2219</v>
      </c>
      <c r="C31" s="14">
        <v>2797</v>
      </c>
      <c r="D31" s="14">
        <v>3428</v>
      </c>
      <c r="E31" s="14">
        <v>4315</v>
      </c>
      <c r="F31" s="14">
        <v>4039</v>
      </c>
    </row>
    <row r="32" spans="1:6" x14ac:dyDescent="0.15">
      <c r="A32" s="4"/>
      <c r="B32" s="4"/>
      <c r="C32" s="4"/>
      <c r="D32" s="4"/>
      <c r="E32" s="4"/>
      <c r="F32" s="4"/>
    </row>
    <row r="33" spans="1:10" x14ac:dyDescent="0.15">
      <c r="A33" s="4" t="s">
        <v>77</v>
      </c>
      <c r="B33" s="18">
        <v>-77</v>
      </c>
      <c r="C33" s="18">
        <v>-115</v>
      </c>
      <c r="D33" s="18">
        <v>-209</v>
      </c>
      <c r="E33" s="18">
        <v>-232</v>
      </c>
      <c r="F33" s="18">
        <v>-304</v>
      </c>
    </row>
    <row r="34" spans="1:10" x14ac:dyDescent="0.15">
      <c r="A34" s="4" t="s">
        <v>416</v>
      </c>
      <c r="B34" s="18">
        <v>168</v>
      </c>
      <c r="C34" s="18">
        <v>197</v>
      </c>
      <c r="D34" s="18">
        <v>88</v>
      </c>
      <c r="E34" s="18">
        <v>57</v>
      </c>
      <c r="F34" s="18">
        <v>174</v>
      </c>
    </row>
    <row r="35" spans="1:10" x14ac:dyDescent="0.15">
      <c r="A35" s="9" t="s">
        <v>417</v>
      </c>
      <c r="B35" s="23">
        <v>91</v>
      </c>
      <c r="C35" s="23">
        <v>82</v>
      </c>
      <c r="D35" s="23">
        <v>-121</v>
      </c>
      <c r="E35" s="23">
        <v>-175</v>
      </c>
      <c r="F35" s="23">
        <v>-130</v>
      </c>
    </row>
    <row r="36" spans="1:10" x14ac:dyDescent="0.15">
      <c r="A36" s="4"/>
      <c r="B36" s="4"/>
      <c r="C36" s="4"/>
      <c r="D36" s="4"/>
      <c r="E36" s="4"/>
      <c r="F36" s="4"/>
    </row>
    <row r="37" spans="1:10" x14ac:dyDescent="0.15">
      <c r="A37" s="4" t="s">
        <v>78</v>
      </c>
      <c r="B37" s="18">
        <v>38</v>
      </c>
      <c r="C37" s="18">
        <v>24</v>
      </c>
      <c r="D37" s="18">
        <v>-110</v>
      </c>
      <c r="E37" s="18">
        <v>144</v>
      </c>
      <c r="F37" s="18">
        <v>202</v>
      </c>
    </row>
    <row r="38" spans="1:10" x14ac:dyDescent="0.15">
      <c r="A38" s="4" t="s">
        <v>418</v>
      </c>
      <c r="B38" s="18">
        <v>-34</v>
      </c>
      <c r="C38" s="18">
        <v>-35</v>
      </c>
      <c r="D38" s="18">
        <v>157</v>
      </c>
      <c r="E38" s="18">
        <v>-83</v>
      </c>
      <c r="F38" s="18">
        <v>84</v>
      </c>
    </row>
    <row r="39" spans="1:10" x14ac:dyDescent="0.15">
      <c r="A39" s="9" t="s">
        <v>419</v>
      </c>
      <c r="B39" s="23">
        <v>2314</v>
      </c>
      <c r="C39" s="23">
        <v>2868</v>
      </c>
      <c r="D39" s="23">
        <v>3354</v>
      </c>
      <c r="E39" s="23">
        <v>4201</v>
      </c>
      <c r="F39" s="23">
        <v>4195</v>
      </c>
    </row>
    <row r="40" spans="1:10" x14ac:dyDescent="0.15">
      <c r="A40" s="4"/>
      <c r="B40" s="4"/>
      <c r="C40" s="4"/>
      <c r="D40" s="4"/>
      <c r="E40" s="4"/>
      <c r="F40" s="4"/>
    </row>
    <row r="41" spans="1:10" x14ac:dyDescent="0.15">
      <c r="A41" s="4" t="s">
        <v>79</v>
      </c>
      <c r="B41" s="18">
        <v>-25</v>
      </c>
      <c r="C41" s="18">
        <v>-78</v>
      </c>
      <c r="D41" s="18">
        <v>-109</v>
      </c>
      <c r="E41" s="18">
        <v>-27</v>
      </c>
      <c r="F41" s="18">
        <v>-121</v>
      </c>
    </row>
    <row r="42" spans="1:10" ht="12" x14ac:dyDescent="0.15">
      <c r="A42" s="4" t="s">
        <v>80</v>
      </c>
      <c r="B42" s="18" t="s">
        <v>38</v>
      </c>
      <c r="C42" s="18" t="s">
        <v>38</v>
      </c>
      <c r="D42" s="18" t="s">
        <v>38</v>
      </c>
      <c r="E42" s="18" t="s">
        <v>38</v>
      </c>
      <c r="F42" s="18" t="s">
        <v>38</v>
      </c>
    </row>
    <row r="43" spans="1:10" x14ac:dyDescent="0.15">
      <c r="A43" s="4" t="s">
        <v>420</v>
      </c>
      <c r="B43" s="18">
        <v>87</v>
      </c>
      <c r="C43" s="18">
        <v>208</v>
      </c>
      <c r="D43" s="18">
        <v>1850</v>
      </c>
      <c r="E43" s="18">
        <v>-49</v>
      </c>
      <c r="F43" s="65">
        <v>-627</v>
      </c>
    </row>
    <row r="44" spans="1:10" ht="12" x14ac:dyDescent="0.15">
      <c r="A44" s="4" t="s">
        <v>81</v>
      </c>
      <c r="B44" s="18" t="s">
        <v>38</v>
      </c>
      <c r="C44" s="18" t="s">
        <v>38</v>
      </c>
      <c r="D44" s="18">
        <v>-30</v>
      </c>
      <c r="E44" s="18">
        <v>-26</v>
      </c>
      <c r="F44" s="18">
        <v>-81</v>
      </c>
      <c r="H44" s="66">
        <f>SUM(D41:D44)</f>
        <v>1711</v>
      </c>
      <c r="I44" s="66">
        <f>SUM(E41:E44)</f>
        <v>-102</v>
      </c>
      <c r="J44" s="66">
        <f>SUM(F41:F44)</f>
        <v>-829</v>
      </c>
    </row>
    <row r="45" spans="1:10" ht="12" x14ac:dyDescent="0.15">
      <c r="A45" s="4" t="s">
        <v>82</v>
      </c>
      <c r="B45" s="18" t="s">
        <v>38</v>
      </c>
      <c r="C45" s="18" t="s">
        <v>38</v>
      </c>
      <c r="D45" s="18" t="s">
        <v>38</v>
      </c>
      <c r="E45" s="18" t="s">
        <v>38</v>
      </c>
      <c r="F45" s="18" t="s">
        <v>38</v>
      </c>
    </row>
    <row r="46" spans="1:10" x14ac:dyDescent="0.15">
      <c r="A46" s="9" t="s">
        <v>421</v>
      </c>
      <c r="B46" s="23">
        <v>2376</v>
      </c>
      <c r="C46" s="23">
        <v>2998</v>
      </c>
      <c r="D46" s="23">
        <v>5065</v>
      </c>
      <c r="E46" s="23">
        <v>4099</v>
      </c>
      <c r="F46" s="23">
        <v>3366</v>
      </c>
    </row>
    <row r="47" spans="1:10" x14ac:dyDescent="0.15">
      <c r="A47" s="4"/>
      <c r="B47" s="4"/>
      <c r="C47" s="4"/>
      <c r="D47" s="4"/>
      <c r="E47" s="4"/>
      <c r="F47" s="4"/>
      <c r="H47" s="48"/>
    </row>
    <row r="48" spans="1:10" x14ac:dyDescent="0.15">
      <c r="A48" s="4" t="s">
        <v>83</v>
      </c>
      <c r="B48" s="18">
        <v>319</v>
      </c>
      <c r="C48" s="18">
        <v>539</v>
      </c>
      <c r="D48" s="18">
        <v>863</v>
      </c>
      <c r="E48" s="18">
        <v>-70</v>
      </c>
      <c r="F48" s="65">
        <v>947</v>
      </c>
    </row>
    <row r="49" spans="1:6" x14ac:dyDescent="0.15">
      <c r="A49" s="9" t="s">
        <v>422</v>
      </c>
      <c r="B49" s="23">
        <v>2057</v>
      </c>
      <c r="C49" s="23">
        <v>2459</v>
      </c>
      <c r="D49" s="23">
        <v>4202</v>
      </c>
      <c r="E49" s="23">
        <v>4169</v>
      </c>
      <c r="F49" s="23">
        <v>2419</v>
      </c>
    </row>
    <row r="50" spans="1:6" x14ac:dyDescent="0.15">
      <c r="A50" s="4"/>
      <c r="B50" s="4"/>
      <c r="C50" s="4"/>
      <c r="D50" s="4"/>
      <c r="E50" s="4"/>
      <c r="F50" s="4"/>
    </row>
    <row r="51" spans="1:6" ht="12" x14ac:dyDescent="0.15">
      <c r="A51" s="4" t="s">
        <v>423</v>
      </c>
      <c r="B51" s="18" t="s">
        <v>38</v>
      </c>
      <c r="C51" s="18" t="s">
        <v>38</v>
      </c>
      <c r="D51" s="18" t="s">
        <v>38</v>
      </c>
      <c r="E51" s="18" t="s">
        <v>38</v>
      </c>
      <c r="F51" s="18" t="s">
        <v>38</v>
      </c>
    </row>
    <row r="52" spans="1:6" ht="12" x14ac:dyDescent="0.15">
      <c r="A52" s="4" t="s">
        <v>424</v>
      </c>
      <c r="B52" s="18" t="s">
        <v>38</v>
      </c>
      <c r="C52" s="18" t="s">
        <v>38</v>
      </c>
      <c r="D52" s="18" t="s">
        <v>38</v>
      </c>
      <c r="E52" s="18" t="s">
        <v>38</v>
      </c>
      <c r="F52" s="18" t="s">
        <v>38</v>
      </c>
    </row>
    <row r="53" spans="1:6" x14ac:dyDescent="0.15">
      <c r="A53" s="9" t="s">
        <v>84</v>
      </c>
      <c r="B53" s="23">
        <v>2057</v>
      </c>
      <c r="C53" s="23">
        <v>2459</v>
      </c>
      <c r="D53" s="23">
        <v>4202</v>
      </c>
      <c r="E53" s="23">
        <v>4169</v>
      </c>
      <c r="F53" s="23">
        <v>2419</v>
      </c>
    </row>
    <row r="54" spans="1:6" x14ac:dyDescent="0.15">
      <c r="A54" s="4"/>
      <c r="B54" s="4"/>
      <c r="C54" s="4"/>
      <c r="D54" s="4"/>
      <c r="E54" s="4"/>
      <c r="F54" s="4"/>
    </row>
    <row r="55" spans="1:6" ht="12" x14ac:dyDescent="0.15">
      <c r="A55" s="4" t="s">
        <v>425</v>
      </c>
      <c r="B55" s="18" t="s">
        <v>38</v>
      </c>
      <c r="C55" s="18" t="s">
        <v>38</v>
      </c>
      <c r="D55" s="18" t="s">
        <v>38</v>
      </c>
      <c r="E55" s="18" t="s">
        <v>38</v>
      </c>
      <c r="F55" s="18" t="s">
        <v>38</v>
      </c>
    </row>
    <row r="56" spans="1:6" x14ac:dyDescent="0.15">
      <c r="A56" s="9" t="s">
        <v>85</v>
      </c>
      <c r="B56" s="24">
        <v>2057</v>
      </c>
      <c r="C56" s="24">
        <v>2459</v>
      </c>
      <c r="D56" s="24">
        <v>4202</v>
      </c>
      <c r="E56" s="24">
        <v>4169</v>
      </c>
      <c r="F56" s="24">
        <v>2419</v>
      </c>
    </row>
    <row r="57" spans="1:6" x14ac:dyDescent="0.15">
      <c r="A57" s="4"/>
      <c r="B57" s="4"/>
      <c r="C57" s="4"/>
      <c r="D57" s="4"/>
      <c r="E57" s="4"/>
      <c r="F57" s="4"/>
    </row>
    <row r="58" spans="1:6" ht="12" x14ac:dyDescent="0.15">
      <c r="A58" s="4" t="s">
        <v>426</v>
      </c>
      <c r="B58" s="18" t="s">
        <v>38</v>
      </c>
      <c r="C58" s="18" t="s">
        <v>38</v>
      </c>
      <c r="D58" s="18" t="s">
        <v>38</v>
      </c>
      <c r="E58" s="18" t="s">
        <v>38</v>
      </c>
      <c r="F58" s="18" t="s">
        <v>38</v>
      </c>
    </row>
    <row r="59" spans="1:6" x14ac:dyDescent="0.15">
      <c r="A59" s="4"/>
      <c r="B59" s="4"/>
      <c r="C59" s="4"/>
      <c r="D59" s="4"/>
      <c r="E59" s="4"/>
      <c r="F59" s="4"/>
    </row>
    <row r="60" spans="1:6" x14ac:dyDescent="0.15">
      <c r="A60" s="9" t="s">
        <v>86</v>
      </c>
      <c r="B60" s="14">
        <v>2057</v>
      </c>
      <c r="C60" s="14">
        <v>2459</v>
      </c>
      <c r="D60" s="14">
        <v>4202</v>
      </c>
      <c r="E60" s="14">
        <v>4169</v>
      </c>
      <c r="F60" s="14">
        <v>2419</v>
      </c>
    </row>
    <row r="61" spans="1:6" x14ac:dyDescent="0.15">
      <c r="A61" s="9" t="s">
        <v>427</v>
      </c>
      <c r="B61" s="14">
        <v>2057</v>
      </c>
      <c r="C61" s="14">
        <v>2459</v>
      </c>
      <c r="D61" s="14">
        <v>4202</v>
      </c>
      <c r="E61" s="14">
        <v>4169</v>
      </c>
      <c r="F61" s="14">
        <v>2419</v>
      </c>
    </row>
    <row r="62" spans="1:6" x14ac:dyDescent="0.15">
      <c r="A62" s="4"/>
      <c r="B62" s="4"/>
      <c r="C62" s="4"/>
      <c r="D62" s="4"/>
      <c r="E62" s="4"/>
      <c r="F62" s="4"/>
    </row>
    <row r="63" spans="1:6" x14ac:dyDescent="0.15">
      <c r="A63" s="9" t="s">
        <v>87</v>
      </c>
      <c r="B63" s="4"/>
      <c r="C63" s="4"/>
      <c r="D63" s="4"/>
      <c r="E63" s="4"/>
      <c r="F63" s="4"/>
    </row>
    <row r="64" spans="1:6" x14ac:dyDescent="0.15">
      <c r="A64" s="4" t="s">
        <v>88</v>
      </c>
      <c r="B64" s="19">
        <v>1.74</v>
      </c>
      <c r="C64" s="19">
        <v>2.09</v>
      </c>
      <c r="D64" s="19">
        <v>3.58</v>
      </c>
      <c r="E64" s="19">
        <v>3.55</v>
      </c>
      <c r="F64" s="19">
        <v>2.1</v>
      </c>
    </row>
    <row r="65" spans="1:6" x14ac:dyDescent="0.15">
      <c r="A65" s="4" t="s">
        <v>428</v>
      </c>
      <c r="B65" s="25">
        <v>1.737331</v>
      </c>
      <c r="C65" s="25">
        <v>2.0945480000000001</v>
      </c>
      <c r="D65" s="25">
        <v>3.5822669999999999</v>
      </c>
      <c r="E65" s="25">
        <v>3.551107</v>
      </c>
      <c r="F65" s="25">
        <v>2.096187</v>
      </c>
    </row>
    <row r="66" spans="1:6" x14ac:dyDescent="0.15">
      <c r="A66" s="4" t="s">
        <v>429</v>
      </c>
      <c r="B66" s="18">
        <v>1184</v>
      </c>
      <c r="C66" s="18">
        <v>1174</v>
      </c>
      <c r="D66" s="18">
        <v>1173</v>
      </c>
      <c r="E66" s="18">
        <v>1174</v>
      </c>
      <c r="F66" s="18">
        <v>1154</v>
      </c>
    </row>
    <row r="67" spans="1:6" x14ac:dyDescent="0.15">
      <c r="A67" s="4"/>
      <c r="B67" s="4"/>
      <c r="C67" s="4"/>
      <c r="D67" s="4"/>
      <c r="E67" s="4"/>
      <c r="F67" s="4"/>
    </row>
    <row r="68" spans="1:6" x14ac:dyDescent="0.15">
      <c r="A68" s="4" t="s">
        <v>89</v>
      </c>
      <c r="B68" s="19">
        <v>1.71</v>
      </c>
      <c r="C68" s="19">
        <v>2.0699999999999998</v>
      </c>
      <c r="D68" s="19">
        <v>3.54</v>
      </c>
      <c r="E68" s="19">
        <v>3.52</v>
      </c>
      <c r="F68" s="19">
        <v>2.09</v>
      </c>
    </row>
    <row r="69" spans="1:6" x14ac:dyDescent="0.15">
      <c r="A69" s="4" t="s">
        <v>430</v>
      </c>
      <c r="B69" s="25">
        <v>1.71</v>
      </c>
      <c r="C69" s="25">
        <v>2.0699999999999998</v>
      </c>
      <c r="D69" s="25">
        <v>3.54</v>
      </c>
      <c r="E69" s="25">
        <v>3.52</v>
      </c>
      <c r="F69" s="25">
        <v>2.09</v>
      </c>
    </row>
    <row r="70" spans="1:6" x14ac:dyDescent="0.15">
      <c r="A70" s="4" t="s">
        <v>431</v>
      </c>
      <c r="B70" s="18">
        <v>1203</v>
      </c>
      <c r="C70" s="18">
        <v>1188</v>
      </c>
      <c r="D70" s="18">
        <v>1187</v>
      </c>
      <c r="E70" s="18">
        <v>1186</v>
      </c>
      <c r="F70" s="18">
        <v>1158</v>
      </c>
    </row>
    <row r="71" spans="1:6" x14ac:dyDescent="0.15">
      <c r="A71" s="4"/>
      <c r="B71" s="4"/>
      <c r="C71" s="4"/>
      <c r="D71" s="4"/>
      <c r="E71" s="4"/>
      <c r="F71" s="4"/>
    </row>
    <row r="72" spans="1:6" x14ac:dyDescent="0.15">
      <c r="A72" s="4" t="s">
        <v>90</v>
      </c>
      <c r="B72" s="19">
        <v>1.22</v>
      </c>
      <c r="C72" s="19">
        <v>1.53</v>
      </c>
      <c r="D72" s="19">
        <v>1.79</v>
      </c>
      <c r="E72" s="19">
        <v>2.2400000000000002</v>
      </c>
      <c r="F72" s="19">
        <v>2.27</v>
      </c>
    </row>
    <row r="73" spans="1:6" x14ac:dyDescent="0.15">
      <c r="A73" s="4" t="s">
        <v>91</v>
      </c>
      <c r="B73" s="25">
        <v>1.202202</v>
      </c>
      <c r="C73" s="25">
        <v>1.5088379999999999</v>
      </c>
      <c r="D73" s="25">
        <v>1.766006</v>
      </c>
      <c r="E73" s="25">
        <v>2.2138490000000002</v>
      </c>
      <c r="F73" s="25">
        <v>2.2641399999999998</v>
      </c>
    </row>
    <row r="74" spans="1:6" x14ac:dyDescent="0.15">
      <c r="A74" s="4"/>
      <c r="B74" s="4"/>
      <c r="C74" s="4"/>
      <c r="D74" s="4"/>
      <c r="E74" s="4"/>
      <c r="F74" s="4"/>
    </row>
    <row r="75" spans="1:6" ht="12" x14ac:dyDescent="0.15">
      <c r="A75" s="4" t="s">
        <v>92</v>
      </c>
      <c r="B75" s="25" t="s">
        <v>93</v>
      </c>
      <c r="C75" s="25" t="s">
        <v>93</v>
      </c>
      <c r="D75" s="25" t="s">
        <v>93</v>
      </c>
      <c r="E75" s="25" t="s">
        <v>93</v>
      </c>
      <c r="F75" s="25" t="s">
        <v>93</v>
      </c>
    </row>
    <row r="76" spans="1:6" x14ac:dyDescent="0.15">
      <c r="A76" s="4"/>
      <c r="B76" s="4"/>
      <c r="C76" s="4"/>
      <c r="D76" s="4"/>
      <c r="E76" s="4"/>
      <c r="F76" s="4"/>
    </row>
    <row r="77" spans="1:6" x14ac:dyDescent="0.15">
      <c r="A77" s="4" t="s">
        <v>94</v>
      </c>
      <c r="B77" s="26">
        <v>0.05</v>
      </c>
      <c r="C77" s="26">
        <v>0.05</v>
      </c>
      <c r="D77" s="26">
        <v>0.05</v>
      </c>
      <c r="E77" s="26">
        <v>0.05</v>
      </c>
      <c r="F77" s="26">
        <v>0.05</v>
      </c>
    </row>
    <row r="78" spans="1:6" x14ac:dyDescent="0.15">
      <c r="A78" s="4"/>
      <c r="B78" s="4"/>
      <c r="C78" s="4"/>
      <c r="D78" s="4"/>
      <c r="E78" s="4"/>
      <c r="F78" s="4"/>
    </row>
    <row r="79" spans="1:6" x14ac:dyDescent="0.15">
      <c r="A79" s="9" t="s">
        <v>95</v>
      </c>
      <c r="B79" s="4"/>
      <c r="C79" s="4"/>
      <c r="D79" s="4"/>
      <c r="E79" s="4"/>
      <c r="F79" s="4"/>
    </row>
    <row r="80" spans="1:6" x14ac:dyDescent="0.15">
      <c r="A80" s="4" t="s">
        <v>26</v>
      </c>
      <c r="B80" s="18">
        <v>2733</v>
      </c>
      <c r="C80" s="18">
        <v>3411</v>
      </c>
      <c r="D80" s="18">
        <v>4295</v>
      </c>
      <c r="E80" s="18">
        <v>5214</v>
      </c>
      <c r="F80" s="18">
        <v>4930</v>
      </c>
    </row>
    <row r="81" spans="1:6" x14ac:dyDescent="0.15">
      <c r="A81" s="4" t="s">
        <v>96</v>
      </c>
      <c r="B81" s="18">
        <v>2368</v>
      </c>
      <c r="C81" s="18">
        <v>3008</v>
      </c>
      <c r="D81" s="18">
        <v>3879</v>
      </c>
      <c r="E81" s="18">
        <v>4758</v>
      </c>
      <c r="F81" s="18">
        <v>4510</v>
      </c>
    </row>
    <row r="82" spans="1:6" x14ac:dyDescent="0.15">
      <c r="A82" s="4" t="s">
        <v>27</v>
      </c>
      <c r="B82" s="18">
        <v>2219</v>
      </c>
      <c r="C82" s="18">
        <v>2797</v>
      </c>
      <c r="D82" s="18">
        <v>3428</v>
      </c>
      <c r="E82" s="18">
        <v>4315</v>
      </c>
      <c r="F82" s="18">
        <v>4039</v>
      </c>
    </row>
    <row r="83" spans="1:6" x14ac:dyDescent="0.15">
      <c r="A83" s="4" t="s">
        <v>97</v>
      </c>
      <c r="B83" s="18">
        <v>2827</v>
      </c>
      <c r="C83" s="18">
        <v>3541</v>
      </c>
      <c r="D83" s="18">
        <v>4461</v>
      </c>
      <c r="E83" s="18">
        <v>5398</v>
      </c>
      <c r="F83" s="18">
        <v>5124</v>
      </c>
    </row>
    <row r="84" spans="1:6" ht="12" x14ac:dyDescent="0.15">
      <c r="A84" s="4" t="s">
        <v>98</v>
      </c>
      <c r="B84" s="27">
        <v>0.13425899999999999</v>
      </c>
      <c r="C84" s="27">
        <v>0.179786</v>
      </c>
      <c r="D84" s="27">
        <v>0.17038400000000001</v>
      </c>
      <c r="E84" s="27" t="s">
        <v>99</v>
      </c>
      <c r="F84" s="27">
        <v>0.28134199999999998</v>
      </c>
    </row>
    <row r="85" spans="1:6" x14ac:dyDescent="0.15">
      <c r="A85" s="4" t="s">
        <v>100</v>
      </c>
      <c r="B85" s="18">
        <v>212</v>
      </c>
      <c r="C85" s="18">
        <v>179</v>
      </c>
      <c r="D85" s="18">
        <v>453</v>
      </c>
      <c r="E85" s="18">
        <v>86</v>
      </c>
      <c r="F85" s="18">
        <v>792</v>
      </c>
    </row>
    <row r="86" spans="1:6" x14ac:dyDescent="0.15">
      <c r="A86" s="4" t="s">
        <v>101</v>
      </c>
      <c r="B86" s="18">
        <v>278</v>
      </c>
      <c r="C86" s="18">
        <v>629</v>
      </c>
      <c r="D86" s="18">
        <v>245</v>
      </c>
      <c r="E86" s="18">
        <v>326</v>
      </c>
      <c r="F86" s="18">
        <v>966</v>
      </c>
    </row>
    <row r="87" spans="1:6" x14ac:dyDescent="0.15">
      <c r="A87" s="4" t="s">
        <v>102</v>
      </c>
      <c r="B87" s="18">
        <v>490</v>
      </c>
      <c r="C87" s="18">
        <v>808</v>
      </c>
      <c r="D87" s="18">
        <v>698</v>
      </c>
      <c r="E87" s="18">
        <v>412</v>
      </c>
      <c r="F87" s="18">
        <v>1758</v>
      </c>
    </row>
    <row r="88" spans="1:6" x14ac:dyDescent="0.15">
      <c r="A88" s="4" t="s">
        <v>103</v>
      </c>
      <c r="B88" s="18">
        <v>-150</v>
      </c>
      <c r="C88" s="18">
        <v>-146</v>
      </c>
      <c r="D88" s="18">
        <v>227</v>
      </c>
      <c r="E88" s="18">
        <v>-446</v>
      </c>
      <c r="F88" s="18">
        <v>-664</v>
      </c>
    </row>
    <row r="89" spans="1:6" x14ac:dyDescent="0.15">
      <c r="A89" s="4" t="s">
        <v>104</v>
      </c>
      <c r="B89" s="18">
        <v>-21</v>
      </c>
      <c r="C89" s="18">
        <v>-123</v>
      </c>
      <c r="D89" s="18">
        <v>-62</v>
      </c>
      <c r="E89" s="18">
        <v>-36</v>
      </c>
      <c r="F89" s="18">
        <v>-147</v>
      </c>
    </row>
    <row r="90" spans="1:6" x14ac:dyDescent="0.15">
      <c r="A90" s="4" t="s">
        <v>105</v>
      </c>
      <c r="B90" s="18">
        <v>-171</v>
      </c>
      <c r="C90" s="18">
        <v>-269</v>
      </c>
      <c r="D90" s="18">
        <v>165</v>
      </c>
      <c r="E90" s="18">
        <v>-482</v>
      </c>
      <c r="F90" s="18">
        <v>-811</v>
      </c>
    </row>
    <row r="91" spans="1:6" x14ac:dyDescent="0.15">
      <c r="A91" s="4"/>
      <c r="B91" s="4"/>
      <c r="C91" s="4"/>
      <c r="D91" s="4"/>
      <c r="E91" s="4"/>
      <c r="F91" s="4"/>
    </row>
    <row r="92" spans="1:6" x14ac:dyDescent="0.15">
      <c r="A92" s="4" t="s">
        <v>106</v>
      </c>
      <c r="B92" s="18">
        <v>1446.25</v>
      </c>
      <c r="C92" s="18">
        <v>1792.5</v>
      </c>
      <c r="D92" s="18">
        <v>2096.25</v>
      </c>
      <c r="E92" s="18">
        <v>2625.625</v>
      </c>
      <c r="F92" s="18">
        <v>2621.875</v>
      </c>
    </row>
    <row r="93" spans="1:6" x14ac:dyDescent="0.15">
      <c r="A93" s="4" t="s">
        <v>107</v>
      </c>
      <c r="B93" s="18">
        <v>72</v>
      </c>
      <c r="C93" s="18">
        <v>104</v>
      </c>
      <c r="D93" s="18">
        <v>206</v>
      </c>
      <c r="E93" s="18">
        <v>224</v>
      </c>
      <c r="F93" s="18">
        <v>290</v>
      </c>
    </row>
    <row r="94" spans="1:6" x14ac:dyDescent="0.15">
      <c r="A94" s="4" t="s">
        <v>108</v>
      </c>
      <c r="B94" s="28">
        <v>44232</v>
      </c>
      <c r="C94" s="28">
        <v>44595</v>
      </c>
      <c r="D94" s="28">
        <v>44967</v>
      </c>
      <c r="E94" s="28">
        <v>44967</v>
      </c>
      <c r="F94" s="28">
        <v>44967</v>
      </c>
    </row>
    <row r="95" spans="1:6" ht="12" x14ac:dyDescent="0.15">
      <c r="A95" s="4" t="s">
        <v>109</v>
      </c>
      <c r="B95" s="17" t="s">
        <v>110</v>
      </c>
      <c r="C95" s="17" t="s">
        <v>110</v>
      </c>
      <c r="D95" s="17" t="s">
        <v>111</v>
      </c>
      <c r="E95" s="17" t="s">
        <v>111</v>
      </c>
      <c r="F95" s="17" t="s">
        <v>112</v>
      </c>
    </row>
    <row r="96" spans="1:6" ht="12" x14ac:dyDescent="0.15">
      <c r="A96" s="4" t="s">
        <v>113</v>
      </c>
      <c r="B96" s="17" t="s">
        <v>114</v>
      </c>
      <c r="C96" s="17" t="s">
        <v>114</v>
      </c>
      <c r="D96" s="17" t="s">
        <v>114</v>
      </c>
      <c r="E96" s="17" t="s">
        <v>114</v>
      </c>
      <c r="F96" s="17" t="s">
        <v>114</v>
      </c>
    </row>
    <row r="97" spans="1:6" x14ac:dyDescent="0.15">
      <c r="A97" s="4"/>
      <c r="B97" s="4"/>
      <c r="C97" s="4"/>
      <c r="D97" s="4"/>
      <c r="E97" s="4"/>
      <c r="F97" s="4"/>
    </row>
    <row r="98" spans="1:6" x14ac:dyDescent="0.15">
      <c r="A98" s="9" t="s">
        <v>115</v>
      </c>
      <c r="B98" s="4"/>
      <c r="C98" s="4"/>
      <c r="D98" s="4"/>
      <c r="E98" s="4"/>
      <c r="F98" s="4"/>
    </row>
    <row r="99" spans="1:6" x14ac:dyDescent="0.15">
      <c r="A99" s="4" t="s">
        <v>432</v>
      </c>
      <c r="B99" s="18">
        <v>484</v>
      </c>
      <c r="C99" s="18">
        <v>399</v>
      </c>
      <c r="D99" s="18">
        <v>654</v>
      </c>
      <c r="E99" s="18">
        <v>740</v>
      </c>
      <c r="F99" s="18">
        <v>518</v>
      </c>
    </row>
    <row r="100" spans="1:6" x14ac:dyDescent="0.15">
      <c r="A100" s="4" t="s">
        <v>433</v>
      </c>
      <c r="B100" s="18">
        <v>1314</v>
      </c>
      <c r="C100" s="18">
        <v>1401</v>
      </c>
      <c r="D100" s="18">
        <v>1861</v>
      </c>
      <c r="E100" s="18">
        <v>2445</v>
      </c>
      <c r="F100" s="18">
        <v>2257</v>
      </c>
    </row>
    <row r="101" spans="1:6" x14ac:dyDescent="0.15">
      <c r="A101" s="4" t="s">
        <v>434</v>
      </c>
      <c r="B101" s="18">
        <v>1541</v>
      </c>
      <c r="C101" s="18">
        <v>1711</v>
      </c>
      <c r="D101" s="18">
        <v>2070</v>
      </c>
      <c r="E101" s="18">
        <v>2114</v>
      </c>
      <c r="F101" s="18">
        <v>2099</v>
      </c>
    </row>
    <row r="102" spans="1:6" x14ac:dyDescent="0.15">
      <c r="A102" s="4" t="s">
        <v>435</v>
      </c>
      <c r="B102" s="18">
        <v>1831</v>
      </c>
      <c r="C102" s="18">
        <v>2085</v>
      </c>
      <c r="D102" s="18">
        <v>2642</v>
      </c>
      <c r="E102" s="18">
        <v>3038</v>
      </c>
      <c r="F102" s="18">
        <v>3253</v>
      </c>
    </row>
    <row r="103" spans="1:6" x14ac:dyDescent="0.15">
      <c r="A103" s="4" t="s">
        <v>436</v>
      </c>
      <c r="B103" s="18">
        <v>94</v>
      </c>
      <c r="C103" s="18">
        <v>130</v>
      </c>
      <c r="D103" s="18">
        <v>166</v>
      </c>
      <c r="E103" s="18">
        <v>184</v>
      </c>
      <c r="F103" s="18">
        <v>194</v>
      </c>
    </row>
    <row r="104" spans="1:6" x14ac:dyDescent="0.15">
      <c r="A104" s="4" t="s">
        <v>437</v>
      </c>
      <c r="B104" s="18">
        <v>38.627983999999998</v>
      </c>
      <c r="C104" s="18">
        <v>32.020560000000003</v>
      </c>
      <c r="D104" s="18">
        <v>36.52664</v>
      </c>
      <c r="E104" s="18">
        <v>34.962944</v>
      </c>
      <c r="F104" s="18">
        <v>44.165264000000001</v>
      </c>
    </row>
    <row r="105" spans="1:6" x14ac:dyDescent="0.15">
      <c r="A105" s="4" t="s">
        <v>438</v>
      </c>
      <c r="B105" s="18">
        <v>55.372016000000002</v>
      </c>
      <c r="C105" s="18">
        <v>97.979439999999997</v>
      </c>
      <c r="D105" s="18">
        <v>129.47336000000001</v>
      </c>
      <c r="E105" s="18">
        <v>149.03705600000001</v>
      </c>
      <c r="F105" s="18">
        <v>149.83473599999999</v>
      </c>
    </row>
    <row r="106" spans="1:6" x14ac:dyDescent="0.15">
      <c r="A106" s="4"/>
      <c r="B106" s="4"/>
      <c r="C106" s="4"/>
      <c r="D106" s="4"/>
      <c r="E106" s="4"/>
      <c r="F106" s="4"/>
    </row>
    <row r="107" spans="1:6" x14ac:dyDescent="0.15">
      <c r="A107" s="4" t="s">
        <v>439</v>
      </c>
      <c r="B107" s="18">
        <v>174</v>
      </c>
      <c r="C107" s="18">
        <v>198</v>
      </c>
      <c r="D107" s="18">
        <v>250</v>
      </c>
      <c r="E107" s="18">
        <v>263</v>
      </c>
      <c r="F107" s="18">
        <v>269</v>
      </c>
    </row>
    <row r="108" spans="1:6" x14ac:dyDescent="0.15">
      <c r="A108" s="4" t="s">
        <v>440</v>
      </c>
      <c r="B108" s="18">
        <v>303</v>
      </c>
      <c r="C108" s="18">
        <v>420</v>
      </c>
      <c r="D108" s="18">
        <v>529</v>
      </c>
      <c r="E108" s="18">
        <v>515</v>
      </c>
      <c r="F108" s="18">
        <v>512</v>
      </c>
    </row>
    <row r="109" spans="1:6" x14ac:dyDescent="0.15">
      <c r="A109" s="4" t="s">
        <v>441</v>
      </c>
      <c r="B109" s="18">
        <v>125</v>
      </c>
      <c r="C109" s="18">
        <v>127</v>
      </c>
      <c r="D109" s="18">
        <v>172</v>
      </c>
      <c r="E109" s="18">
        <v>175</v>
      </c>
      <c r="F109" s="18">
        <v>151</v>
      </c>
    </row>
    <row r="110" spans="1:6" x14ac:dyDescent="0.15">
      <c r="A110" s="4" t="s">
        <v>442</v>
      </c>
      <c r="B110" s="18">
        <v>269</v>
      </c>
      <c r="C110" s="18">
        <v>305</v>
      </c>
      <c r="D110" s="18">
        <v>460</v>
      </c>
      <c r="E110" s="18">
        <v>468</v>
      </c>
      <c r="F110" s="18">
        <v>383</v>
      </c>
    </row>
    <row r="111" spans="1:6" x14ac:dyDescent="0.15">
      <c r="A111" s="9" t="s">
        <v>443</v>
      </c>
      <c r="B111" s="14">
        <v>871</v>
      </c>
      <c r="C111" s="14">
        <v>1050</v>
      </c>
      <c r="D111" s="14">
        <v>1411</v>
      </c>
      <c r="E111" s="14">
        <v>1421</v>
      </c>
      <c r="F111" s="14">
        <v>1315</v>
      </c>
    </row>
    <row r="112" spans="1:6" x14ac:dyDescent="0.15">
      <c r="A112" s="4"/>
      <c r="B112" s="4"/>
      <c r="C112" s="4"/>
      <c r="D112" s="4"/>
      <c r="E112" s="4"/>
      <c r="F112" s="4"/>
    </row>
    <row r="113" spans="1:6" x14ac:dyDescent="0.15">
      <c r="A113" s="11"/>
      <c r="B113" s="11"/>
      <c r="C113" s="11"/>
      <c r="D113" s="11"/>
      <c r="E113" s="11"/>
      <c r="F113" s="11"/>
    </row>
    <row r="114" spans="1:6" x14ac:dyDescent="0.15">
      <c r="A114" t="s">
        <v>444</v>
      </c>
    </row>
    <row r="115" spans="1:6" x14ac:dyDescent="0.15">
      <c r="A115" s="22" t="s">
        <v>51</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autoPageBreaks="0"/>
  </sheetPr>
  <dimension ref="A5:IU93"/>
  <sheetViews>
    <sheetView showGridLines="0" topLeftCell="A51" workbookViewId="0">
      <selection activeCell="A72" sqref="A72"/>
    </sheetView>
  </sheetViews>
  <sheetFormatPr baseColWidth="10" defaultRowHeight="11" x14ac:dyDescent="0.15"/>
  <cols>
    <col min="1" max="1" width="45.83203125" customWidth="1"/>
    <col min="2" max="6" width="14.83203125" customWidth="1"/>
    <col min="7" max="256" width="8.83203125" customWidth="1"/>
  </cols>
  <sheetData>
    <row r="5" spans="1:255" ht="17" x14ac:dyDescent="0.2">
      <c r="A5" s="1" t="s">
        <v>445</v>
      </c>
    </row>
    <row r="7" spans="1:255" ht="12" x14ac:dyDescent="0.15">
      <c r="A7" s="2" t="s">
        <v>411</v>
      </c>
      <c r="B7" s="3" t="s">
        <v>116</v>
      </c>
      <c r="C7" t="s">
        <v>53</v>
      </c>
      <c r="D7" s="4" t="s">
        <v>2</v>
      </c>
      <c r="E7" s="3" t="s">
        <v>117</v>
      </c>
      <c r="F7" t="s">
        <v>55</v>
      </c>
    </row>
    <row r="8" spans="1:255" x14ac:dyDescent="0.15">
      <c r="A8" s="4"/>
      <c r="B8" s="3" t="s">
        <v>118</v>
      </c>
      <c r="C8" t="s">
        <v>57</v>
      </c>
      <c r="D8" s="4" t="s">
        <v>2</v>
      </c>
      <c r="E8" s="3" t="s">
        <v>119</v>
      </c>
      <c r="F8" t="s">
        <v>6</v>
      </c>
    </row>
    <row r="9" spans="1:255" x14ac:dyDescent="0.15">
      <c r="A9" s="4"/>
      <c r="B9" s="3" t="s">
        <v>120</v>
      </c>
      <c r="C9" t="s">
        <v>60</v>
      </c>
      <c r="D9" s="4" t="s">
        <v>2</v>
      </c>
      <c r="E9" s="3" t="s">
        <v>121</v>
      </c>
      <c r="F9" t="s">
        <v>4</v>
      </c>
    </row>
    <row r="10" spans="1:255" x14ac:dyDescent="0.15">
      <c r="A10" s="4"/>
      <c r="B10" s="3" t="s">
        <v>122</v>
      </c>
      <c r="C10" t="s">
        <v>8</v>
      </c>
      <c r="D10" s="4" t="s">
        <v>2</v>
      </c>
      <c r="E10" s="3" t="s">
        <v>123</v>
      </c>
      <c r="F10" s="5" t="s">
        <v>10</v>
      </c>
    </row>
    <row r="13" spans="1:255" x14ac:dyDescent="0.15">
      <c r="A13" s="6" t="s">
        <v>124</v>
      </c>
      <c r="B13" s="6"/>
      <c r="C13" s="6"/>
      <c r="D13" s="6"/>
      <c r="E13" s="6"/>
      <c r="F13" s="6"/>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ht="24" x14ac:dyDescent="0.15">
      <c r="A14" s="7" t="s">
        <v>125</v>
      </c>
      <c r="B14" s="29">
        <v>43465</v>
      </c>
      <c r="C14" s="29">
        <v>43830</v>
      </c>
      <c r="D14" s="29">
        <v>44196</v>
      </c>
      <c r="E14" s="29">
        <v>44561</v>
      </c>
      <c r="F14" s="29">
        <v>44926</v>
      </c>
    </row>
    <row r="15" spans="1:255" ht="12" x14ac:dyDescent="0.15">
      <c r="A15" s="8" t="s">
        <v>20</v>
      </c>
      <c r="B15" s="13" t="s">
        <v>21</v>
      </c>
      <c r="C15" s="13" t="s">
        <v>21</v>
      </c>
      <c r="D15" s="13" t="s">
        <v>21</v>
      </c>
      <c r="E15" s="13" t="s">
        <v>21</v>
      </c>
      <c r="F15" s="13" t="s">
        <v>21</v>
      </c>
    </row>
    <row r="16" spans="1:255" x14ac:dyDescent="0.15">
      <c r="A16" s="9" t="s">
        <v>126</v>
      </c>
      <c r="B16" s="4"/>
      <c r="C16" s="4"/>
      <c r="D16" s="4"/>
      <c r="E16" s="4"/>
      <c r="F16" s="4"/>
    </row>
    <row r="17" spans="1:6" x14ac:dyDescent="0.15">
      <c r="A17" s="4" t="s">
        <v>127</v>
      </c>
      <c r="B17" s="18">
        <v>7575</v>
      </c>
      <c r="C17" s="18">
        <v>7349</v>
      </c>
      <c r="D17" s="18">
        <v>4794</v>
      </c>
      <c r="E17" s="18">
        <v>5197</v>
      </c>
      <c r="F17" s="18">
        <v>7776</v>
      </c>
    </row>
    <row r="18" spans="1:6" x14ac:dyDescent="0.15">
      <c r="A18" s="4" t="s">
        <v>128</v>
      </c>
      <c r="B18" s="18">
        <v>1534</v>
      </c>
      <c r="C18" s="18">
        <v>3412</v>
      </c>
      <c r="D18" s="18">
        <v>8289</v>
      </c>
      <c r="E18" s="18">
        <v>4303</v>
      </c>
      <c r="F18" s="18">
        <v>3092</v>
      </c>
    </row>
    <row r="19" spans="1:6" x14ac:dyDescent="0.15">
      <c r="A19" s="9" t="s">
        <v>129</v>
      </c>
      <c r="B19" s="23">
        <v>9109</v>
      </c>
      <c r="C19" s="23">
        <v>10761</v>
      </c>
      <c r="D19" s="23">
        <v>13083</v>
      </c>
      <c r="E19" s="23">
        <v>9500</v>
      </c>
      <c r="F19" s="23">
        <v>10868</v>
      </c>
    </row>
    <row r="20" spans="1:6" x14ac:dyDescent="0.15">
      <c r="A20" s="4"/>
      <c r="B20" s="4"/>
      <c r="C20" s="4"/>
      <c r="D20" s="4"/>
      <c r="E20" s="4"/>
      <c r="F20" s="4"/>
    </row>
    <row r="21" spans="1:6" x14ac:dyDescent="0.15">
      <c r="A21" s="4" t="s">
        <v>130</v>
      </c>
      <c r="B21" s="18">
        <v>313</v>
      </c>
      <c r="C21" s="18">
        <v>435</v>
      </c>
      <c r="D21" s="18">
        <v>577</v>
      </c>
      <c r="E21" s="18">
        <v>800</v>
      </c>
      <c r="F21" s="18">
        <v>963</v>
      </c>
    </row>
    <row r="22" spans="1:6" ht="12" x14ac:dyDescent="0.15">
      <c r="A22" s="4" t="s">
        <v>131</v>
      </c>
      <c r="B22" s="18" t="s">
        <v>38</v>
      </c>
      <c r="C22" s="18">
        <v>54</v>
      </c>
      <c r="D22" s="18">
        <v>42</v>
      </c>
      <c r="E22" s="18">
        <v>36</v>
      </c>
      <c r="F22" s="18">
        <v>65</v>
      </c>
    </row>
    <row r="23" spans="1:6" x14ac:dyDescent="0.15">
      <c r="A23" s="4" t="s">
        <v>132</v>
      </c>
      <c r="B23" s="18">
        <v>2532</v>
      </c>
      <c r="C23" s="18">
        <v>3972</v>
      </c>
      <c r="D23" s="18">
        <v>2769</v>
      </c>
      <c r="E23" s="18">
        <v>4846</v>
      </c>
      <c r="F23" s="18">
        <v>7431</v>
      </c>
    </row>
    <row r="24" spans="1:6" x14ac:dyDescent="0.15">
      <c r="A24" s="9" t="s">
        <v>133</v>
      </c>
      <c r="B24" s="23">
        <v>2845</v>
      </c>
      <c r="C24" s="23">
        <v>4461</v>
      </c>
      <c r="D24" s="23">
        <v>3388</v>
      </c>
      <c r="E24" s="23">
        <v>5682</v>
      </c>
      <c r="F24" s="23">
        <v>8459</v>
      </c>
    </row>
    <row r="25" spans="1:6" x14ac:dyDescent="0.15">
      <c r="A25" s="4"/>
      <c r="B25" s="4"/>
      <c r="C25" s="4"/>
      <c r="D25" s="4"/>
      <c r="E25" s="4"/>
      <c r="F25" s="4"/>
    </row>
    <row r="26" spans="1:6" x14ac:dyDescent="0.15">
      <c r="A26" s="4" t="s">
        <v>446</v>
      </c>
      <c r="B26" s="18">
        <v>638</v>
      </c>
      <c r="C26" s="18">
        <v>612</v>
      </c>
      <c r="D26" s="18">
        <v>724</v>
      </c>
      <c r="E26" s="18">
        <v>963</v>
      </c>
      <c r="F26" s="18">
        <v>1580</v>
      </c>
    </row>
    <row r="27" spans="1:6" ht="12" x14ac:dyDescent="0.15">
      <c r="A27" s="4" t="s">
        <v>134</v>
      </c>
      <c r="B27" s="18" t="s">
        <v>38</v>
      </c>
      <c r="C27" s="18" t="s">
        <v>38</v>
      </c>
      <c r="D27" s="18">
        <v>340</v>
      </c>
      <c r="E27" s="18">
        <v>5</v>
      </c>
      <c r="F27" s="18">
        <v>24</v>
      </c>
    </row>
    <row r="28" spans="1:6" x14ac:dyDescent="0.15">
      <c r="A28" s="4" t="s">
        <v>135</v>
      </c>
      <c r="B28" s="18">
        <v>20371</v>
      </c>
      <c r="C28" s="18">
        <v>22661</v>
      </c>
      <c r="D28" s="18">
        <v>33460</v>
      </c>
      <c r="E28" s="18">
        <v>36424</v>
      </c>
      <c r="F28" s="18">
        <v>36586</v>
      </c>
    </row>
    <row r="29" spans="1:6" x14ac:dyDescent="0.15">
      <c r="A29" s="9" t="s">
        <v>136</v>
      </c>
      <c r="B29" s="23">
        <v>32963</v>
      </c>
      <c r="C29" s="23">
        <v>38495</v>
      </c>
      <c r="D29" s="23">
        <v>50995</v>
      </c>
      <c r="E29" s="23">
        <v>52574</v>
      </c>
      <c r="F29" s="23">
        <v>57517</v>
      </c>
    </row>
    <row r="30" spans="1:6" x14ac:dyDescent="0.15">
      <c r="A30" s="4"/>
      <c r="B30" s="4"/>
      <c r="C30" s="4"/>
      <c r="D30" s="4"/>
      <c r="E30" s="4"/>
      <c r="F30" s="4"/>
    </row>
    <row r="31" spans="1:6" x14ac:dyDescent="0.15">
      <c r="A31" s="4" t="s">
        <v>137</v>
      </c>
      <c r="B31" s="18">
        <v>5907</v>
      </c>
      <c r="C31" s="18">
        <v>6895</v>
      </c>
      <c r="D31" s="18">
        <v>7716</v>
      </c>
      <c r="E31" s="18">
        <v>8249</v>
      </c>
      <c r="F31" s="18">
        <v>8686</v>
      </c>
    </row>
    <row r="32" spans="1:6" x14ac:dyDescent="0.15">
      <c r="A32" s="4" t="s">
        <v>138</v>
      </c>
      <c r="B32" s="18">
        <v>-4183</v>
      </c>
      <c r="C32" s="18">
        <v>-4723</v>
      </c>
      <c r="D32" s="18">
        <v>-5202</v>
      </c>
      <c r="E32" s="18">
        <v>-5681</v>
      </c>
      <c r="F32" s="18">
        <v>-6382</v>
      </c>
    </row>
    <row r="33" spans="1:6" x14ac:dyDescent="0.15">
      <c r="A33" s="9" t="s">
        <v>139</v>
      </c>
      <c r="B33" s="23">
        <v>1724</v>
      </c>
      <c r="C33" s="23">
        <v>2172</v>
      </c>
      <c r="D33" s="23">
        <v>2514</v>
      </c>
      <c r="E33" s="23">
        <v>2568</v>
      </c>
      <c r="F33" s="23">
        <v>2304</v>
      </c>
    </row>
    <row r="34" spans="1:6" x14ac:dyDescent="0.15">
      <c r="A34" s="4"/>
      <c r="B34" s="4"/>
      <c r="C34" s="4"/>
      <c r="D34" s="4"/>
      <c r="E34" s="4"/>
      <c r="F34" s="4"/>
    </row>
    <row r="35" spans="1:6" x14ac:dyDescent="0.15">
      <c r="A35" s="4" t="s">
        <v>140</v>
      </c>
      <c r="B35" s="18">
        <v>969</v>
      </c>
      <c r="C35" s="18">
        <v>2863</v>
      </c>
      <c r="D35" s="18">
        <v>6082</v>
      </c>
      <c r="E35" s="18">
        <v>6797</v>
      </c>
      <c r="F35" s="18">
        <v>5018</v>
      </c>
    </row>
    <row r="36" spans="1:6" x14ac:dyDescent="0.15">
      <c r="A36" s="4" t="s">
        <v>141</v>
      </c>
      <c r="B36" s="18">
        <v>6284</v>
      </c>
      <c r="C36" s="18">
        <v>6212</v>
      </c>
      <c r="D36" s="18">
        <v>9135</v>
      </c>
      <c r="E36" s="18">
        <v>11454</v>
      </c>
      <c r="F36" s="18">
        <v>11209</v>
      </c>
    </row>
    <row r="37" spans="1:6" x14ac:dyDescent="0.15">
      <c r="A37" s="4" t="s">
        <v>142</v>
      </c>
      <c r="B37" s="18">
        <v>825</v>
      </c>
      <c r="C37" s="18">
        <v>778</v>
      </c>
      <c r="D37" s="18">
        <v>1048</v>
      </c>
      <c r="E37" s="18">
        <v>1332</v>
      </c>
      <c r="F37" s="18">
        <v>788</v>
      </c>
    </row>
    <row r="38" spans="1:6" x14ac:dyDescent="0.15">
      <c r="A38" s="4" t="s">
        <v>143</v>
      </c>
      <c r="B38" s="18">
        <v>224</v>
      </c>
      <c r="C38" s="18">
        <v>396</v>
      </c>
      <c r="D38" s="18">
        <v>142</v>
      </c>
      <c r="E38" s="18">
        <v>547</v>
      </c>
      <c r="F38" s="18">
        <v>1310</v>
      </c>
    </row>
    <row r="39" spans="1:6" x14ac:dyDescent="0.15">
      <c r="A39" s="4" t="s">
        <v>144</v>
      </c>
      <c r="B39" s="18">
        <v>343</v>
      </c>
      <c r="C39" s="18">
        <v>417</v>
      </c>
      <c r="D39" s="18">
        <v>463</v>
      </c>
      <c r="E39" s="18">
        <v>531</v>
      </c>
      <c r="F39" s="18">
        <v>571</v>
      </c>
    </row>
    <row r="40" spans="1:6" x14ac:dyDescent="0.15">
      <c r="A40" s="9" t="s">
        <v>145</v>
      </c>
      <c r="B40" s="24">
        <v>43332</v>
      </c>
      <c r="C40" s="24">
        <v>51333</v>
      </c>
      <c r="D40" s="24">
        <v>70379</v>
      </c>
      <c r="E40" s="24">
        <v>75803</v>
      </c>
      <c r="F40" s="24">
        <v>78717</v>
      </c>
    </row>
    <row r="41" spans="1:6" x14ac:dyDescent="0.15">
      <c r="A41" s="4"/>
      <c r="B41" s="4"/>
      <c r="C41" s="4"/>
      <c r="D41" s="4"/>
      <c r="E41" s="4"/>
      <c r="F41" s="4"/>
    </row>
    <row r="42" spans="1:6" x14ac:dyDescent="0.15">
      <c r="A42" s="9" t="s">
        <v>146</v>
      </c>
      <c r="B42" s="4"/>
      <c r="C42" s="4"/>
      <c r="D42" s="4"/>
      <c r="E42" s="4"/>
      <c r="F42" s="4"/>
    </row>
    <row r="43" spans="1:6" x14ac:dyDescent="0.15">
      <c r="A43" s="4" t="s">
        <v>147</v>
      </c>
      <c r="B43" s="18">
        <v>281</v>
      </c>
      <c r="C43" s="18">
        <v>232</v>
      </c>
      <c r="D43" s="18">
        <v>252</v>
      </c>
      <c r="E43" s="18">
        <v>197</v>
      </c>
      <c r="F43" s="18">
        <v>126</v>
      </c>
    </row>
    <row r="44" spans="1:6" x14ac:dyDescent="0.15">
      <c r="A44" s="4" t="s">
        <v>447</v>
      </c>
      <c r="B44" s="18">
        <v>1806</v>
      </c>
      <c r="C44" s="18">
        <v>1738</v>
      </c>
      <c r="D44" s="18">
        <v>1984</v>
      </c>
      <c r="E44" s="18">
        <v>2154</v>
      </c>
      <c r="F44" s="18">
        <v>3052</v>
      </c>
    </row>
    <row r="45" spans="1:6" ht="12" x14ac:dyDescent="0.15">
      <c r="A45" s="4" t="s">
        <v>148</v>
      </c>
      <c r="B45" s="18">
        <v>1998</v>
      </c>
      <c r="C45" s="18" t="s">
        <v>38</v>
      </c>
      <c r="D45" s="18" t="s">
        <v>38</v>
      </c>
      <c r="E45" s="18" t="s">
        <v>38</v>
      </c>
      <c r="F45" s="18" t="s">
        <v>38</v>
      </c>
    </row>
    <row r="46" spans="1:6" ht="12" x14ac:dyDescent="0.15">
      <c r="A46" s="4" t="s">
        <v>448</v>
      </c>
      <c r="B46" s="18" t="s">
        <v>38</v>
      </c>
      <c r="C46" s="18" t="s">
        <v>38</v>
      </c>
      <c r="D46" s="18" t="s">
        <v>38</v>
      </c>
      <c r="E46" s="18">
        <v>999</v>
      </c>
      <c r="F46" s="18">
        <v>418</v>
      </c>
    </row>
    <row r="47" spans="1:6" ht="12" x14ac:dyDescent="0.15">
      <c r="A47" s="4" t="s">
        <v>449</v>
      </c>
      <c r="B47" s="18" t="s">
        <v>38</v>
      </c>
      <c r="C47" s="18">
        <v>104</v>
      </c>
      <c r="D47" s="18">
        <v>144</v>
      </c>
      <c r="E47" s="18">
        <v>142</v>
      </c>
      <c r="F47" s="18">
        <v>151</v>
      </c>
    </row>
    <row r="48" spans="1:6" x14ac:dyDescent="0.15">
      <c r="A48" s="4" t="s">
        <v>450</v>
      </c>
      <c r="B48" s="18">
        <v>61</v>
      </c>
      <c r="C48" s="18">
        <v>73</v>
      </c>
      <c r="D48" s="18">
        <v>129</v>
      </c>
      <c r="E48" s="18">
        <v>236</v>
      </c>
      <c r="F48" s="18">
        <v>813</v>
      </c>
    </row>
    <row r="49" spans="1:8" x14ac:dyDescent="0.15">
      <c r="A49" s="4" t="s">
        <v>149</v>
      </c>
      <c r="B49" s="18">
        <v>21758</v>
      </c>
      <c r="C49" s="18">
        <v>24772</v>
      </c>
      <c r="D49" s="18">
        <v>35938</v>
      </c>
      <c r="E49" s="18">
        <v>39301</v>
      </c>
      <c r="F49" s="18">
        <v>40541</v>
      </c>
      <c r="H49" s="226"/>
    </row>
    <row r="50" spans="1:8" x14ac:dyDescent="0.15">
      <c r="A50" s="9" t="s">
        <v>150</v>
      </c>
      <c r="B50" s="23">
        <v>25904</v>
      </c>
      <c r="C50" s="23">
        <v>26919</v>
      </c>
      <c r="D50" s="23">
        <v>38447</v>
      </c>
      <c r="E50" s="23">
        <v>43029</v>
      </c>
      <c r="F50" s="23">
        <v>45101</v>
      </c>
    </row>
    <row r="51" spans="1:8" x14ac:dyDescent="0.15">
      <c r="A51" s="4"/>
      <c r="B51" s="4"/>
      <c r="C51" s="4"/>
      <c r="D51" s="4"/>
      <c r="E51" s="4"/>
      <c r="F51" s="4"/>
    </row>
    <row r="52" spans="1:8" ht="12" x14ac:dyDescent="0.15">
      <c r="A52" s="4" t="s">
        <v>151</v>
      </c>
      <c r="B52" s="18" t="s">
        <v>38</v>
      </c>
      <c r="C52" s="18">
        <v>4965</v>
      </c>
      <c r="D52" s="18">
        <v>8939</v>
      </c>
      <c r="E52" s="18">
        <v>8049</v>
      </c>
      <c r="F52" s="18">
        <v>10417</v>
      </c>
      <c r="H52" s="226"/>
    </row>
    <row r="53" spans="1:8" ht="12" x14ac:dyDescent="0.15">
      <c r="A53" s="4" t="s">
        <v>152</v>
      </c>
      <c r="B53" s="18" t="s">
        <v>38</v>
      </c>
      <c r="C53" s="18">
        <v>403</v>
      </c>
      <c r="D53" s="18">
        <v>642</v>
      </c>
      <c r="E53" s="18">
        <v>620</v>
      </c>
      <c r="F53" s="18">
        <v>569</v>
      </c>
      <c r="G53" s="48"/>
    </row>
    <row r="54" spans="1:8" x14ac:dyDescent="0.15">
      <c r="A54" s="4" t="s">
        <v>451</v>
      </c>
      <c r="B54" s="18">
        <v>109</v>
      </c>
      <c r="C54" s="18">
        <v>89</v>
      </c>
      <c r="D54" s="18">
        <v>75</v>
      </c>
      <c r="E54" s="18">
        <v>186</v>
      </c>
      <c r="F54" s="18">
        <v>25</v>
      </c>
    </row>
    <row r="55" spans="1:8" x14ac:dyDescent="0.15">
      <c r="A55" s="4" t="s">
        <v>153</v>
      </c>
      <c r="B55" s="18">
        <v>1933</v>
      </c>
      <c r="C55" s="18">
        <v>2028</v>
      </c>
      <c r="D55" s="18">
        <v>2213</v>
      </c>
      <c r="E55" s="18">
        <v>2192</v>
      </c>
      <c r="F55" s="18">
        <v>2331</v>
      </c>
    </row>
    <row r="56" spans="1:8" x14ac:dyDescent="0.15">
      <c r="A56" s="9" t="s">
        <v>154</v>
      </c>
      <c r="B56" s="23">
        <v>27946</v>
      </c>
      <c r="C56" s="23">
        <v>34404</v>
      </c>
      <c r="D56" s="23">
        <v>50316</v>
      </c>
      <c r="E56" s="23">
        <v>54076</v>
      </c>
      <c r="F56" s="23">
        <v>58443</v>
      </c>
    </row>
    <row r="57" spans="1:8" x14ac:dyDescent="0.15">
      <c r="A57" s="4"/>
      <c r="B57" s="4"/>
      <c r="C57" s="4"/>
      <c r="D57" s="4"/>
      <c r="E57" s="4"/>
      <c r="F57" s="4"/>
    </row>
    <row r="58" spans="1:8" ht="12" x14ac:dyDescent="0.15">
      <c r="A58" s="4" t="s">
        <v>155</v>
      </c>
      <c r="B58" s="18" t="s">
        <v>38</v>
      </c>
      <c r="C58" s="18" t="s">
        <v>38</v>
      </c>
      <c r="D58" s="18" t="s">
        <v>38</v>
      </c>
      <c r="E58" s="18" t="s">
        <v>38</v>
      </c>
      <c r="F58" s="18" t="s">
        <v>38</v>
      </c>
    </row>
    <row r="59" spans="1:8" x14ac:dyDescent="0.15">
      <c r="A59" s="4" t="s">
        <v>156</v>
      </c>
      <c r="B59" s="18">
        <v>14939</v>
      </c>
      <c r="C59" s="18">
        <v>15588</v>
      </c>
      <c r="D59" s="18">
        <v>16644</v>
      </c>
      <c r="E59" s="18">
        <v>17208</v>
      </c>
      <c r="F59" s="18">
        <v>18327</v>
      </c>
    </row>
    <row r="60" spans="1:8" x14ac:dyDescent="0.15">
      <c r="A60" s="4" t="s">
        <v>157</v>
      </c>
      <c r="B60" s="18">
        <v>5880</v>
      </c>
      <c r="C60" s="18">
        <v>8342</v>
      </c>
      <c r="D60" s="18">
        <v>12366</v>
      </c>
      <c r="E60" s="18">
        <v>16535</v>
      </c>
      <c r="F60" s="18">
        <v>18954</v>
      </c>
    </row>
    <row r="61" spans="1:8" x14ac:dyDescent="0.15">
      <c r="A61" s="4" t="s">
        <v>158</v>
      </c>
      <c r="B61" s="18">
        <v>-5511</v>
      </c>
      <c r="C61" s="18">
        <v>-6872</v>
      </c>
      <c r="D61" s="18">
        <v>-8507</v>
      </c>
      <c r="E61" s="18">
        <v>-11880</v>
      </c>
      <c r="F61" s="18">
        <v>-16079</v>
      </c>
    </row>
    <row r="62" spans="1:8" x14ac:dyDescent="0.15">
      <c r="A62" s="4" t="s">
        <v>452</v>
      </c>
      <c r="B62" s="18">
        <v>78</v>
      </c>
      <c r="C62" s="18">
        <v>-173</v>
      </c>
      <c r="D62" s="18">
        <v>-484</v>
      </c>
      <c r="E62" s="18">
        <v>-136</v>
      </c>
      <c r="F62" s="18">
        <v>-928</v>
      </c>
    </row>
    <row r="63" spans="1:8" x14ac:dyDescent="0.15">
      <c r="A63" s="9" t="s">
        <v>159</v>
      </c>
      <c r="B63" s="23">
        <v>15386</v>
      </c>
      <c r="C63" s="23">
        <v>16885</v>
      </c>
      <c r="D63" s="23">
        <v>20019</v>
      </c>
      <c r="E63" s="23">
        <v>21727</v>
      </c>
      <c r="F63" s="23">
        <v>20274</v>
      </c>
    </row>
    <row r="64" spans="1:8" x14ac:dyDescent="0.15">
      <c r="A64" s="4"/>
      <c r="B64" s="4"/>
      <c r="C64" s="4"/>
      <c r="D64" s="4"/>
      <c r="E64" s="4"/>
      <c r="F64" s="4"/>
    </row>
    <row r="65" spans="1:6" ht="12" x14ac:dyDescent="0.15">
      <c r="A65" s="4" t="s">
        <v>160</v>
      </c>
      <c r="B65" s="18" t="s">
        <v>38</v>
      </c>
      <c r="C65" s="18">
        <v>44</v>
      </c>
      <c r="D65" s="18">
        <v>44</v>
      </c>
      <c r="E65" s="18" t="s">
        <v>38</v>
      </c>
      <c r="F65" s="18" t="s">
        <v>38</v>
      </c>
    </row>
    <row r="66" spans="1:6" x14ac:dyDescent="0.15">
      <c r="A66" s="4"/>
      <c r="B66" s="4"/>
      <c r="C66" s="4"/>
      <c r="D66" s="4"/>
      <c r="E66" s="4"/>
      <c r="F66" s="4"/>
    </row>
    <row r="67" spans="1:6" x14ac:dyDescent="0.15">
      <c r="A67" s="9" t="s">
        <v>161</v>
      </c>
      <c r="B67" s="30">
        <v>15386</v>
      </c>
      <c r="C67" s="30">
        <v>16929</v>
      </c>
      <c r="D67" s="30">
        <v>20063</v>
      </c>
      <c r="E67" s="30">
        <v>21727</v>
      </c>
      <c r="F67" s="30">
        <v>20274</v>
      </c>
    </row>
    <row r="68" spans="1:6" x14ac:dyDescent="0.15">
      <c r="A68" s="4"/>
      <c r="B68" s="4"/>
      <c r="C68" s="4"/>
      <c r="D68" s="4"/>
      <c r="E68" s="4"/>
      <c r="F68" s="4"/>
    </row>
    <row r="69" spans="1:6" x14ac:dyDescent="0.15">
      <c r="A69" s="9" t="s">
        <v>162</v>
      </c>
      <c r="B69" s="31">
        <v>43332</v>
      </c>
      <c r="C69" s="31">
        <v>51333</v>
      </c>
      <c r="D69" s="31">
        <v>70379</v>
      </c>
      <c r="E69" s="31">
        <v>75803</v>
      </c>
      <c r="F69" s="31">
        <v>78717</v>
      </c>
    </row>
    <row r="70" spans="1:6" x14ac:dyDescent="0.15">
      <c r="A70" s="4"/>
      <c r="B70" s="4"/>
      <c r="C70" s="4"/>
      <c r="D70" s="4"/>
      <c r="E70" s="4"/>
      <c r="F70" s="4"/>
    </row>
    <row r="71" spans="1:6" x14ac:dyDescent="0.15">
      <c r="A71" s="9" t="s">
        <v>95</v>
      </c>
      <c r="B71" s="4"/>
      <c r="C71" s="4"/>
      <c r="D71" s="4"/>
      <c r="E71" s="4"/>
      <c r="F71" s="4"/>
    </row>
    <row r="72" spans="1:6" x14ac:dyDescent="0.15">
      <c r="A72" s="4" t="s">
        <v>453</v>
      </c>
      <c r="B72" s="18">
        <v>1173.2093669999999</v>
      </c>
      <c r="C72" s="18">
        <v>1172.955485</v>
      </c>
      <c r="D72" s="18">
        <v>1171.1757600000001</v>
      </c>
      <c r="E72" s="18">
        <v>1165.004913</v>
      </c>
      <c r="F72" s="18">
        <v>1131.373298</v>
      </c>
    </row>
    <row r="73" spans="1:6" x14ac:dyDescent="0.15">
      <c r="A73" s="4" t="s">
        <v>454</v>
      </c>
      <c r="B73" s="18">
        <v>1174</v>
      </c>
      <c r="C73" s="18">
        <v>1173</v>
      </c>
      <c r="D73" s="18">
        <v>1172</v>
      </c>
      <c r="E73" s="18">
        <v>1168</v>
      </c>
      <c r="F73" s="18">
        <v>1136</v>
      </c>
    </row>
    <row r="74" spans="1:6" x14ac:dyDescent="0.15">
      <c r="A74" s="4" t="s">
        <v>163</v>
      </c>
      <c r="B74" s="19">
        <v>13.11</v>
      </c>
      <c r="C74" s="19">
        <v>14.39</v>
      </c>
      <c r="D74" s="19">
        <v>17.079999999999998</v>
      </c>
      <c r="E74" s="19">
        <v>18.600000000000001</v>
      </c>
      <c r="F74" s="19">
        <v>17.850000000000001</v>
      </c>
    </row>
    <row r="75" spans="1:6" x14ac:dyDescent="0.15">
      <c r="A75" s="4" t="s">
        <v>164</v>
      </c>
      <c r="B75" s="18">
        <v>8277</v>
      </c>
      <c r="C75" s="18">
        <v>9895</v>
      </c>
      <c r="D75" s="18">
        <v>9836</v>
      </c>
      <c r="E75" s="18">
        <v>8941</v>
      </c>
      <c r="F75" s="18">
        <v>8277</v>
      </c>
    </row>
    <row r="76" spans="1:6" x14ac:dyDescent="0.15">
      <c r="A76" s="4" t="s">
        <v>165</v>
      </c>
      <c r="B76" s="19">
        <v>7.05</v>
      </c>
      <c r="C76" s="19">
        <v>8.44</v>
      </c>
      <c r="D76" s="19">
        <v>8.39</v>
      </c>
      <c r="E76" s="19">
        <v>7.65</v>
      </c>
      <c r="F76" s="19">
        <v>7.29</v>
      </c>
    </row>
    <row r="77" spans="1:6" x14ac:dyDescent="0.15">
      <c r="A77" s="4" t="s">
        <v>166</v>
      </c>
      <c r="B77" s="18">
        <v>1998</v>
      </c>
      <c r="C77" s="18">
        <v>5472</v>
      </c>
      <c r="D77" s="18">
        <v>9725</v>
      </c>
      <c r="E77" s="18">
        <v>9810</v>
      </c>
      <c r="F77" s="18">
        <v>11555</v>
      </c>
    </row>
    <row r="78" spans="1:6" x14ac:dyDescent="0.15">
      <c r="A78" s="4" t="s">
        <v>167</v>
      </c>
      <c r="B78" s="18">
        <v>-7111</v>
      </c>
      <c r="C78" s="18">
        <v>-5289</v>
      </c>
      <c r="D78" s="18">
        <v>-3358</v>
      </c>
      <c r="E78" s="18">
        <v>310</v>
      </c>
      <c r="F78" s="18">
        <v>687</v>
      </c>
    </row>
    <row r="79" spans="1:6" x14ac:dyDescent="0.15">
      <c r="A79" s="4" t="s">
        <v>455</v>
      </c>
      <c r="B79" s="18">
        <v>752</v>
      </c>
      <c r="C79" s="18">
        <v>1040</v>
      </c>
      <c r="D79" s="18">
        <v>1328</v>
      </c>
      <c r="E79" s="18">
        <v>1472</v>
      </c>
      <c r="F79" s="18">
        <v>1552</v>
      </c>
    </row>
    <row r="80" spans="1:6" ht="12" x14ac:dyDescent="0.15">
      <c r="A80" s="4" t="s">
        <v>168</v>
      </c>
      <c r="B80" s="18" t="s">
        <v>93</v>
      </c>
      <c r="C80" s="18">
        <v>44</v>
      </c>
      <c r="D80" s="18">
        <v>44</v>
      </c>
      <c r="E80" s="18" t="s">
        <v>93</v>
      </c>
      <c r="F80" s="18" t="s">
        <v>93</v>
      </c>
    </row>
    <row r="81" spans="1:6" ht="12" x14ac:dyDescent="0.15">
      <c r="A81" s="4" t="s">
        <v>169</v>
      </c>
      <c r="B81" s="17" t="s">
        <v>93</v>
      </c>
      <c r="C81" s="17" t="s">
        <v>93</v>
      </c>
      <c r="D81" s="17" t="s">
        <v>93</v>
      </c>
      <c r="E81" s="17" t="s">
        <v>93</v>
      </c>
      <c r="F81" s="17" t="s">
        <v>93</v>
      </c>
    </row>
    <row r="82" spans="1:6" x14ac:dyDescent="0.15">
      <c r="A82" s="4" t="s">
        <v>170</v>
      </c>
      <c r="B82" s="18">
        <v>408</v>
      </c>
      <c r="C82" s="18">
        <v>430</v>
      </c>
      <c r="D82" s="18">
        <v>340</v>
      </c>
      <c r="E82" s="18">
        <v>380</v>
      </c>
      <c r="F82" s="18">
        <v>388</v>
      </c>
    </row>
    <row r="83" spans="1:6" x14ac:dyDescent="0.15">
      <c r="A83" s="4" t="s">
        <v>171</v>
      </c>
      <c r="B83" s="18">
        <v>2811</v>
      </c>
      <c r="C83" s="18">
        <v>2975</v>
      </c>
      <c r="D83" s="18">
        <v>3378</v>
      </c>
      <c r="E83" s="18">
        <v>3444</v>
      </c>
      <c r="F83" s="18">
        <v>3521</v>
      </c>
    </row>
    <row r="84" spans="1:6" x14ac:dyDescent="0.15">
      <c r="A84" s="4" t="s">
        <v>172</v>
      </c>
      <c r="B84" s="18">
        <v>119</v>
      </c>
      <c r="C84" s="18">
        <v>80</v>
      </c>
      <c r="D84" s="18">
        <v>83</v>
      </c>
      <c r="E84" s="18">
        <v>86</v>
      </c>
      <c r="F84" s="18">
        <v>25</v>
      </c>
    </row>
    <row r="85" spans="1:6" x14ac:dyDescent="0.15">
      <c r="A85" s="4" t="s">
        <v>173</v>
      </c>
      <c r="B85" s="18">
        <v>420</v>
      </c>
      <c r="C85" s="18">
        <v>460</v>
      </c>
      <c r="D85" s="18">
        <v>377</v>
      </c>
      <c r="E85" s="18">
        <v>379</v>
      </c>
      <c r="F85" s="18">
        <v>364</v>
      </c>
    </row>
    <row r="86" spans="1:6" x14ac:dyDescent="0.15">
      <c r="A86" s="4" t="s">
        <v>174</v>
      </c>
      <c r="B86" s="32">
        <v>21800</v>
      </c>
      <c r="C86" s="32">
        <v>23200</v>
      </c>
      <c r="D86" s="32">
        <v>26500</v>
      </c>
      <c r="E86" s="32">
        <v>30900</v>
      </c>
      <c r="F86" s="32">
        <v>29900</v>
      </c>
    </row>
    <row r="87" spans="1:6" x14ac:dyDescent="0.15">
      <c r="A87" s="4" t="s">
        <v>108</v>
      </c>
      <c r="B87" s="28">
        <v>44232</v>
      </c>
      <c r="C87" s="28">
        <v>44595</v>
      </c>
      <c r="D87" s="28">
        <v>44967</v>
      </c>
      <c r="E87" s="28">
        <v>44967</v>
      </c>
      <c r="F87" s="28">
        <v>44967</v>
      </c>
    </row>
    <row r="88" spans="1:6" ht="12" x14ac:dyDescent="0.15">
      <c r="A88" s="4" t="s">
        <v>109</v>
      </c>
      <c r="B88" s="17" t="s">
        <v>111</v>
      </c>
      <c r="C88" s="17" t="s">
        <v>111</v>
      </c>
      <c r="D88" s="17" t="s">
        <v>111</v>
      </c>
      <c r="E88" s="17" t="s">
        <v>111</v>
      </c>
      <c r="F88" s="17" t="s">
        <v>112</v>
      </c>
    </row>
    <row r="89" spans="1:6" ht="12" x14ac:dyDescent="0.15">
      <c r="A89" s="4" t="s">
        <v>113</v>
      </c>
      <c r="B89" s="17" t="s">
        <v>175</v>
      </c>
      <c r="C89" s="17" t="s">
        <v>175</v>
      </c>
      <c r="D89" s="17" t="s">
        <v>175</v>
      </c>
      <c r="E89" s="17" t="s">
        <v>114</v>
      </c>
      <c r="F89" s="17" t="s">
        <v>114</v>
      </c>
    </row>
    <row r="90" spans="1:6" x14ac:dyDescent="0.15">
      <c r="A90" s="4"/>
      <c r="B90" s="4"/>
      <c r="C90" s="4"/>
      <c r="D90" s="4"/>
      <c r="E90" s="4"/>
      <c r="F90" s="4"/>
    </row>
    <row r="91" spans="1:6" x14ac:dyDescent="0.15">
      <c r="A91" s="11"/>
      <c r="B91" s="11"/>
      <c r="C91" s="11"/>
      <c r="D91" s="11"/>
      <c r="E91" s="11"/>
      <c r="F91" s="11"/>
    </row>
    <row r="92" spans="1:6" x14ac:dyDescent="0.15">
      <c r="A92" t="s">
        <v>456</v>
      </c>
    </row>
    <row r="93" spans="1:6" x14ac:dyDescent="0.15">
      <c r="A93" s="22" t="s">
        <v>51</v>
      </c>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autoPageBreaks="0"/>
  </sheetPr>
  <dimension ref="A5:IU72"/>
  <sheetViews>
    <sheetView showGridLines="0" topLeftCell="A17" workbookViewId="0">
      <selection activeCell="H39" sqref="H39"/>
    </sheetView>
  </sheetViews>
  <sheetFormatPr baseColWidth="10" defaultRowHeight="11" x14ac:dyDescent="0.15"/>
  <cols>
    <col min="1" max="1" width="45.83203125" customWidth="1"/>
    <col min="2" max="6" width="14.83203125" customWidth="1"/>
    <col min="7" max="256" width="8.83203125" customWidth="1"/>
  </cols>
  <sheetData>
    <row r="5" spans="1:255" ht="17" x14ac:dyDescent="0.2">
      <c r="A5" s="1" t="s">
        <v>457</v>
      </c>
    </row>
    <row r="7" spans="1:255" ht="12" x14ac:dyDescent="0.15">
      <c r="A7" s="2" t="s">
        <v>411</v>
      </c>
      <c r="B7" s="3" t="s">
        <v>176</v>
      </c>
      <c r="C7" t="s">
        <v>53</v>
      </c>
      <c r="D7" s="4" t="s">
        <v>2</v>
      </c>
      <c r="E7" s="3" t="s">
        <v>177</v>
      </c>
      <c r="F7" t="s">
        <v>55</v>
      </c>
    </row>
    <row r="8" spans="1:255" x14ac:dyDescent="0.15">
      <c r="A8" s="4"/>
      <c r="B8" s="3" t="s">
        <v>178</v>
      </c>
      <c r="C8" t="s">
        <v>57</v>
      </c>
      <c r="D8" s="4" t="s">
        <v>2</v>
      </c>
      <c r="E8" s="3" t="s">
        <v>179</v>
      </c>
      <c r="F8" t="s">
        <v>6</v>
      </c>
    </row>
    <row r="9" spans="1:255" x14ac:dyDescent="0.15">
      <c r="A9" s="4"/>
      <c r="B9" s="3" t="s">
        <v>180</v>
      </c>
      <c r="C9" t="s">
        <v>60</v>
      </c>
      <c r="D9" s="4" t="s">
        <v>2</v>
      </c>
      <c r="E9" s="3" t="s">
        <v>181</v>
      </c>
      <c r="F9" t="s">
        <v>4</v>
      </c>
    </row>
    <row r="10" spans="1:255" x14ac:dyDescent="0.15">
      <c r="A10" s="4"/>
      <c r="B10" s="3" t="s">
        <v>182</v>
      </c>
      <c r="C10" t="s">
        <v>8</v>
      </c>
      <c r="D10" s="4" t="s">
        <v>2</v>
      </c>
      <c r="E10" s="3" t="s">
        <v>183</v>
      </c>
      <c r="F10" s="5" t="s">
        <v>10</v>
      </c>
    </row>
    <row r="13" spans="1:255" x14ac:dyDescent="0.15">
      <c r="A13" s="6" t="s">
        <v>184</v>
      </c>
      <c r="B13" s="6"/>
      <c r="C13" s="6"/>
      <c r="D13" s="6"/>
      <c r="E13" s="6"/>
      <c r="F13" s="6"/>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ht="36" x14ac:dyDescent="0.15">
      <c r="A14" s="7" t="s">
        <v>14</v>
      </c>
      <c r="B14" s="12" t="s">
        <v>185</v>
      </c>
      <c r="C14" s="12" t="s">
        <v>186</v>
      </c>
      <c r="D14" s="12" t="s">
        <v>187</v>
      </c>
      <c r="E14" s="12" t="s">
        <v>188</v>
      </c>
      <c r="F14" s="12" t="s">
        <v>69</v>
      </c>
    </row>
    <row r="15" spans="1:255" ht="12" x14ac:dyDescent="0.15">
      <c r="A15" s="8" t="s">
        <v>20</v>
      </c>
      <c r="B15" s="13" t="s">
        <v>21</v>
      </c>
      <c r="C15" s="13" t="s">
        <v>21</v>
      </c>
      <c r="D15" s="13" t="s">
        <v>21</v>
      </c>
      <c r="E15" s="13" t="s">
        <v>21</v>
      </c>
      <c r="F15" s="13" t="s">
        <v>21</v>
      </c>
    </row>
    <row r="16" spans="1:255" x14ac:dyDescent="0.15">
      <c r="A16" s="9" t="s">
        <v>29</v>
      </c>
      <c r="B16" s="4"/>
      <c r="C16" s="4"/>
      <c r="D16" s="4"/>
      <c r="E16" s="4"/>
      <c r="F16" s="4"/>
    </row>
    <row r="17" spans="1:7" x14ac:dyDescent="0.15">
      <c r="A17" s="9" t="s">
        <v>28</v>
      </c>
      <c r="B17" s="14">
        <v>2057</v>
      </c>
      <c r="C17" s="14">
        <v>2459</v>
      </c>
      <c r="D17" s="14">
        <v>4202</v>
      </c>
      <c r="E17" s="14">
        <v>4169</v>
      </c>
      <c r="F17" s="14">
        <v>2419</v>
      </c>
    </row>
    <row r="18" spans="1:7" x14ac:dyDescent="0.15">
      <c r="A18" s="4" t="s">
        <v>414</v>
      </c>
      <c r="B18" s="18">
        <v>365</v>
      </c>
      <c r="C18" s="18">
        <v>403</v>
      </c>
      <c r="D18" s="18">
        <v>416</v>
      </c>
      <c r="E18" s="18">
        <v>456</v>
      </c>
      <c r="F18" s="18">
        <v>420</v>
      </c>
    </row>
    <row r="19" spans="1:7" x14ac:dyDescent="0.15">
      <c r="A19" s="4" t="s">
        <v>458</v>
      </c>
      <c r="B19" s="18">
        <v>149</v>
      </c>
      <c r="C19" s="18">
        <v>211</v>
      </c>
      <c r="D19" s="18">
        <v>451</v>
      </c>
      <c r="E19" s="18">
        <v>443</v>
      </c>
      <c r="F19" s="18">
        <v>471</v>
      </c>
    </row>
    <row r="20" spans="1:7" x14ac:dyDescent="0.15">
      <c r="A20" s="9" t="s">
        <v>459</v>
      </c>
      <c r="B20" s="23">
        <v>514</v>
      </c>
      <c r="C20" s="23">
        <v>614</v>
      </c>
      <c r="D20" s="23">
        <v>867</v>
      </c>
      <c r="E20" s="23">
        <v>899</v>
      </c>
      <c r="F20" s="23">
        <v>891</v>
      </c>
      <c r="G20" s="48"/>
    </row>
    <row r="21" spans="1:7" x14ac:dyDescent="0.15">
      <c r="A21" s="4"/>
      <c r="B21" s="4"/>
      <c r="C21" s="4"/>
      <c r="D21" s="4"/>
      <c r="E21" s="4"/>
      <c r="F21" s="4"/>
    </row>
    <row r="22" spans="1:7" x14ac:dyDescent="0.15">
      <c r="A22" s="4" t="s">
        <v>189</v>
      </c>
      <c r="B22" s="18">
        <v>262</v>
      </c>
      <c r="C22" s="18">
        <v>298</v>
      </c>
      <c r="D22" s="18">
        <v>322</v>
      </c>
      <c r="E22" s="18">
        <v>366</v>
      </c>
      <c r="F22" s="18">
        <v>426</v>
      </c>
      <c r="G22" s="48"/>
    </row>
    <row r="23" spans="1:7" ht="12" x14ac:dyDescent="0.15">
      <c r="A23" s="4" t="s">
        <v>190</v>
      </c>
      <c r="B23" s="18">
        <v>244</v>
      </c>
      <c r="C23" s="18" t="s">
        <v>38</v>
      </c>
      <c r="D23" s="18" t="s">
        <v>38</v>
      </c>
      <c r="E23" s="18" t="s">
        <v>38</v>
      </c>
      <c r="F23" s="18" t="s">
        <v>38</v>
      </c>
    </row>
    <row r="24" spans="1:7" x14ac:dyDescent="0.15">
      <c r="A24" s="4" t="s">
        <v>460</v>
      </c>
      <c r="B24" s="18">
        <v>-87</v>
      </c>
      <c r="C24" s="18">
        <v>-208</v>
      </c>
      <c r="D24" s="18">
        <v>-1914</v>
      </c>
      <c r="E24" s="18">
        <v>-46</v>
      </c>
      <c r="F24" s="18">
        <v>304</v>
      </c>
    </row>
    <row r="25" spans="1:7" x14ac:dyDescent="0.15">
      <c r="A25" s="4" t="s">
        <v>191</v>
      </c>
      <c r="B25" s="18">
        <v>853</v>
      </c>
      <c r="C25" s="18">
        <v>1021</v>
      </c>
      <c r="D25" s="18">
        <v>1376</v>
      </c>
      <c r="E25" s="18">
        <v>1376</v>
      </c>
      <c r="F25" s="18">
        <v>1261</v>
      </c>
    </row>
    <row r="26" spans="1:7" x14ac:dyDescent="0.15">
      <c r="A26" s="4" t="s">
        <v>192</v>
      </c>
      <c r="B26" s="18">
        <v>1018</v>
      </c>
      <c r="C26" s="18">
        <v>962</v>
      </c>
      <c r="D26" s="18">
        <v>1953</v>
      </c>
      <c r="E26" s="18">
        <v>678</v>
      </c>
      <c r="F26" s="18">
        <v>966</v>
      </c>
    </row>
    <row r="27" spans="1:7" x14ac:dyDescent="0.15">
      <c r="A27" s="4" t="s">
        <v>461</v>
      </c>
      <c r="B27" s="18">
        <v>-59</v>
      </c>
      <c r="C27" s="18">
        <v>-120</v>
      </c>
      <c r="D27" s="18">
        <v>-100</v>
      </c>
      <c r="E27" s="18">
        <v>-222</v>
      </c>
      <c r="F27" s="18">
        <v>-163</v>
      </c>
    </row>
    <row r="28" spans="1:7" x14ac:dyDescent="0.15">
      <c r="A28" s="4" t="s">
        <v>462</v>
      </c>
      <c r="B28" s="18">
        <v>26</v>
      </c>
      <c r="C28" s="18">
        <v>4</v>
      </c>
      <c r="D28" s="18">
        <v>-4</v>
      </c>
      <c r="E28" s="18">
        <v>-31</v>
      </c>
      <c r="F28" s="18">
        <v>-35</v>
      </c>
      <c r="G28" s="132" t="s">
        <v>514</v>
      </c>
    </row>
    <row r="29" spans="1:7" x14ac:dyDescent="0.15">
      <c r="A29" s="4" t="s">
        <v>463</v>
      </c>
      <c r="B29" s="18">
        <v>-44</v>
      </c>
      <c r="C29" s="18">
        <v>-40</v>
      </c>
      <c r="D29" s="18">
        <v>-230</v>
      </c>
      <c r="E29" s="18">
        <v>73</v>
      </c>
      <c r="F29" s="18">
        <v>373</v>
      </c>
    </row>
    <row r="30" spans="1:7" x14ac:dyDescent="0.15">
      <c r="A30" s="4" t="s">
        <v>193</v>
      </c>
      <c r="B30" s="18">
        <v>696</v>
      </c>
      <c r="C30" s="18">
        <v>-919</v>
      </c>
      <c r="D30" s="18">
        <v>-253</v>
      </c>
      <c r="E30" s="18">
        <v>-1465</v>
      </c>
      <c r="F30" s="18">
        <v>-629</v>
      </c>
      <c r="G30" s="48" t="s">
        <v>515</v>
      </c>
    </row>
    <row r="31" spans="1:7" x14ac:dyDescent="0.15">
      <c r="A31" s="9" t="s">
        <v>464</v>
      </c>
      <c r="B31" s="23">
        <v>5480</v>
      </c>
      <c r="C31" s="23">
        <v>4071</v>
      </c>
      <c r="D31" s="23">
        <v>6219</v>
      </c>
      <c r="E31" s="23">
        <v>5797</v>
      </c>
      <c r="F31" s="23">
        <v>5813</v>
      </c>
    </row>
    <row r="32" spans="1:7" x14ac:dyDescent="0.15">
      <c r="A32" s="4"/>
      <c r="B32" s="4"/>
      <c r="C32" s="4"/>
      <c r="D32" s="4"/>
      <c r="E32" s="4"/>
      <c r="F32" s="4"/>
    </row>
    <row r="33" spans="1:6" x14ac:dyDescent="0.15">
      <c r="A33" s="4" t="s">
        <v>194</v>
      </c>
      <c r="B33" s="18">
        <v>-823</v>
      </c>
      <c r="C33" s="18">
        <v>-704</v>
      </c>
      <c r="D33" s="18">
        <v>-866</v>
      </c>
      <c r="E33" s="18">
        <v>-908</v>
      </c>
      <c r="F33" s="18">
        <v>-706</v>
      </c>
    </row>
    <row r="34" spans="1:6" x14ac:dyDescent="0.15">
      <c r="A34" s="4" t="s">
        <v>195</v>
      </c>
      <c r="B34" s="18">
        <v>3</v>
      </c>
      <c r="C34" s="18">
        <v>17</v>
      </c>
      <c r="D34" s="18">
        <v>120</v>
      </c>
      <c r="E34" s="18">
        <v>5</v>
      </c>
      <c r="F34" s="18">
        <v>5</v>
      </c>
    </row>
    <row r="35" spans="1:6" ht="12" x14ac:dyDescent="0.15">
      <c r="A35" s="4" t="s">
        <v>196</v>
      </c>
      <c r="B35" s="18">
        <v>-2124</v>
      </c>
      <c r="C35" s="18">
        <v>-70</v>
      </c>
      <c r="D35" s="18">
        <v>-3609</v>
      </c>
      <c r="E35" s="18">
        <v>-2763</v>
      </c>
      <c r="F35" s="18" t="s">
        <v>38</v>
      </c>
    </row>
    <row r="36" spans="1:6" ht="12" x14ac:dyDescent="0.15">
      <c r="A36" s="4" t="s">
        <v>197</v>
      </c>
      <c r="B36" s="18" t="s">
        <v>38</v>
      </c>
      <c r="C36" s="18" t="s">
        <v>38</v>
      </c>
      <c r="D36" s="18" t="s">
        <v>38</v>
      </c>
      <c r="E36" s="18" t="s">
        <v>38</v>
      </c>
      <c r="F36" s="18" t="s">
        <v>38</v>
      </c>
    </row>
    <row r="37" spans="1:6" x14ac:dyDescent="0.15">
      <c r="A37" s="4" t="s">
        <v>465</v>
      </c>
      <c r="B37" s="18">
        <v>-483</v>
      </c>
      <c r="C37" s="18">
        <v>-3003</v>
      </c>
      <c r="D37" s="18">
        <v>-10605</v>
      </c>
      <c r="E37" s="18">
        <v>-418</v>
      </c>
      <c r="F37" s="18">
        <v>3192</v>
      </c>
    </row>
    <row r="38" spans="1:6" x14ac:dyDescent="0.15">
      <c r="A38" s="4" t="s">
        <v>466</v>
      </c>
      <c r="B38" s="18">
        <v>3121</v>
      </c>
      <c r="C38" s="18">
        <v>-1631</v>
      </c>
      <c r="D38" s="18">
        <v>294</v>
      </c>
      <c r="E38" s="18">
        <v>-1594</v>
      </c>
      <c r="F38" s="18">
        <v>-3267</v>
      </c>
    </row>
    <row r="39" spans="1:6" x14ac:dyDescent="0.15">
      <c r="A39" s="4" t="s">
        <v>198</v>
      </c>
      <c r="B39" s="18">
        <v>1127</v>
      </c>
      <c r="C39" s="18">
        <v>-351</v>
      </c>
      <c r="D39" s="18">
        <v>-1879</v>
      </c>
      <c r="E39" s="18">
        <v>529</v>
      </c>
      <c r="F39" s="18">
        <v>-2645</v>
      </c>
    </row>
    <row r="40" spans="1:6" x14ac:dyDescent="0.15">
      <c r="A40" s="9" t="s">
        <v>199</v>
      </c>
      <c r="B40" s="23">
        <v>821</v>
      </c>
      <c r="C40" s="23">
        <v>-5742</v>
      </c>
      <c r="D40" s="23">
        <v>-16545</v>
      </c>
      <c r="E40" s="23">
        <v>-5149</v>
      </c>
      <c r="F40" s="23">
        <v>-3421</v>
      </c>
    </row>
    <row r="41" spans="1:6" x14ac:dyDescent="0.15">
      <c r="A41" s="4"/>
      <c r="B41" s="4"/>
      <c r="C41" s="4"/>
      <c r="D41" s="4"/>
      <c r="E41" s="4"/>
      <c r="F41" s="4"/>
    </row>
    <row r="42" spans="1:6" ht="12" x14ac:dyDescent="0.15">
      <c r="A42" s="4" t="s">
        <v>200</v>
      </c>
      <c r="B42" s="18" t="s">
        <v>38</v>
      </c>
      <c r="C42" s="18" t="s">
        <v>38</v>
      </c>
      <c r="D42" s="18" t="s">
        <v>38</v>
      </c>
      <c r="E42" s="18" t="s">
        <v>38</v>
      </c>
      <c r="F42" s="18" t="s">
        <v>38</v>
      </c>
    </row>
    <row r="43" spans="1:6" x14ac:dyDescent="0.15">
      <c r="A43" s="4" t="s">
        <v>201</v>
      </c>
      <c r="B43" s="18">
        <v>2075</v>
      </c>
      <c r="C43" s="18">
        <v>5471</v>
      </c>
      <c r="D43" s="18">
        <v>6966</v>
      </c>
      <c r="E43" s="18">
        <v>272</v>
      </c>
      <c r="F43" s="18">
        <v>3475</v>
      </c>
    </row>
    <row r="44" spans="1:6" x14ac:dyDescent="0.15">
      <c r="A44" s="9" t="s">
        <v>202</v>
      </c>
      <c r="B44" s="23">
        <v>2075</v>
      </c>
      <c r="C44" s="23">
        <v>5471</v>
      </c>
      <c r="D44" s="23">
        <v>6966</v>
      </c>
      <c r="E44" s="23">
        <v>272</v>
      </c>
      <c r="F44" s="23">
        <v>3475</v>
      </c>
    </row>
    <row r="45" spans="1:6" ht="12" x14ac:dyDescent="0.15">
      <c r="A45" s="4" t="s">
        <v>203</v>
      </c>
      <c r="B45" s="18" t="s">
        <v>38</v>
      </c>
      <c r="C45" s="18" t="s">
        <v>38</v>
      </c>
      <c r="D45" s="18" t="s">
        <v>38</v>
      </c>
      <c r="E45" s="18" t="s">
        <v>38</v>
      </c>
      <c r="F45" s="18" t="s">
        <v>38</v>
      </c>
    </row>
    <row r="46" spans="1:6" x14ac:dyDescent="0.15">
      <c r="A46" s="4" t="s">
        <v>204</v>
      </c>
      <c r="B46" s="18">
        <v>-1115</v>
      </c>
      <c r="C46" s="18">
        <v>-2516</v>
      </c>
      <c r="D46" s="18">
        <v>-3000</v>
      </c>
      <c r="E46" s="18">
        <v>-361</v>
      </c>
      <c r="F46" s="18">
        <v>-1686</v>
      </c>
    </row>
    <row r="47" spans="1:6" x14ac:dyDescent="0.15">
      <c r="A47" s="9" t="s">
        <v>205</v>
      </c>
      <c r="B47" s="23">
        <v>-1115</v>
      </c>
      <c r="C47" s="23">
        <v>-2516</v>
      </c>
      <c r="D47" s="23">
        <v>-3000</v>
      </c>
      <c r="E47" s="23">
        <v>-361</v>
      </c>
      <c r="F47" s="23">
        <v>-1686</v>
      </c>
    </row>
    <row r="48" spans="1:6" x14ac:dyDescent="0.15">
      <c r="A48" s="4"/>
      <c r="B48" s="4"/>
      <c r="C48" s="4"/>
      <c r="D48" s="4"/>
      <c r="E48" s="4"/>
      <c r="F48" s="4"/>
    </row>
    <row r="49" spans="1:6" x14ac:dyDescent="0.15">
      <c r="A49" s="4" t="s">
        <v>206</v>
      </c>
      <c r="B49" s="18">
        <v>144</v>
      </c>
      <c r="C49" s="18">
        <v>138</v>
      </c>
      <c r="D49" s="18">
        <v>137</v>
      </c>
      <c r="E49" s="18">
        <v>162</v>
      </c>
      <c r="F49" s="18">
        <v>143</v>
      </c>
    </row>
    <row r="50" spans="1:6" x14ac:dyDescent="0.15">
      <c r="A50" s="4" t="s">
        <v>207</v>
      </c>
      <c r="B50" s="18">
        <v>-3939</v>
      </c>
      <c r="C50" s="18">
        <v>-1915</v>
      </c>
      <c r="D50" s="18">
        <v>-2156</v>
      </c>
      <c r="E50" s="18">
        <v>-4409</v>
      </c>
      <c r="F50" s="18">
        <v>-4535</v>
      </c>
    </row>
    <row r="51" spans="1:6" x14ac:dyDescent="0.15">
      <c r="A51" s="4"/>
      <c r="B51" s="4"/>
      <c r="C51" s="4"/>
      <c r="D51" s="4"/>
      <c r="E51" s="4"/>
      <c r="F51" s="4"/>
    </row>
    <row r="52" spans="1:6" ht="12" x14ac:dyDescent="0.15">
      <c r="A52" s="9" t="s">
        <v>208</v>
      </c>
      <c r="B52" s="23" t="s">
        <v>38</v>
      </c>
      <c r="C52" s="23" t="s">
        <v>38</v>
      </c>
      <c r="D52" s="23" t="s">
        <v>38</v>
      </c>
      <c r="E52" s="23" t="s">
        <v>38</v>
      </c>
      <c r="F52" s="23" t="s">
        <v>38</v>
      </c>
    </row>
    <row r="53" spans="1:6" x14ac:dyDescent="0.15">
      <c r="A53" s="4"/>
      <c r="B53" s="4"/>
      <c r="C53" s="4"/>
      <c r="D53" s="4"/>
      <c r="E53" s="4"/>
      <c r="F53" s="4"/>
    </row>
    <row r="54" spans="1:6" ht="12" x14ac:dyDescent="0.15">
      <c r="A54" s="4" t="s">
        <v>209</v>
      </c>
      <c r="B54" s="18" t="s">
        <v>38</v>
      </c>
      <c r="C54" s="18" t="s">
        <v>38</v>
      </c>
      <c r="D54" s="18" t="s">
        <v>38</v>
      </c>
      <c r="E54" s="18" t="s">
        <v>38</v>
      </c>
      <c r="F54" s="18" t="s">
        <v>38</v>
      </c>
    </row>
    <row r="55" spans="1:6" x14ac:dyDescent="0.15">
      <c r="A55" s="4" t="s">
        <v>210</v>
      </c>
      <c r="B55" s="18">
        <v>1595</v>
      </c>
      <c r="C55" s="18">
        <v>3009</v>
      </c>
      <c r="D55" s="18">
        <v>10507</v>
      </c>
      <c r="E55" s="18">
        <v>3779</v>
      </c>
      <c r="F55" s="18">
        <v>1493</v>
      </c>
    </row>
    <row r="56" spans="1:6" x14ac:dyDescent="0.15">
      <c r="A56" s="9" t="s">
        <v>211</v>
      </c>
      <c r="B56" s="23">
        <v>-1240</v>
      </c>
      <c r="C56" s="23">
        <v>4187</v>
      </c>
      <c r="D56" s="23">
        <v>12454</v>
      </c>
      <c r="E56" s="23">
        <v>-557</v>
      </c>
      <c r="F56" s="23">
        <v>-1110</v>
      </c>
    </row>
    <row r="57" spans="1:6" x14ac:dyDescent="0.15">
      <c r="A57" s="4"/>
      <c r="B57" s="4"/>
      <c r="C57" s="4"/>
      <c r="D57" s="4"/>
      <c r="E57" s="4"/>
      <c r="F57" s="4"/>
    </row>
    <row r="58" spans="1:6" x14ac:dyDescent="0.15">
      <c r="A58" s="4" t="s">
        <v>467</v>
      </c>
      <c r="B58" s="18">
        <v>-113</v>
      </c>
      <c r="C58" s="18">
        <v>-6</v>
      </c>
      <c r="D58" s="18">
        <v>169</v>
      </c>
      <c r="E58" s="18">
        <v>-102</v>
      </c>
      <c r="F58" s="18">
        <v>-155</v>
      </c>
    </row>
    <row r="59" spans="1:6" x14ac:dyDescent="0.15">
      <c r="A59" s="9" t="s">
        <v>212</v>
      </c>
      <c r="B59" s="24">
        <v>4948</v>
      </c>
      <c r="C59" s="24">
        <v>2510</v>
      </c>
      <c r="D59" s="24">
        <v>2297</v>
      </c>
      <c r="E59" s="24">
        <v>-11</v>
      </c>
      <c r="F59" s="24">
        <v>1127</v>
      </c>
    </row>
    <row r="60" spans="1:6" x14ac:dyDescent="0.15">
      <c r="A60" s="4"/>
      <c r="B60" s="4"/>
      <c r="C60" s="4"/>
      <c r="D60" s="4"/>
      <c r="E60" s="4"/>
      <c r="F60" s="4"/>
    </row>
    <row r="61" spans="1:6" x14ac:dyDescent="0.15">
      <c r="A61" s="9" t="s">
        <v>95</v>
      </c>
      <c r="B61" s="4"/>
      <c r="C61" s="4"/>
      <c r="D61" s="4"/>
      <c r="E61" s="4"/>
      <c r="F61" s="4"/>
    </row>
    <row r="62" spans="1:6" x14ac:dyDescent="0.15">
      <c r="A62" s="4" t="s">
        <v>213</v>
      </c>
      <c r="B62" s="18">
        <v>69</v>
      </c>
      <c r="C62" s="18">
        <v>78</v>
      </c>
      <c r="D62" s="18">
        <v>190</v>
      </c>
      <c r="E62" s="18">
        <v>231</v>
      </c>
      <c r="F62" s="18">
        <v>280</v>
      </c>
    </row>
    <row r="63" spans="1:6" x14ac:dyDescent="0.15">
      <c r="A63" s="4" t="s">
        <v>214</v>
      </c>
      <c r="B63" s="18">
        <v>328</v>
      </c>
      <c r="C63" s="18">
        <v>665</v>
      </c>
      <c r="D63" s="18">
        <v>565</v>
      </c>
      <c r="E63" s="18">
        <v>474</v>
      </c>
      <c r="F63" s="18">
        <v>878</v>
      </c>
    </row>
    <row r="64" spans="1:6" x14ac:dyDescent="0.15">
      <c r="A64" s="4" t="s">
        <v>215</v>
      </c>
      <c r="B64" s="18">
        <v>7301.75</v>
      </c>
      <c r="C64" s="18">
        <v>1963.25</v>
      </c>
      <c r="D64" s="18">
        <v>5055.875</v>
      </c>
      <c r="E64" s="18">
        <v>2752.875</v>
      </c>
      <c r="F64" s="18">
        <v>3329.375</v>
      </c>
    </row>
    <row r="65" spans="1:6" x14ac:dyDescent="0.15">
      <c r="A65" s="4" t="s">
        <v>216</v>
      </c>
      <c r="B65" s="18">
        <v>7349.875</v>
      </c>
      <c r="C65" s="18">
        <v>2035.125</v>
      </c>
      <c r="D65" s="18">
        <v>5186.5</v>
      </c>
      <c r="E65" s="18">
        <v>2897.875</v>
      </c>
      <c r="F65" s="18">
        <v>3519.375</v>
      </c>
    </row>
    <row r="66" spans="1:6" x14ac:dyDescent="0.15">
      <c r="A66" s="4" t="s">
        <v>217</v>
      </c>
      <c r="B66" s="18">
        <v>-5139</v>
      </c>
      <c r="C66" s="18">
        <v>971</v>
      </c>
      <c r="D66" s="18">
        <v>-1310</v>
      </c>
      <c r="E66" s="18">
        <v>1577</v>
      </c>
      <c r="F66" s="18">
        <v>931</v>
      </c>
    </row>
    <row r="67" spans="1:6" x14ac:dyDescent="0.15">
      <c r="A67" s="4" t="s">
        <v>218</v>
      </c>
      <c r="B67" s="18">
        <v>960</v>
      </c>
      <c r="C67" s="18">
        <v>2955</v>
      </c>
      <c r="D67" s="18">
        <v>3966</v>
      </c>
      <c r="E67" s="18">
        <v>-89</v>
      </c>
      <c r="F67" s="18">
        <v>1789</v>
      </c>
    </row>
    <row r="68" spans="1:6" x14ac:dyDescent="0.15">
      <c r="A68" s="4" t="s">
        <v>108</v>
      </c>
      <c r="B68" s="28">
        <v>44232</v>
      </c>
      <c r="C68" s="28">
        <v>44595</v>
      </c>
      <c r="D68" s="28">
        <v>44967</v>
      </c>
      <c r="E68" s="28">
        <v>44967</v>
      </c>
      <c r="F68" s="28">
        <v>44967</v>
      </c>
    </row>
    <row r="69" spans="1:6" ht="12" x14ac:dyDescent="0.15">
      <c r="A69" s="4" t="s">
        <v>109</v>
      </c>
      <c r="B69" s="17" t="s">
        <v>219</v>
      </c>
      <c r="C69" s="17" t="s">
        <v>219</v>
      </c>
      <c r="D69" s="17" t="s">
        <v>219</v>
      </c>
      <c r="E69" s="17" t="s">
        <v>219</v>
      </c>
      <c r="F69" s="17" t="s">
        <v>112</v>
      </c>
    </row>
    <row r="70" spans="1:6" ht="12" x14ac:dyDescent="0.15">
      <c r="A70" s="4" t="s">
        <v>113</v>
      </c>
      <c r="B70" s="17" t="s">
        <v>114</v>
      </c>
      <c r="C70" s="17" t="s">
        <v>114</v>
      </c>
      <c r="D70" s="17" t="s">
        <v>114</v>
      </c>
      <c r="E70" s="17" t="s">
        <v>114</v>
      </c>
      <c r="F70" s="17" t="s">
        <v>114</v>
      </c>
    </row>
    <row r="71" spans="1:6" x14ac:dyDescent="0.15">
      <c r="A71" s="4"/>
      <c r="B71" s="4"/>
      <c r="C71" s="4"/>
      <c r="D71" s="4"/>
      <c r="E71" s="4"/>
      <c r="F71" s="4"/>
    </row>
    <row r="72" spans="1:6" ht="72" x14ac:dyDescent="0.15">
      <c r="A72" s="33" t="s">
        <v>51</v>
      </c>
      <c r="B72" s="11"/>
      <c r="C72" s="11"/>
      <c r="D72" s="11"/>
      <c r="E72" s="11"/>
      <c r="F72" s="11"/>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autoPageBreaks="0"/>
  </sheetPr>
  <dimension ref="A5:IU171"/>
  <sheetViews>
    <sheetView showGridLines="0" zoomScale="75" workbookViewId="0">
      <selection activeCell="H41" sqref="H41"/>
    </sheetView>
  </sheetViews>
  <sheetFormatPr baseColWidth="10" defaultRowHeight="11" x14ac:dyDescent="0.15"/>
  <cols>
    <col min="1" max="1" width="45.83203125" customWidth="1"/>
    <col min="2" max="6" width="14.83203125" customWidth="1"/>
    <col min="7" max="256" width="8.83203125" customWidth="1"/>
  </cols>
  <sheetData>
    <row r="5" spans="1:255" ht="17" x14ac:dyDescent="0.2">
      <c r="A5" s="1" t="s">
        <v>468</v>
      </c>
    </row>
    <row r="7" spans="1:255" x14ac:dyDescent="0.15">
      <c r="A7" s="4"/>
      <c r="B7" s="3" t="s">
        <v>220</v>
      </c>
      <c r="C7" t="s">
        <v>55</v>
      </c>
      <c r="D7" s="4" t="s">
        <v>2</v>
      </c>
      <c r="E7" s="3" t="s">
        <v>221</v>
      </c>
      <c r="F7" t="s">
        <v>57</v>
      </c>
    </row>
    <row r="8" spans="1:255" x14ac:dyDescent="0.15">
      <c r="A8" s="4"/>
      <c r="B8" s="3" t="s">
        <v>222</v>
      </c>
      <c r="C8" t="s">
        <v>6</v>
      </c>
      <c r="D8" s="4" t="s">
        <v>2</v>
      </c>
      <c r="E8" s="3" t="s">
        <v>223</v>
      </c>
      <c r="F8" s="5" t="s">
        <v>10</v>
      </c>
    </row>
    <row r="11" spans="1:255" x14ac:dyDescent="0.15">
      <c r="A11" s="6" t="s">
        <v>224</v>
      </c>
      <c r="B11" s="6"/>
      <c r="C11" s="6"/>
      <c r="D11" s="6"/>
      <c r="E11" s="6"/>
      <c r="F11" s="6"/>
      <c r="G11" s="34"/>
      <c r="H11" s="34"/>
      <c r="I11" s="34"/>
      <c r="J11" s="34"/>
      <c r="K11" s="41"/>
      <c r="L11" s="41"/>
      <c r="M11" s="41"/>
      <c r="N11" s="42"/>
      <c r="O11" s="42"/>
      <c r="P11" s="42"/>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ht="24" x14ac:dyDescent="0.15">
      <c r="A12" s="7" t="s">
        <v>14</v>
      </c>
      <c r="B12" s="12" t="s">
        <v>225</v>
      </c>
      <c r="C12" s="12" t="s">
        <v>226</v>
      </c>
      <c r="D12" s="12" t="s">
        <v>67</v>
      </c>
      <c r="E12" s="12" t="s">
        <v>68</v>
      </c>
      <c r="F12" s="12" t="s">
        <v>69</v>
      </c>
      <c r="G12" s="63" t="s">
        <v>390</v>
      </c>
    </row>
    <row r="13" spans="1:255" x14ac:dyDescent="0.15">
      <c r="A13" s="3" t="s">
        <v>369</v>
      </c>
      <c r="B13" s="4"/>
      <c r="C13" s="4"/>
      <c r="D13" s="4"/>
      <c r="E13" s="4"/>
      <c r="F13" s="4"/>
    </row>
    <row r="14" spans="1:255" x14ac:dyDescent="0.15">
      <c r="A14" s="40" t="s">
        <v>368</v>
      </c>
      <c r="B14" s="61">
        <f>B28/(B37*B44)</f>
        <v>2.680242801294491</v>
      </c>
      <c r="C14" s="61">
        <f t="shared" ref="C14:F14" si="0">C28/(C37*C44)</f>
        <v>2.9334399270055309</v>
      </c>
      <c r="D14" s="61">
        <f t="shared" si="0"/>
        <v>3.2980729390448076</v>
      </c>
      <c r="E14" s="61">
        <f t="shared" si="0"/>
        <v>3.5017007225821266</v>
      </c>
      <c r="F14" s="61">
        <f t="shared" si="0"/>
        <v>3.6789505836868241</v>
      </c>
      <c r="G14" s="62">
        <f>F14-E14</f>
        <v>0.17724986110469754</v>
      </c>
    </row>
    <row r="15" spans="1:255" x14ac:dyDescent="0.15">
      <c r="A15" s="40" t="s">
        <v>368</v>
      </c>
      <c r="B15" s="46">
        <f>' DATA - Balance Sheet'!B40/' DATA - Balance Sheet'!B67</f>
        <v>2.8163265306122449</v>
      </c>
      <c r="C15" s="46">
        <f>' DATA - Balance Sheet'!C40/' DATA - Balance Sheet'!C67</f>
        <v>3.0322523480418218</v>
      </c>
      <c r="D15" s="46">
        <f>' DATA - Balance Sheet'!D40/' DATA - Balance Sheet'!D67</f>
        <v>3.5079001146388875</v>
      </c>
      <c r="E15" s="46">
        <f>' DATA - Balance Sheet'!E40/' DATA - Balance Sheet'!E67</f>
        <v>3.4888847977171262</v>
      </c>
      <c r="F15" s="46">
        <f>' DATA - Balance Sheet'!F40/' DATA - Balance Sheet'!F67</f>
        <v>3.8826575910032552</v>
      </c>
      <c r="G15" s="62">
        <f t="shared" ref="G15:G20" si="1">F15-E15</f>
        <v>0.39377279328612902</v>
      </c>
    </row>
    <row r="16" spans="1:255" x14ac:dyDescent="0.15">
      <c r="A16" s="47" t="s">
        <v>370</v>
      </c>
      <c r="B16" s="49">
        <f>'DATA - Cash Flow'!B20/'DATA - Income Statement'!B17</f>
        <v>3.3266455245615167E-2</v>
      </c>
      <c r="C16" s="49">
        <f>'DATA - Cash Flow'!C20/'DATA - Income Statement'!C17</f>
        <v>3.4548728336709432E-2</v>
      </c>
      <c r="D16" s="49">
        <f>'DATA - Cash Flow'!D20/'DATA - Income Statement'!D17</f>
        <v>4.0412044374009512E-2</v>
      </c>
      <c r="E16" s="49">
        <f>'DATA - Cash Flow'!E20/'DATA - Income Statement'!E17</f>
        <v>3.5434157108509716E-2</v>
      </c>
      <c r="F16" s="49">
        <f>'DATA - Cash Flow'!F20/'DATA - Income Statement'!F17</f>
        <v>3.2378806599316808E-2</v>
      </c>
      <c r="G16" s="64">
        <f t="shared" si="1"/>
        <v>-3.0553505091929084E-3</v>
      </c>
    </row>
    <row r="17" spans="1:23" x14ac:dyDescent="0.15">
      <c r="A17" s="43" t="s">
        <v>371</v>
      </c>
      <c r="B17" s="51">
        <f>-1*'DATA - Income Statement'!B33/'DATA - Income Statement'!B17</f>
        <v>4.9834962138372921E-3</v>
      </c>
      <c r="C17" s="51">
        <f>-1*'DATA - Income Statement'!C33/'DATA - Income Statement'!C17</f>
        <v>6.470853027233851E-3</v>
      </c>
      <c r="D17" s="51">
        <f>-1*'DATA - Income Statement'!D33/'DATA - Income Statement'!D17</f>
        <v>9.7417730959261668E-3</v>
      </c>
      <c r="E17" s="51">
        <f>-1*'DATA - Income Statement'!E33/'DATA - Income Statement'!E17</f>
        <v>9.1442986086476691E-3</v>
      </c>
      <c r="F17" s="51">
        <f>-1*'DATA - Income Statement'!F33/'DATA - Income Statement'!F17</f>
        <v>1.1047314485064321E-2</v>
      </c>
      <c r="G17" s="64">
        <f t="shared" si="1"/>
        <v>1.903015876416652E-3</v>
      </c>
    </row>
    <row r="18" spans="1:23" x14ac:dyDescent="0.15">
      <c r="A18" s="47" t="s">
        <v>372</v>
      </c>
      <c r="B18" s="52">
        <f>'DATA - Income Statement'!B84</f>
        <v>0.13425899999999999</v>
      </c>
      <c r="C18" s="52">
        <f>'DATA - Income Statement'!C84</f>
        <v>0.179786</v>
      </c>
      <c r="D18" s="52">
        <f>'DATA - Income Statement'!D84</f>
        <v>0.17038400000000001</v>
      </c>
      <c r="E18" s="52" t="str">
        <f>'DATA - Income Statement'!E84</f>
        <v>NM</v>
      </c>
      <c r="F18" s="52">
        <f>'DATA - Income Statement'!F84</f>
        <v>0.28134199999999998</v>
      </c>
      <c r="G18" s="62"/>
      <c r="V18" s="43"/>
      <c r="W18" s="43"/>
    </row>
    <row r="19" spans="1:23" x14ac:dyDescent="0.15">
      <c r="A19" s="54" t="s">
        <v>373</v>
      </c>
      <c r="B19" s="56">
        <f>-1*'DATA - Income Statement'!B33/' DATA - Balance Sheet'!B56</f>
        <v>2.7553138195090532E-3</v>
      </c>
      <c r="C19" s="56">
        <f>-1*'DATA - Income Statement'!C33/' DATA - Balance Sheet'!C56</f>
        <v>3.3426345773747237E-3</v>
      </c>
      <c r="D19" s="56">
        <f>-1*'DATA - Income Statement'!D33/' DATA - Balance Sheet'!D56</f>
        <v>4.1537483106765241E-3</v>
      </c>
      <c r="E19" s="56">
        <f>-1*'DATA - Income Statement'!E33/' DATA - Balance Sheet'!E56</f>
        <v>4.2902581551889935E-3</v>
      </c>
      <c r="F19" s="56">
        <f>-1*'DATA - Income Statement'!F33/' DATA - Balance Sheet'!F56</f>
        <v>5.2016494704241736E-3</v>
      </c>
      <c r="G19" s="62">
        <f t="shared" si="1"/>
        <v>9.1139131523518008E-4</v>
      </c>
    </row>
    <row r="20" spans="1:23" x14ac:dyDescent="0.15">
      <c r="A20" s="54" t="s">
        <v>374</v>
      </c>
      <c r="B20" s="57">
        <f>'DATA - Income Statement'!B31/((-1*'DATA - Income Statement'!B33)+(-1*'DATA - Cash Flow'!B46/(1-('DATA - Income Statement'!B48/'DATA - Income Statement'!B46))))</f>
        <v>1.6257429311351321</v>
      </c>
      <c r="C20" s="57">
        <f>'DATA - Income Statement'!C31/((-1*'DATA - Income Statement'!C33)+(-1*'DATA - Cash Flow'!C46/(1-('DATA - Income Statement'!C48/'DATA - Income Statement'!C46))))</f>
        <v>0.8788704422437047</v>
      </c>
      <c r="D20" s="57">
        <f>'DATA - Income Statement'!D31/((-1*'DATA - Income Statement'!D33)+(-1*'DATA - Cash Flow'!D46/(1-('DATA - Income Statement'!D48/'DATA - Income Statement'!D46))))</f>
        <v>0.89617747983011242</v>
      </c>
      <c r="E20" s="57">
        <f>'DATA - Income Statement'!E31/((-1*'DATA - Income Statement'!E33)+(-1*'DATA - Cash Flow'!E46/(1-(-1*'DATA - Income Statement'!E48/'DATA - Income Statement'!E46))))</f>
        <v>7.2004028218236167</v>
      </c>
      <c r="F20" s="57">
        <f>'DATA - Income Statement'!F31/((-1*'DATA - Income Statement'!F33)+(-1*'DATA - Cash Flow'!F46/(1-('DATA - Income Statement'!F48/'DATA - Income Statement'!F46))))</f>
        <v>1.5241266918463783</v>
      </c>
      <c r="G20" s="62">
        <f t="shared" si="1"/>
        <v>-5.6762761299772384</v>
      </c>
    </row>
    <row r="21" spans="1:23" x14ac:dyDescent="0.15">
      <c r="B21" s="50"/>
      <c r="C21" s="50"/>
      <c r="D21" s="50"/>
      <c r="E21" s="50"/>
      <c r="F21" s="50"/>
    </row>
    <row r="22" spans="1:23" x14ac:dyDescent="0.15">
      <c r="A22" s="4"/>
      <c r="B22" s="50"/>
      <c r="C22" s="50"/>
      <c r="D22" s="50"/>
      <c r="E22" s="50"/>
      <c r="F22" s="50"/>
    </row>
    <row r="23" spans="1:23" x14ac:dyDescent="0.15">
      <c r="A23" s="4"/>
      <c r="B23" s="50"/>
      <c r="C23" s="50"/>
      <c r="D23" s="50"/>
      <c r="E23" s="50"/>
      <c r="F23" s="50"/>
    </row>
    <row r="24" spans="1:23" x14ac:dyDescent="0.15">
      <c r="A24" s="9" t="s">
        <v>227</v>
      </c>
      <c r="B24" s="4"/>
      <c r="C24" s="4"/>
      <c r="D24" s="4"/>
      <c r="E24" s="4"/>
      <c r="F24" s="4"/>
    </row>
    <row r="25" spans="1:23" x14ac:dyDescent="0.15">
      <c r="A25" s="54" t="s">
        <v>228</v>
      </c>
      <c r="B25" s="27">
        <v>3.2979000000000001E-2</v>
      </c>
      <c r="C25" s="27">
        <v>3.6932E-2</v>
      </c>
      <c r="D25" s="27">
        <v>3.5206000000000001E-2</v>
      </c>
      <c r="E25" s="27">
        <v>3.6896999999999999E-2</v>
      </c>
      <c r="F25" s="27">
        <v>3.2673000000000001E-2</v>
      </c>
    </row>
    <row r="26" spans="1:23" x14ac:dyDescent="0.15">
      <c r="A26" s="4" t="s">
        <v>229</v>
      </c>
      <c r="B26" s="27">
        <v>8.0683000000000005E-2</v>
      </c>
      <c r="C26" s="27">
        <v>8.7877999999999998E-2</v>
      </c>
      <c r="D26" s="27">
        <v>8.2104999999999997E-2</v>
      </c>
      <c r="E26" s="27">
        <v>8.7953000000000003E-2</v>
      </c>
      <c r="F26" s="27">
        <v>7.9675999999999997E-2</v>
      </c>
    </row>
    <row r="27" spans="1:23" x14ac:dyDescent="0.15">
      <c r="A27" s="4" t="s">
        <v>230</v>
      </c>
      <c r="B27" s="27">
        <v>0.131102</v>
      </c>
      <c r="C27" s="27">
        <v>0.15218899999999999</v>
      </c>
      <c r="D27" s="27">
        <v>0.227184</v>
      </c>
      <c r="E27" s="27">
        <v>0.199521</v>
      </c>
      <c r="F27" s="27">
        <v>0.115187</v>
      </c>
    </row>
    <row r="28" spans="1:23" x14ac:dyDescent="0.15">
      <c r="A28" s="45" t="s">
        <v>231</v>
      </c>
      <c r="B28" s="27">
        <v>0.131102</v>
      </c>
      <c r="C28" s="27">
        <v>0.152396</v>
      </c>
      <c r="D28" s="27">
        <v>0.22772500000000001</v>
      </c>
      <c r="E28" s="27">
        <v>0.19973099999999999</v>
      </c>
      <c r="F28" s="27">
        <v>0.115187</v>
      </c>
      <c r="G28" s="27">
        <f>F28-E28</f>
        <v>-8.4543999999999994E-2</v>
      </c>
    </row>
    <row r="29" spans="1:23" x14ac:dyDescent="0.15">
      <c r="A29" s="4"/>
      <c r="B29" s="4"/>
      <c r="C29" s="4"/>
      <c r="D29" s="4"/>
      <c r="E29" s="4"/>
      <c r="F29" s="4"/>
    </row>
    <row r="30" spans="1:23" x14ac:dyDescent="0.15">
      <c r="A30" s="9" t="s">
        <v>232</v>
      </c>
      <c r="B30" s="4"/>
      <c r="C30" s="4"/>
      <c r="D30" s="4"/>
      <c r="E30" s="4"/>
      <c r="F30" s="4"/>
      <c r="V30" s="44"/>
      <c r="W30" s="44"/>
    </row>
    <row r="31" spans="1:23" x14ac:dyDescent="0.15">
      <c r="A31" s="47" t="s">
        <v>233</v>
      </c>
      <c r="B31" s="27">
        <v>0.465277</v>
      </c>
      <c r="C31" s="27">
        <v>0.44941399999999998</v>
      </c>
      <c r="D31" s="27">
        <v>0.46616000000000002</v>
      </c>
      <c r="E31" s="27">
        <v>0.46986699999999998</v>
      </c>
      <c r="F31" s="27">
        <v>0.42346800000000001</v>
      </c>
      <c r="G31" s="27">
        <f>F31-E31</f>
        <v>-4.6398999999999968E-2</v>
      </c>
    </row>
    <row r="32" spans="1:23" x14ac:dyDescent="0.15">
      <c r="A32" s="4" t="s">
        <v>234</v>
      </c>
      <c r="B32" s="27">
        <v>0.184777</v>
      </c>
      <c r="C32" s="27">
        <v>0.17510600000000001</v>
      </c>
      <c r="D32" s="27">
        <v>0.183229</v>
      </c>
      <c r="E32" s="27">
        <v>0.17969299999999999</v>
      </c>
      <c r="F32" s="27">
        <v>0.15829599999999999</v>
      </c>
    </row>
    <row r="33" spans="1:23" x14ac:dyDescent="0.15">
      <c r="A33" s="4" t="s">
        <v>235</v>
      </c>
      <c r="B33" s="27">
        <v>0.17688100000000001</v>
      </c>
      <c r="C33" s="27">
        <v>0.19193099999999999</v>
      </c>
      <c r="D33" s="27">
        <v>0.20019500000000001</v>
      </c>
      <c r="E33" s="27">
        <v>0.20551</v>
      </c>
      <c r="F33" s="27">
        <v>0.17915500000000001</v>
      </c>
    </row>
    <row r="34" spans="1:23" x14ac:dyDescent="0.15">
      <c r="A34" s="4" t="s">
        <v>236</v>
      </c>
      <c r="B34" s="27">
        <v>0.15325800000000001</v>
      </c>
      <c r="C34" s="27">
        <v>0.16925499999999999</v>
      </c>
      <c r="D34" s="27">
        <v>0.18080499999999999</v>
      </c>
      <c r="E34" s="27">
        <v>0.18753600000000001</v>
      </c>
      <c r="F34" s="27">
        <v>0.16389200000000001</v>
      </c>
    </row>
    <row r="35" spans="1:23" x14ac:dyDescent="0.15">
      <c r="A35" s="47" t="s">
        <v>237</v>
      </c>
      <c r="B35" s="27">
        <v>0.14361499999999999</v>
      </c>
      <c r="C35" s="27">
        <v>0.15738199999999999</v>
      </c>
      <c r="D35" s="27">
        <v>0.15978300000000001</v>
      </c>
      <c r="E35" s="27">
        <v>0.170076</v>
      </c>
      <c r="F35" s="27">
        <v>0.14677599999999999</v>
      </c>
      <c r="G35" s="27">
        <f>F35-E35</f>
        <v>-2.3300000000000015E-2</v>
      </c>
    </row>
    <row r="36" spans="1:23" x14ac:dyDescent="0.15">
      <c r="A36" s="4" t="s">
        <v>469</v>
      </c>
      <c r="B36" s="27">
        <v>0.13313</v>
      </c>
      <c r="C36" s="27">
        <v>0.13836300000000001</v>
      </c>
      <c r="D36" s="27">
        <v>0.19586000000000001</v>
      </c>
      <c r="E36" s="27">
        <v>0.16432099999999999</v>
      </c>
      <c r="F36" s="27">
        <v>8.7905999999999998E-2</v>
      </c>
    </row>
    <row r="37" spans="1:23" x14ac:dyDescent="0.15">
      <c r="A37" s="40" t="s">
        <v>238</v>
      </c>
      <c r="B37" s="27">
        <v>0.13313</v>
      </c>
      <c r="C37" s="27">
        <v>0.13836300000000001</v>
      </c>
      <c r="D37" s="27">
        <v>0.19586000000000001</v>
      </c>
      <c r="E37" s="27">
        <v>0.16432099999999999</v>
      </c>
      <c r="F37" s="27">
        <v>8.7905999999999998E-2</v>
      </c>
    </row>
    <row r="38" spans="1:23" x14ac:dyDescent="0.15">
      <c r="A38" s="4" t="s">
        <v>470</v>
      </c>
      <c r="B38" s="27">
        <v>0.13313</v>
      </c>
      <c r="C38" s="27">
        <v>0.13836300000000001</v>
      </c>
      <c r="D38" s="27">
        <v>0.19586000000000001</v>
      </c>
      <c r="E38" s="27">
        <v>0.16432099999999999</v>
      </c>
      <c r="F38" s="27">
        <v>8.7905999999999998E-2</v>
      </c>
    </row>
    <row r="39" spans="1:23" x14ac:dyDescent="0.15">
      <c r="A39" s="4" t="s">
        <v>239</v>
      </c>
      <c r="B39" s="27">
        <v>9.3602000000000005E-2</v>
      </c>
      <c r="C39" s="27">
        <v>0.10086000000000001</v>
      </c>
      <c r="D39" s="27">
        <v>9.7709000000000004E-2</v>
      </c>
      <c r="E39" s="27">
        <v>0.103489</v>
      </c>
      <c r="F39" s="27">
        <v>9.5278000000000002E-2</v>
      </c>
    </row>
    <row r="40" spans="1:23" x14ac:dyDescent="0.15">
      <c r="A40" s="4" t="s">
        <v>240</v>
      </c>
      <c r="B40" s="27">
        <v>0.47257399999999999</v>
      </c>
      <c r="C40" s="27">
        <v>0.110468</v>
      </c>
      <c r="D40" s="27">
        <v>0.23566100000000001</v>
      </c>
      <c r="E40" s="27">
        <v>0.108504</v>
      </c>
      <c r="F40" s="27">
        <v>0.120988</v>
      </c>
      <c r="V40" s="55"/>
      <c r="W40" s="55"/>
    </row>
    <row r="41" spans="1:23" x14ac:dyDescent="0.15">
      <c r="A41" s="4" t="s">
        <v>241</v>
      </c>
      <c r="B41" s="27">
        <v>0.47568899999999997</v>
      </c>
      <c r="C41" s="27">
        <v>0.114512</v>
      </c>
      <c r="D41" s="27">
        <v>0.24174899999999999</v>
      </c>
      <c r="E41" s="27">
        <v>0.114219</v>
      </c>
      <c r="F41" s="27">
        <v>0.12789300000000001</v>
      </c>
    </row>
    <row r="42" spans="1:23" x14ac:dyDescent="0.15">
      <c r="A42" s="4"/>
      <c r="B42" s="4"/>
      <c r="C42" s="4"/>
      <c r="D42" s="4"/>
      <c r="E42" s="4"/>
      <c r="F42" s="4"/>
    </row>
    <row r="43" spans="1:23" x14ac:dyDescent="0.15">
      <c r="A43" s="9" t="s">
        <v>242</v>
      </c>
      <c r="B43" s="4"/>
      <c r="C43" s="4"/>
      <c r="D43" s="4"/>
      <c r="E43" s="4"/>
      <c r="F43" s="4"/>
    </row>
    <row r="44" spans="1:23" x14ac:dyDescent="0.15">
      <c r="A44" s="40" t="s">
        <v>243</v>
      </c>
      <c r="B44" s="21">
        <v>0.36741699999999999</v>
      </c>
      <c r="C44" s="21">
        <v>0.375471</v>
      </c>
      <c r="D44" s="21">
        <v>0.35253699999999999</v>
      </c>
      <c r="E44" s="21">
        <v>0.34711500000000001</v>
      </c>
      <c r="F44" s="21">
        <v>0.35617300000000002</v>
      </c>
    </row>
    <row r="45" spans="1:23" x14ac:dyDescent="0.15">
      <c r="A45" s="53" t="s">
        <v>244</v>
      </c>
      <c r="B45" s="21">
        <v>9.5024599999999992</v>
      </c>
      <c r="C45" s="21">
        <v>9.1232030000000002</v>
      </c>
      <c r="D45" s="21">
        <v>9.1566360000000007</v>
      </c>
      <c r="E45" s="21">
        <v>9.9846509999999995</v>
      </c>
      <c r="F45" s="21">
        <v>11.296386999999999</v>
      </c>
    </row>
    <row r="46" spans="1:23" x14ac:dyDescent="0.15">
      <c r="A46" s="4" t="s">
        <v>245</v>
      </c>
      <c r="B46" s="21">
        <v>51.848993</v>
      </c>
      <c r="C46" s="21">
        <v>47.518715999999998</v>
      </c>
      <c r="D46" s="21">
        <v>42.399208999999999</v>
      </c>
      <c r="E46" s="21">
        <v>36.849673000000003</v>
      </c>
      <c r="F46" s="21">
        <v>31.217243</v>
      </c>
    </row>
    <row r="47" spans="1:23" ht="12" x14ac:dyDescent="0.15">
      <c r="A47" s="4" t="s">
        <v>246</v>
      </c>
      <c r="B47" s="17" t="s">
        <v>93</v>
      </c>
      <c r="C47" s="17" t="s">
        <v>93</v>
      </c>
      <c r="D47" s="17" t="s">
        <v>93</v>
      </c>
      <c r="E47" s="17" t="s">
        <v>93</v>
      </c>
      <c r="F47" s="17" t="s">
        <v>93</v>
      </c>
    </row>
    <row r="48" spans="1:23" x14ac:dyDescent="0.15">
      <c r="A48" s="4"/>
      <c r="B48" s="4"/>
      <c r="C48" s="4"/>
      <c r="D48" s="4"/>
      <c r="E48" s="4"/>
      <c r="F48" s="4"/>
    </row>
    <row r="49" spans="1:7" x14ac:dyDescent="0.15">
      <c r="A49" s="9" t="s">
        <v>247</v>
      </c>
      <c r="B49" s="4"/>
      <c r="C49" s="4"/>
      <c r="D49" s="4"/>
      <c r="E49" s="4"/>
      <c r="F49" s="4"/>
    </row>
    <row r="50" spans="1:7" x14ac:dyDescent="0.15">
      <c r="A50" s="54" t="s">
        <v>375</v>
      </c>
      <c r="B50" s="21">
        <v>1.2725059999999999</v>
      </c>
      <c r="C50" s="21">
        <v>1.4300299999999999</v>
      </c>
      <c r="D50" s="21">
        <v>1.326371</v>
      </c>
      <c r="E50" s="21">
        <v>1.221827</v>
      </c>
      <c r="F50" s="21">
        <v>1.275293</v>
      </c>
    </row>
    <row r="51" spans="1:7" x14ac:dyDescent="0.15">
      <c r="A51" s="54" t="s">
        <v>376</v>
      </c>
      <c r="B51" s="21">
        <v>0.36372700000000002</v>
      </c>
      <c r="C51" s="21">
        <v>0.41792000000000001</v>
      </c>
      <c r="D51" s="21">
        <v>0.35638599999999998</v>
      </c>
      <c r="E51" s="21">
        <v>0.24021000000000001</v>
      </c>
      <c r="F51" s="21">
        <v>0.26376300000000003</v>
      </c>
    </row>
    <row r="52" spans="1:7" x14ac:dyDescent="0.15">
      <c r="A52" s="4" t="s">
        <v>471</v>
      </c>
      <c r="B52" s="21">
        <v>0.21154999999999999</v>
      </c>
      <c r="C52" s="21">
        <v>0.151231</v>
      </c>
      <c r="D52" s="21">
        <v>0.16175500000000001</v>
      </c>
      <c r="E52" s="21">
        <v>0.13472300000000001</v>
      </c>
      <c r="F52" s="21">
        <v>0.128888</v>
      </c>
    </row>
    <row r="53" spans="1:7" x14ac:dyDescent="0.15">
      <c r="A53" s="53" t="s">
        <v>472</v>
      </c>
      <c r="B53" s="18">
        <v>7.03939</v>
      </c>
      <c r="C53" s="18">
        <v>7.6810600000000004</v>
      </c>
      <c r="D53" s="18">
        <v>8.6321100000000008</v>
      </c>
      <c r="E53" s="18">
        <v>9.9050049999999992</v>
      </c>
      <c r="F53" s="18">
        <v>11.692045</v>
      </c>
    </row>
    <row r="54" spans="1:7" ht="12" x14ac:dyDescent="0.15">
      <c r="A54" s="53" t="s">
        <v>473</v>
      </c>
      <c r="B54" s="18" t="s">
        <v>93</v>
      </c>
      <c r="C54" s="18" t="s">
        <v>93</v>
      </c>
      <c r="D54" s="18" t="s">
        <v>93</v>
      </c>
      <c r="E54" s="18" t="s">
        <v>93</v>
      </c>
      <c r="F54" s="18" t="s">
        <v>93</v>
      </c>
    </row>
    <row r="55" spans="1:7" x14ac:dyDescent="0.15">
      <c r="A55" s="53" t="s">
        <v>474</v>
      </c>
      <c r="B55" s="18">
        <v>11.88367</v>
      </c>
      <c r="C55" s="18">
        <v>9.5677450000000004</v>
      </c>
      <c r="D55" s="18">
        <v>7.7332140000000003</v>
      </c>
      <c r="E55" s="18">
        <v>6.0922150000000004</v>
      </c>
      <c r="F55" s="18">
        <v>3.7153350000000001</v>
      </c>
    </row>
    <row r="56" spans="1:7" ht="12" x14ac:dyDescent="0.15">
      <c r="A56" s="53" t="s">
        <v>475</v>
      </c>
      <c r="B56" s="18" t="s">
        <v>93</v>
      </c>
      <c r="C56" s="18" t="s">
        <v>93</v>
      </c>
      <c r="D56" s="18" t="s">
        <v>93</v>
      </c>
      <c r="E56" s="18" t="s">
        <v>93</v>
      </c>
      <c r="F56" s="18" t="s">
        <v>93</v>
      </c>
    </row>
    <row r="57" spans="1:7" x14ac:dyDescent="0.15">
      <c r="A57" s="4"/>
      <c r="B57" s="4"/>
      <c r="C57" s="4"/>
      <c r="D57" s="4"/>
      <c r="E57" s="4"/>
      <c r="F57" s="4"/>
    </row>
    <row r="58" spans="1:7" x14ac:dyDescent="0.15">
      <c r="A58" s="9" t="s">
        <v>248</v>
      </c>
      <c r="B58" s="4"/>
      <c r="C58" s="4"/>
      <c r="D58" s="4"/>
      <c r="E58" s="4"/>
      <c r="F58" s="4"/>
    </row>
    <row r="59" spans="1:7" x14ac:dyDescent="0.15">
      <c r="A59" s="4" t="s">
        <v>249</v>
      </c>
      <c r="B59" s="27">
        <v>0.129858</v>
      </c>
      <c r="C59" s="27">
        <v>0.32323200000000002</v>
      </c>
      <c r="D59" s="27">
        <v>0.48472300000000001</v>
      </c>
      <c r="E59" s="27">
        <v>0.451511</v>
      </c>
      <c r="F59" s="27">
        <v>0.56994100000000003</v>
      </c>
      <c r="G59" t="s">
        <v>1046</v>
      </c>
    </row>
    <row r="60" spans="1:7" x14ac:dyDescent="0.15">
      <c r="A60" s="4" t="s">
        <v>250</v>
      </c>
      <c r="B60" s="27">
        <v>0.11493299999999999</v>
      </c>
      <c r="C60" s="27">
        <v>0.24427399999999999</v>
      </c>
      <c r="D60" s="27">
        <v>0.32647300000000001</v>
      </c>
      <c r="E60" s="27">
        <v>0.31106299999999998</v>
      </c>
      <c r="F60" s="27">
        <v>0.36303299999999999</v>
      </c>
    </row>
    <row r="61" spans="1:7" ht="12" x14ac:dyDescent="0.15">
      <c r="A61" s="4" t="s">
        <v>251</v>
      </c>
      <c r="B61" s="17" t="s">
        <v>93</v>
      </c>
      <c r="C61" s="27">
        <v>0.31708900000000001</v>
      </c>
      <c r="D61" s="27">
        <v>0.477545</v>
      </c>
      <c r="E61" s="27">
        <v>0.39899600000000002</v>
      </c>
      <c r="F61" s="27">
        <v>0.54187600000000002</v>
      </c>
    </row>
    <row r="62" spans="1:7" ht="12" x14ac:dyDescent="0.15">
      <c r="A62" s="4" t="s">
        <v>252</v>
      </c>
      <c r="B62" s="17" t="s">
        <v>93</v>
      </c>
      <c r="C62" s="27">
        <v>0.23963200000000001</v>
      </c>
      <c r="D62" s="27">
        <v>0.32163900000000001</v>
      </c>
      <c r="E62" s="27">
        <v>0.27488299999999999</v>
      </c>
      <c r="F62" s="27">
        <v>0.34515600000000002</v>
      </c>
    </row>
    <row r="63" spans="1:7" x14ac:dyDescent="0.15">
      <c r="A63" s="4" t="s">
        <v>253</v>
      </c>
      <c r="B63" s="27">
        <v>0.64492700000000003</v>
      </c>
      <c r="C63" s="27">
        <v>0.67021200000000003</v>
      </c>
      <c r="D63" s="27">
        <v>0.71492900000000004</v>
      </c>
      <c r="E63" s="27">
        <v>0.71337499999999998</v>
      </c>
      <c r="F63" s="27">
        <v>0.74244399999999999</v>
      </c>
    </row>
    <row r="64" spans="1:7" x14ac:dyDescent="0.15">
      <c r="A64" s="4"/>
      <c r="B64" s="4"/>
      <c r="C64" s="4"/>
      <c r="D64" s="4"/>
      <c r="E64" s="4"/>
      <c r="F64" s="4"/>
    </row>
    <row r="65" spans="1:6" x14ac:dyDescent="0.15">
      <c r="A65" s="54" t="s">
        <v>476</v>
      </c>
      <c r="B65" s="21">
        <v>28.818180999999999</v>
      </c>
      <c r="C65" s="21">
        <v>24.321739000000001</v>
      </c>
      <c r="D65" s="21">
        <v>16.401913</v>
      </c>
      <c r="E65" s="21">
        <v>18.599136999999999</v>
      </c>
      <c r="F65" s="21">
        <v>13.286184</v>
      </c>
    </row>
    <row r="66" spans="1:6" x14ac:dyDescent="0.15">
      <c r="A66" s="4" t="s">
        <v>477</v>
      </c>
      <c r="B66" s="21">
        <v>35.493505999999996</v>
      </c>
      <c r="C66" s="21">
        <v>30.791304</v>
      </c>
      <c r="D66" s="21">
        <v>21.344497</v>
      </c>
      <c r="E66" s="21">
        <v>23.267240999999999</v>
      </c>
      <c r="F66" s="21">
        <v>16.855263000000001</v>
      </c>
    </row>
    <row r="67" spans="1:6" x14ac:dyDescent="0.15">
      <c r="A67" s="4" t="s">
        <v>478</v>
      </c>
      <c r="B67" s="21">
        <v>24.805194</v>
      </c>
      <c r="C67" s="21">
        <v>24.669564999999999</v>
      </c>
      <c r="D67" s="21">
        <v>17.200956000000001</v>
      </c>
      <c r="E67" s="21">
        <v>19.353448</v>
      </c>
      <c r="F67" s="21">
        <v>14.532894000000001</v>
      </c>
    </row>
    <row r="68" spans="1:6" x14ac:dyDescent="0.15">
      <c r="A68" s="4" t="s">
        <v>254</v>
      </c>
      <c r="B68" s="21">
        <v>0.73106400000000005</v>
      </c>
      <c r="C68" s="21">
        <v>1.545326</v>
      </c>
      <c r="D68" s="21">
        <v>2.1800039999999998</v>
      </c>
      <c r="E68" s="21">
        <v>1.817339</v>
      </c>
      <c r="F68" s="21">
        <v>2.255074</v>
      </c>
    </row>
    <row r="69" spans="1:6" ht="12" x14ac:dyDescent="0.15">
      <c r="A69" s="4" t="s">
        <v>255</v>
      </c>
      <c r="B69" s="17" t="s">
        <v>99</v>
      </c>
      <c r="C69" s="17" t="s">
        <v>99</v>
      </c>
      <c r="D69" s="17" t="s">
        <v>99</v>
      </c>
      <c r="E69" s="21">
        <v>5.7428E-2</v>
      </c>
      <c r="F69" s="21">
        <v>0.134074</v>
      </c>
    </row>
    <row r="70" spans="1:6" x14ac:dyDescent="0.15">
      <c r="A70" s="4" t="s">
        <v>256</v>
      </c>
      <c r="B70" s="21">
        <v>1.046073</v>
      </c>
      <c r="C70" s="21">
        <v>1.928798</v>
      </c>
      <c r="D70" s="21">
        <v>2.7051460000000001</v>
      </c>
      <c r="E70" s="21">
        <v>2.1848550000000002</v>
      </c>
      <c r="F70" s="21">
        <v>2.6154359999999999</v>
      </c>
    </row>
    <row r="71" spans="1:6" ht="12" x14ac:dyDescent="0.15">
      <c r="A71" s="4" t="s">
        <v>257</v>
      </c>
      <c r="B71" s="17" t="s">
        <v>99</v>
      </c>
      <c r="C71" s="17" t="s">
        <v>99</v>
      </c>
      <c r="D71" s="17" t="s">
        <v>99</v>
      </c>
      <c r="E71" s="21">
        <v>6.9042000000000006E-2</v>
      </c>
      <c r="F71" s="21">
        <v>0.1555</v>
      </c>
    </row>
    <row r="72" spans="1:6" x14ac:dyDescent="0.15">
      <c r="A72" s="4"/>
      <c r="B72" s="4"/>
      <c r="C72" s="4"/>
      <c r="D72" s="4"/>
      <c r="E72" s="4"/>
      <c r="F72" s="4"/>
    </row>
    <row r="73" spans="1:6" x14ac:dyDescent="0.15">
      <c r="A73" s="4" t="s">
        <v>258</v>
      </c>
      <c r="B73" s="25">
        <v>3.018122</v>
      </c>
      <c r="C73" s="25">
        <v>3.177219</v>
      </c>
      <c r="D73" s="25">
        <v>3.1850230000000002</v>
      </c>
      <c r="E73" s="25">
        <v>4.2894370000000004</v>
      </c>
      <c r="F73" s="25">
        <v>2.2001810000000002</v>
      </c>
    </row>
    <row r="74" spans="1:6" x14ac:dyDescent="0.15">
      <c r="A74" s="4"/>
      <c r="B74" s="4"/>
      <c r="C74" s="4"/>
      <c r="D74" s="4"/>
      <c r="E74" s="4"/>
      <c r="F74" s="4"/>
    </row>
    <row r="75" spans="1:6" x14ac:dyDescent="0.15">
      <c r="A75" s="9" t="s">
        <v>259</v>
      </c>
      <c r="B75" s="4"/>
      <c r="C75" s="4"/>
      <c r="D75" s="4"/>
      <c r="E75" s="4"/>
      <c r="F75" s="4"/>
    </row>
    <row r="76" spans="1:6" x14ac:dyDescent="0.15">
      <c r="A76" s="4" t="s">
        <v>72</v>
      </c>
      <c r="B76" s="27">
        <v>0.180006</v>
      </c>
      <c r="C76" s="27">
        <v>0.15021599999999999</v>
      </c>
      <c r="D76" s="27">
        <v>0.207179</v>
      </c>
      <c r="E76" s="27">
        <v>0.18257599999999999</v>
      </c>
      <c r="F76" s="27">
        <v>8.4624000000000005E-2</v>
      </c>
    </row>
    <row r="77" spans="1:6" x14ac:dyDescent="0.15">
      <c r="A77" s="4" t="s">
        <v>74</v>
      </c>
      <c r="B77" s="27">
        <v>0.123456</v>
      </c>
      <c r="C77" s="27">
        <v>0.111002</v>
      </c>
      <c r="D77" s="27">
        <v>0.25215900000000002</v>
      </c>
      <c r="E77" s="27">
        <v>0.19198000000000001</v>
      </c>
      <c r="F77" s="27">
        <v>-2.2481999999999999E-2</v>
      </c>
    </row>
    <row r="78" spans="1:6" x14ac:dyDescent="0.15">
      <c r="A78" s="4" t="s">
        <v>260</v>
      </c>
      <c r="B78" s="27">
        <v>8.4869999999999998E-3</v>
      </c>
      <c r="C78" s="27">
        <v>0.24807899999999999</v>
      </c>
      <c r="D78" s="27">
        <v>0.25916099999999997</v>
      </c>
      <c r="E78" s="27">
        <v>0.21396899999999999</v>
      </c>
      <c r="F78" s="27">
        <v>-5.4468999999999997E-2</v>
      </c>
    </row>
    <row r="79" spans="1:6" x14ac:dyDescent="0.15">
      <c r="A79" s="4" t="s">
        <v>261</v>
      </c>
      <c r="B79" s="27">
        <v>1.9370999999999999E-2</v>
      </c>
      <c r="C79" s="27">
        <v>0.27027000000000001</v>
      </c>
      <c r="D79" s="27">
        <v>0.28956100000000001</v>
      </c>
      <c r="E79" s="27">
        <v>0.226604</v>
      </c>
      <c r="F79" s="27">
        <v>-5.2123000000000003E-2</v>
      </c>
    </row>
    <row r="80" spans="1:6" x14ac:dyDescent="0.15">
      <c r="A80" s="4" t="s">
        <v>262</v>
      </c>
      <c r="B80" s="27">
        <v>1.0012999999999999E-2</v>
      </c>
      <c r="C80" s="27">
        <v>0.26047700000000001</v>
      </c>
      <c r="D80" s="27">
        <v>0.22559799999999999</v>
      </c>
      <c r="E80" s="27">
        <v>0.25875100000000001</v>
      </c>
      <c r="F80" s="27">
        <v>-6.3963000000000006E-2</v>
      </c>
    </row>
    <row r="81" spans="1:6" x14ac:dyDescent="0.15">
      <c r="A81" s="4" t="s">
        <v>422</v>
      </c>
      <c r="B81" s="27">
        <v>0.14596100000000001</v>
      </c>
      <c r="C81" s="27">
        <v>0.19542999999999999</v>
      </c>
      <c r="D81" s="27">
        <v>0.70882400000000001</v>
      </c>
      <c r="E81" s="27">
        <v>-7.8539999999999999E-3</v>
      </c>
      <c r="F81" s="27">
        <v>-0.419765</v>
      </c>
    </row>
    <row r="82" spans="1:6" x14ac:dyDescent="0.15">
      <c r="A82" s="4" t="s">
        <v>85</v>
      </c>
      <c r="B82" s="27">
        <v>0.14596100000000001</v>
      </c>
      <c r="C82" s="27">
        <v>0.19542999999999999</v>
      </c>
      <c r="D82" s="27">
        <v>0.70882400000000001</v>
      </c>
      <c r="E82" s="27">
        <v>-7.8539999999999999E-3</v>
      </c>
      <c r="F82" s="27">
        <v>-0.419765</v>
      </c>
    </row>
    <row r="83" spans="1:6" x14ac:dyDescent="0.15">
      <c r="A83" s="4" t="s">
        <v>263</v>
      </c>
      <c r="B83" s="27">
        <v>1.9383000000000001E-2</v>
      </c>
      <c r="C83" s="27">
        <v>0.23941200000000001</v>
      </c>
      <c r="D83" s="27">
        <v>0.169456</v>
      </c>
      <c r="E83" s="27">
        <v>0.25253399999999998</v>
      </c>
      <c r="F83" s="27">
        <v>-1.4289999999999999E-3</v>
      </c>
    </row>
    <row r="84" spans="1:6" x14ac:dyDescent="0.15">
      <c r="A84" s="4" t="s">
        <v>264</v>
      </c>
      <c r="B84" s="27">
        <v>0.16326499999999999</v>
      </c>
      <c r="C84" s="27">
        <v>0.21052599999999999</v>
      </c>
      <c r="D84" s="27">
        <v>0.710144</v>
      </c>
      <c r="E84" s="27">
        <v>-5.6499999999999996E-3</v>
      </c>
      <c r="F84" s="27">
        <v>-0.40625</v>
      </c>
    </row>
    <row r="85" spans="1:6" x14ac:dyDescent="0.15">
      <c r="A85" s="4"/>
      <c r="B85" s="4"/>
      <c r="C85" s="4"/>
      <c r="D85" s="4"/>
      <c r="E85" s="4"/>
      <c r="F85" s="4"/>
    </row>
    <row r="86" spans="1:6" x14ac:dyDescent="0.15">
      <c r="A86" s="4" t="s">
        <v>265</v>
      </c>
      <c r="B86" s="27">
        <v>0.106007</v>
      </c>
      <c r="C86" s="27">
        <v>0.38977600000000001</v>
      </c>
      <c r="D86" s="27">
        <v>0.326436</v>
      </c>
      <c r="E86" s="27">
        <v>0.38648100000000002</v>
      </c>
      <c r="F86" s="27">
        <v>0.20374999999999999</v>
      </c>
    </row>
    <row r="87" spans="1:6" ht="12" x14ac:dyDescent="0.15">
      <c r="A87" s="4" t="s">
        <v>266</v>
      </c>
      <c r="B87" s="17" t="s">
        <v>93</v>
      </c>
      <c r="C87" s="17" t="s">
        <v>93</v>
      </c>
      <c r="D87" s="17" t="s">
        <v>93</v>
      </c>
      <c r="E87" s="17" t="s">
        <v>93</v>
      </c>
      <c r="F87" s="17" t="s">
        <v>93</v>
      </c>
    </row>
    <row r="88" spans="1:6" x14ac:dyDescent="0.15">
      <c r="A88" s="4" t="s">
        <v>267</v>
      </c>
      <c r="B88" s="27">
        <v>0.128272</v>
      </c>
      <c r="C88" s="27">
        <v>0.25985999999999998</v>
      </c>
      <c r="D88" s="27">
        <v>0.15745799999999999</v>
      </c>
      <c r="E88" s="27">
        <v>2.1479000000000002E-2</v>
      </c>
      <c r="F88" s="27">
        <v>-0.10280400000000001</v>
      </c>
    </row>
    <row r="89" spans="1:6" x14ac:dyDescent="0.15">
      <c r="A89" s="4" t="s">
        <v>268</v>
      </c>
      <c r="B89" s="27">
        <v>6.2736E-2</v>
      </c>
      <c r="C89" s="27">
        <v>0.184644</v>
      </c>
      <c r="D89" s="27">
        <v>0.37102800000000002</v>
      </c>
      <c r="E89" s="27">
        <v>7.7067999999999998E-2</v>
      </c>
      <c r="F89" s="27">
        <v>3.8441000000000003E-2</v>
      </c>
    </row>
    <row r="90" spans="1:6" x14ac:dyDescent="0.15">
      <c r="A90" s="4"/>
      <c r="B90" s="4"/>
      <c r="C90" s="4"/>
      <c r="D90" s="4"/>
      <c r="E90" s="4"/>
      <c r="F90" s="4"/>
    </row>
    <row r="91" spans="1:6" x14ac:dyDescent="0.15">
      <c r="A91" s="4" t="s">
        <v>269</v>
      </c>
      <c r="B91" s="27">
        <v>-0.279447</v>
      </c>
      <c r="C91" s="27">
        <v>0.19548099999999999</v>
      </c>
      <c r="D91" s="27">
        <v>-5.9630000000000004E-3</v>
      </c>
      <c r="E91" s="27">
        <v>-9.0993000000000004E-2</v>
      </c>
      <c r="F91" s="27">
        <v>-7.4264999999999998E-2</v>
      </c>
    </row>
    <row r="92" spans="1:6" x14ac:dyDescent="0.15">
      <c r="A92" s="4" t="s">
        <v>270</v>
      </c>
      <c r="B92" s="27">
        <v>-3.8015E-2</v>
      </c>
      <c r="C92" s="27">
        <v>9.7425999999999999E-2</v>
      </c>
      <c r="D92" s="27">
        <v>0.185608</v>
      </c>
      <c r="E92" s="27">
        <v>8.5318000000000005E-2</v>
      </c>
      <c r="F92" s="27">
        <v>-6.6876000000000005E-2</v>
      </c>
    </row>
    <row r="93" spans="1:6" x14ac:dyDescent="0.15">
      <c r="A93" s="4" t="s">
        <v>464</v>
      </c>
      <c r="B93" s="27">
        <v>1.165152</v>
      </c>
      <c r="C93" s="27">
        <v>-0.25711699999999998</v>
      </c>
      <c r="D93" s="27">
        <v>0.52763400000000005</v>
      </c>
      <c r="E93" s="27">
        <v>-6.7857000000000001E-2</v>
      </c>
      <c r="F93" s="27">
        <v>2.7599999999999999E-3</v>
      </c>
    </row>
    <row r="94" spans="1:6" x14ac:dyDescent="0.15">
      <c r="A94" s="4" t="s">
        <v>271</v>
      </c>
      <c r="B94" s="27">
        <v>0.23388300000000001</v>
      </c>
      <c r="C94" s="27">
        <v>-0.144593</v>
      </c>
      <c r="D94" s="27">
        <v>0.23011300000000001</v>
      </c>
      <c r="E94" s="27">
        <v>4.8497999999999999E-2</v>
      </c>
      <c r="F94" s="27">
        <v>-0.222467</v>
      </c>
    </row>
    <row r="95" spans="1:6" x14ac:dyDescent="0.15">
      <c r="A95" s="4" t="s">
        <v>272</v>
      </c>
      <c r="B95" s="27">
        <v>6.202712</v>
      </c>
      <c r="C95" s="27">
        <v>-0.73112699999999997</v>
      </c>
      <c r="D95" s="27">
        <v>1.5752569999999999</v>
      </c>
      <c r="E95" s="27">
        <v>-0.45551000000000003</v>
      </c>
      <c r="F95" s="27">
        <v>0.20941699999999999</v>
      </c>
    </row>
    <row r="96" spans="1:6" x14ac:dyDescent="0.15">
      <c r="A96" s="4" t="s">
        <v>273</v>
      </c>
      <c r="B96" s="27">
        <v>6.2190300000000001</v>
      </c>
      <c r="C96" s="27">
        <v>-0.72310799999999997</v>
      </c>
      <c r="D96" s="27">
        <v>1.548492</v>
      </c>
      <c r="E96" s="27">
        <v>-0.44126599999999999</v>
      </c>
      <c r="F96" s="27">
        <v>0.21446699999999999</v>
      </c>
    </row>
    <row r="97" spans="1:6" ht="12" x14ac:dyDescent="0.15">
      <c r="A97" s="4" t="s">
        <v>274</v>
      </c>
      <c r="B97" s="17" t="s">
        <v>93</v>
      </c>
      <c r="C97" s="17" t="s">
        <v>93</v>
      </c>
      <c r="D97" s="17" t="s">
        <v>93</v>
      </c>
      <c r="E97" s="17" t="s">
        <v>93</v>
      </c>
      <c r="F97" s="17" t="s">
        <v>93</v>
      </c>
    </row>
    <row r="98" spans="1:6" x14ac:dyDescent="0.15">
      <c r="A98" s="4"/>
      <c r="B98" s="4"/>
      <c r="C98" s="4"/>
      <c r="D98" s="4"/>
      <c r="E98" s="4"/>
      <c r="F98" s="4"/>
    </row>
    <row r="99" spans="1:6" x14ac:dyDescent="0.15">
      <c r="A99" s="9" t="s">
        <v>275</v>
      </c>
      <c r="B99" s="4"/>
      <c r="C99" s="4"/>
      <c r="D99" s="4"/>
      <c r="E99" s="4"/>
      <c r="F99" s="4"/>
    </row>
    <row r="100" spans="1:6" x14ac:dyDescent="0.15">
      <c r="A100" s="4" t="s">
        <v>72</v>
      </c>
      <c r="B100" s="27">
        <v>0.19377800000000001</v>
      </c>
      <c r="C100" s="27">
        <v>0.165016</v>
      </c>
      <c r="D100" s="27">
        <v>0.17835400000000001</v>
      </c>
      <c r="E100" s="27">
        <v>0.19481499999999999</v>
      </c>
      <c r="F100" s="27">
        <v>0.13254199999999999</v>
      </c>
    </row>
    <row r="101" spans="1:6" x14ac:dyDescent="0.15">
      <c r="A101" s="4" t="s">
        <v>74</v>
      </c>
      <c r="B101" s="27">
        <v>0.18252499999999999</v>
      </c>
      <c r="C101" s="27">
        <v>0.117212</v>
      </c>
      <c r="D101" s="27">
        <v>0.17947099999999999</v>
      </c>
      <c r="E101" s="27">
        <v>0.22170000000000001</v>
      </c>
      <c r="F101" s="27">
        <v>7.9436000000000007E-2</v>
      </c>
    </row>
    <row r="102" spans="1:6" x14ac:dyDescent="0.15">
      <c r="A102" s="4" t="s">
        <v>260</v>
      </c>
      <c r="B102" s="27">
        <v>0.14025899999999999</v>
      </c>
      <c r="C102" s="27">
        <v>0.121905</v>
      </c>
      <c r="D102" s="27">
        <v>0.253608</v>
      </c>
      <c r="E102" s="27">
        <v>0.23635900000000001</v>
      </c>
      <c r="F102" s="27">
        <v>7.1375999999999995E-2</v>
      </c>
    </row>
    <row r="103" spans="1:6" x14ac:dyDescent="0.15">
      <c r="A103" s="4" t="s">
        <v>261</v>
      </c>
      <c r="B103" s="27">
        <v>0.16792799999999999</v>
      </c>
      <c r="C103" s="27">
        <v>0.13792699999999999</v>
      </c>
      <c r="D103" s="27">
        <v>0.27987899999999999</v>
      </c>
      <c r="E103" s="27">
        <v>0.257689</v>
      </c>
      <c r="F103" s="27">
        <v>7.8271999999999994E-2</v>
      </c>
    </row>
    <row r="104" spans="1:6" x14ac:dyDescent="0.15">
      <c r="A104" s="4" t="s">
        <v>262</v>
      </c>
      <c r="B104" s="27">
        <v>0.18284300000000001</v>
      </c>
      <c r="C104" s="27">
        <v>0.12831699999999999</v>
      </c>
      <c r="D104" s="27">
        <v>0.24291599999999999</v>
      </c>
      <c r="E104" s="27">
        <v>0.242064</v>
      </c>
      <c r="F104" s="27">
        <v>8.5467000000000001E-2</v>
      </c>
    </row>
    <row r="105" spans="1:6" x14ac:dyDescent="0.15">
      <c r="A105" s="4" t="s">
        <v>422</v>
      </c>
      <c r="B105" s="27">
        <v>0.21170800000000001</v>
      </c>
      <c r="C105" s="27">
        <v>0.170434</v>
      </c>
      <c r="D105" s="27">
        <v>0.429259</v>
      </c>
      <c r="E105" s="27">
        <v>0.30207699999999998</v>
      </c>
      <c r="F105" s="27">
        <v>-0.24126600000000001</v>
      </c>
    </row>
    <row r="106" spans="1:6" x14ac:dyDescent="0.15">
      <c r="A106" s="4" t="s">
        <v>85</v>
      </c>
      <c r="B106" s="27">
        <v>0.21170800000000001</v>
      </c>
      <c r="C106" s="27">
        <v>0.170434</v>
      </c>
      <c r="D106" s="27">
        <v>0.429259</v>
      </c>
      <c r="E106" s="27">
        <v>0.30207699999999998</v>
      </c>
      <c r="F106" s="27">
        <v>-0.24126600000000001</v>
      </c>
    </row>
    <row r="107" spans="1:6" x14ac:dyDescent="0.15">
      <c r="A107" s="4" t="s">
        <v>263</v>
      </c>
      <c r="B107" s="27">
        <v>0.18966</v>
      </c>
      <c r="C107" s="27">
        <v>0.124027</v>
      </c>
      <c r="D107" s="27">
        <v>0.203926</v>
      </c>
      <c r="E107" s="27">
        <v>0.210282</v>
      </c>
      <c r="F107" s="27">
        <v>0.118367</v>
      </c>
    </row>
    <row r="108" spans="1:6" x14ac:dyDescent="0.15">
      <c r="A108" s="4" t="s">
        <v>264</v>
      </c>
      <c r="B108" s="27">
        <v>0.21940799999999999</v>
      </c>
      <c r="C108" s="27">
        <v>0.18665999999999999</v>
      </c>
      <c r="D108" s="27">
        <v>0.43880999999999998</v>
      </c>
      <c r="E108" s="27">
        <v>0.30402600000000002</v>
      </c>
      <c r="F108" s="27">
        <v>-0.231628</v>
      </c>
    </row>
    <row r="109" spans="1:6" x14ac:dyDescent="0.15">
      <c r="A109" s="4"/>
      <c r="B109" s="4"/>
      <c r="C109" s="4"/>
      <c r="D109" s="4"/>
      <c r="E109" s="4"/>
      <c r="F109" s="4"/>
    </row>
    <row r="110" spans="1:6" x14ac:dyDescent="0.15">
      <c r="A110" s="4" t="s">
        <v>265</v>
      </c>
      <c r="B110" s="27">
        <v>0.20938699999999999</v>
      </c>
      <c r="C110" s="27">
        <v>0.23979900000000001</v>
      </c>
      <c r="D110" s="27">
        <v>0.35773700000000003</v>
      </c>
      <c r="E110" s="27">
        <v>0.35612700000000003</v>
      </c>
      <c r="F110" s="27">
        <v>0.29188900000000001</v>
      </c>
    </row>
    <row r="111" spans="1:6" ht="12" x14ac:dyDescent="0.15">
      <c r="A111" s="4" t="s">
        <v>266</v>
      </c>
      <c r="B111" s="17" t="s">
        <v>93</v>
      </c>
      <c r="C111" s="17" t="s">
        <v>93</v>
      </c>
      <c r="D111" s="17" t="s">
        <v>93</v>
      </c>
      <c r="E111" s="17" t="s">
        <v>93</v>
      </c>
      <c r="F111" s="17" t="s">
        <v>93</v>
      </c>
    </row>
    <row r="112" spans="1:6" x14ac:dyDescent="0.15">
      <c r="A112" s="4" t="s">
        <v>267</v>
      </c>
      <c r="B112" s="27">
        <v>7.8560000000000005E-2</v>
      </c>
      <c r="C112" s="27">
        <v>0.19225200000000001</v>
      </c>
      <c r="D112" s="27">
        <v>0.20757400000000001</v>
      </c>
      <c r="E112" s="27">
        <v>8.7345000000000006E-2</v>
      </c>
      <c r="F112" s="27">
        <v>-4.2677E-2</v>
      </c>
    </row>
    <row r="113" spans="1:6" x14ac:dyDescent="0.15">
      <c r="A113" s="4" t="s">
        <v>268</v>
      </c>
      <c r="B113" s="27">
        <v>0.144118</v>
      </c>
      <c r="C113" s="27">
        <v>0.12203600000000001</v>
      </c>
      <c r="D113" s="27">
        <v>0.27443299999999998</v>
      </c>
      <c r="E113" s="27">
        <v>0.21519199999999999</v>
      </c>
      <c r="F113" s="27">
        <v>5.7577999999999997E-2</v>
      </c>
    </row>
    <row r="114" spans="1:6" x14ac:dyDescent="0.15">
      <c r="A114" s="4"/>
      <c r="B114" s="4"/>
      <c r="C114" s="4"/>
      <c r="D114" s="4"/>
      <c r="E114" s="4"/>
      <c r="F114" s="4"/>
    </row>
    <row r="115" spans="1:6" x14ac:dyDescent="0.15">
      <c r="A115" s="4" t="s">
        <v>269</v>
      </c>
      <c r="B115" s="27">
        <v>-0.109683</v>
      </c>
      <c r="C115" s="27">
        <v>-7.1878999999999998E-2</v>
      </c>
      <c r="D115" s="27">
        <v>9.0116000000000002E-2</v>
      </c>
      <c r="E115" s="27">
        <v>-4.9428E-2</v>
      </c>
      <c r="F115" s="27">
        <v>-8.2667000000000004E-2</v>
      </c>
    </row>
    <row r="116" spans="1:6" x14ac:dyDescent="0.15">
      <c r="A116" s="4" t="s">
        <v>270</v>
      </c>
      <c r="B116" s="27">
        <v>2.265E-2</v>
      </c>
      <c r="C116" s="27">
        <v>2.7477000000000001E-2</v>
      </c>
      <c r="D116" s="27">
        <v>0.14066500000000001</v>
      </c>
      <c r="E116" s="27">
        <v>0.134356</v>
      </c>
      <c r="F116" s="27">
        <v>6.3480000000000003E-3</v>
      </c>
    </row>
    <row r="117" spans="1:6" x14ac:dyDescent="0.15">
      <c r="A117" s="4" t="s">
        <v>464</v>
      </c>
      <c r="B117" s="27">
        <v>0.31729800000000002</v>
      </c>
      <c r="C117" s="27">
        <v>0.26824900000000002</v>
      </c>
      <c r="D117" s="27">
        <v>6.5295000000000006E-2</v>
      </c>
      <c r="E117" s="27">
        <v>0.193304</v>
      </c>
      <c r="F117" s="27">
        <v>-3.3193E-2</v>
      </c>
    </row>
    <row r="118" spans="1:6" x14ac:dyDescent="0.15">
      <c r="A118" s="4" t="s">
        <v>271</v>
      </c>
      <c r="B118" s="27">
        <v>0.109141</v>
      </c>
      <c r="C118" s="27">
        <v>2.7362000000000001E-2</v>
      </c>
      <c r="D118" s="27">
        <v>2.5791000000000001E-2</v>
      </c>
      <c r="E118" s="27">
        <v>0.135681</v>
      </c>
      <c r="F118" s="27">
        <v>-9.7091999999999998E-2</v>
      </c>
    </row>
    <row r="119" spans="1:6" x14ac:dyDescent="0.15">
      <c r="A119" s="4" t="s">
        <v>272</v>
      </c>
      <c r="B119" s="27">
        <v>1.43808</v>
      </c>
      <c r="C119" s="27">
        <v>0.391625</v>
      </c>
      <c r="D119" s="27">
        <v>-0.167883</v>
      </c>
      <c r="E119" s="27">
        <v>0.184146</v>
      </c>
      <c r="F119" s="27">
        <v>-0.18851000000000001</v>
      </c>
    </row>
    <row r="120" spans="1:6" x14ac:dyDescent="0.15">
      <c r="A120" s="4" t="s">
        <v>273</v>
      </c>
      <c r="B120" s="27">
        <v>1.444237</v>
      </c>
      <c r="C120" s="27">
        <v>0.413823</v>
      </c>
      <c r="D120" s="27">
        <v>-0.159965</v>
      </c>
      <c r="E120" s="27">
        <v>0.19328500000000001</v>
      </c>
      <c r="F120" s="27">
        <v>-0.17624999999999999</v>
      </c>
    </row>
    <row r="121" spans="1:6" ht="12" x14ac:dyDescent="0.15">
      <c r="A121" s="4" t="s">
        <v>274</v>
      </c>
      <c r="B121" s="17" t="s">
        <v>93</v>
      </c>
      <c r="C121" s="17" t="s">
        <v>93</v>
      </c>
      <c r="D121" s="17" t="s">
        <v>93</v>
      </c>
      <c r="E121" s="17" t="s">
        <v>93</v>
      </c>
      <c r="F121" s="17" t="s">
        <v>93</v>
      </c>
    </row>
    <row r="122" spans="1:6" x14ac:dyDescent="0.15">
      <c r="A122" s="4"/>
      <c r="B122" s="4"/>
      <c r="C122" s="4"/>
      <c r="D122" s="4"/>
      <c r="E122" s="4"/>
      <c r="F122" s="4"/>
    </row>
    <row r="123" spans="1:6" x14ac:dyDescent="0.15">
      <c r="A123" s="9" t="s">
        <v>276</v>
      </c>
      <c r="B123" s="4"/>
      <c r="C123" s="4"/>
      <c r="D123" s="4"/>
      <c r="E123" s="4"/>
      <c r="F123" s="4"/>
    </row>
    <row r="124" spans="1:6" x14ac:dyDescent="0.15">
      <c r="A124" s="4" t="s">
        <v>72</v>
      </c>
      <c r="B124" s="27">
        <v>0.18659600000000001</v>
      </c>
      <c r="C124" s="27">
        <v>0.17907699999999999</v>
      </c>
      <c r="D124" s="27">
        <v>0.17890400000000001</v>
      </c>
      <c r="E124" s="27">
        <v>0.17976</v>
      </c>
      <c r="F124" s="27">
        <v>0.15689400000000001</v>
      </c>
    </row>
    <row r="125" spans="1:6" x14ac:dyDescent="0.15">
      <c r="A125" s="4" t="s">
        <v>74</v>
      </c>
      <c r="B125" s="27">
        <v>0.15064</v>
      </c>
      <c r="C125" s="27">
        <v>0.15818699999999999</v>
      </c>
      <c r="D125" s="27">
        <v>0.160496</v>
      </c>
      <c r="E125" s="27">
        <v>0.18362600000000001</v>
      </c>
      <c r="F125" s="27">
        <v>0.134187</v>
      </c>
    </row>
    <row r="126" spans="1:6" x14ac:dyDescent="0.15">
      <c r="A126" s="4" t="s">
        <v>260</v>
      </c>
      <c r="B126" s="27">
        <v>0.118907</v>
      </c>
      <c r="C126" s="27">
        <v>0.175122</v>
      </c>
      <c r="D126" s="27">
        <v>0.165909</v>
      </c>
      <c r="E126" s="27">
        <v>0.24025299999999999</v>
      </c>
      <c r="F126" s="27">
        <v>0.130633</v>
      </c>
    </row>
    <row r="127" spans="1:6" x14ac:dyDescent="0.15">
      <c r="A127" s="4" t="s">
        <v>261</v>
      </c>
      <c r="B127" s="27">
        <v>0.139129</v>
      </c>
      <c r="C127" s="27">
        <v>0.20109099999999999</v>
      </c>
      <c r="D127" s="27">
        <v>0.18637899999999999</v>
      </c>
      <c r="E127" s="27">
        <v>0.26186900000000002</v>
      </c>
      <c r="F127" s="27">
        <v>0.14454500000000001</v>
      </c>
    </row>
    <row r="128" spans="1:6" x14ac:dyDescent="0.15">
      <c r="A128" s="4" t="s">
        <v>262</v>
      </c>
      <c r="B128" s="27">
        <v>0.13716300000000001</v>
      </c>
      <c r="C128" s="27">
        <v>0.208175</v>
      </c>
      <c r="D128" s="27">
        <v>0.159855</v>
      </c>
      <c r="E128" s="27">
        <v>0.248172</v>
      </c>
      <c r="F128" s="27">
        <v>0.1303</v>
      </c>
    </row>
    <row r="129" spans="1:6" x14ac:dyDescent="0.15">
      <c r="A129" s="4" t="s">
        <v>422</v>
      </c>
      <c r="B129" s="27">
        <v>0.18762300000000001</v>
      </c>
      <c r="C129" s="27">
        <v>0.206258</v>
      </c>
      <c r="D129" s="27">
        <v>0.327793</v>
      </c>
      <c r="E129" s="27">
        <v>0.265511</v>
      </c>
      <c r="F129" s="27">
        <v>-5.4520000000000002E-3</v>
      </c>
    </row>
    <row r="130" spans="1:6" x14ac:dyDescent="0.15">
      <c r="A130" s="4" t="s">
        <v>85</v>
      </c>
      <c r="B130" s="27">
        <v>0.18762300000000001</v>
      </c>
      <c r="C130" s="27">
        <v>0.206258</v>
      </c>
      <c r="D130" s="27">
        <v>0.327793</v>
      </c>
      <c r="E130" s="27">
        <v>0.265511</v>
      </c>
      <c r="F130" s="27">
        <v>-5.4520000000000002E-3</v>
      </c>
    </row>
    <row r="131" spans="1:6" x14ac:dyDescent="0.15">
      <c r="A131" s="4" t="s">
        <v>263</v>
      </c>
      <c r="B131" s="27">
        <v>0.149369</v>
      </c>
      <c r="C131" s="27">
        <v>0.20601800000000001</v>
      </c>
      <c r="D131" s="27">
        <v>0.13897000000000001</v>
      </c>
      <c r="E131" s="27">
        <v>0.219916</v>
      </c>
      <c r="F131" s="27">
        <v>0.13514399999999999</v>
      </c>
    </row>
    <row r="132" spans="1:6" x14ac:dyDescent="0.15">
      <c r="A132" s="4" t="s">
        <v>264</v>
      </c>
      <c r="B132" s="27">
        <v>0.19581899999999999</v>
      </c>
      <c r="C132" s="27">
        <v>0.21643999999999999</v>
      </c>
      <c r="D132" s="27">
        <v>0.34038200000000002</v>
      </c>
      <c r="E132" s="27">
        <v>0.27208300000000002</v>
      </c>
      <c r="F132" s="27">
        <v>3.2100000000000002E-3</v>
      </c>
    </row>
    <row r="133" spans="1:6" x14ac:dyDescent="0.15">
      <c r="A133" s="4"/>
      <c r="B133" s="4"/>
      <c r="C133" s="4"/>
      <c r="D133" s="4"/>
      <c r="E133" s="4"/>
      <c r="F133" s="4"/>
    </row>
    <row r="134" spans="1:6" x14ac:dyDescent="0.15">
      <c r="A134" s="4" t="s">
        <v>265</v>
      </c>
      <c r="B134" s="27">
        <v>0.31706699999999999</v>
      </c>
      <c r="C134" s="27">
        <v>0.26675300000000002</v>
      </c>
      <c r="D134" s="27">
        <v>0.26803100000000002</v>
      </c>
      <c r="E134" s="27">
        <v>0.36725200000000002</v>
      </c>
      <c r="F134" s="27">
        <v>0.30330400000000002</v>
      </c>
    </row>
    <row r="135" spans="1:6" ht="12" x14ac:dyDescent="0.15">
      <c r="A135" s="4" t="s">
        <v>266</v>
      </c>
      <c r="B135" s="17" t="s">
        <v>93</v>
      </c>
      <c r="C135" s="17" t="s">
        <v>93</v>
      </c>
      <c r="D135" s="17" t="s">
        <v>93</v>
      </c>
      <c r="E135" s="17" t="s">
        <v>93</v>
      </c>
      <c r="F135" s="17" t="s">
        <v>93</v>
      </c>
    </row>
    <row r="136" spans="1:6" x14ac:dyDescent="0.15">
      <c r="A136" s="4" t="s">
        <v>267</v>
      </c>
      <c r="B136" s="27">
        <v>8.6541000000000007E-2</v>
      </c>
      <c r="C136" s="27">
        <v>0.13589200000000001</v>
      </c>
      <c r="D136" s="27">
        <v>0.18054000000000001</v>
      </c>
      <c r="E136" s="27">
        <v>0.14205200000000001</v>
      </c>
      <c r="F136" s="27">
        <v>1.9861E-2</v>
      </c>
    </row>
    <row r="137" spans="1:6" x14ac:dyDescent="0.15">
      <c r="A137" s="4" t="s">
        <v>268</v>
      </c>
      <c r="B137" s="27">
        <v>0.14480699999999999</v>
      </c>
      <c r="C137" s="27">
        <v>0.15747</v>
      </c>
      <c r="D137" s="27">
        <v>0.19955400000000001</v>
      </c>
      <c r="E137" s="27">
        <v>0.20492299999999999</v>
      </c>
      <c r="F137" s="27">
        <v>0.15316299999999999</v>
      </c>
    </row>
    <row r="138" spans="1:6" x14ac:dyDescent="0.15">
      <c r="A138" s="4"/>
      <c r="B138" s="4"/>
      <c r="C138" s="4"/>
      <c r="D138" s="4"/>
      <c r="E138" s="4"/>
      <c r="F138" s="4"/>
    </row>
    <row r="139" spans="1:6" x14ac:dyDescent="0.15">
      <c r="A139" s="4" t="s">
        <v>269</v>
      </c>
      <c r="B139" s="27">
        <v>-3.9201E-2</v>
      </c>
      <c r="C139" s="27">
        <v>-1.7776E-2</v>
      </c>
      <c r="D139" s="27">
        <v>-5.0408000000000001E-2</v>
      </c>
      <c r="E139" s="27">
        <v>2.6055999999999999E-2</v>
      </c>
      <c r="F139" s="27">
        <v>-5.7779999999999998E-2</v>
      </c>
    </row>
    <row r="140" spans="1:6" x14ac:dyDescent="0.15">
      <c r="A140" s="4" t="s">
        <v>270</v>
      </c>
      <c r="B140" s="27">
        <v>3.7956999999999998E-2</v>
      </c>
      <c r="C140" s="27">
        <v>4.6990999999999998E-2</v>
      </c>
      <c r="D140" s="27">
        <v>7.7692999999999998E-2</v>
      </c>
      <c r="E140" s="27">
        <v>0.12191</v>
      </c>
      <c r="F140" s="27">
        <v>6.2867999999999993E-2</v>
      </c>
    </row>
    <row r="141" spans="1:6" x14ac:dyDescent="0.15">
      <c r="A141" s="4" t="s">
        <v>464</v>
      </c>
      <c r="B141" s="27">
        <v>0.29114200000000001</v>
      </c>
      <c r="C141" s="27">
        <v>8.8335999999999998E-2</v>
      </c>
      <c r="D141" s="27">
        <v>0.34940599999999999</v>
      </c>
      <c r="E141" s="27">
        <v>1.8922000000000001E-2</v>
      </c>
      <c r="F141" s="27">
        <v>0.12607199999999999</v>
      </c>
    </row>
    <row r="142" spans="1:6" x14ac:dyDescent="0.15">
      <c r="A142" s="4" t="s">
        <v>271</v>
      </c>
      <c r="B142" s="27">
        <v>4.4609999999999997E-2</v>
      </c>
      <c r="C142" s="27">
        <v>1.7142999999999999E-2</v>
      </c>
      <c r="D142" s="27">
        <v>9.0930999999999998E-2</v>
      </c>
      <c r="E142" s="27">
        <v>3.3305000000000001E-2</v>
      </c>
      <c r="F142" s="27">
        <v>9.4600000000000001E-4</v>
      </c>
    </row>
    <row r="143" spans="1:6" x14ac:dyDescent="0.15">
      <c r="A143" s="4" t="s">
        <v>272</v>
      </c>
      <c r="B143" s="27">
        <v>1.1837880000000001</v>
      </c>
      <c r="C143" s="27">
        <v>0.16918</v>
      </c>
      <c r="D143" s="27">
        <v>0.70852700000000002</v>
      </c>
      <c r="E143" s="27">
        <v>-0.277586</v>
      </c>
      <c r="F143" s="27">
        <v>0.19251099999999999</v>
      </c>
    </row>
    <row r="144" spans="1:6" x14ac:dyDescent="0.15">
      <c r="A144" s="4" t="s">
        <v>273</v>
      </c>
      <c r="B144" s="27">
        <v>1.1885749999999999</v>
      </c>
      <c r="C144" s="27">
        <v>0.18267600000000001</v>
      </c>
      <c r="D144" s="27">
        <v>0.72064399999999995</v>
      </c>
      <c r="E144" s="27">
        <v>-0.26672600000000002</v>
      </c>
      <c r="F144" s="27">
        <v>0.20030500000000001</v>
      </c>
    </row>
    <row r="145" spans="1:6" ht="12" x14ac:dyDescent="0.15">
      <c r="A145" s="4" t="s">
        <v>274</v>
      </c>
      <c r="B145" s="17" t="s">
        <v>93</v>
      </c>
      <c r="C145" s="17" t="s">
        <v>93</v>
      </c>
      <c r="D145" s="17" t="s">
        <v>93</v>
      </c>
      <c r="E145" s="17" t="s">
        <v>93</v>
      </c>
      <c r="F145" s="17" t="s">
        <v>93</v>
      </c>
    </row>
    <row r="146" spans="1:6" x14ac:dyDescent="0.15">
      <c r="A146" s="4"/>
      <c r="B146" s="4"/>
      <c r="C146" s="4"/>
      <c r="D146" s="4"/>
      <c r="E146" s="4"/>
      <c r="F146" s="4"/>
    </row>
    <row r="147" spans="1:6" x14ac:dyDescent="0.15">
      <c r="A147" s="9" t="s">
        <v>277</v>
      </c>
      <c r="B147" s="4"/>
      <c r="C147" s="4"/>
      <c r="D147" s="4"/>
      <c r="E147" s="4"/>
      <c r="F147" s="4"/>
    </row>
    <row r="148" spans="1:6" x14ac:dyDescent="0.15">
      <c r="A148" s="4" t="s">
        <v>72</v>
      </c>
      <c r="B148" s="27">
        <v>0.18093799999999999</v>
      </c>
      <c r="C148" s="27">
        <v>0.17235300000000001</v>
      </c>
      <c r="D148" s="27">
        <v>0.18329200000000001</v>
      </c>
      <c r="E148" s="27">
        <v>0.18534700000000001</v>
      </c>
      <c r="F148" s="27">
        <v>0.160136</v>
      </c>
    </row>
    <row r="149" spans="1:6" x14ac:dyDescent="0.15">
      <c r="A149" s="4" t="s">
        <v>74</v>
      </c>
      <c r="B149" s="27">
        <v>0.158836</v>
      </c>
      <c r="C149" s="27">
        <v>0.13620199999999999</v>
      </c>
      <c r="D149" s="27">
        <v>0.16208700000000001</v>
      </c>
      <c r="E149" s="27">
        <v>0.18318599999999999</v>
      </c>
      <c r="F149" s="27">
        <v>0.12736600000000001</v>
      </c>
    </row>
    <row r="150" spans="1:6" x14ac:dyDescent="0.15">
      <c r="A150" s="4" t="s">
        <v>260</v>
      </c>
      <c r="B150" s="27">
        <v>0.13562299999999999</v>
      </c>
      <c r="C150" s="27">
        <v>0.15562400000000001</v>
      </c>
      <c r="D150" s="27">
        <v>0.170958</v>
      </c>
      <c r="E150" s="27">
        <v>0.199244</v>
      </c>
      <c r="F150" s="27">
        <v>0.127134</v>
      </c>
    </row>
    <row r="151" spans="1:6" x14ac:dyDescent="0.15">
      <c r="A151" s="4" t="s">
        <v>261</v>
      </c>
      <c r="B151" s="27">
        <v>0.15321399999999999</v>
      </c>
      <c r="C151" s="27">
        <v>0.17343800000000001</v>
      </c>
      <c r="D151" s="27">
        <v>0.19347</v>
      </c>
      <c r="E151" s="27">
        <v>0.22341800000000001</v>
      </c>
      <c r="F151" s="27">
        <v>0.14189299999999999</v>
      </c>
    </row>
    <row r="152" spans="1:6" x14ac:dyDescent="0.15">
      <c r="A152" s="4" t="s">
        <v>262</v>
      </c>
      <c r="B152" s="27">
        <v>0.15256800000000001</v>
      </c>
      <c r="C152" s="27">
        <v>0.17142499999999999</v>
      </c>
      <c r="D152" s="27">
        <v>0.178339</v>
      </c>
      <c r="E152" s="27">
        <v>0.22161800000000001</v>
      </c>
      <c r="F152" s="27">
        <v>0.12950700000000001</v>
      </c>
    </row>
    <row r="153" spans="1:6" x14ac:dyDescent="0.15">
      <c r="A153" s="4" t="s">
        <v>422</v>
      </c>
      <c r="B153" s="27">
        <v>0.16585900000000001</v>
      </c>
      <c r="C153" s="27">
        <v>0.42465199999999997</v>
      </c>
      <c r="D153" s="27">
        <v>0.27894400000000003</v>
      </c>
      <c r="E153" s="27">
        <v>0.24370900000000001</v>
      </c>
      <c r="F153" s="27">
        <v>6.1485999999999999E-2</v>
      </c>
    </row>
    <row r="154" spans="1:6" x14ac:dyDescent="0.15">
      <c r="A154" s="4" t="s">
        <v>85</v>
      </c>
      <c r="B154" s="27">
        <v>0.16585900000000001</v>
      </c>
      <c r="C154" s="27">
        <v>0.42465199999999997</v>
      </c>
      <c r="D154" s="27">
        <v>0.27894400000000003</v>
      </c>
      <c r="E154" s="27">
        <v>0.24370900000000001</v>
      </c>
      <c r="F154" s="27">
        <v>6.1485999999999999E-2</v>
      </c>
    </row>
    <row r="155" spans="1:6" x14ac:dyDescent="0.15">
      <c r="A155" s="4" t="s">
        <v>263</v>
      </c>
      <c r="B155" s="27">
        <v>0.163769</v>
      </c>
      <c r="C155" s="27">
        <v>0.178617</v>
      </c>
      <c r="D155" s="27">
        <v>0.17088900000000001</v>
      </c>
      <c r="E155" s="27">
        <v>0.20772199999999999</v>
      </c>
      <c r="F155" s="27">
        <v>0.13068399999999999</v>
      </c>
    </row>
    <row r="156" spans="1:6" x14ac:dyDescent="0.15">
      <c r="A156" s="4" t="s">
        <v>264</v>
      </c>
      <c r="B156" s="27">
        <v>0.169985</v>
      </c>
      <c r="C156" s="27">
        <v>0.43515300000000001</v>
      </c>
      <c r="D156" s="27">
        <v>0.28765800000000002</v>
      </c>
      <c r="E156" s="27">
        <v>0.250745</v>
      </c>
      <c r="F156" s="27">
        <v>7.2915999999999995E-2</v>
      </c>
    </row>
    <row r="157" spans="1:6" x14ac:dyDescent="0.15">
      <c r="A157" s="4"/>
      <c r="B157" s="4"/>
      <c r="C157" s="4"/>
      <c r="D157" s="4"/>
      <c r="E157" s="4"/>
      <c r="F157" s="4"/>
    </row>
    <row r="158" spans="1:6" x14ac:dyDescent="0.15">
      <c r="A158" s="4" t="s">
        <v>265</v>
      </c>
      <c r="B158" s="27">
        <v>0.43188500000000002</v>
      </c>
      <c r="C158" s="27">
        <v>0.462565</v>
      </c>
      <c r="D158" s="27">
        <v>0.33318700000000001</v>
      </c>
      <c r="E158" s="27">
        <v>0.30177300000000001</v>
      </c>
      <c r="F158" s="27">
        <v>0.27752100000000002</v>
      </c>
    </row>
    <row r="159" spans="1:6" ht="12" x14ac:dyDescent="0.15">
      <c r="A159" s="4" t="s">
        <v>266</v>
      </c>
      <c r="B159" s="17" t="s">
        <v>93</v>
      </c>
      <c r="C159" s="17" t="s">
        <v>93</v>
      </c>
      <c r="D159" s="17" t="s">
        <v>93</v>
      </c>
      <c r="E159" s="17" t="s">
        <v>93</v>
      </c>
      <c r="F159" s="17" t="s">
        <v>93</v>
      </c>
    </row>
    <row r="160" spans="1:6" x14ac:dyDescent="0.15">
      <c r="A160" s="4" t="s">
        <v>267</v>
      </c>
      <c r="B160" s="27">
        <v>0.14976700000000001</v>
      </c>
      <c r="C160" s="27">
        <v>0.18693199999999999</v>
      </c>
      <c r="D160" s="27">
        <v>0.13342599999999999</v>
      </c>
      <c r="E160" s="27">
        <v>0.116219</v>
      </c>
      <c r="F160" s="27">
        <v>8.5605000000000001E-2</v>
      </c>
    </row>
    <row r="161" spans="1:6" x14ac:dyDescent="0.15">
      <c r="A161" s="4" t="s">
        <v>268</v>
      </c>
      <c r="B161" s="27">
        <v>0.177288</v>
      </c>
      <c r="C161" s="27">
        <v>0.185559</v>
      </c>
      <c r="D161" s="27">
        <v>0.194995</v>
      </c>
      <c r="E161" s="27">
        <v>0.18022199999999999</v>
      </c>
      <c r="F161" s="27">
        <v>0.14061000000000001</v>
      </c>
    </row>
    <row r="162" spans="1:6" x14ac:dyDescent="0.15">
      <c r="A162" s="4"/>
      <c r="B162" s="4"/>
      <c r="C162" s="4"/>
      <c r="D162" s="4"/>
      <c r="E162" s="4"/>
      <c r="F162" s="4"/>
    </row>
    <row r="163" spans="1:6" x14ac:dyDescent="0.15">
      <c r="A163" s="4" t="s">
        <v>269</v>
      </c>
      <c r="B163" s="27">
        <v>0.15975200000000001</v>
      </c>
      <c r="C163" s="27">
        <v>0.15077599999999999</v>
      </c>
      <c r="D163" s="27">
        <v>1.0574999999999999E-2</v>
      </c>
      <c r="E163" s="27">
        <v>-3.0561000000000001E-2</v>
      </c>
      <c r="F163" s="27">
        <v>-6.3445000000000001E-2</v>
      </c>
    </row>
    <row r="164" spans="1:6" x14ac:dyDescent="0.15">
      <c r="A164" s="4" t="s">
        <v>270</v>
      </c>
      <c r="B164" s="27">
        <v>0.157967</v>
      </c>
      <c r="C164" s="27">
        <v>0.15406500000000001</v>
      </c>
      <c r="D164" s="27">
        <v>7.7882000000000007E-2</v>
      </c>
      <c r="E164" s="27">
        <v>8.1099000000000004E-2</v>
      </c>
      <c r="F164" s="27">
        <v>4.8568E-2</v>
      </c>
    </row>
    <row r="165" spans="1:6" x14ac:dyDescent="0.15">
      <c r="A165" s="4" t="s">
        <v>464</v>
      </c>
      <c r="B165" s="27">
        <v>0.22420599999999999</v>
      </c>
      <c r="C165" s="27">
        <v>0.128937</v>
      </c>
      <c r="D165" s="27">
        <v>0.19556299999999999</v>
      </c>
      <c r="E165" s="27">
        <v>0.129167</v>
      </c>
      <c r="F165" s="27">
        <v>0.180923</v>
      </c>
    </row>
    <row r="166" spans="1:6" x14ac:dyDescent="0.15">
      <c r="A166" s="4" t="s">
        <v>271</v>
      </c>
      <c r="B166" s="27">
        <v>0.160499</v>
      </c>
      <c r="C166" s="27">
        <v>7.4289999999999995E-2</v>
      </c>
      <c r="D166" s="27">
        <v>3.7040999999999998E-2</v>
      </c>
      <c r="E166" s="27">
        <v>6.2996999999999997E-2</v>
      </c>
      <c r="F166" s="27">
        <v>1.1429999999999999E-2</v>
      </c>
    </row>
    <row r="167" spans="1:6" ht="12" x14ac:dyDescent="0.15">
      <c r="A167" s="4" t="s">
        <v>272</v>
      </c>
      <c r="B167" s="17" t="s">
        <v>93</v>
      </c>
      <c r="C167" s="27">
        <v>0.31071399999999999</v>
      </c>
      <c r="D167" s="27">
        <v>0.484568</v>
      </c>
      <c r="E167" s="27">
        <v>0.17514399999999999</v>
      </c>
      <c r="F167" s="27">
        <v>0.268488</v>
      </c>
    </row>
    <row r="168" spans="1:6" ht="12" x14ac:dyDescent="0.15">
      <c r="A168" s="4" t="s">
        <v>273</v>
      </c>
      <c r="B168" s="17" t="s">
        <v>93</v>
      </c>
      <c r="C168" s="27">
        <v>0.32017299999999999</v>
      </c>
      <c r="D168" s="27">
        <v>0.49216100000000002</v>
      </c>
      <c r="E168" s="27">
        <v>0.18690899999999999</v>
      </c>
      <c r="F168" s="27">
        <v>0.28154200000000001</v>
      </c>
    </row>
    <row r="169" spans="1:6" ht="12" x14ac:dyDescent="0.15">
      <c r="A169" s="4" t="s">
        <v>274</v>
      </c>
      <c r="B169" s="17" t="s">
        <v>93</v>
      </c>
      <c r="C169" s="17" t="s">
        <v>93</v>
      </c>
      <c r="D169" s="17" t="s">
        <v>93</v>
      </c>
      <c r="E169" s="17" t="s">
        <v>93</v>
      </c>
      <c r="F169" s="17" t="s">
        <v>93</v>
      </c>
    </row>
    <row r="170" spans="1:6" x14ac:dyDescent="0.15">
      <c r="A170" s="4"/>
      <c r="B170" s="4"/>
      <c r="C170" s="4"/>
      <c r="D170" s="4"/>
      <c r="E170" s="4"/>
      <c r="F170" s="4"/>
    </row>
    <row r="171" spans="1:6" ht="72" x14ac:dyDescent="0.15">
      <c r="A171" s="33" t="s">
        <v>51</v>
      </c>
      <c r="B171" s="11"/>
      <c r="C171" s="11"/>
      <c r="D171" s="11"/>
      <c r="E171" s="11"/>
      <c r="F171" s="11"/>
    </row>
  </sheetData>
  <phoneticPr fontId="0" type="noConversion"/>
  <pageMargins left="0.2" right="0.2" top="0.5" bottom="0.5" header="0.5" footer="0.5"/>
  <pageSetup fitToWidth="0" fitToHeight="0" orientation="landscape" horizontalDpi="0" verticalDpi="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6:IU114"/>
  <sheetViews>
    <sheetView showGridLines="0" topLeftCell="A59" workbookViewId="0">
      <selection activeCell="N17" sqref="N17"/>
    </sheetView>
  </sheetViews>
  <sheetFormatPr baseColWidth="10" defaultRowHeight="11" x14ac:dyDescent="0.15"/>
  <cols>
    <col min="1" max="1" width="50.83203125" customWidth="1"/>
    <col min="2" max="2" width="9.33203125" customWidth="1"/>
    <col min="3" max="256" width="8.83203125" customWidth="1"/>
  </cols>
  <sheetData>
    <row r="6" spans="1:255" ht="16.5" customHeight="1" x14ac:dyDescent="0.15">
      <c r="A6" s="6" t="s">
        <v>278</v>
      </c>
      <c r="B6" s="6"/>
      <c r="C6" s="6"/>
      <c r="D6" s="6"/>
      <c r="E6" s="6"/>
      <c r="F6" s="6"/>
      <c r="G6" s="6"/>
      <c r="H6" s="6" t="s">
        <v>279</v>
      </c>
      <c r="I6" s="6"/>
      <c r="J6" s="6"/>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c r="IM6" s="34"/>
      <c r="IN6" s="34"/>
      <c r="IO6" s="34"/>
      <c r="IP6" s="34"/>
      <c r="IQ6" s="34"/>
      <c r="IR6" s="34"/>
      <c r="IS6" s="34"/>
      <c r="IT6" s="34"/>
      <c r="IU6" s="34"/>
    </row>
    <row r="7" spans="1:255" ht="14" x14ac:dyDescent="0.3">
      <c r="A7" s="35" t="s">
        <v>280</v>
      </c>
      <c r="B7" s="36" t="s">
        <v>281</v>
      </c>
      <c r="C7" s="36" t="s">
        <v>282</v>
      </c>
      <c r="D7" s="36" t="s">
        <v>283</v>
      </c>
      <c r="E7" s="36" t="s">
        <v>282</v>
      </c>
      <c r="F7" s="36" t="s">
        <v>284</v>
      </c>
      <c r="G7" s="36" t="s">
        <v>282</v>
      </c>
      <c r="H7" s="36" t="s">
        <v>285</v>
      </c>
      <c r="I7" s="36" t="s">
        <v>282</v>
      </c>
      <c r="J7" s="36" t="s">
        <v>286</v>
      </c>
      <c r="K7" s="36" t="s">
        <v>282</v>
      </c>
    </row>
    <row r="8" spans="1:255" x14ac:dyDescent="0.15">
      <c r="A8" s="37" t="s">
        <v>45</v>
      </c>
      <c r="B8" s="38">
        <v>8.1</v>
      </c>
      <c r="C8" s="38">
        <v>160</v>
      </c>
      <c r="D8" s="38">
        <v>9.3000000000000007</v>
      </c>
      <c r="E8" s="38">
        <v>177</v>
      </c>
      <c r="F8" s="38">
        <v>6.8</v>
      </c>
      <c r="G8" s="38">
        <v>201</v>
      </c>
      <c r="H8" s="38">
        <v>5.9</v>
      </c>
      <c r="I8" s="38">
        <v>114</v>
      </c>
      <c r="J8" s="38">
        <v>5.6</v>
      </c>
      <c r="K8" s="38">
        <v>213</v>
      </c>
    </row>
    <row r="9" spans="1:255" x14ac:dyDescent="0.15">
      <c r="A9" s="37" t="s">
        <v>46</v>
      </c>
      <c r="B9" s="38">
        <v>24.8</v>
      </c>
      <c r="C9" s="38">
        <v>134</v>
      </c>
      <c r="D9" s="38">
        <v>28.4</v>
      </c>
      <c r="E9" s="38">
        <v>134</v>
      </c>
      <c r="F9" s="38">
        <v>22.8</v>
      </c>
      <c r="G9" s="38">
        <v>156</v>
      </c>
      <c r="H9" s="38">
        <v>18.100000000000001</v>
      </c>
      <c r="I9" s="38">
        <v>88</v>
      </c>
      <c r="J9" s="38">
        <v>17.899999999999999</v>
      </c>
      <c r="K9" s="38">
        <v>156</v>
      </c>
    </row>
    <row r="10" spans="1:255" x14ac:dyDescent="0.15">
      <c r="A10" s="37" t="s">
        <v>47</v>
      </c>
      <c r="B10" s="38">
        <v>31.4</v>
      </c>
      <c r="C10" s="38">
        <v>124</v>
      </c>
      <c r="D10" s="38">
        <v>38.799999999999997</v>
      </c>
      <c r="E10" s="38">
        <v>122</v>
      </c>
      <c r="F10" s="38">
        <v>30</v>
      </c>
      <c r="G10" s="38">
        <v>139</v>
      </c>
      <c r="H10" s="38">
        <v>22.9</v>
      </c>
      <c r="I10" s="38">
        <v>81</v>
      </c>
      <c r="J10" s="38">
        <v>22.8</v>
      </c>
      <c r="K10" s="38">
        <v>141</v>
      </c>
    </row>
    <row r="11" spans="1:255" x14ac:dyDescent="0.15">
      <c r="A11" s="37" t="s">
        <v>287</v>
      </c>
      <c r="B11" s="38">
        <v>38.9</v>
      </c>
      <c r="C11" s="38">
        <v>114</v>
      </c>
      <c r="D11" s="38">
        <v>48.5</v>
      </c>
      <c r="E11" s="38">
        <v>105</v>
      </c>
      <c r="F11" s="38">
        <v>36.700000000000003</v>
      </c>
      <c r="G11" s="38">
        <v>122</v>
      </c>
      <c r="H11" s="38">
        <v>31.8</v>
      </c>
      <c r="I11" s="38">
        <v>79</v>
      </c>
      <c r="J11" s="38">
        <v>31.6</v>
      </c>
      <c r="K11" s="38">
        <v>136</v>
      </c>
    </row>
    <row r="12" spans="1:255" x14ac:dyDescent="0.15">
      <c r="A12" s="37" t="s">
        <v>49</v>
      </c>
      <c r="B12" s="38">
        <v>6.7</v>
      </c>
      <c r="C12" s="38">
        <v>136</v>
      </c>
      <c r="D12" s="38">
        <v>7.6</v>
      </c>
      <c r="E12" s="38">
        <v>150</v>
      </c>
      <c r="F12" s="38">
        <v>6.2</v>
      </c>
      <c r="G12" s="38">
        <v>176</v>
      </c>
      <c r="H12" s="38">
        <v>6.1</v>
      </c>
      <c r="I12" s="38">
        <v>92</v>
      </c>
      <c r="J12" s="38">
        <v>5.9</v>
      </c>
      <c r="K12" s="38">
        <v>183</v>
      </c>
    </row>
    <row r="13" spans="1:255" x14ac:dyDescent="0.15">
      <c r="A13" s="37" t="s">
        <v>288</v>
      </c>
      <c r="B13" s="38">
        <v>13</v>
      </c>
      <c r="C13" s="38">
        <v>93</v>
      </c>
      <c r="D13" s="38">
        <v>21</v>
      </c>
      <c r="E13" s="38">
        <v>99</v>
      </c>
      <c r="F13" s="38">
        <v>13.2</v>
      </c>
      <c r="G13" s="38">
        <v>128</v>
      </c>
      <c r="H13" s="38">
        <v>10.1</v>
      </c>
      <c r="I13" s="38">
        <v>58</v>
      </c>
      <c r="J13" s="38">
        <v>8.3000000000000007</v>
      </c>
      <c r="K13" s="38">
        <v>130</v>
      </c>
    </row>
    <row r="14" spans="1:255" x14ac:dyDescent="0.15">
      <c r="A14" s="39" t="s">
        <v>369</v>
      </c>
      <c r="B14" s="39"/>
      <c r="C14" s="39"/>
      <c r="D14" s="39"/>
      <c r="E14" s="39"/>
      <c r="F14" s="39"/>
      <c r="G14" s="39"/>
      <c r="H14" s="39"/>
      <c r="I14" s="39"/>
      <c r="J14" s="39"/>
      <c r="K14" s="39"/>
    </row>
    <row r="15" spans="1:255" x14ac:dyDescent="0.15">
      <c r="A15" s="59" t="s">
        <v>368</v>
      </c>
      <c r="B15" s="38">
        <f>B19/(B27*B33)</f>
        <v>13.619047619047617</v>
      </c>
      <c r="C15" s="38"/>
      <c r="D15" s="38">
        <f t="shared" ref="D15:K15" si="0">D19/(D27*D33)</f>
        <v>11.827956989247312</v>
      </c>
      <c r="E15" s="38"/>
      <c r="F15" s="38">
        <f t="shared" si="0"/>
        <v>10.813008130081302</v>
      </c>
      <c r="G15" s="38"/>
      <c r="H15" s="38">
        <f t="shared" si="0"/>
        <v>1.0669456066945606</v>
      </c>
      <c r="I15" s="38"/>
      <c r="J15" s="38">
        <f t="shared" si="0"/>
        <v>5.1162790697674412</v>
      </c>
      <c r="K15" s="38">
        <f t="shared" si="0"/>
        <v>4.4931371945589951E-3</v>
      </c>
    </row>
    <row r="16" spans="1:255" x14ac:dyDescent="0.15">
      <c r="A16" s="39" t="s">
        <v>227</v>
      </c>
      <c r="B16" s="39"/>
      <c r="C16" s="39"/>
      <c r="D16" s="39"/>
      <c r="E16" s="39"/>
      <c r="F16" s="39"/>
      <c r="G16" s="39"/>
      <c r="H16" s="39"/>
      <c r="I16" s="39"/>
      <c r="J16" s="39"/>
      <c r="K16" s="39"/>
    </row>
    <row r="17" spans="1:11" x14ac:dyDescent="0.15">
      <c r="A17" s="37" t="s">
        <v>289</v>
      </c>
      <c r="B17" s="60">
        <v>4.9000000000000002E-2</v>
      </c>
      <c r="C17" s="38">
        <v>198</v>
      </c>
      <c r="D17" s="60">
        <v>3.7999999999999999E-2</v>
      </c>
      <c r="E17" s="38">
        <v>209</v>
      </c>
      <c r="F17" s="60">
        <v>4.2000000000000003E-2</v>
      </c>
      <c r="G17" s="38">
        <v>206</v>
      </c>
      <c r="H17" s="60">
        <v>5.2999999999999999E-2</v>
      </c>
      <c r="I17" s="38">
        <v>98</v>
      </c>
      <c r="J17" s="60">
        <v>4.9000000000000002E-2</v>
      </c>
      <c r="K17" s="38">
        <v>217</v>
      </c>
    </row>
    <row r="18" spans="1:11" x14ac:dyDescent="0.15">
      <c r="A18" s="37" t="s">
        <v>290</v>
      </c>
      <c r="B18" s="60">
        <v>8.1000000000000003E-2</v>
      </c>
      <c r="C18" s="38">
        <v>199</v>
      </c>
      <c r="D18" s="60">
        <v>6.2E-2</v>
      </c>
      <c r="E18" s="38">
        <v>209</v>
      </c>
      <c r="F18" s="60">
        <v>7.0000000000000007E-2</v>
      </c>
      <c r="G18" s="38">
        <v>207</v>
      </c>
      <c r="H18" s="60">
        <v>9.0999999999999998E-2</v>
      </c>
      <c r="I18" s="38">
        <v>98</v>
      </c>
      <c r="J18" s="60">
        <v>8.6999999999999994E-2</v>
      </c>
      <c r="K18" s="38">
        <v>219</v>
      </c>
    </row>
    <row r="19" spans="1:11" x14ac:dyDescent="0.15">
      <c r="A19" s="58" t="s">
        <v>291</v>
      </c>
      <c r="B19" s="60">
        <v>0.14299999999999999</v>
      </c>
      <c r="C19" s="38">
        <v>199</v>
      </c>
      <c r="D19" s="60">
        <v>0.11</v>
      </c>
      <c r="E19" s="38">
        <v>209</v>
      </c>
      <c r="F19" s="60">
        <v>0.13300000000000001</v>
      </c>
      <c r="G19" s="38">
        <v>207</v>
      </c>
      <c r="H19" s="60">
        <v>0.10199999999999999</v>
      </c>
      <c r="I19" s="38">
        <v>98</v>
      </c>
      <c r="J19" s="60">
        <v>8.7999999999999995E-2</v>
      </c>
      <c r="K19" s="38">
        <v>219</v>
      </c>
    </row>
    <row r="20" spans="1:11" x14ac:dyDescent="0.15">
      <c r="A20" s="39" t="s">
        <v>232</v>
      </c>
      <c r="B20" s="39"/>
      <c r="C20" s="39"/>
      <c r="D20" s="39"/>
      <c r="E20" s="39"/>
      <c r="F20" s="39"/>
      <c r="G20" s="39"/>
      <c r="H20" s="39"/>
      <c r="I20" s="39"/>
      <c r="J20" s="39"/>
      <c r="K20" s="39"/>
    </row>
    <row r="21" spans="1:11" x14ac:dyDescent="0.15">
      <c r="A21" s="37" t="s">
        <v>292</v>
      </c>
      <c r="B21" s="60">
        <v>0.14299999999999999</v>
      </c>
      <c r="C21" s="38">
        <v>205</v>
      </c>
      <c r="D21" s="60">
        <v>0.14699999999999999</v>
      </c>
      <c r="E21" s="38">
        <v>211</v>
      </c>
      <c r="F21" s="60">
        <v>0.158</v>
      </c>
      <c r="G21" s="38">
        <v>217</v>
      </c>
      <c r="H21" s="60">
        <v>0.60299999999999998</v>
      </c>
      <c r="I21" s="38">
        <v>117</v>
      </c>
      <c r="J21" s="60">
        <v>0.183</v>
      </c>
      <c r="K21" s="38">
        <v>231</v>
      </c>
    </row>
    <row r="22" spans="1:11" x14ac:dyDescent="0.15">
      <c r="A22" s="37" t="s">
        <v>293</v>
      </c>
      <c r="B22" s="60">
        <v>7.4999999999999997E-2</v>
      </c>
      <c r="C22" s="38">
        <v>195</v>
      </c>
      <c r="D22" s="60">
        <v>7.5999999999999998E-2</v>
      </c>
      <c r="E22" s="38">
        <v>203</v>
      </c>
      <c r="F22" s="60">
        <v>8.1000000000000003E-2</v>
      </c>
      <c r="G22" s="38">
        <v>209</v>
      </c>
      <c r="H22" s="60">
        <v>0.11899999999999999</v>
      </c>
      <c r="I22" s="38">
        <v>112</v>
      </c>
      <c r="J22" s="60">
        <v>0.09</v>
      </c>
      <c r="K22" s="38">
        <v>222</v>
      </c>
    </row>
    <row r="23" spans="1:11" x14ac:dyDescent="0.15">
      <c r="A23" s="37" t="s">
        <v>294</v>
      </c>
      <c r="B23" s="60">
        <v>6.4000000000000001E-2</v>
      </c>
      <c r="C23" s="38">
        <v>201</v>
      </c>
      <c r="D23" s="60">
        <v>7.0000000000000007E-2</v>
      </c>
      <c r="E23" s="38">
        <v>207</v>
      </c>
      <c r="F23" s="60">
        <v>7.3999999999999996E-2</v>
      </c>
      <c r="G23" s="38">
        <v>213</v>
      </c>
      <c r="H23" s="60">
        <v>0.44400000000000001</v>
      </c>
      <c r="I23" s="38">
        <v>115</v>
      </c>
      <c r="J23" s="60">
        <v>8.8999999999999996E-2</v>
      </c>
      <c r="K23" s="38">
        <v>226</v>
      </c>
    </row>
    <row r="24" spans="1:11" x14ac:dyDescent="0.15">
      <c r="A24" s="37" t="s">
        <v>295</v>
      </c>
      <c r="B24" s="60">
        <v>5.1999999999999998E-2</v>
      </c>
      <c r="C24" s="38">
        <v>205</v>
      </c>
      <c r="D24" s="60">
        <v>5.8000000000000003E-2</v>
      </c>
      <c r="E24" s="38">
        <v>211</v>
      </c>
      <c r="F24" s="60">
        <v>6.2E-2</v>
      </c>
      <c r="G24" s="38">
        <v>217</v>
      </c>
      <c r="H24" s="60">
        <v>0.41199999999999998</v>
      </c>
      <c r="I24" s="38">
        <v>117</v>
      </c>
      <c r="J24" s="60">
        <v>7.3999999999999996E-2</v>
      </c>
      <c r="K24" s="38">
        <v>231</v>
      </c>
    </row>
    <row r="25" spans="1:11" x14ac:dyDescent="0.15">
      <c r="A25" s="37" t="s">
        <v>296</v>
      </c>
      <c r="B25" s="60">
        <v>5.1999999999999998E-2</v>
      </c>
      <c r="C25" s="38">
        <v>205</v>
      </c>
      <c r="D25" s="60">
        <v>5.8000000000000003E-2</v>
      </c>
      <c r="E25" s="38">
        <v>211</v>
      </c>
      <c r="F25" s="60">
        <v>6.2E-2</v>
      </c>
      <c r="G25" s="38">
        <v>217</v>
      </c>
      <c r="H25" s="60">
        <v>0.41199999999999998</v>
      </c>
      <c r="I25" s="38">
        <v>117</v>
      </c>
      <c r="J25" s="60">
        <v>7.3999999999999996E-2</v>
      </c>
      <c r="K25" s="38">
        <v>231</v>
      </c>
    </row>
    <row r="26" spans="1:11" x14ac:dyDescent="0.15">
      <c r="A26" s="37" t="s">
        <v>391</v>
      </c>
      <c r="B26" s="60">
        <v>3.9E-2</v>
      </c>
      <c r="C26" s="38">
        <v>205</v>
      </c>
      <c r="D26" s="60">
        <v>3.5000000000000003E-2</v>
      </c>
      <c r="E26" s="38">
        <v>211</v>
      </c>
      <c r="F26" s="60">
        <v>4.5999999999999999E-2</v>
      </c>
      <c r="G26" s="38">
        <v>217</v>
      </c>
      <c r="H26" s="60">
        <v>0.24199999999999999</v>
      </c>
      <c r="I26" s="38">
        <v>117</v>
      </c>
      <c r="J26" s="60">
        <v>4.2999999999999997E-2</v>
      </c>
      <c r="K26" s="38">
        <v>231</v>
      </c>
    </row>
    <row r="27" spans="1:11" x14ac:dyDescent="0.15">
      <c r="A27" s="59" t="s">
        <v>297</v>
      </c>
      <c r="B27" s="60">
        <v>3.5000000000000003E-2</v>
      </c>
      <c r="C27" s="38">
        <v>205</v>
      </c>
      <c r="D27" s="60">
        <v>3.1E-2</v>
      </c>
      <c r="E27" s="38">
        <v>211</v>
      </c>
      <c r="F27" s="60">
        <v>4.1000000000000002E-2</v>
      </c>
      <c r="G27" s="38">
        <v>217</v>
      </c>
      <c r="H27" s="60">
        <v>0.23899999999999999</v>
      </c>
      <c r="I27" s="38">
        <v>117</v>
      </c>
      <c r="J27" s="60">
        <v>4.2999999999999997E-2</v>
      </c>
      <c r="K27" s="38">
        <v>231</v>
      </c>
    </row>
    <row r="28" spans="1:11" x14ac:dyDescent="0.15">
      <c r="A28" s="37" t="s">
        <v>392</v>
      </c>
      <c r="B28" s="60">
        <v>3.5000000000000003E-2</v>
      </c>
      <c r="C28" s="38">
        <v>205</v>
      </c>
      <c r="D28" s="60">
        <v>3.1E-2</v>
      </c>
      <c r="E28" s="38">
        <v>211</v>
      </c>
      <c r="F28" s="60">
        <v>4.1000000000000002E-2</v>
      </c>
      <c r="G28" s="38">
        <v>217</v>
      </c>
      <c r="H28" s="60">
        <v>0.23799999999999999</v>
      </c>
      <c r="I28" s="38">
        <v>117</v>
      </c>
      <c r="J28" s="60">
        <v>4.2000000000000003E-2</v>
      </c>
      <c r="K28" s="38">
        <v>231</v>
      </c>
    </row>
    <row r="29" spans="1:11" x14ac:dyDescent="0.15">
      <c r="A29" s="37" t="s">
        <v>298</v>
      </c>
      <c r="B29" s="60">
        <v>2.4E-2</v>
      </c>
      <c r="C29" s="38">
        <v>205</v>
      </c>
      <c r="D29" s="60">
        <v>2.7E-2</v>
      </c>
      <c r="E29" s="38">
        <v>211</v>
      </c>
      <c r="F29" s="60">
        <v>2.5999999999999999E-2</v>
      </c>
      <c r="G29" s="38">
        <v>217</v>
      </c>
      <c r="H29" s="60">
        <v>0.193</v>
      </c>
      <c r="I29" s="38">
        <v>117</v>
      </c>
      <c r="J29" s="60">
        <v>3.5999999999999997E-2</v>
      </c>
      <c r="K29" s="38">
        <v>231</v>
      </c>
    </row>
    <row r="30" spans="1:11" x14ac:dyDescent="0.15">
      <c r="A30" s="37" t="s">
        <v>299</v>
      </c>
      <c r="B30" s="60">
        <v>2.5999999999999999E-2</v>
      </c>
      <c r="C30" s="38">
        <v>160</v>
      </c>
      <c r="D30" s="60">
        <v>3.4000000000000002E-2</v>
      </c>
      <c r="E30" s="38">
        <v>178</v>
      </c>
      <c r="F30" s="60">
        <v>1.7000000000000001E-2</v>
      </c>
      <c r="G30" s="38">
        <v>185</v>
      </c>
      <c r="H30" s="60">
        <v>-8.9999999999999993E-3</v>
      </c>
      <c r="I30" s="38">
        <v>86</v>
      </c>
      <c r="J30" s="60">
        <v>1E-3</v>
      </c>
      <c r="K30" s="38">
        <v>191</v>
      </c>
    </row>
    <row r="31" spans="1:11" x14ac:dyDescent="0.15">
      <c r="A31" s="37" t="s">
        <v>300</v>
      </c>
      <c r="B31" s="60">
        <v>3.2000000000000001E-2</v>
      </c>
      <c r="C31" s="38">
        <v>160</v>
      </c>
      <c r="D31" s="60">
        <v>4.2000000000000003E-2</v>
      </c>
      <c r="E31" s="38">
        <v>178</v>
      </c>
      <c r="F31" s="60">
        <v>2.4E-2</v>
      </c>
      <c r="G31" s="38">
        <v>185</v>
      </c>
      <c r="H31" s="60">
        <v>8.6999999999999994E-2</v>
      </c>
      <c r="I31" s="38">
        <v>86</v>
      </c>
      <c r="J31" s="60">
        <v>1.2E-2</v>
      </c>
      <c r="K31" s="38">
        <v>191</v>
      </c>
    </row>
    <row r="32" spans="1:11" x14ac:dyDescent="0.15">
      <c r="A32" s="39" t="s">
        <v>242</v>
      </c>
      <c r="B32" s="39"/>
      <c r="C32" s="39"/>
      <c r="D32" s="39"/>
      <c r="E32" s="39"/>
      <c r="F32" s="39"/>
      <c r="G32" s="39"/>
      <c r="H32" s="39"/>
      <c r="I32" s="39"/>
      <c r="J32" s="39"/>
      <c r="K32" s="39"/>
    </row>
    <row r="33" spans="1:11" x14ac:dyDescent="0.15">
      <c r="A33" s="59" t="s">
        <v>301</v>
      </c>
      <c r="B33" s="38">
        <v>0.3</v>
      </c>
      <c r="C33" s="38">
        <v>191</v>
      </c>
      <c r="D33" s="38">
        <v>0.3</v>
      </c>
      <c r="E33" s="38">
        <v>197</v>
      </c>
      <c r="F33" s="38">
        <v>0.3</v>
      </c>
      <c r="G33" s="38">
        <v>199</v>
      </c>
      <c r="H33" s="38">
        <v>0.4</v>
      </c>
      <c r="I33" s="38">
        <v>97</v>
      </c>
      <c r="J33" s="38">
        <v>0.4</v>
      </c>
      <c r="K33" s="38">
        <v>211</v>
      </c>
    </row>
    <row r="34" spans="1:11" x14ac:dyDescent="0.15">
      <c r="A34" s="37" t="s">
        <v>479</v>
      </c>
      <c r="B34" s="38">
        <v>7.2</v>
      </c>
      <c r="C34" s="38">
        <v>190</v>
      </c>
      <c r="D34" s="38">
        <v>7.4</v>
      </c>
      <c r="E34" s="38">
        <v>195</v>
      </c>
      <c r="F34" s="38">
        <v>8.6999999999999993</v>
      </c>
      <c r="G34" s="38">
        <v>194</v>
      </c>
      <c r="H34" s="38">
        <v>9.9</v>
      </c>
      <c r="I34" s="38">
        <v>95</v>
      </c>
      <c r="J34" s="38">
        <v>9.5</v>
      </c>
      <c r="K34" s="38">
        <v>206</v>
      </c>
    </row>
    <row r="35" spans="1:11" x14ac:dyDescent="0.15">
      <c r="A35" s="37" t="s">
        <v>302</v>
      </c>
      <c r="B35" s="38">
        <v>2.7</v>
      </c>
      <c r="C35" s="38">
        <v>184</v>
      </c>
      <c r="D35" s="38">
        <v>2.9</v>
      </c>
      <c r="E35" s="38">
        <v>190</v>
      </c>
      <c r="F35" s="38">
        <v>2.9</v>
      </c>
      <c r="G35" s="38">
        <v>188</v>
      </c>
      <c r="H35" s="38">
        <v>2.9</v>
      </c>
      <c r="I35" s="38">
        <v>92</v>
      </c>
      <c r="J35" s="38">
        <v>2.7</v>
      </c>
      <c r="K35" s="38">
        <v>200</v>
      </c>
    </row>
    <row r="36" spans="1:11" x14ac:dyDescent="0.15">
      <c r="A36" s="37" t="s">
        <v>303</v>
      </c>
      <c r="B36" s="38">
        <v>48.1</v>
      </c>
      <c r="C36" s="38">
        <v>80</v>
      </c>
      <c r="D36" s="38">
        <v>39.4</v>
      </c>
      <c r="E36" s="38">
        <v>85</v>
      </c>
      <c r="F36" s="38">
        <v>58.6</v>
      </c>
      <c r="G36" s="38">
        <v>91</v>
      </c>
      <c r="H36" s="38">
        <v>44.1</v>
      </c>
      <c r="I36" s="38">
        <v>36</v>
      </c>
      <c r="J36" s="38">
        <v>39.200000000000003</v>
      </c>
      <c r="K36" s="38">
        <v>93</v>
      </c>
    </row>
    <row r="37" spans="1:11" x14ac:dyDescent="0.15">
      <c r="A37" s="39" t="s">
        <v>247</v>
      </c>
      <c r="B37" s="39"/>
      <c r="C37" s="39"/>
      <c r="D37" s="39"/>
      <c r="E37" s="39"/>
      <c r="F37" s="39"/>
      <c r="G37" s="39"/>
      <c r="H37" s="39"/>
      <c r="I37" s="39"/>
      <c r="J37" s="39"/>
      <c r="K37" s="39"/>
    </row>
    <row r="38" spans="1:11" x14ac:dyDescent="0.15">
      <c r="A38" s="37" t="s">
        <v>304</v>
      </c>
      <c r="B38" s="38">
        <v>1.9</v>
      </c>
      <c r="C38" s="38">
        <v>197</v>
      </c>
      <c r="D38" s="38">
        <v>1.8</v>
      </c>
      <c r="E38" s="38">
        <v>209</v>
      </c>
      <c r="F38" s="38">
        <v>2</v>
      </c>
      <c r="G38" s="38">
        <v>206</v>
      </c>
      <c r="H38" s="38">
        <v>2.6</v>
      </c>
      <c r="I38" s="38">
        <v>98</v>
      </c>
      <c r="J38" s="38">
        <v>2</v>
      </c>
      <c r="K38" s="38">
        <v>217</v>
      </c>
    </row>
    <row r="39" spans="1:11" x14ac:dyDescent="0.15">
      <c r="A39" s="37" t="s">
        <v>305</v>
      </c>
      <c r="B39" s="38">
        <v>7.9</v>
      </c>
      <c r="C39" s="38">
        <v>65</v>
      </c>
      <c r="D39" s="38">
        <v>8.6999999999999993</v>
      </c>
      <c r="E39" s="38">
        <v>71</v>
      </c>
      <c r="F39" s="38">
        <v>6.7</v>
      </c>
      <c r="G39" s="38">
        <v>79</v>
      </c>
      <c r="H39" s="38">
        <v>7.3</v>
      </c>
      <c r="I39" s="38">
        <v>33</v>
      </c>
      <c r="J39" s="38">
        <v>8.1</v>
      </c>
      <c r="K39" s="38">
        <v>81</v>
      </c>
    </row>
    <row r="40" spans="1:11" x14ac:dyDescent="0.15">
      <c r="A40" s="37" t="s">
        <v>306</v>
      </c>
      <c r="B40" s="38">
        <v>1.3</v>
      </c>
      <c r="C40" s="38">
        <v>198</v>
      </c>
      <c r="D40" s="38">
        <v>1.3</v>
      </c>
      <c r="E40" s="38">
        <v>209</v>
      </c>
      <c r="F40" s="38">
        <v>1.3</v>
      </c>
      <c r="G40" s="38">
        <v>207</v>
      </c>
      <c r="H40" s="38">
        <v>1.3</v>
      </c>
      <c r="I40" s="38">
        <v>98</v>
      </c>
      <c r="J40" s="38">
        <v>1.3</v>
      </c>
      <c r="K40" s="38">
        <v>219</v>
      </c>
    </row>
    <row r="41" spans="1:11" x14ac:dyDescent="0.15">
      <c r="A41" s="37" t="s">
        <v>307</v>
      </c>
      <c r="B41" s="38">
        <v>36.9</v>
      </c>
      <c r="C41" s="38">
        <v>62</v>
      </c>
      <c r="D41" s="38">
        <v>35.299999999999997</v>
      </c>
      <c r="E41" s="38">
        <v>66</v>
      </c>
      <c r="F41" s="38">
        <v>104.1</v>
      </c>
      <c r="G41" s="38">
        <v>74</v>
      </c>
      <c r="H41" s="38">
        <v>37.200000000000003</v>
      </c>
      <c r="I41" s="38">
        <v>31</v>
      </c>
      <c r="J41" s="38">
        <v>134.69999999999999</v>
      </c>
      <c r="K41" s="38">
        <v>77</v>
      </c>
    </row>
    <row r="42" spans="1:11" x14ac:dyDescent="0.15">
      <c r="A42" s="37" t="s">
        <v>308</v>
      </c>
      <c r="B42" s="38">
        <v>133.80000000000001</v>
      </c>
      <c r="C42" s="38">
        <v>136</v>
      </c>
      <c r="D42" s="38">
        <v>131.69999999999999</v>
      </c>
      <c r="E42" s="38">
        <v>156</v>
      </c>
      <c r="F42" s="38">
        <v>129.30000000000001</v>
      </c>
      <c r="G42" s="38">
        <v>174</v>
      </c>
      <c r="H42" s="38">
        <v>121.4</v>
      </c>
      <c r="I42" s="38">
        <v>87</v>
      </c>
      <c r="J42" s="38">
        <v>135.1</v>
      </c>
      <c r="K42" s="38">
        <v>180</v>
      </c>
    </row>
    <row r="43" spans="1:11" x14ac:dyDescent="0.15">
      <c r="A43" s="37" t="s">
        <v>309</v>
      </c>
      <c r="B43" s="38">
        <v>8.1999999999999993</v>
      </c>
      <c r="C43" s="38">
        <v>59</v>
      </c>
      <c r="D43" s="38">
        <v>8.6999999999999993</v>
      </c>
      <c r="E43" s="38">
        <v>65</v>
      </c>
      <c r="F43" s="38">
        <v>6.8</v>
      </c>
      <c r="G43" s="38">
        <v>72</v>
      </c>
      <c r="H43" s="38">
        <v>8.3000000000000007</v>
      </c>
      <c r="I43" s="38">
        <v>30</v>
      </c>
      <c r="J43" s="38">
        <v>9.4</v>
      </c>
      <c r="K43" s="38">
        <v>75</v>
      </c>
    </row>
    <row r="44" spans="1:11" x14ac:dyDescent="0.15">
      <c r="A44" s="37" t="s">
        <v>310</v>
      </c>
      <c r="B44" s="38">
        <v>0.2</v>
      </c>
      <c r="C44" s="38">
        <v>187</v>
      </c>
      <c r="D44" s="38">
        <v>0.2</v>
      </c>
      <c r="E44" s="38">
        <v>199</v>
      </c>
      <c r="F44" s="38">
        <v>0.2</v>
      </c>
      <c r="G44" s="38">
        <v>195</v>
      </c>
      <c r="H44" s="38">
        <v>0.5</v>
      </c>
      <c r="I44" s="38">
        <v>88</v>
      </c>
      <c r="J44" s="38">
        <v>0.2</v>
      </c>
      <c r="K44" s="38">
        <v>204</v>
      </c>
    </row>
    <row r="45" spans="1:11" x14ac:dyDescent="0.15">
      <c r="A45" s="39" t="s">
        <v>248</v>
      </c>
      <c r="B45" s="39"/>
      <c r="C45" s="39"/>
      <c r="D45" s="39"/>
      <c r="E45" s="39"/>
      <c r="F45" s="39"/>
      <c r="G45" s="39"/>
      <c r="H45" s="39"/>
      <c r="I45" s="39"/>
      <c r="J45" s="39"/>
      <c r="K45" s="39"/>
    </row>
    <row r="46" spans="1:11" x14ac:dyDescent="0.15">
      <c r="A46" s="37" t="s">
        <v>311</v>
      </c>
      <c r="B46" s="60">
        <v>0.40899999999999997</v>
      </c>
      <c r="C46" s="38">
        <v>199</v>
      </c>
      <c r="D46" s="60">
        <v>0.42699999999999999</v>
      </c>
      <c r="E46" s="38">
        <v>209</v>
      </c>
      <c r="F46" s="60">
        <v>0.32800000000000001</v>
      </c>
      <c r="G46" s="38">
        <v>207</v>
      </c>
      <c r="H46" s="60">
        <v>0.48599999999999999</v>
      </c>
      <c r="I46" s="38">
        <v>98</v>
      </c>
      <c r="J46" s="60">
        <v>0.29699999999999999</v>
      </c>
      <c r="K46" s="38">
        <v>219</v>
      </c>
    </row>
    <row r="47" spans="1:11" x14ac:dyDescent="0.15">
      <c r="A47" s="37" t="s">
        <v>312</v>
      </c>
      <c r="B47" s="60">
        <v>0.28999999999999998</v>
      </c>
      <c r="C47" s="38">
        <v>199</v>
      </c>
      <c r="D47" s="60">
        <v>0.29899999999999999</v>
      </c>
      <c r="E47" s="38">
        <v>209</v>
      </c>
      <c r="F47" s="60">
        <v>0.247</v>
      </c>
      <c r="G47" s="38">
        <v>207</v>
      </c>
      <c r="H47" s="60">
        <v>0.32700000000000001</v>
      </c>
      <c r="I47" s="38">
        <v>98</v>
      </c>
      <c r="J47" s="60">
        <v>0.22900000000000001</v>
      </c>
      <c r="K47" s="38">
        <v>219</v>
      </c>
    </row>
    <row r="48" spans="1:11" x14ac:dyDescent="0.15">
      <c r="A48" s="37" t="s">
        <v>313</v>
      </c>
      <c r="B48" s="60">
        <v>0.23</v>
      </c>
      <c r="C48" s="38">
        <v>118</v>
      </c>
      <c r="D48" s="60">
        <v>0.27800000000000002</v>
      </c>
      <c r="E48" s="38">
        <v>140</v>
      </c>
      <c r="F48" s="60">
        <v>0.27300000000000002</v>
      </c>
      <c r="G48" s="38">
        <v>135</v>
      </c>
      <c r="H48" s="60">
        <v>0.34499999999999997</v>
      </c>
      <c r="I48" s="38">
        <v>74</v>
      </c>
      <c r="J48" s="60">
        <v>0.185</v>
      </c>
      <c r="K48" s="38">
        <v>149</v>
      </c>
    </row>
    <row r="49" spans="1:11" x14ac:dyDescent="0.15">
      <c r="A49" s="37" t="s">
        <v>314</v>
      </c>
      <c r="B49" s="60">
        <v>0.155</v>
      </c>
      <c r="C49" s="38">
        <v>118</v>
      </c>
      <c r="D49" s="60">
        <v>0.184</v>
      </c>
      <c r="E49" s="38">
        <v>140</v>
      </c>
      <c r="F49" s="60">
        <v>0.18099999999999999</v>
      </c>
      <c r="G49" s="38">
        <v>135</v>
      </c>
      <c r="H49" s="60">
        <v>0.22600000000000001</v>
      </c>
      <c r="I49" s="38">
        <v>74</v>
      </c>
      <c r="J49" s="60">
        <v>0.129</v>
      </c>
      <c r="K49" s="38">
        <v>149</v>
      </c>
    </row>
    <row r="50" spans="1:11" x14ac:dyDescent="0.15">
      <c r="A50" s="37" t="s">
        <v>315</v>
      </c>
      <c r="B50" s="60">
        <v>0.60399999999999998</v>
      </c>
      <c r="C50" s="38">
        <v>197</v>
      </c>
      <c r="D50" s="60">
        <v>0.64</v>
      </c>
      <c r="E50" s="38">
        <v>209</v>
      </c>
      <c r="F50" s="60">
        <v>0.59499999999999997</v>
      </c>
      <c r="G50" s="38">
        <v>206</v>
      </c>
      <c r="H50" s="60">
        <v>0.78200000000000003</v>
      </c>
      <c r="I50" s="38">
        <v>98</v>
      </c>
      <c r="J50" s="60">
        <v>0.61</v>
      </c>
      <c r="K50" s="38">
        <v>217</v>
      </c>
    </row>
    <row r="51" spans="1:11" x14ac:dyDescent="0.15">
      <c r="A51" s="37" t="s">
        <v>480</v>
      </c>
      <c r="B51" s="38">
        <v>4.9000000000000004</v>
      </c>
      <c r="C51" s="38">
        <v>183</v>
      </c>
      <c r="D51" s="38">
        <v>5</v>
      </c>
      <c r="E51" s="38">
        <v>196</v>
      </c>
      <c r="F51" s="38">
        <v>5.0999999999999996</v>
      </c>
      <c r="G51" s="38">
        <v>204</v>
      </c>
      <c r="H51" s="38">
        <v>3.9</v>
      </c>
      <c r="I51" s="38">
        <v>103</v>
      </c>
      <c r="J51" s="38">
        <v>4.2</v>
      </c>
      <c r="K51" s="38">
        <v>212</v>
      </c>
    </row>
    <row r="52" spans="1:11" x14ac:dyDescent="0.15">
      <c r="A52" s="37" t="s">
        <v>481</v>
      </c>
      <c r="B52" s="38">
        <v>6</v>
      </c>
      <c r="C52" s="38">
        <v>180</v>
      </c>
      <c r="D52" s="38">
        <v>6.1</v>
      </c>
      <c r="E52" s="38">
        <v>192</v>
      </c>
      <c r="F52" s="38">
        <v>6.1</v>
      </c>
      <c r="G52" s="38">
        <v>198</v>
      </c>
      <c r="H52" s="38">
        <v>4.0999999999999996</v>
      </c>
      <c r="I52" s="38">
        <v>102</v>
      </c>
      <c r="J52" s="38">
        <v>5.0999999999999996</v>
      </c>
      <c r="K52" s="38">
        <v>206</v>
      </c>
    </row>
    <row r="53" spans="1:11" x14ac:dyDescent="0.15">
      <c r="A53" s="37" t="s">
        <v>482</v>
      </c>
      <c r="B53" s="38">
        <v>11.5</v>
      </c>
      <c r="C53" s="38">
        <v>180</v>
      </c>
      <c r="D53" s="38">
        <v>10.5</v>
      </c>
      <c r="E53" s="38">
        <v>192</v>
      </c>
      <c r="F53" s="38">
        <v>11.7</v>
      </c>
      <c r="G53" s="38">
        <v>198</v>
      </c>
      <c r="H53" s="38">
        <v>12.5</v>
      </c>
      <c r="I53" s="38">
        <v>102</v>
      </c>
      <c r="J53" s="38">
        <v>10.7</v>
      </c>
      <c r="K53" s="38">
        <v>206</v>
      </c>
    </row>
    <row r="54" spans="1:11" x14ac:dyDescent="0.15">
      <c r="A54" s="37" t="s">
        <v>316</v>
      </c>
      <c r="B54" s="38">
        <v>1.8</v>
      </c>
      <c r="C54" s="38">
        <v>188</v>
      </c>
      <c r="D54" s="38">
        <v>1.7</v>
      </c>
      <c r="E54" s="38">
        <v>198</v>
      </c>
      <c r="F54" s="38">
        <v>1.6</v>
      </c>
      <c r="G54" s="38">
        <v>196</v>
      </c>
      <c r="H54" s="38">
        <v>0.6</v>
      </c>
      <c r="I54" s="38">
        <v>95</v>
      </c>
      <c r="J54" s="38">
        <v>1.2</v>
      </c>
      <c r="K54" s="38">
        <v>207</v>
      </c>
    </row>
    <row r="55" spans="1:11" x14ac:dyDescent="0.15">
      <c r="A55" s="37" t="s">
        <v>317</v>
      </c>
      <c r="B55" s="38" t="s">
        <v>99</v>
      </c>
      <c r="C55" s="38">
        <v>188</v>
      </c>
      <c r="D55" s="38" t="s">
        <v>99</v>
      </c>
      <c r="E55" s="38">
        <v>198</v>
      </c>
      <c r="F55" s="38" t="s">
        <v>99</v>
      </c>
      <c r="G55" s="38">
        <v>196</v>
      </c>
      <c r="H55" s="38" t="s">
        <v>99</v>
      </c>
      <c r="I55" s="38">
        <v>95</v>
      </c>
      <c r="J55" s="38" t="s">
        <v>99</v>
      </c>
      <c r="K55" s="38">
        <v>207</v>
      </c>
    </row>
    <row r="56" spans="1:11" x14ac:dyDescent="0.15">
      <c r="A56" s="39" t="s">
        <v>259</v>
      </c>
      <c r="B56" s="39"/>
      <c r="C56" s="39"/>
      <c r="D56" s="39"/>
      <c r="E56" s="39"/>
      <c r="F56" s="39"/>
      <c r="G56" s="39"/>
      <c r="H56" s="39"/>
      <c r="I56" s="39"/>
      <c r="J56" s="39"/>
      <c r="K56" s="39"/>
    </row>
    <row r="57" spans="1:11" x14ac:dyDescent="0.15">
      <c r="A57" s="37" t="s">
        <v>318</v>
      </c>
      <c r="B57" s="60">
        <v>0.13100000000000001</v>
      </c>
      <c r="C57" s="38">
        <v>145</v>
      </c>
      <c r="D57" s="60">
        <v>4.2000000000000003E-2</v>
      </c>
      <c r="E57" s="38">
        <v>169</v>
      </c>
      <c r="F57" s="60">
        <v>0.191</v>
      </c>
      <c r="G57" s="38">
        <v>194</v>
      </c>
      <c r="H57" s="60">
        <v>0.13100000000000001</v>
      </c>
      <c r="I57" s="38">
        <v>112</v>
      </c>
      <c r="J57" s="60">
        <v>0.127</v>
      </c>
      <c r="K57" s="38">
        <v>210</v>
      </c>
    </row>
    <row r="58" spans="1:11" x14ac:dyDescent="0.15">
      <c r="A58" s="37" t="s">
        <v>319</v>
      </c>
      <c r="B58" s="60">
        <v>0.13400000000000001</v>
      </c>
      <c r="C58" s="38">
        <v>146</v>
      </c>
      <c r="D58" s="60">
        <v>-8.9999999999999993E-3</v>
      </c>
      <c r="E58" s="38">
        <v>170</v>
      </c>
      <c r="F58" s="60">
        <v>0.20499999999999999</v>
      </c>
      <c r="G58" s="38">
        <v>195</v>
      </c>
      <c r="H58" s="60">
        <v>0.17</v>
      </c>
      <c r="I58" s="38">
        <v>113</v>
      </c>
      <c r="J58" s="60">
        <v>0.16800000000000001</v>
      </c>
      <c r="K58" s="38">
        <v>211</v>
      </c>
    </row>
    <row r="59" spans="1:11" x14ac:dyDescent="0.15">
      <c r="A59" s="37" t="s">
        <v>320</v>
      </c>
      <c r="B59" s="60">
        <v>0.16600000000000001</v>
      </c>
      <c r="C59" s="38">
        <v>144</v>
      </c>
      <c r="D59" s="60">
        <v>-5.5E-2</v>
      </c>
      <c r="E59" s="38">
        <v>170</v>
      </c>
      <c r="F59" s="60">
        <v>0.18099999999999999</v>
      </c>
      <c r="G59" s="38">
        <v>194</v>
      </c>
      <c r="H59" s="60">
        <v>0.16900000000000001</v>
      </c>
      <c r="I59" s="38">
        <v>111</v>
      </c>
      <c r="J59" s="60">
        <v>0.16900000000000001</v>
      </c>
      <c r="K59" s="38">
        <v>208</v>
      </c>
    </row>
    <row r="60" spans="1:11" x14ac:dyDescent="0.15">
      <c r="A60" s="37" t="s">
        <v>321</v>
      </c>
      <c r="B60" s="60">
        <v>0.16700000000000001</v>
      </c>
      <c r="C60" s="38">
        <v>150</v>
      </c>
      <c r="D60" s="60">
        <v>-7.6999999999999999E-2</v>
      </c>
      <c r="E60" s="38">
        <v>179</v>
      </c>
      <c r="F60" s="60">
        <v>0.21</v>
      </c>
      <c r="G60" s="38">
        <v>203</v>
      </c>
      <c r="H60" s="60">
        <v>0.17100000000000001</v>
      </c>
      <c r="I60" s="38">
        <v>114</v>
      </c>
      <c r="J60" s="60">
        <v>0.17299999999999999</v>
      </c>
      <c r="K60" s="38">
        <v>219</v>
      </c>
    </row>
    <row r="61" spans="1:11" x14ac:dyDescent="0.15">
      <c r="A61" s="37" t="s">
        <v>322</v>
      </c>
      <c r="B61" s="60">
        <v>0.125</v>
      </c>
      <c r="C61" s="38">
        <v>150</v>
      </c>
      <c r="D61" s="60">
        <v>-0.14499999999999999</v>
      </c>
      <c r="E61" s="38">
        <v>179</v>
      </c>
      <c r="F61" s="60">
        <v>0.23599999999999999</v>
      </c>
      <c r="G61" s="38">
        <v>203</v>
      </c>
      <c r="H61" s="60">
        <v>0.215</v>
      </c>
      <c r="I61" s="38">
        <v>114</v>
      </c>
      <c r="J61" s="60">
        <v>0.218</v>
      </c>
      <c r="K61" s="38">
        <v>219</v>
      </c>
    </row>
    <row r="62" spans="1:11" x14ac:dyDescent="0.15">
      <c r="A62" s="37" t="s">
        <v>393</v>
      </c>
      <c r="B62" s="60">
        <v>0.10299999999999999</v>
      </c>
      <c r="C62" s="38">
        <v>151</v>
      </c>
      <c r="D62" s="60">
        <v>-0.152</v>
      </c>
      <c r="E62" s="38">
        <v>179</v>
      </c>
      <c r="F62" s="60">
        <v>0.28000000000000003</v>
      </c>
      <c r="G62" s="38">
        <v>203</v>
      </c>
      <c r="H62" s="60">
        <v>-0.32200000000000001</v>
      </c>
      <c r="I62" s="38">
        <v>114</v>
      </c>
      <c r="J62" s="60">
        <v>-0.35199999999999998</v>
      </c>
      <c r="K62" s="38">
        <v>219</v>
      </c>
    </row>
    <row r="63" spans="1:11" x14ac:dyDescent="0.15">
      <c r="A63" s="37" t="s">
        <v>323</v>
      </c>
      <c r="B63" s="60">
        <v>0.104</v>
      </c>
      <c r="C63" s="38">
        <v>151</v>
      </c>
      <c r="D63" s="60">
        <v>-0.14799999999999999</v>
      </c>
      <c r="E63" s="38">
        <v>179</v>
      </c>
      <c r="F63" s="60">
        <v>0.33200000000000002</v>
      </c>
      <c r="G63" s="38">
        <v>203</v>
      </c>
      <c r="H63" s="60">
        <v>-0.29899999999999999</v>
      </c>
      <c r="I63" s="38">
        <v>114</v>
      </c>
      <c r="J63" s="60">
        <v>-0.36599999999999999</v>
      </c>
      <c r="K63" s="38">
        <v>219</v>
      </c>
    </row>
    <row r="64" spans="1:11" x14ac:dyDescent="0.15">
      <c r="A64" s="37" t="s">
        <v>324</v>
      </c>
      <c r="B64" s="60">
        <v>0.108</v>
      </c>
      <c r="C64" s="38">
        <v>151</v>
      </c>
      <c r="D64" s="60">
        <v>-0.17100000000000001</v>
      </c>
      <c r="E64" s="38">
        <v>179</v>
      </c>
      <c r="F64" s="60">
        <v>0.25</v>
      </c>
      <c r="G64" s="38">
        <v>203</v>
      </c>
      <c r="H64" s="60">
        <v>0.24399999999999999</v>
      </c>
      <c r="I64" s="38">
        <v>114</v>
      </c>
      <c r="J64" s="60">
        <v>0.24</v>
      </c>
      <c r="K64" s="38">
        <v>219</v>
      </c>
    </row>
    <row r="65" spans="1:11" x14ac:dyDescent="0.15">
      <c r="A65" s="37" t="s">
        <v>325</v>
      </c>
      <c r="B65" s="60">
        <v>0.17</v>
      </c>
      <c r="C65" s="38">
        <v>129</v>
      </c>
      <c r="D65" s="60">
        <v>-9.9000000000000005E-2</v>
      </c>
      <c r="E65" s="38">
        <v>152</v>
      </c>
      <c r="F65" s="60">
        <v>0.17799999999999999</v>
      </c>
      <c r="G65" s="38">
        <v>171</v>
      </c>
      <c r="H65" s="60">
        <v>0.247</v>
      </c>
      <c r="I65" s="38">
        <v>87</v>
      </c>
      <c r="J65" s="60">
        <v>0.214</v>
      </c>
      <c r="K65" s="38">
        <v>178</v>
      </c>
    </row>
    <row r="66" spans="1:11" x14ac:dyDescent="0.15">
      <c r="A66" s="37" t="s">
        <v>326</v>
      </c>
      <c r="B66" s="60">
        <v>0.18099999999999999</v>
      </c>
      <c r="C66" s="38">
        <v>62</v>
      </c>
      <c r="D66" s="60">
        <v>0.43</v>
      </c>
      <c r="E66" s="38">
        <v>69</v>
      </c>
      <c r="F66" s="60">
        <v>7.6999999999999999E-2</v>
      </c>
      <c r="G66" s="38">
        <v>78</v>
      </c>
      <c r="H66" s="60">
        <v>0.33900000000000002</v>
      </c>
      <c r="I66" s="38">
        <v>33</v>
      </c>
      <c r="J66" s="60">
        <v>0.33400000000000002</v>
      </c>
      <c r="K66" s="38">
        <v>80</v>
      </c>
    </row>
    <row r="67" spans="1:11" x14ac:dyDescent="0.15">
      <c r="A67" s="37" t="s">
        <v>327</v>
      </c>
      <c r="B67" s="60">
        <v>0.69</v>
      </c>
      <c r="C67" s="38">
        <v>137</v>
      </c>
      <c r="D67" s="60">
        <v>2.5000000000000001E-2</v>
      </c>
      <c r="E67" s="38">
        <v>155</v>
      </c>
      <c r="F67" s="60">
        <v>2.5000000000000001E-2</v>
      </c>
      <c r="G67" s="38">
        <v>179</v>
      </c>
      <c r="H67" s="60">
        <v>-8.0000000000000002E-3</v>
      </c>
      <c r="I67" s="38">
        <v>91</v>
      </c>
      <c r="J67" s="60">
        <v>-1.2E-2</v>
      </c>
      <c r="K67" s="38">
        <v>185</v>
      </c>
    </row>
    <row r="68" spans="1:11" x14ac:dyDescent="0.15">
      <c r="A68" s="37" t="s">
        <v>328</v>
      </c>
      <c r="B68" s="60">
        <v>0.80200000000000005</v>
      </c>
      <c r="C68" s="38">
        <v>143</v>
      </c>
      <c r="D68" s="60">
        <v>0.1</v>
      </c>
      <c r="E68" s="38">
        <v>164</v>
      </c>
      <c r="F68" s="60">
        <v>0.11600000000000001</v>
      </c>
      <c r="G68" s="38">
        <v>188</v>
      </c>
      <c r="H68" s="60">
        <v>-5.2999999999999999E-2</v>
      </c>
      <c r="I68" s="38">
        <v>93</v>
      </c>
      <c r="J68" s="60">
        <v>-3.7999999999999999E-2</v>
      </c>
      <c r="K68" s="38">
        <v>196</v>
      </c>
    </row>
    <row r="69" spans="1:11" x14ac:dyDescent="0.15">
      <c r="A69" s="37" t="s">
        <v>329</v>
      </c>
      <c r="B69" s="60">
        <v>0.48299999999999998</v>
      </c>
      <c r="C69" s="38">
        <v>143</v>
      </c>
      <c r="D69" s="60">
        <v>9.8000000000000004E-2</v>
      </c>
      <c r="E69" s="38">
        <v>164</v>
      </c>
      <c r="F69" s="60">
        <v>0.124</v>
      </c>
      <c r="G69" s="38">
        <v>188</v>
      </c>
      <c r="H69" s="60">
        <v>2.9000000000000001E-2</v>
      </c>
      <c r="I69" s="38">
        <v>93</v>
      </c>
      <c r="J69" s="60">
        <v>3.9E-2</v>
      </c>
      <c r="K69" s="38">
        <v>194</v>
      </c>
    </row>
    <row r="70" spans="1:11" x14ac:dyDescent="0.15">
      <c r="A70" s="37" t="s">
        <v>330</v>
      </c>
      <c r="B70" s="38" t="s">
        <v>99</v>
      </c>
      <c r="C70" s="38">
        <v>143</v>
      </c>
      <c r="D70" s="38" t="s">
        <v>99</v>
      </c>
      <c r="E70" s="38">
        <v>164</v>
      </c>
      <c r="F70" s="38" t="s">
        <v>99</v>
      </c>
      <c r="G70" s="38">
        <v>188</v>
      </c>
      <c r="H70" s="38" t="s">
        <v>99</v>
      </c>
      <c r="I70" s="38">
        <v>93</v>
      </c>
      <c r="J70" s="38" t="s">
        <v>99</v>
      </c>
      <c r="K70" s="38">
        <v>196</v>
      </c>
    </row>
    <row r="71" spans="1:11" x14ac:dyDescent="0.15">
      <c r="A71" s="37" t="s">
        <v>331</v>
      </c>
      <c r="B71" s="60">
        <v>0.129</v>
      </c>
      <c r="C71" s="38">
        <v>136</v>
      </c>
      <c r="D71" s="60">
        <v>1.9E-2</v>
      </c>
      <c r="E71" s="38">
        <v>157</v>
      </c>
      <c r="F71" s="60">
        <v>0.16600000000000001</v>
      </c>
      <c r="G71" s="38">
        <v>180</v>
      </c>
      <c r="H71" s="60">
        <v>0.1</v>
      </c>
      <c r="I71" s="38">
        <v>85</v>
      </c>
      <c r="J71" s="60">
        <v>0.13600000000000001</v>
      </c>
      <c r="K71" s="38">
        <v>187</v>
      </c>
    </row>
    <row r="72" spans="1:11" x14ac:dyDescent="0.15">
      <c r="A72" s="37" t="s">
        <v>483</v>
      </c>
      <c r="B72" s="38" t="s">
        <v>99</v>
      </c>
      <c r="C72" s="38">
        <v>127</v>
      </c>
      <c r="D72" s="38" t="s">
        <v>99</v>
      </c>
      <c r="E72" s="38">
        <v>144</v>
      </c>
      <c r="F72" s="38" t="s">
        <v>99</v>
      </c>
      <c r="G72" s="38">
        <v>169</v>
      </c>
      <c r="H72" s="38" t="s">
        <v>99</v>
      </c>
      <c r="I72" s="38">
        <v>83</v>
      </c>
      <c r="J72" s="38" t="s">
        <v>99</v>
      </c>
      <c r="K72" s="38">
        <v>173</v>
      </c>
    </row>
    <row r="73" spans="1:11" x14ac:dyDescent="0.15">
      <c r="A73" s="37" t="s">
        <v>332</v>
      </c>
      <c r="B73" s="60">
        <v>-6.6000000000000003E-2</v>
      </c>
      <c r="C73" s="38">
        <v>132</v>
      </c>
      <c r="D73" s="60">
        <v>0.217</v>
      </c>
      <c r="E73" s="38">
        <v>149</v>
      </c>
      <c r="F73" s="60">
        <v>8.4000000000000005E-2</v>
      </c>
      <c r="G73" s="38">
        <v>172</v>
      </c>
      <c r="H73" s="60">
        <v>0.30199999999999999</v>
      </c>
      <c r="I73" s="38">
        <v>85</v>
      </c>
      <c r="J73" s="60">
        <v>0.246</v>
      </c>
      <c r="K73" s="38">
        <v>169</v>
      </c>
    </row>
    <row r="74" spans="1:11" x14ac:dyDescent="0.15">
      <c r="A74" s="37" t="s">
        <v>333</v>
      </c>
      <c r="B74" s="60">
        <v>-5.1999999999999998E-2</v>
      </c>
      <c r="C74" s="38">
        <v>131</v>
      </c>
      <c r="D74" s="60">
        <v>0.20300000000000001</v>
      </c>
      <c r="E74" s="38">
        <v>149</v>
      </c>
      <c r="F74" s="60">
        <v>8.1000000000000003E-2</v>
      </c>
      <c r="G74" s="38">
        <v>172</v>
      </c>
      <c r="H74" s="60">
        <v>0.30399999999999999</v>
      </c>
      <c r="I74" s="38">
        <v>85</v>
      </c>
      <c r="J74" s="60">
        <v>0.25600000000000001</v>
      </c>
      <c r="K74" s="38">
        <v>169</v>
      </c>
    </row>
    <row r="75" spans="1:11" x14ac:dyDescent="0.15">
      <c r="A75" s="39" t="s">
        <v>275</v>
      </c>
      <c r="B75" s="39"/>
      <c r="C75" s="39"/>
      <c r="D75" s="39"/>
      <c r="E75" s="39"/>
      <c r="F75" s="39"/>
      <c r="G75" s="39"/>
      <c r="H75" s="39"/>
      <c r="I75" s="39"/>
      <c r="J75" s="39"/>
      <c r="K75" s="39"/>
    </row>
    <row r="76" spans="1:11" x14ac:dyDescent="0.15">
      <c r="A76" s="37" t="s">
        <v>334</v>
      </c>
      <c r="B76" s="60">
        <v>0.109</v>
      </c>
      <c r="C76" s="38">
        <v>132</v>
      </c>
      <c r="D76" s="60">
        <v>8.6999999999999994E-2</v>
      </c>
      <c r="E76" s="38">
        <v>142</v>
      </c>
      <c r="F76" s="60">
        <v>0.11</v>
      </c>
      <c r="G76" s="38">
        <v>163</v>
      </c>
      <c r="H76" s="60">
        <v>0.16400000000000001</v>
      </c>
      <c r="I76" s="38">
        <v>105</v>
      </c>
      <c r="J76" s="60">
        <v>0.156</v>
      </c>
      <c r="K76" s="38">
        <v>185</v>
      </c>
    </row>
    <row r="77" spans="1:11" x14ac:dyDescent="0.15">
      <c r="A77" s="37" t="s">
        <v>335</v>
      </c>
      <c r="B77" s="60">
        <v>0.129</v>
      </c>
      <c r="C77" s="38">
        <v>133</v>
      </c>
      <c r="D77" s="60">
        <v>6.0999999999999999E-2</v>
      </c>
      <c r="E77" s="38">
        <v>143</v>
      </c>
      <c r="F77" s="60">
        <v>9.0999999999999998E-2</v>
      </c>
      <c r="G77" s="38">
        <v>164</v>
      </c>
      <c r="H77" s="60">
        <v>0.189</v>
      </c>
      <c r="I77" s="38">
        <v>106</v>
      </c>
      <c r="J77" s="60">
        <v>0.184</v>
      </c>
      <c r="K77" s="38">
        <v>186</v>
      </c>
    </row>
    <row r="78" spans="1:11" x14ac:dyDescent="0.15">
      <c r="A78" s="37" t="s">
        <v>336</v>
      </c>
      <c r="B78" s="60">
        <v>0.13200000000000001</v>
      </c>
      <c r="C78" s="38">
        <v>131</v>
      </c>
      <c r="D78" s="60">
        <v>4.9000000000000002E-2</v>
      </c>
      <c r="E78" s="38">
        <v>146</v>
      </c>
      <c r="F78" s="60">
        <v>6.2E-2</v>
      </c>
      <c r="G78" s="38">
        <v>159</v>
      </c>
      <c r="H78" s="60">
        <v>0.17699999999999999</v>
      </c>
      <c r="I78" s="38">
        <v>104</v>
      </c>
      <c r="J78" s="60">
        <v>0.17100000000000001</v>
      </c>
      <c r="K78" s="38">
        <v>185</v>
      </c>
    </row>
    <row r="79" spans="1:11" x14ac:dyDescent="0.15">
      <c r="A79" s="37" t="s">
        <v>337</v>
      </c>
      <c r="B79" s="60">
        <v>0.13100000000000001</v>
      </c>
      <c r="C79" s="38">
        <v>137</v>
      </c>
      <c r="D79" s="60">
        <v>3.7999999999999999E-2</v>
      </c>
      <c r="E79" s="38">
        <v>150</v>
      </c>
      <c r="F79" s="60">
        <v>6.2E-2</v>
      </c>
      <c r="G79" s="38">
        <v>169</v>
      </c>
      <c r="H79" s="60">
        <v>0.193</v>
      </c>
      <c r="I79" s="38">
        <v>108</v>
      </c>
      <c r="J79" s="60">
        <v>0.187</v>
      </c>
      <c r="K79" s="38">
        <v>194</v>
      </c>
    </row>
    <row r="80" spans="1:11" x14ac:dyDescent="0.15">
      <c r="A80" s="37" t="s">
        <v>338</v>
      </c>
      <c r="B80" s="60">
        <v>0.111</v>
      </c>
      <c r="C80" s="38">
        <v>137</v>
      </c>
      <c r="D80" s="60">
        <v>-1.9E-2</v>
      </c>
      <c r="E80" s="38">
        <v>150</v>
      </c>
      <c r="F80" s="60">
        <v>3.4000000000000002E-2</v>
      </c>
      <c r="G80" s="38">
        <v>169</v>
      </c>
      <c r="H80" s="60">
        <v>0.22800000000000001</v>
      </c>
      <c r="I80" s="38">
        <v>108</v>
      </c>
      <c r="J80" s="60">
        <v>0.222</v>
      </c>
      <c r="K80" s="38">
        <v>194</v>
      </c>
    </row>
    <row r="81" spans="1:11" x14ac:dyDescent="0.15">
      <c r="A81" s="37" t="s">
        <v>394</v>
      </c>
      <c r="B81" s="60">
        <v>0.189</v>
      </c>
      <c r="C81" s="38">
        <v>137</v>
      </c>
      <c r="D81" s="60">
        <v>-2.5999999999999999E-2</v>
      </c>
      <c r="E81" s="38">
        <v>151</v>
      </c>
      <c r="F81" s="60">
        <v>5.8999999999999997E-2</v>
      </c>
      <c r="G81" s="38">
        <v>169</v>
      </c>
      <c r="H81" s="60">
        <v>-7.3999999999999996E-2</v>
      </c>
      <c r="I81" s="38">
        <v>108</v>
      </c>
      <c r="J81" s="60">
        <v>-9.7000000000000003E-2</v>
      </c>
      <c r="K81" s="38">
        <v>194</v>
      </c>
    </row>
    <row r="82" spans="1:11" x14ac:dyDescent="0.15">
      <c r="A82" s="37" t="s">
        <v>339</v>
      </c>
      <c r="B82" s="60">
        <v>0.17799999999999999</v>
      </c>
      <c r="C82" s="38">
        <v>138</v>
      </c>
      <c r="D82" s="60">
        <v>-2.3E-2</v>
      </c>
      <c r="E82" s="38">
        <v>151</v>
      </c>
      <c r="F82" s="60">
        <v>8.2000000000000003E-2</v>
      </c>
      <c r="G82" s="38">
        <v>169</v>
      </c>
      <c r="H82" s="60">
        <v>-7.8E-2</v>
      </c>
      <c r="I82" s="38">
        <v>108</v>
      </c>
      <c r="J82" s="60">
        <v>-0.1</v>
      </c>
      <c r="K82" s="38">
        <v>194</v>
      </c>
    </row>
    <row r="83" spans="1:11" x14ac:dyDescent="0.15">
      <c r="A83" s="37" t="s">
        <v>340</v>
      </c>
      <c r="B83" s="60">
        <v>0.10100000000000001</v>
      </c>
      <c r="C83" s="38">
        <v>137</v>
      </c>
      <c r="D83" s="60">
        <v>-4.3999999999999997E-2</v>
      </c>
      <c r="E83" s="38">
        <v>151</v>
      </c>
      <c r="F83" s="60">
        <v>2.1999999999999999E-2</v>
      </c>
      <c r="G83" s="38">
        <v>169</v>
      </c>
      <c r="H83" s="60">
        <v>0.252</v>
      </c>
      <c r="I83" s="38">
        <v>108</v>
      </c>
      <c r="J83" s="60">
        <v>0.247</v>
      </c>
      <c r="K83" s="38">
        <v>194</v>
      </c>
    </row>
    <row r="84" spans="1:11" x14ac:dyDescent="0.15">
      <c r="A84" s="37" t="s">
        <v>341</v>
      </c>
      <c r="B84" s="60">
        <v>7.5999999999999998E-2</v>
      </c>
      <c r="C84" s="38">
        <v>120</v>
      </c>
      <c r="D84" s="60">
        <v>1.7000000000000001E-2</v>
      </c>
      <c r="E84" s="38">
        <v>129</v>
      </c>
      <c r="F84" s="60">
        <v>1.4E-2</v>
      </c>
      <c r="G84" s="38">
        <v>141</v>
      </c>
      <c r="H84" s="60">
        <v>0.20899999999999999</v>
      </c>
      <c r="I84" s="38">
        <v>84</v>
      </c>
      <c r="J84" s="60">
        <v>0.20399999999999999</v>
      </c>
      <c r="K84" s="38">
        <v>158</v>
      </c>
    </row>
    <row r="85" spans="1:11" x14ac:dyDescent="0.15">
      <c r="A85" s="37" t="s">
        <v>342</v>
      </c>
      <c r="B85" s="60">
        <v>0.13100000000000001</v>
      </c>
      <c r="C85" s="38">
        <v>56</v>
      </c>
      <c r="D85" s="60">
        <v>0.30599999999999999</v>
      </c>
      <c r="E85" s="38">
        <v>62</v>
      </c>
      <c r="F85" s="60">
        <v>8.7999999999999995E-2</v>
      </c>
      <c r="G85" s="38">
        <v>65</v>
      </c>
      <c r="H85" s="60">
        <v>0.192</v>
      </c>
      <c r="I85" s="38">
        <v>28</v>
      </c>
      <c r="J85" s="60">
        <v>0.20100000000000001</v>
      </c>
      <c r="K85" s="38">
        <v>66</v>
      </c>
    </row>
    <row r="86" spans="1:11" x14ac:dyDescent="0.15">
      <c r="A86" s="37" t="s">
        <v>343</v>
      </c>
      <c r="B86" s="60">
        <v>0.374</v>
      </c>
      <c r="C86" s="38">
        <v>126</v>
      </c>
      <c r="D86" s="60">
        <v>0.30299999999999999</v>
      </c>
      <c r="E86" s="38">
        <v>136</v>
      </c>
      <c r="F86" s="60">
        <v>1.9E-2</v>
      </c>
      <c r="G86" s="38">
        <v>145</v>
      </c>
      <c r="H86" s="60">
        <v>5.0000000000000001E-3</v>
      </c>
      <c r="I86" s="38">
        <v>88</v>
      </c>
      <c r="J86" s="60">
        <v>1E-3</v>
      </c>
      <c r="K86" s="38">
        <v>165</v>
      </c>
    </row>
    <row r="87" spans="1:11" x14ac:dyDescent="0.15">
      <c r="A87" s="37" t="s">
        <v>344</v>
      </c>
      <c r="B87" s="60">
        <v>0.39</v>
      </c>
      <c r="C87" s="38">
        <v>131</v>
      </c>
      <c r="D87" s="60">
        <v>0.40100000000000002</v>
      </c>
      <c r="E87" s="38">
        <v>144</v>
      </c>
      <c r="F87" s="60">
        <v>5.5E-2</v>
      </c>
      <c r="G87" s="38">
        <v>153</v>
      </c>
      <c r="H87" s="60">
        <v>1.6E-2</v>
      </c>
      <c r="I87" s="38">
        <v>90</v>
      </c>
      <c r="J87" s="60">
        <v>1.7999999999999999E-2</v>
      </c>
      <c r="K87" s="38">
        <v>174</v>
      </c>
    </row>
    <row r="88" spans="1:11" x14ac:dyDescent="0.15">
      <c r="A88" s="37" t="s">
        <v>345</v>
      </c>
      <c r="B88" s="60">
        <v>0.247</v>
      </c>
      <c r="C88" s="38">
        <v>131</v>
      </c>
      <c r="D88" s="60">
        <v>0.27300000000000002</v>
      </c>
      <c r="E88" s="38">
        <v>144</v>
      </c>
      <c r="F88" s="60">
        <v>8.6999999999999994E-2</v>
      </c>
      <c r="G88" s="38">
        <v>153</v>
      </c>
      <c r="H88" s="60">
        <v>7.0000000000000007E-2</v>
      </c>
      <c r="I88" s="38">
        <v>90</v>
      </c>
      <c r="J88" s="60">
        <v>7.1999999999999995E-2</v>
      </c>
      <c r="K88" s="38">
        <v>173</v>
      </c>
    </row>
    <row r="89" spans="1:11" x14ac:dyDescent="0.15">
      <c r="A89" s="37" t="s">
        <v>346</v>
      </c>
      <c r="B89" s="38" t="s">
        <v>99</v>
      </c>
      <c r="C89" s="38">
        <v>131</v>
      </c>
      <c r="D89" s="38" t="s">
        <v>99</v>
      </c>
      <c r="E89" s="38">
        <v>144</v>
      </c>
      <c r="F89" s="38" t="s">
        <v>99</v>
      </c>
      <c r="G89" s="38">
        <v>153</v>
      </c>
      <c r="H89" s="38" t="s">
        <v>99</v>
      </c>
      <c r="I89" s="38">
        <v>90</v>
      </c>
      <c r="J89" s="38" t="s">
        <v>99</v>
      </c>
      <c r="K89" s="38">
        <v>174</v>
      </c>
    </row>
    <row r="90" spans="1:11" x14ac:dyDescent="0.15">
      <c r="A90" s="37" t="s">
        <v>347</v>
      </c>
      <c r="B90" s="60">
        <v>0.17299999999999999</v>
      </c>
      <c r="C90" s="38">
        <v>124</v>
      </c>
      <c r="D90" s="60">
        <v>7.3999999999999996E-2</v>
      </c>
      <c r="E90" s="38">
        <v>136</v>
      </c>
      <c r="F90" s="60">
        <v>0.1</v>
      </c>
      <c r="G90" s="38">
        <v>146</v>
      </c>
      <c r="H90" s="60">
        <v>0.13100000000000001</v>
      </c>
      <c r="I90" s="38">
        <v>82</v>
      </c>
      <c r="J90" s="60">
        <v>0.14099999999999999</v>
      </c>
      <c r="K90" s="38">
        <v>164</v>
      </c>
    </row>
    <row r="91" spans="1:11" x14ac:dyDescent="0.15">
      <c r="A91" s="37" t="s">
        <v>484</v>
      </c>
      <c r="B91" s="38" t="s">
        <v>99</v>
      </c>
      <c r="C91" s="38">
        <v>117</v>
      </c>
      <c r="D91" s="38" t="s">
        <v>99</v>
      </c>
      <c r="E91" s="38">
        <v>126</v>
      </c>
      <c r="F91" s="38" t="s">
        <v>99</v>
      </c>
      <c r="G91" s="38">
        <v>135</v>
      </c>
      <c r="H91" s="38" t="s">
        <v>99</v>
      </c>
      <c r="I91" s="38">
        <v>80</v>
      </c>
      <c r="J91" s="38" t="s">
        <v>99</v>
      </c>
      <c r="K91" s="38">
        <v>152</v>
      </c>
    </row>
    <row r="92" spans="1:11" x14ac:dyDescent="0.15">
      <c r="A92" s="37" t="s">
        <v>348</v>
      </c>
      <c r="B92" s="60">
        <v>0.124</v>
      </c>
      <c r="C92" s="38">
        <v>118</v>
      </c>
      <c r="D92" s="60">
        <v>6.0999999999999999E-2</v>
      </c>
      <c r="E92" s="38">
        <v>132</v>
      </c>
      <c r="F92" s="60">
        <v>0.154</v>
      </c>
      <c r="G92" s="38">
        <v>137</v>
      </c>
      <c r="H92" s="60">
        <v>0.123</v>
      </c>
      <c r="I92" s="38">
        <v>78</v>
      </c>
      <c r="J92" s="60">
        <v>0.124</v>
      </c>
      <c r="K92" s="38">
        <v>147</v>
      </c>
    </row>
    <row r="93" spans="1:11" x14ac:dyDescent="0.15">
      <c r="A93" s="37" t="s">
        <v>349</v>
      </c>
      <c r="B93" s="60">
        <v>0.125</v>
      </c>
      <c r="C93" s="38">
        <v>118</v>
      </c>
      <c r="D93" s="60">
        <v>6.5000000000000002E-2</v>
      </c>
      <c r="E93" s="38">
        <v>131</v>
      </c>
      <c r="F93" s="60">
        <v>0.14599999999999999</v>
      </c>
      <c r="G93" s="38">
        <v>137</v>
      </c>
      <c r="H93" s="60">
        <v>0.124</v>
      </c>
      <c r="I93" s="38">
        <v>78</v>
      </c>
      <c r="J93" s="60">
        <v>0.128</v>
      </c>
      <c r="K93" s="38">
        <v>147</v>
      </c>
    </row>
    <row r="94" spans="1:11" x14ac:dyDescent="0.15">
      <c r="A94" s="39" t="s">
        <v>276</v>
      </c>
      <c r="B94" s="39"/>
      <c r="C94" s="39"/>
      <c r="D94" s="39"/>
      <c r="E94" s="39"/>
      <c r="F94" s="39"/>
      <c r="G94" s="39"/>
      <c r="H94" s="39"/>
      <c r="I94" s="39"/>
      <c r="J94" s="39"/>
      <c r="K94" s="39"/>
    </row>
    <row r="95" spans="1:11" x14ac:dyDescent="0.15">
      <c r="A95" s="37" t="s">
        <v>350</v>
      </c>
      <c r="B95" s="60">
        <v>0.106</v>
      </c>
      <c r="C95" s="38">
        <v>124</v>
      </c>
      <c r="D95" s="60">
        <v>8.7999999999999995E-2</v>
      </c>
      <c r="E95" s="38">
        <v>136</v>
      </c>
      <c r="F95" s="60">
        <v>0.11700000000000001</v>
      </c>
      <c r="G95" s="38">
        <v>135</v>
      </c>
      <c r="H95" s="60">
        <v>0.11899999999999999</v>
      </c>
      <c r="I95" s="38">
        <v>88</v>
      </c>
      <c r="J95" s="60">
        <v>0.113</v>
      </c>
      <c r="K95" s="38">
        <v>170</v>
      </c>
    </row>
    <row r="96" spans="1:11" x14ac:dyDescent="0.15">
      <c r="A96" s="37" t="s">
        <v>351</v>
      </c>
      <c r="B96" s="60">
        <v>0.129</v>
      </c>
      <c r="C96" s="38">
        <v>125</v>
      </c>
      <c r="D96" s="60">
        <v>8.2000000000000003E-2</v>
      </c>
      <c r="E96" s="38">
        <v>137</v>
      </c>
      <c r="F96" s="60">
        <v>0.10299999999999999</v>
      </c>
      <c r="G96" s="38">
        <v>136</v>
      </c>
      <c r="H96" s="60">
        <v>0.11799999999999999</v>
      </c>
      <c r="I96" s="38">
        <v>89</v>
      </c>
      <c r="J96" s="60">
        <v>0.113</v>
      </c>
      <c r="K96" s="38">
        <v>171</v>
      </c>
    </row>
    <row r="97" spans="1:11" x14ac:dyDescent="0.15">
      <c r="A97" s="37" t="s">
        <v>352</v>
      </c>
      <c r="B97" s="60">
        <v>0.13100000000000001</v>
      </c>
      <c r="C97" s="38">
        <v>122</v>
      </c>
      <c r="D97" s="60">
        <v>6.7000000000000004E-2</v>
      </c>
      <c r="E97" s="38">
        <v>137</v>
      </c>
      <c r="F97" s="60">
        <v>9.4E-2</v>
      </c>
      <c r="G97" s="38">
        <v>134</v>
      </c>
      <c r="H97" s="60">
        <v>0.10199999999999999</v>
      </c>
      <c r="I97" s="38">
        <v>86</v>
      </c>
      <c r="J97" s="60">
        <v>9.6000000000000002E-2</v>
      </c>
      <c r="K97" s="38">
        <v>167</v>
      </c>
    </row>
    <row r="98" spans="1:11" x14ac:dyDescent="0.15">
      <c r="A98" s="37" t="s">
        <v>353</v>
      </c>
      <c r="B98" s="60">
        <v>0.13100000000000001</v>
      </c>
      <c r="C98" s="38">
        <v>127</v>
      </c>
      <c r="D98" s="60">
        <v>5.8000000000000003E-2</v>
      </c>
      <c r="E98" s="38">
        <v>141</v>
      </c>
      <c r="F98" s="60">
        <v>9.5000000000000001E-2</v>
      </c>
      <c r="G98" s="38">
        <v>139</v>
      </c>
      <c r="H98" s="60">
        <v>0.105</v>
      </c>
      <c r="I98" s="38">
        <v>90</v>
      </c>
      <c r="J98" s="60">
        <v>9.8000000000000004E-2</v>
      </c>
      <c r="K98" s="38">
        <v>179</v>
      </c>
    </row>
    <row r="99" spans="1:11" x14ac:dyDescent="0.15">
      <c r="A99" s="37" t="s">
        <v>354</v>
      </c>
      <c r="B99" s="60">
        <v>0.11899999999999999</v>
      </c>
      <c r="C99" s="38">
        <v>127</v>
      </c>
      <c r="D99" s="60">
        <v>0.02</v>
      </c>
      <c r="E99" s="38">
        <v>141</v>
      </c>
      <c r="F99" s="60">
        <v>6.3E-2</v>
      </c>
      <c r="G99" s="38">
        <v>139</v>
      </c>
      <c r="H99" s="60">
        <v>9.9000000000000005E-2</v>
      </c>
      <c r="I99" s="38">
        <v>90</v>
      </c>
      <c r="J99" s="60">
        <v>9.4E-2</v>
      </c>
      <c r="K99" s="38">
        <v>179</v>
      </c>
    </row>
    <row r="100" spans="1:11" x14ac:dyDescent="0.15">
      <c r="A100" s="37" t="s">
        <v>395</v>
      </c>
      <c r="B100" s="60">
        <v>0.17399999999999999</v>
      </c>
      <c r="C100" s="38">
        <v>127</v>
      </c>
      <c r="D100" s="60">
        <v>7.0000000000000007E-2</v>
      </c>
      <c r="E100" s="38">
        <v>141</v>
      </c>
      <c r="F100" s="60">
        <v>7.4999999999999997E-2</v>
      </c>
      <c r="G100" s="38">
        <v>140</v>
      </c>
      <c r="H100" s="60">
        <v>-8.1000000000000003E-2</v>
      </c>
      <c r="I100" s="38">
        <v>90</v>
      </c>
      <c r="J100" s="60">
        <v>-8.7999999999999995E-2</v>
      </c>
      <c r="K100" s="38">
        <v>179</v>
      </c>
    </row>
    <row r="101" spans="1:11" x14ac:dyDescent="0.15">
      <c r="A101" s="37" t="s">
        <v>355</v>
      </c>
      <c r="B101" s="60">
        <v>0.17299999999999999</v>
      </c>
      <c r="C101" s="38">
        <v>127</v>
      </c>
      <c r="D101" s="60">
        <v>6.5000000000000002E-2</v>
      </c>
      <c r="E101" s="38">
        <v>142</v>
      </c>
      <c r="F101" s="60">
        <v>7.3999999999999996E-2</v>
      </c>
      <c r="G101" s="38">
        <v>140</v>
      </c>
      <c r="H101" s="60">
        <v>-8.3000000000000004E-2</v>
      </c>
      <c r="I101" s="38">
        <v>90</v>
      </c>
      <c r="J101" s="60">
        <v>-8.6999999999999994E-2</v>
      </c>
      <c r="K101" s="38">
        <v>179</v>
      </c>
    </row>
    <row r="102" spans="1:11" x14ac:dyDescent="0.15">
      <c r="A102" s="37" t="s">
        <v>356</v>
      </c>
      <c r="B102" s="60">
        <v>0.109</v>
      </c>
      <c r="C102" s="38">
        <v>127</v>
      </c>
      <c r="D102" s="60">
        <v>3.0000000000000001E-3</v>
      </c>
      <c r="E102" s="38">
        <v>141</v>
      </c>
      <c r="F102" s="60">
        <v>4.8000000000000001E-2</v>
      </c>
      <c r="G102" s="38">
        <v>140</v>
      </c>
      <c r="H102" s="60">
        <v>9.9000000000000005E-2</v>
      </c>
      <c r="I102" s="38">
        <v>90</v>
      </c>
      <c r="J102" s="60">
        <v>0.09</v>
      </c>
      <c r="K102" s="38">
        <v>179</v>
      </c>
    </row>
    <row r="103" spans="1:11" x14ac:dyDescent="0.15">
      <c r="A103" s="37" t="s">
        <v>357</v>
      </c>
      <c r="B103" s="60">
        <v>0.26</v>
      </c>
      <c r="C103" s="38">
        <v>110</v>
      </c>
      <c r="D103" s="60">
        <v>8.0000000000000002E-3</v>
      </c>
      <c r="E103" s="38">
        <v>124</v>
      </c>
      <c r="F103" s="60">
        <v>5.1999999999999998E-2</v>
      </c>
      <c r="G103" s="38">
        <v>119</v>
      </c>
      <c r="H103" s="60">
        <v>8.1000000000000003E-2</v>
      </c>
      <c r="I103" s="38">
        <v>69</v>
      </c>
      <c r="J103" s="60">
        <v>0.09</v>
      </c>
      <c r="K103" s="38">
        <v>147</v>
      </c>
    </row>
    <row r="104" spans="1:11" x14ac:dyDescent="0.15">
      <c r="A104" s="37" t="s">
        <v>358</v>
      </c>
      <c r="B104" s="60">
        <v>0.15</v>
      </c>
      <c r="C104" s="38">
        <v>52</v>
      </c>
      <c r="D104" s="60">
        <v>0.22</v>
      </c>
      <c r="E104" s="38">
        <v>57</v>
      </c>
      <c r="F104" s="60">
        <v>0.13400000000000001</v>
      </c>
      <c r="G104" s="38">
        <v>57</v>
      </c>
      <c r="H104" s="60">
        <v>0.104</v>
      </c>
      <c r="I104" s="38">
        <v>25</v>
      </c>
      <c r="J104" s="60">
        <v>0.125</v>
      </c>
      <c r="K104" s="38">
        <v>63</v>
      </c>
    </row>
    <row r="105" spans="1:11" x14ac:dyDescent="0.15">
      <c r="A105" s="37" t="s">
        <v>359</v>
      </c>
      <c r="B105" s="60">
        <v>0.26600000000000001</v>
      </c>
      <c r="C105" s="38">
        <v>117</v>
      </c>
      <c r="D105" s="60">
        <v>0.23699999999999999</v>
      </c>
      <c r="E105" s="38">
        <v>129</v>
      </c>
      <c r="F105" s="60">
        <v>0.183</v>
      </c>
      <c r="G105" s="38">
        <v>126</v>
      </c>
      <c r="H105" s="60">
        <v>7.0000000000000001E-3</v>
      </c>
      <c r="I105" s="38">
        <v>72</v>
      </c>
      <c r="J105" s="60">
        <v>7.0000000000000001E-3</v>
      </c>
      <c r="K105" s="38">
        <v>152</v>
      </c>
    </row>
    <row r="106" spans="1:11" x14ac:dyDescent="0.15">
      <c r="A106" s="37" t="s">
        <v>360</v>
      </c>
      <c r="B106" s="60">
        <v>0.28899999999999998</v>
      </c>
      <c r="C106" s="38">
        <v>120</v>
      </c>
      <c r="D106" s="60">
        <v>0.27700000000000002</v>
      </c>
      <c r="E106" s="38">
        <v>135</v>
      </c>
      <c r="F106" s="60">
        <v>0.247</v>
      </c>
      <c r="G106" s="38">
        <v>133</v>
      </c>
      <c r="H106" s="60">
        <v>1.0999999999999999E-2</v>
      </c>
      <c r="I106" s="38">
        <v>74</v>
      </c>
      <c r="J106" s="60">
        <v>1.7999999999999999E-2</v>
      </c>
      <c r="K106" s="38">
        <v>163</v>
      </c>
    </row>
    <row r="107" spans="1:11" x14ac:dyDescent="0.15">
      <c r="A107" s="37" t="s">
        <v>361</v>
      </c>
      <c r="B107" s="60">
        <v>0.222</v>
      </c>
      <c r="C107" s="38">
        <v>120</v>
      </c>
      <c r="D107" s="60">
        <v>0.193</v>
      </c>
      <c r="E107" s="38">
        <v>135</v>
      </c>
      <c r="F107" s="60">
        <v>0.19800000000000001</v>
      </c>
      <c r="G107" s="38">
        <v>133</v>
      </c>
      <c r="H107" s="60">
        <v>6.3E-2</v>
      </c>
      <c r="I107" s="38">
        <v>74</v>
      </c>
      <c r="J107" s="60">
        <v>6.7000000000000004E-2</v>
      </c>
      <c r="K107" s="38">
        <v>161</v>
      </c>
    </row>
    <row r="108" spans="1:11" x14ac:dyDescent="0.15">
      <c r="A108" s="37" t="s">
        <v>362</v>
      </c>
      <c r="B108" s="38" t="s">
        <v>99</v>
      </c>
      <c r="C108" s="38">
        <v>120</v>
      </c>
      <c r="D108" s="38" t="s">
        <v>99</v>
      </c>
      <c r="E108" s="38">
        <v>135</v>
      </c>
      <c r="F108" s="38" t="s">
        <v>99</v>
      </c>
      <c r="G108" s="38">
        <v>133</v>
      </c>
      <c r="H108" s="38" t="s">
        <v>99</v>
      </c>
      <c r="I108" s="38">
        <v>74</v>
      </c>
      <c r="J108" s="38" t="s">
        <v>99</v>
      </c>
      <c r="K108" s="38">
        <v>163</v>
      </c>
    </row>
    <row r="109" spans="1:11" x14ac:dyDescent="0.15">
      <c r="A109" s="37" t="s">
        <v>363</v>
      </c>
      <c r="B109" s="60">
        <v>0.16300000000000001</v>
      </c>
      <c r="C109" s="38">
        <v>113</v>
      </c>
      <c r="D109" s="60">
        <v>0.123</v>
      </c>
      <c r="E109" s="38">
        <v>127</v>
      </c>
      <c r="F109" s="60">
        <v>0.109</v>
      </c>
      <c r="G109" s="38">
        <v>126</v>
      </c>
      <c r="H109" s="60">
        <v>8.5000000000000006E-2</v>
      </c>
      <c r="I109" s="38">
        <v>66</v>
      </c>
      <c r="J109" s="60">
        <v>9.5000000000000001E-2</v>
      </c>
      <c r="K109" s="38">
        <v>152</v>
      </c>
    </row>
    <row r="110" spans="1:11" x14ac:dyDescent="0.15">
      <c r="A110" s="37" t="s">
        <v>485</v>
      </c>
      <c r="B110" s="38" t="s">
        <v>99</v>
      </c>
      <c r="C110" s="38">
        <v>106</v>
      </c>
      <c r="D110" s="38" t="s">
        <v>99</v>
      </c>
      <c r="E110" s="38">
        <v>120</v>
      </c>
      <c r="F110" s="38" t="s">
        <v>99</v>
      </c>
      <c r="G110" s="38">
        <v>119</v>
      </c>
      <c r="H110" s="38" t="s">
        <v>99</v>
      </c>
      <c r="I110" s="38">
        <v>64</v>
      </c>
      <c r="J110" s="38" t="s">
        <v>99</v>
      </c>
      <c r="K110" s="38">
        <v>139</v>
      </c>
    </row>
    <row r="111" spans="1:11" x14ac:dyDescent="0.15">
      <c r="A111" s="37" t="s">
        <v>364</v>
      </c>
      <c r="B111" s="60">
        <v>7.2999999999999995E-2</v>
      </c>
      <c r="C111" s="38">
        <v>107</v>
      </c>
      <c r="D111" s="60">
        <v>0.16700000000000001</v>
      </c>
      <c r="E111" s="38">
        <v>120</v>
      </c>
      <c r="F111" s="60">
        <v>6.9000000000000006E-2</v>
      </c>
      <c r="G111" s="38">
        <v>122</v>
      </c>
      <c r="H111" s="60">
        <v>0.14699999999999999</v>
      </c>
      <c r="I111" s="38">
        <v>64</v>
      </c>
      <c r="J111" s="60">
        <v>0.16500000000000001</v>
      </c>
      <c r="K111" s="38">
        <v>130</v>
      </c>
    </row>
    <row r="112" spans="1:11" x14ac:dyDescent="0.15">
      <c r="A112" s="37" t="s">
        <v>365</v>
      </c>
      <c r="B112" s="60">
        <v>7.5999999999999998E-2</v>
      </c>
      <c r="C112" s="38">
        <v>107</v>
      </c>
      <c r="D112" s="60">
        <v>0.16300000000000001</v>
      </c>
      <c r="E112" s="38">
        <v>120</v>
      </c>
      <c r="F112" s="60">
        <v>7.0000000000000007E-2</v>
      </c>
      <c r="G112" s="38">
        <v>121</v>
      </c>
      <c r="H112" s="60">
        <v>0.14599999999999999</v>
      </c>
      <c r="I112" s="38">
        <v>64</v>
      </c>
      <c r="J112" s="60">
        <v>0.16400000000000001</v>
      </c>
      <c r="K112" s="38">
        <v>130</v>
      </c>
    </row>
    <row r="114" spans="1:10" x14ac:dyDescent="0.15">
      <c r="A114" s="37" t="s">
        <v>396</v>
      </c>
      <c r="B114" s="37"/>
      <c r="C114" s="37"/>
      <c r="D114" s="37"/>
      <c r="E114" s="37"/>
      <c r="F114" s="37"/>
      <c r="G114" s="37"/>
      <c r="H114" s="37"/>
      <c r="I114" s="37"/>
      <c r="J114" s="3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13</vt:i4>
      </vt:variant>
      <vt:variant>
        <vt:lpstr>Plages nommées</vt:lpstr>
      </vt:variant>
      <vt:variant>
        <vt:i4>5</vt:i4>
      </vt:variant>
    </vt:vector>
  </HeadingPairs>
  <TitlesOfParts>
    <vt:vector size="18" baseType="lpstr">
      <vt:lpstr>Analyse</vt:lpstr>
      <vt:lpstr>DCF</vt:lpstr>
      <vt:lpstr>Overview</vt:lpstr>
      <vt:lpstr>DATA - Key Stats</vt:lpstr>
      <vt:lpstr>DATA - Income Statement</vt:lpstr>
      <vt:lpstr> DATA - Balance Sheet</vt:lpstr>
      <vt:lpstr>DATA - Cash Flow</vt:lpstr>
      <vt:lpstr>DATA - Ratios</vt:lpstr>
      <vt:lpstr>DATA - Industry</vt:lpstr>
      <vt:lpstr>DATA - Estimate</vt:lpstr>
      <vt:lpstr>DATA - Credit</vt:lpstr>
      <vt:lpstr>DATA - Merge</vt:lpstr>
      <vt:lpstr>DATA - ANR</vt:lpstr>
      <vt:lpstr>' DATA - Balance Sheet'!Impression_des_titres</vt:lpstr>
      <vt:lpstr>'DATA - Cash Flow'!Impression_des_titres</vt:lpstr>
      <vt:lpstr>'DATA - Income Statement'!Impression_des_titres</vt:lpstr>
      <vt:lpstr>'DATA - Key Stats'!Impression_des_titres</vt:lpstr>
      <vt:lpstr>'DATA - Ratios'!Impression_des_titres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2023-09-21T23:35:45Z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8.6.2.281 (http://officewriter.softartisans.com)</vt:lpwstr>
  </property>
</Properties>
</file>