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bfl.local\dfsroot\US_Users\duque\My Documents\00-MyDocuments\00-UAT\PROD-Release\17-PROD-Nov-28-2022\12879-Documents\"/>
    </mc:Choice>
  </mc:AlternateContent>
  <xr:revisionPtr revIDLastSave="0" documentId="13_ncr:1_{749092B9-88D5-4AAB-995B-223C2592219A}" xr6:coauthVersionLast="47" xr6:coauthVersionMax="47" xr10:uidLastSave="{00000000-0000-0000-0000-000000000000}"/>
  <bookViews>
    <workbookView xWindow="13740" yWindow="1605" windowWidth="13590" windowHeight="13410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Main!$A$1:$G$644</definedName>
    <definedName name="_xlnm._FilterDatabase" localSheetId="1" hidden="1">Reference!$A$528:$C$633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Main!$D$621</definedName>
    <definedName name="BBR.BBR.CardReissuanceCosts.Input">Main!$C$331</definedName>
    <definedName name="BBR.BBR.CardReissuanceCosts.Output">Main!$C$332</definedName>
    <definedName name="BBR.BBR.CommissionAdjustment.Output">Main!$C$546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DeviationFactorSurplusOnly.Edit">Main!$C$439</definedName>
    <definedName name="BBR.BBR.DeviationGreaterThanZero.Edit">Main!$C$440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Main!$C$464</definedName>
    <definedName name="BBR.BBR.FinalModelPremium.Output">Main!$C$545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Main!$D$620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Main!$C$458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Main!$C$449</definedName>
    <definedName name="BBR.BBR.NebraskaDeviationFactor.Output">Main!$C$450</definedName>
    <definedName name="BBR.BBR.NonServicesPremium.Output">Main!$D$628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Main!$D$627</definedName>
    <definedName name="BBR.BBR.State.Input">Main!$C$26</definedName>
    <definedName name="BBR.BBR.SurplusLines.Input">Main!$C$28</definedName>
    <definedName name="BBR.BBR.SurplusLinesDeviationFactor.Comment">Main!$C$436</definedName>
    <definedName name="BBR.BBR.SurplusLinesDeviationFactor.Input">Main!$C$435</definedName>
    <definedName name="BBR.BBR.SurplusLinesDeviationFactor.Output">Main!$C$438</definedName>
    <definedName name="BBR.BBR.SurplusLinesDeviationFactorModifier.In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Main!$D$609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44236.5773148148</definedName>
    <definedName name="IQ_QTD" hidden="1">750000</definedName>
    <definedName name="IQ_TODAY" hidden="1">0</definedName>
    <definedName name="IQ_YTDMONTH" hidden="1">130000</definedName>
    <definedName name="lstAdditionalEndorsements">Reference!$B$637:$B$638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Retention">Reference!$B$674:$B$677</definedName>
    <definedName name="lstTelecommunicationsFraud">Reference!$B$516:$B$517</definedName>
    <definedName name="lstYesNo">Reference!$B$237:$B$238</definedName>
    <definedName name="RoundingLimit.Lower.Output">Main!$C$632</definedName>
    <definedName name="RoundingLimit.Upper.Output">Main!$C$633</definedName>
    <definedName name="tblAdditionalEndorsements">Reference!$B$637:$C$638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Reference!$B$642:$D$645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Reference!$B$529:$E$633</definedName>
    <definedName name="tblPrivacyBreachResponseServices">Reference!$B$487:$D$491</definedName>
    <definedName name="tblProfessionalServicesLiability">Reference!$B$504:$E$505</definedName>
    <definedName name="tblSLDFBase">Reference!$B$649:$E$672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F81" i="1"/>
  <c r="F80" i="1"/>
  <c r="F79" i="1"/>
  <c r="F78" i="1"/>
  <c r="F77" i="1"/>
  <c r="F76" i="1"/>
  <c r="F75" i="1"/>
  <c r="F74" i="1"/>
  <c r="F73" i="1"/>
  <c r="C26" i="1"/>
  <c r="F72" i="1" l="1"/>
  <c r="F71" i="1"/>
  <c r="F70" i="1"/>
  <c r="F69" i="1"/>
  <c r="F57" i="1" l="1"/>
  <c r="C433" i="1"/>
  <c r="C247" i="1"/>
  <c r="C234" i="1"/>
  <c r="C222" i="1"/>
  <c r="C210" i="1"/>
  <c r="C196" i="1"/>
  <c r="C144" i="1"/>
  <c r="C118" i="1"/>
  <c r="C83" i="1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49" i="2"/>
  <c r="C382" i="1" l="1"/>
  <c r="C381" i="1"/>
  <c r="C380" i="1"/>
  <c r="C379" i="1"/>
  <c r="C378" i="1"/>
  <c r="C377" i="1"/>
  <c r="C376" i="1"/>
  <c r="C375" i="1"/>
  <c r="C374" i="1"/>
  <c r="C373" i="1"/>
  <c r="C344" i="1"/>
  <c r="C517" i="1" s="1"/>
  <c r="C338" i="1"/>
  <c r="C516" i="1" s="1"/>
  <c r="C332" i="1"/>
  <c r="C515" i="1" s="1"/>
  <c r="C326" i="1"/>
  <c r="C514" i="1" s="1"/>
  <c r="C320" i="1"/>
  <c r="D581" i="1" s="1"/>
  <c r="C314" i="1"/>
  <c r="D580" i="1" s="1"/>
  <c r="C308" i="1"/>
  <c r="D579" i="1" s="1"/>
  <c r="C302" i="1"/>
  <c r="D578" i="1" s="1"/>
  <c r="C296" i="1"/>
  <c r="C509" i="1" s="1"/>
  <c r="C291" i="1"/>
  <c r="C290" i="1"/>
  <c r="C497" i="1" s="1"/>
  <c r="C286" i="1"/>
  <c r="C508" i="1" s="1"/>
  <c r="C282" i="1"/>
  <c r="C507" i="1" s="1"/>
  <c r="C278" i="1"/>
  <c r="C506" i="1" s="1"/>
  <c r="C274" i="1"/>
  <c r="D573" i="1" s="1"/>
  <c r="C267" i="1"/>
  <c r="C262" i="1"/>
  <c r="C266" i="1" s="1"/>
  <c r="D572" i="1" s="1"/>
  <c r="C223" i="1"/>
  <c r="C225" i="1" s="1"/>
  <c r="C227" i="1" s="1"/>
  <c r="C211" i="1"/>
  <c r="C213" i="1" s="1"/>
  <c r="C215" i="1" s="1"/>
  <c r="C202" i="1"/>
  <c r="C197" i="1" s="1"/>
  <c r="C178" i="1"/>
  <c r="C177" i="1"/>
  <c r="C176" i="1"/>
  <c r="C175" i="1"/>
  <c r="C174" i="1"/>
  <c r="C173" i="1"/>
  <c r="C172" i="1"/>
  <c r="C171" i="1"/>
  <c r="C170" i="1"/>
  <c r="C90" i="1"/>
  <c r="C95" i="1" s="1"/>
  <c r="C89" i="1"/>
  <c r="C98" i="1" s="1"/>
  <c r="C58" i="1"/>
  <c r="F58" i="1" s="1"/>
  <c r="C45" i="1"/>
  <c r="C27" i="1"/>
  <c r="C36" i="1" s="1"/>
  <c r="C85" i="1" s="1"/>
  <c r="C87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C619" i="1"/>
  <c r="C614" i="1"/>
  <c r="C534" i="1"/>
  <c r="C466" i="1"/>
  <c r="C467" i="1" s="1"/>
  <c r="C450" i="1"/>
  <c r="C452" i="1" s="1"/>
  <c r="C398" i="1"/>
  <c r="C39" i="1"/>
  <c r="C38" i="1"/>
  <c r="C29" i="1"/>
  <c r="D565" i="1" l="1"/>
  <c r="C75" i="1"/>
  <c r="C99" i="1"/>
  <c r="C91" i="1"/>
  <c r="C92" i="1" s="1"/>
  <c r="C212" i="1"/>
  <c r="C94" i="1"/>
  <c r="C530" i="1"/>
  <c r="C392" i="1"/>
  <c r="C384" i="1"/>
  <c r="C391" i="1"/>
  <c r="C390" i="1"/>
  <c r="C409" i="1"/>
  <c r="C389" i="1"/>
  <c r="C405" i="1"/>
  <c r="C388" i="1"/>
  <c r="C387" i="1"/>
  <c r="C33" i="1"/>
  <c r="C386" i="1"/>
  <c r="C32" i="1"/>
  <c r="C395" i="1"/>
  <c r="C393" i="1"/>
  <c r="C385" i="1"/>
  <c r="C199" i="1"/>
  <c r="C201" i="1" s="1"/>
  <c r="C198" i="1"/>
  <c r="C200" i="1" s="1"/>
  <c r="C46" i="1"/>
  <c r="C40" i="1"/>
  <c r="C41" i="1"/>
  <c r="C510" i="1"/>
  <c r="D574" i="1"/>
  <c r="D582" i="1"/>
  <c r="C224" i="1"/>
  <c r="C511" i="1"/>
  <c r="D575" i="1"/>
  <c r="D583" i="1"/>
  <c r="C68" i="1"/>
  <c r="C504" i="1"/>
  <c r="C512" i="1"/>
  <c r="D576" i="1"/>
  <c r="D584" i="1"/>
  <c r="C505" i="1"/>
  <c r="C513" i="1"/>
  <c r="D577" i="1"/>
  <c r="D585" i="1"/>
  <c r="C451" i="1"/>
  <c r="C203" i="1" l="1"/>
  <c r="C204" i="1" s="1"/>
  <c r="C499" i="1" s="1"/>
  <c r="C100" i="1"/>
  <c r="C214" i="1"/>
  <c r="C216" i="1" s="1"/>
  <c r="C96" i="1"/>
  <c r="C264" i="1"/>
  <c r="C263" i="1"/>
  <c r="C419" i="1"/>
  <c r="C47" i="1"/>
  <c r="C226" i="1"/>
  <c r="C228" i="1" s="1"/>
  <c r="C420" i="1"/>
  <c r="C48" i="1"/>
  <c r="C397" i="1"/>
  <c r="C396" i="1"/>
  <c r="D567" i="1" l="1"/>
  <c r="C500" i="1"/>
  <c r="D568" i="1"/>
  <c r="C268" i="1"/>
  <c r="C422" i="1"/>
  <c r="C424" i="1" s="1"/>
  <c r="C426" i="1" s="1"/>
  <c r="C427" i="1"/>
  <c r="C399" i="1"/>
  <c r="C400" i="1" s="1"/>
  <c r="C501" i="1"/>
  <c r="D569" i="1"/>
  <c r="D593" i="1" l="1"/>
  <c r="C525" i="1"/>
  <c r="C64" i="1"/>
  <c r="C66" i="1" s="1"/>
  <c r="C431" i="1"/>
  <c r="C432" i="1" s="1"/>
  <c r="C434" i="1" s="1"/>
  <c r="C438" i="1" s="1"/>
  <c r="C82" i="1"/>
  <c r="C102" i="1" s="1"/>
  <c r="C103" i="1" s="1"/>
  <c r="C104" i="1" s="1"/>
  <c r="C134" i="1"/>
  <c r="C135" i="1" s="1"/>
  <c r="C60" i="1"/>
  <c r="C236" i="1" s="1"/>
  <c r="C235" i="1" s="1"/>
  <c r="C108" i="1"/>
  <c r="C109" i="1" s="1"/>
  <c r="C76" i="1"/>
  <c r="C632" i="1"/>
  <c r="C633" i="1"/>
  <c r="C65" i="1" l="1"/>
  <c r="C67" i="1" s="1"/>
  <c r="C69" i="1"/>
  <c r="C136" i="1"/>
  <c r="C137" i="1"/>
  <c r="C138" i="1"/>
  <c r="C111" i="1"/>
  <c r="C110" i="1"/>
  <c r="C112" i="1"/>
  <c r="C237" i="1"/>
  <c r="C238" i="1"/>
  <c r="C240" i="1" s="1"/>
  <c r="C536" i="1"/>
  <c r="C440" i="1"/>
  <c r="F83" i="1"/>
  <c r="C439" i="1"/>
  <c r="D603" i="1"/>
  <c r="C485" i="1"/>
  <c r="D553" i="1"/>
  <c r="C535" i="1"/>
  <c r="C249" i="1"/>
  <c r="C248" i="1" s="1"/>
  <c r="C70" i="1"/>
  <c r="C181" i="1"/>
  <c r="C179" i="1"/>
  <c r="C182" i="1" s="1"/>
  <c r="C180" i="1"/>
  <c r="C139" i="1" l="1"/>
  <c r="C143" i="1" s="1"/>
  <c r="C145" i="1" s="1"/>
  <c r="C71" i="1"/>
  <c r="C73" i="1" s="1"/>
  <c r="C484" i="1" s="1"/>
  <c r="C113" i="1"/>
  <c r="C117" i="1" s="1"/>
  <c r="C119" i="1" s="1"/>
  <c r="C183" i="1"/>
  <c r="C251" i="1"/>
  <c r="C253" i="1" s="1"/>
  <c r="C250" i="1"/>
  <c r="C239" i="1"/>
  <c r="C241" i="1" s="1"/>
  <c r="D552" i="1" l="1"/>
  <c r="D563" i="1" s="1"/>
  <c r="C151" i="1"/>
  <c r="C150" i="1"/>
  <c r="C155" i="1"/>
  <c r="C148" i="1"/>
  <c r="C149" i="1"/>
  <c r="C140" i="1"/>
  <c r="C129" i="1"/>
  <c r="C122" i="1"/>
  <c r="C124" i="1"/>
  <c r="C125" i="1"/>
  <c r="C123" i="1"/>
  <c r="C114" i="1"/>
  <c r="D570" i="1"/>
  <c r="C502" i="1"/>
  <c r="C495" i="1"/>
  <c r="C252" i="1"/>
  <c r="C254" i="1" s="1"/>
  <c r="C130" i="1" l="1"/>
  <c r="C156" i="1"/>
  <c r="C126" i="1"/>
  <c r="C127" i="1" s="1"/>
  <c r="C486" i="1" s="1"/>
  <c r="C152" i="1"/>
  <c r="C153" i="1" s="1"/>
  <c r="D555" i="1" s="1"/>
  <c r="D571" i="1"/>
  <c r="C503" i="1"/>
  <c r="D554" i="1" l="1"/>
  <c r="D564" i="1" s="1"/>
  <c r="D587" i="1" s="1"/>
  <c r="C487" i="1"/>
  <c r="C488" i="1" s="1"/>
  <c r="C498" i="1" s="1"/>
  <c r="C518" i="1" s="1"/>
  <c r="C496" i="1"/>
  <c r="C519" i="1" s="1"/>
  <c r="D556" i="1" l="1"/>
  <c r="D566" i="1" s="1"/>
  <c r="D586" i="1" s="1"/>
  <c r="D590" i="1" s="1"/>
  <c r="D559" i="1"/>
  <c r="C491" i="1"/>
  <c r="C186" i="1" s="1"/>
  <c r="C188" i="1" s="1"/>
  <c r="C189" i="1" s="1"/>
  <c r="C522" i="1"/>
  <c r="C492" i="1" l="1"/>
  <c r="C493" i="1" s="1"/>
  <c r="C521" i="1" s="1"/>
  <c r="D560" i="1"/>
  <c r="D561" i="1" s="1"/>
  <c r="D589" i="1" s="1"/>
  <c r="D595" i="1" l="1"/>
  <c r="D597" i="1" s="1"/>
  <c r="D599" i="1" s="1"/>
  <c r="D601" i="1" s="1"/>
  <c r="D605" i="1" s="1"/>
  <c r="D607" i="1" s="1"/>
  <c r="D609" i="1" s="1"/>
  <c r="D616" i="1" s="1"/>
  <c r="D618" i="1" s="1"/>
  <c r="D620" i="1" s="1"/>
  <c r="C404" i="1"/>
  <c r="C406" i="1" l="1"/>
  <c r="C407" i="1" s="1"/>
  <c r="C408" i="1" s="1"/>
  <c r="C410" i="1" s="1"/>
  <c r="C411" i="1" s="1"/>
  <c r="C523" i="1" s="1"/>
  <c r="D473" i="1" l="1"/>
  <c r="D478" i="1" s="1"/>
  <c r="C526" i="1"/>
  <c r="C528" i="1" s="1"/>
  <c r="C531" i="1" s="1"/>
  <c r="C533" i="1" s="1"/>
  <c r="C537" i="1" s="1"/>
  <c r="C539" i="1" s="1"/>
  <c r="C540" i="1" s="1"/>
  <c r="C545" i="1" s="1"/>
  <c r="D472" i="1"/>
  <c r="D477" i="1" s="1"/>
  <c r="E559" i="1"/>
  <c r="E560" i="1"/>
  <c r="E558" i="1"/>
  <c r="D474" i="1"/>
  <c r="D479" i="1" s="1"/>
  <c r="F84" i="1" l="1"/>
  <c r="D626" i="1"/>
  <c r="D621" i="1"/>
  <c r="D627" i="1" l="1"/>
  <c r="D6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Adams</author>
    <author>lawsb</author>
  </authors>
  <commentList>
    <comment ref="B432" authorId="0" shapeId="0" xr:uid="{E01B4B21-3DFB-4633-A522-74339A492A92}">
      <text>
        <r>
          <rPr>
            <b/>
            <sz val="9"/>
            <color indexed="81"/>
            <rFont val="Tahoma"/>
            <charset val="1"/>
          </rPr>
          <t>Thomas Adams:</t>
        </r>
        <r>
          <rPr>
            <sz val="9"/>
            <color indexed="81"/>
            <rFont val="Tahoma"/>
            <charset val="1"/>
          </rPr>
          <t xml:space="preserve">
BD-12879 We copied the previous surplus rater and updated to check for the industry class base SLDF, where the revenue/retention/hg rules determine the threshold between 2.5 and the new base levels. If the new base level is higher than 2.5 the base level should be used.</t>
        </r>
      </text>
    </comment>
    <comment ref="D608" authorId="1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14" authorId="1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<sst xmlns="http://schemas.openxmlformats.org/spreadsheetml/2006/main" count="1578" uniqueCount="671">
  <si>
    <t>prompt</t>
  </si>
  <si>
    <t>input</t>
  </si>
  <si>
    <t>label</t>
  </si>
  <si>
    <t>output</t>
  </si>
  <si>
    <t>edit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</si>
  <si>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</si>
  <si>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</si>
  <si>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</si>
  <si>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</si>
  <si>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</si>
  <si>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</si>
  <si>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</si>
  <si>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</si>
  <si>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</si>
  <si>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</si>
  <si>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</si>
  <si>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</si>
  <si>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</si>
  <si>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</si>
  <si>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</si>
  <si>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</si>
  <si>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</si>
  <si>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Yes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</si>
  <si>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</si>
  <si>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</si>
  <si>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</si>
  <si>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</si>
  <si>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</si>
  <si>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</si>
  <si>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No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</si>
  <si>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</si>
  <si>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</si>
  <si>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</si>
  <si>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</si>
  <si>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</si>
  <si>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</si>
  <si>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</si>
  <si>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</si>
  <si>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</si>
  <si>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</si>
  <si>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</si>
  <si>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</si>
  <si>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</si>
  <si>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</si>
  <si>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</si>
  <si>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</si>
  <si>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</si>
  <si>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</si>
  <si>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</si>
  <si>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</si>
  <si>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</si>
  <si>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</si>
  <si>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</si>
  <si>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</si>
  <si>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</si>
  <si>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</si>
  <si>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</si>
  <si>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</si>
  <si>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</si>
  <si>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</si>
  <si>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</si>
  <si>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</si>
  <si>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</si>
  <si>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</si>
  <si>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</si>
  <si>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</si>
  <si>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</si>
  <si>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</si>
  <si>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</si>
  <si>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</si>
  <si>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</si>
  <si>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</si>
  <si>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</si>
  <si>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</si>
  <si>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</si>
  <si>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</si>
  <si>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</si>
  <si>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</si>
  <si>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</si>
  <si>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</si>
  <si>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</si>
  <si>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</si>
  <si>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</si>
  <si>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</si>
  <si>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</si>
  <si>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</si>
  <si>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</si>
  <si>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</si>
  <si>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</si>
  <si>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</si>
  <si>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</si>
  <si>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</si>
  <si>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</si>
  <si>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</si>
  <si>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</si>
  <si>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</si>
  <si>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</si>
  <si>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</si>
  <si>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</si>
  <si>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</si>
  <si>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</si>
  <si>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</si>
  <si>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</si>
  <si>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</si>
  <si>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</si>
  <si>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</si>
  <si>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</si>
  <si>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</si>
  <si>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</si>
  <si>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</si>
  <si>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</si>
  <si>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</si>
  <si>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</si>
  <si>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</si>
  <si>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</si>
  <si>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</si>
  <si>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</si>
  <si>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</si>
  <si>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</si>
  <si>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</si>
  <si>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</si>
  <si>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</si>
  <si>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</si>
  <si>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</si>
  <si>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</si>
  <si>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</si>
  <si>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</si>
  <si>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</si>
  <si>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</si>
  <si>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</si>
  <si>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</si>
  <si>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</si>
  <si>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</si>
  <si>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</si>
  <si>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</si>
  <si>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</si>
  <si>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</si>
  <si>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</si>
  <si>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</si>
  <si>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</si>
  <si>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</si>
  <si>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</si>
  <si>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</si>
  <si>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</si>
  <si>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</si>
  <si>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</si>
  <si>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</si>
  <si>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</si>
  <si>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</si>
  <si>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</si>
  <si>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</si>
  <si>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</si>
  <si>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</si>
  <si>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</si>
  <si>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</si>
  <si>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</si>
  <si>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</si>
  <si>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</si>
  <si>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</si>
  <si>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</si>
  <si>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</si>
  <si>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</si>
  <si>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</si>
  <si>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</si>
  <si>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</si>
  <si>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</si>
  <si>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</si>
  <si>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</si>
  <si>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</si>
  <si>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</si>
  <si>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</si>
  <si>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</si>
  <si>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</si>
  <si>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</si>
  <si>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</si>
  <si>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</si>
  <si>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</si>
  <si>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</si>
  <si>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</si>
  <si>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</si>
  <si>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</si>
  <si>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</si>
  <si>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</si>
  <si>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</si>
  <si>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</si>
  <si>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</si>
  <si>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</si>
  <si>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</si>
  <si>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</si>
  <si>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</si>
  <si>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</si>
  <si>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</si>
  <si>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</si>
  <si>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</si>
  <si>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</si>
  <si>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</si>
  <si>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</si>
  <si>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</si>
  <si>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</si>
  <si>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</si>
  <si>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</si>
  <si>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</si>
  <si>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</si>
  <si>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</si>
  <si>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</si>
  <si>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</si>
  <si>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</si>
  <si>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</si>
  <si>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</si>
  <si>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</si>
  <si>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</si>
  <si>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</si>
  <si>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</si>
  <si>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</si>
  <si>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</si>
  <si>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</si>
  <si>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</si>
  <si>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</si>
  <si>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</si>
  <si>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</si>
  <si>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</si>
  <si>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</si>
  <si>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</si>
  <si>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</si>
  <si>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</si>
  <si>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</si>
  <si>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</si>
  <si>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</si>
  <si>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</si>
  <si>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</si>
  <si>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</si>
  <si>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</si>
  <si>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</si>
  <si>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</si>
  <si>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</si>
  <si>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</si>
  <si>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</si>
  <si>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</si>
  <si>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</si>
  <si>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</si>
  <si>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</si>
  <si>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</si>
  <si>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</si>
  <si>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</si>
  <si>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</si>
  <si>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</si>
  <si>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</si>
  <si>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</si>
  <si>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</si>
  <si>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</si>
  <si>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</si>
  <si>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</si>
  <si>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Comment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</si>
  <si>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</si>
  <si>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</si>
  <si>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</si>
  <si>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</si>
  <si>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</si>
  <si>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</si>
  <si>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</si>
  <si>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</si>
  <si>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</si>
  <si>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</si>
  <si>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</si>
  <si>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</si>
  <si>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</si>
  <si>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</si>
  <si>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</si>
  <si>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</si>
  <si>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</si>
  <si>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</si>
  <si>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</si>
  <si>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</si>
  <si>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</si>
  <si>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</si>
  <si>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</si>
  <si>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</si>
  <si>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</si>
  <si>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</si>
  <si>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</si>
  <si>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</si>
  <si>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</si>
  <si>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</si>
  <si>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</si>
  <si>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</si>
  <si>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</si>
  <si>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</si>
  <si>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</si>
  <si>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</si>
  <si>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</si>
  <si>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</si>
  <si>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</si>
  <si>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</si>
  <si>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</si>
  <si>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</si>
  <si>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</si>
  <si>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</si>
  <si>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</si>
  <si>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</si>
  <si>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</si>
  <si>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</si>
  <si>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</si>
  <si>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</si>
  <si>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</si>
  <si>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</si>
  <si>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</si>
  <si>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</si>
  <si>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</si>
  <si>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</si>
  <si>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</si>
  <si>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</si>
  <si>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</si>
  <si>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</si>
  <si>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</si>
  <si>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</si>
  <si>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</si>
  <si>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</si>
  <si>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</si>
  <si>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</si>
  <si>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</si>
  <si>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</si>
  <si>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</si>
  <si>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</si>
  <si>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</si>
  <si>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</si>
  <si>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</si>
  <si>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</si>
  <si>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</si>
  <si>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</si>
  <si>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</si>
  <si>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</si>
  <si>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</si>
  <si>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</si>
  <si>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</si>
  <si>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</si>
  <si>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</si>
  <si>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</si>
  <si>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</si>
  <si>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</si>
  <si>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</si>
  <si>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</si>
  <si>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</si>
  <si>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</si>
  <si>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</si>
  <si>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</si>
  <si>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</si>
  <si>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</si>
  <si>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</si>
  <si>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</si>
  <si>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</si>
  <si>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</si>
  <si>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</si>
  <si>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</si>
  <si>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</si>
  <si>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</si>
  <si>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</si>
  <si>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</si>
  <si>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</si>
  <si>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</si>
  <si>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</si>
  <si>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</si>
  <si>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</si>
  <si>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</si>
  <si>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</si>
  <si>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</si>
  <si>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</si>
  <si>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</si>
  <si>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</si>
  <si>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</si>
  <si>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</si>
  <si>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</si>
  <si>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</si>
  <si>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</si>
  <si>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</si>
  <si>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</si>
  <si>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</si>
  <si>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</si>
  <si>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</si>
  <si>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</si>
  <si>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</si>
  <si>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</si>
  <si>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</si>
  <si>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</si>
  <si>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</si>
  <si>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</si>
  <si>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</si>
  <si>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</si>
  <si>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</si>
  <si>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</si>
  <si>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</si>
  <si>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</si>
  <si>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</si>
  <si>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</si>
  <si>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</si>
  <si>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</si>
  <si>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</si>
  <si>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</si>
  <si>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</si>
  <si>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</si>
  <si>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</si>
  <si>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</si>
  <si>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</si>
  <si>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</si>
  <si>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</si>
  <si>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</si>
  <si>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</si>
  <si>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</si>
  <si>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</si>
  <si>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</si>
  <si>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</si>
  <si>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</si>
  <si>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</si>
  <si>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</si>
  <si>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</si>
  <si>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</si>
  <si>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</si>
  <si>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</si>
  <si>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</si>
  <si>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</si>
  <si>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</si>
  <si>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</si>
  <si>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</si>
  <si>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</si>
  <si>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</si>
  <si>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</si>
  <si>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</si>
  <si>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</si>
  <si>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</si>
  <si>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</si>
  <si>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</si>
  <si>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</si>
  <si>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</si>
  <si>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</si>
  <si>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</si>
  <si>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</si>
  <si>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</si>
  <si>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</si>
  <si>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</si>
  <si>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</si>
  <si>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</si>
  <si>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</si>
  <si>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</si>
  <si>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</si>
  <si>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</si>
  <si>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</si>
  <si>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</si>
  <si>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</si>
  <si>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</si>
  <si>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</si>
  <si>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</si>
  <si>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</si>
  <si>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</si>
  <si>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</si>
  <si>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$0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</si>
  <si>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</si>
  <si>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</si>
  <si>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</si>
  <si>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</si>
  <si>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</si>
  <si>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</si>
  <si>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</si>
  <si>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</si>
  <si>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</si>
  <si>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</si>
  <si>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</si>
  <si>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</si>
  <si>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</si>
  <si>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</si>
  <si>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</si>
  <si>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</si>
  <si>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</si>
  <si>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</si>
  <si>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</si>
  <si>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</si>
  <si>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</si>
  <si>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</si>
  <si>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</si>
  <si>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</si>
  <si>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</si>
  <si>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</si>
  <si>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</si>
  <si>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</si>
  <si>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</si>
  <si>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</si>
  <si>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</si>
  <si>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</si>
  <si>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</si>
  <si>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</si>
  <si>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</si>
  <si>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</si>
  <si>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</si>
  <si>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</si>
  <si>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</si>
  <si>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</si>
  <si>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</si>
  <si>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</si>
  <si>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</si>
  <si>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</si>
  <si>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</si>
  <si>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</si>
  <si>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</si>
  <si>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</si>
  <si>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</si>
  <si>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</si>
  <si>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</si>
  <si>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</si>
  <si>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</si>
  <si>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</si>
  <si>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</si>
  <si>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</si>
  <si>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</si>
  <si>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</si>
  <si>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</si>
  <si>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</si>
  <si>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</si>
  <si>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</si>
  <si>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</si>
  <si>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</si>
  <si>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</si>
  <si>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</si>
  <si>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</si>
  <si>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</si>
  <si>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</si>
  <si>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</si>
  <si>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</si>
  <si>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</si>
  <si>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</si>
  <si>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</si>
  <si>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</si>
  <si>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</si>
  <si>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</si>
  <si>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</si>
  <si>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</si>
  <si>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</si>
  <si>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</si>
  <si>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</si>
  <si>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</si>
  <si>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</si>
  <si>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</si>
  <si>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</si>
  <si>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</si>
  <si>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</si>
  <si>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</si>
  <si>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</si>
  <si>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</si>
  <si>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</si>
  <si>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</si>
  <si>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</si>
  <si>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</si>
  <si>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</si>
  <si>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</si>
  <si>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</si>
  <si>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</si>
  <si>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</si>
  <si>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</si>
  <si>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</si>
  <si>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</si>
  <si>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</si>
  <si>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</si>
  <si>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</si>
  <si>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</si>
  <si>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</si>
  <si>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</si>
  <si>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</si>
  <si>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</si>
  <si>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</si>
  <si>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</si>
  <si>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</si>
  <si>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</si>
  <si>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</si>
  <si>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</si>
  <si>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</si>
  <si>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</si>
  <si>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</si>
  <si>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</si>
  <si>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</si>
  <si>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</si>
  <si>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</si>
  <si>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</si>
  <si>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</si>
  <si>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</si>
  <si>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</si>
  <si>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</si>
  <si>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</si>
  <si>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</si>
  <si>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</si>
  <si>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</si>
  <si>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</si>
  <si>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</si>
  <si>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</si>
  <si>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</si>
  <si>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</si>
  <si>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</si>
  <si>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</si>
  <si>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</si>
  <si>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</si>
  <si>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</si>
  <si>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</si>
  <si>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</si>
  <si>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</si>
  <si>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</si>
  <si>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</si>
  <si>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</si>
  <si>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</si>
  <si>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</si>
  <si>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</si>
  <si>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</si>
  <si>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</si>
  <si>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</si>
  <si>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</si>
  <si>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</si>
  <si>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</si>
  <si>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</si>
  <si>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</si>
  <si>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</si>
  <si>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</si>
  <si>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</si>
  <si>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</si>
  <si>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</si>
  <si>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</si>
  <si>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</si>
  <si>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</si>
  <si>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</si>
  <si>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</si>
  <si>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</si>
  <si>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</si>
  <si>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</si>
  <si>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</si>
  <si>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</si>
  <si>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</si>
  <si>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</si>
  <si>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</si>
  <si>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</si>
  <si>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</si>
  <si>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</si>
  <si>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</si>
  <si>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</si>
  <si>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</si>
  <si>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</si>
  <si>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</si>
  <si>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</si>
  <si>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</si>
  <si>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</si>
  <si>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</si>
  <si>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</si>
  <si>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</si>
  <si>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</si>
  <si>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</si>
  <si>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Product=BBR Type=SURPLUS Instance=BASE3 Effective=20210301 Renewal=20210301</t>
  </si>
  <si>
    <t>Retention</t>
  </si>
  <si>
    <t>tblSLDFBase</t>
  </si>
  <si>
    <t>Knockout Question Modifier</t>
  </si>
  <si>
    <t>Hazard Retention Concatenation</t>
  </si>
  <si>
    <t>lstRetention</t>
  </si>
  <si>
    <t>*Not used for admitted; Input for override</t>
  </si>
  <si>
    <t>Initial Calculated SLDF</t>
  </si>
  <si>
    <t>Final Calculated SLDF</t>
  </si>
  <si>
    <t>Base SLDF</t>
  </si>
  <si>
    <t>Industry Class SLDF Comparison</t>
  </si>
  <si>
    <t>1m if MM</t>
  </si>
  <si>
    <t>blank</t>
  </si>
  <si>
    <t>11/29/2022</t>
  </si>
  <si>
    <t>11/29/2023</t>
  </si>
  <si>
    <t>Selected Notifications</t>
  </si>
  <si>
    <t>Privacy Breach Response Services-Selected Limit</t>
  </si>
  <si>
    <t>Regulatory Defense and Penalties-Selected Limit</t>
  </si>
  <si>
    <t>Dependent Business Interruption Security Breach-Selected Limit</t>
  </si>
  <si>
    <t>Dependent Business Interruption from SystemFailure-Selected Limit</t>
  </si>
  <si>
    <t>Q# 3=NO, then Delete Coverage</t>
  </si>
  <si>
    <t>Professional Services</t>
  </si>
  <si>
    <t>PCI Fines and Costs-Selected Limit (if Q# 2=No,then 0, else aggregate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</si>
</sst>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3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9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11">
    <xf numFmtId="0" fontId="0" fillId="0" borderId="0" xfId="0"/>
    <xf numFmtId="0" fontId="19" fillId="0" borderId="0" xfId="0" applyFont="1"/>
    <xf numFmtId="0" fontId="19" fillId="33" borderId="0" xfId="44" applyFont="1" applyFill="1"/>
    <xf numFmtId="0" fontId="19" fillId="34" borderId="0" xfId="44" applyFont="1" applyFill="1"/>
    <xf numFmtId="0" fontId="19" fillId="35" borderId="0" xfId="44" applyFont="1" applyFill="1"/>
    <xf numFmtId="0" fontId="19" fillId="36" borderId="0" xfId="44" applyFont="1" applyFill="1"/>
    <xf numFmtId="0" fontId="20" fillId="37" borderId="0" xfId="44" applyFont="1" applyFill="1" applyAlignment="1">
      <alignment horizontal="center"/>
    </xf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20" fillId="0" borderId="0" xfId="44" applyFont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Alignment="1">
      <alignment horizontal="center"/>
    </xf>
    <xf numFmtId="0" fontId="23" fillId="0" borderId="0" xfId="0" applyFont="1"/>
    <xf numFmtId="0" fontId="22" fillId="0" borderId="10" xfId="0" applyFont="1" applyBorder="1" applyAlignment="1">
      <alignment horizontal="center"/>
    </xf>
    <xf numFmtId="164" fontId="19" fillId="36" borderId="0" xfId="44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37" fontId="0" fillId="0" borderId="0" xfId="0" applyNumberFormat="1"/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/>
    <xf numFmtId="10" fontId="0" fillId="0" borderId="0" xfId="2" applyNumberFormat="1" applyFont="1" applyFill="1"/>
    <xf numFmtId="167" fontId="0" fillId="0" borderId="0" xfId="0" applyNumberFormat="1"/>
    <xf numFmtId="10" fontId="0" fillId="0" borderId="0" xfId="0" applyNumberFormat="1"/>
    <xf numFmtId="37" fontId="0" fillId="34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36" borderId="0" xfId="2" applyNumberFormat="1" applyFont="1" applyFill="1" applyAlignment="1">
      <alignment horizontal="center"/>
    </xf>
    <xf numFmtId="3" fontId="0" fillId="34" borderId="0" xfId="0" applyNumberForma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34" borderId="0" xfId="0" applyNumberFormat="1" applyFill="1"/>
    <xf numFmtId="0" fontId="20" fillId="37" borderId="0" xfId="44" applyFont="1" applyFill="1"/>
    <xf numFmtId="0" fontId="20" fillId="0" borderId="0" xfId="44" applyFo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0" fillId="34" borderId="0" xfId="0" applyNumberFormat="1" applyFill="1"/>
    <xf numFmtId="0" fontId="24" fillId="0" borderId="10" xfId="0" applyFont="1" applyBorder="1"/>
    <xf numFmtId="37" fontId="0" fillId="36" borderId="0" xfId="0" applyNumberFormat="1" applyFill="1"/>
    <xf numFmtId="0" fontId="22" fillId="0" borderId="0" xfId="0" applyFont="1" applyAlignment="1">
      <alignment horizontal="left" indent="1"/>
    </xf>
    <xf numFmtId="0" fontId="0" fillId="0" borderId="0" xfId="0" applyAlignment="1">
      <alignment horizontal="left"/>
    </xf>
    <xf numFmtId="37" fontId="19" fillId="0" borderId="0" xfId="0" applyNumberFormat="1" applyFont="1"/>
    <xf numFmtId="168" fontId="19" fillId="0" borderId="0" xfId="0" applyNumberFormat="1" applyFont="1"/>
    <xf numFmtId="0" fontId="22" fillId="0" borderId="0" xfId="0" applyFont="1" applyAlignment="1">
      <alignment horizontal="left" indent="2"/>
    </xf>
    <xf numFmtId="0" fontId="0" fillId="38" borderId="0" xfId="0" applyFill="1" applyAlignment="1">
      <alignment horizontal="left"/>
    </xf>
    <xf numFmtId="166" fontId="19" fillId="0" borderId="0" xfId="0" applyNumberFormat="1" applyFont="1"/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9" fontId="0" fillId="38" borderId="0" xfId="0" applyNumberFormat="1" applyFill="1"/>
    <xf numFmtId="165" fontId="0" fillId="0" borderId="0" xfId="0" applyNumberFormat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2" fontId="0" fillId="0" borderId="0" xfId="0" applyNumberFormat="1"/>
    <xf numFmtId="164" fontId="0" fillId="34" borderId="0" xfId="0" quotePrefix="1" applyNumberFormat="1" applyFill="1"/>
    <xf numFmtId="49" fontId="19" fillId="34" borderId="0" xfId="44" quotePrefix="1" applyNumberFormat="1" applyFont="1" applyFill="1" applyAlignment="1">
      <alignment horizontal="center"/>
    </xf>
    <xf numFmtId="0" fontId="21" fillId="34" borderId="0" xfId="44" applyFont="1" applyFill="1" applyAlignment="1">
      <alignment horizontal="center"/>
    </xf>
    <xf numFmtId="0" fontId="0" fillId="0" borderId="12" xfId="0" applyBorder="1"/>
    <xf numFmtId="0" fontId="0" fillId="0" borderId="14" xfId="0" applyBorder="1"/>
    <xf numFmtId="37" fontId="19" fillId="34" borderId="15" xfId="44" applyNumberFormat="1" applyFont="1" applyFill="1" applyBorder="1" applyAlignment="1">
      <alignment horizontal="right"/>
    </xf>
    <xf numFmtId="0" fontId="0" fillId="0" borderId="14" xfId="0" applyBorder="1" applyAlignment="1">
      <alignment wrapText="1"/>
    </xf>
    <xf numFmtId="0" fontId="0" fillId="0" borderId="16" xfId="0" applyBorder="1"/>
    <xf numFmtId="0" fontId="0" fillId="38" borderId="18" xfId="0" applyFill="1" applyBorder="1"/>
    <xf numFmtId="169" fontId="19" fillId="34" borderId="17" xfId="44" applyNumberFormat="1" applyFont="1" applyFill="1" applyBorder="1" applyAlignment="1">
      <alignment horizontal="right"/>
    </xf>
    <xf numFmtId="0" fontId="0" fillId="33" borderId="14" xfId="0" applyFill="1" applyBorder="1"/>
    <xf numFmtId="0" fontId="0" fillId="33" borderId="20" xfId="0" applyFill="1" applyBorder="1"/>
    <xf numFmtId="0" fontId="0" fillId="34" borderId="13" xfId="0" applyFill="1" applyBorder="1" applyAlignment="1">
      <alignment horizontal="center"/>
    </xf>
    <xf numFmtId="169" fontId="23" fillId="40" borderId="19" xfId="0" applyNumberFormat="1" applyFont="1" applyFill="1" applyBorder="1"/>
    <xf numFmtId="0" fontId="0" fillId="41" borderId="15" xfId="0" applyFill="1" applyBorder="1" applyAlignment="1">
      <alignment horizontal="center"/>
    </xf>
    <xf numFmtId="0" fontId="0" fillId="41" borderId="21" xfId="0" applyFill="1" applyBorder="1" applyAlignment="1">
      <alignment horizontal="left"/>
    </xf>
    <xf numFmtId="0" fontId="0" fillId="0" borderId="22" xfId="0" applyFill="1" applyBorder="1"/>
    <xf numFmtId="0" fontId="0" fillId="0" borderId="23" xfId="0" applyFill="1" applyBorder="1"/>
    <xf numFmtId="0" fontId="0" fillId="0" borderId="26" xfId="0" applyFill="1" applyBorder="1"/>
    <xf numFmtId="0" fontId="0" fillId="0" borderId="28" xfId="0" applyBorder="1"/>
    <xf numFmtId="169" fontId="0" fillId="42" borderId="24" xfId="0" applyNumberFormat="1" applyFill="1" applyBorder="1"/>
    <xf numFmtId="0" fontId="0" fillId="33" borderId="29" xfId="0" applyFill="1" applyBorder="1"/>
    <xf numFmtId="37" fontId="21" fillId="34" borderId="30" xfId="44" applyNumberFormat="1" applyFont="1" applyFill="1" applyBorder="1" applyAlignment="1">
      <alignment horizontal="right"/>
    </xf>
    <xf numFmtId="37" fontId="19" fillId="34" borderId="13" xfId="44" applyNumberFormat="1" applyFont="1" applyFill="1" applyBorder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35" xfId="0" applyNumberFormat="1" applyBorder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3"/>
  <sheetViews>
    <sheetView tabSelected="1" topLeftCell="C53" zoomScale="90" zoomScaleNormal="90" workbookViewId="0">
      <selection activeCell="F60" sqref="F60"/>
    </sheetView>
  </sheetViews>
  <sheetFormatPr defaultColWidth="9.42578125" defaultRowHeight="15" customHeight="1" x14ac:dyDescent="0.25"/>
  <cols>
    <col min="1" max="1" width="2.5703125" customWidth="1"/>
    <col min="2" max="2" width="37" customWidth="1"/>
    <col min="3" max="3" width="31.42578125" customWidth="1"/>
    <col min="4" max="4" width="1.85546875" customWidth="1"/>
    <col min="5" max="5" width="67.28515625" customWidth="1"/>
    <col min="6" max="6" width="34.140625" customWidth="1"/>
    <col min="7" max="7" width="15.42578125" customWidth="1"/>
  </cols>
  <sheetData>
    <row r="1" spans="1:7" ht="15" customHeight="1" x14ac:dyDescent="0.25">
      <c r="A1" s="1" t="s">
        <v>648</v>
      </c>
      <c r="B1" s="1"/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</row>
    <row r="2" spans="1:7" ht="15" customHeight="1" x14ac:dyDescent="0.25">
      <c r="A2" s="1"/>
      <c r="B2" s="1"/>
    </row>
    <row r="3" spans="1:7" ht="15" customHeight="1" x14ac:dyDescent="0.25">
      <c r="A3" s="7" t="s">
        <v>5</v>
      </c>
      <c r="B3" s="1"/>
      <c r="C3" s="1"/>
      <c r="D3" s="1"/>
    </row>
    <row r="4" spans="1:7" ht="15" customHeight="1" x14ac:dyDescent="0.25">
      <c r="A4" s="7" t="s">
        <v>6</v>
      </c>
      <c r="B4" s="1"/>
      <c r="C4" s="1"/>
      <c r="D4" s="1"/>
    </row>
    <row r="5" spans="1:7" ht="15" customHeight="1" x14ac:dyDescent="0.25">
      <c r="A5" s="1"/>
      <c r="B5" s="1"/>
      <c r="C5" s="1"/>
      <c r="D5" s="1"/>
    </row>
    <row r="7" spans="1:7" ht="15" customHeight="1" x14ac:dyDescent="0.25">
      <c r="B7" s="8"/>
    </row>
    <row r="8" spans="1:7" ht="15" customHeight="1" x14ac:dyDescent="0.25">
      <c r="B8" s="8" t="s">
        <v>7</v>
      </c>
    </row>
    <row r="9" spans="1:7" ht="15" customHeight="1" x14ac:dyDescent="0.25">
      <c r="B9" s="8" t="s">
        <v>8</v>
      </c>
    </row>
    <row r="10" spans="1:7" ht="15" customHeight="1" x14ac:dyDescent="0.25">
      <c r="B10" s="8"/>
    </row>
    <row r="11" spans="1:7" ht="15" customHeight="1" x14ac:dyDescent="0.25">
      <c r="B11" s="8" t="s">
        <v>9</v>
      </c>
    </row>
    <row r="12" spans="1:7" ht="15" customHeight="1" x14ac:dyDescent="0.25">
      <c r="B12" s="8" t="s">
        <v>10</v>
      </c>
    </row>
    <row r="13" spans="1:7" ht="15" customHeight="1" x14ac:dyDescent="0.25">
      <c r="B13" s="8" t="s">
        <v>11</v>
      </c>
    </row>
    <row r="14" spans="1:7" ht="15" customHeight="1" x14ac:dyDescent="0.25">
      <c r="B14" s="8"/>
    </row>
    <row r="15" spans="1:7" ht="15" customHeight="1" x14ac:dyDescent="0.25">
      <c r="B15" s="8" t="s">
        <v>12</v>
      </c>
    </row>
    <row r="16" spans="1:7" ht="15" customHeight="1" x14ac:dyDescent="0.25">
      <c r="B16" s="8" t="s">
        <v>13</v>
      </c>
    </row>
    <row r="17" spans="1:4" ht="15" customHeight="1" x14ac:dyDescent="0.25">
      <c r="B17" s="8"/>
    </row>
    <row r="18" spans="1:4" ht="15" customHeight="1" x14ac:dyDescent="0.25">
      <c r="B18" s="8" t="s">
        <v>14</v>
      </c>
    </row>
    <row r="19" spans="1:4" ht="15" customHeight="1" x14ac:dyDescent="0.25">
      <c r="B19" s="8" t="s">
        <v>15</v>
      </c>
    </row>
    <row r="20" spans="1:4" ht="15" customHeight="1" x14ac:dyDescent="0.25">
      <c r="B20" s="8" t="s">
        <v>16</v>
      </c>
    </row>
    <row r="21" spans="1:4" ht="15" customHeight="1" x14ac:dyDescent="0.25">
      <c r="B21" s="8"/>
    </row>
    <row r="22" spans="1:4" ht="15" customHeight="1" x14ac:dyDescent="0.25">
      <c r="B22" s="8" t="s">
        <v>17</v>
      </c>
    </row>
    <row r="25" spans="1:4" ht="15" customHeight="1" x14ac:dyDescent="0.25">
      <c r="A25" s="7" t="s">
        <v>18</v>
      </c>
      <c r="C25" s="9"/>
      <c r="D25" s="9"/>
    </row>
    <row r="26" spans="1:4" ht="15" customHeight="1" x14ac:dyDescent="0.25">
      <c r="B26" s="10" t="s">
        <v>19</v>
      </c>
      <c r="C26" s="11" t="str">
        <f>F56</f>
        <v>CA</v>
      </c>
      <c r="D26" s="9"/>
    </row>
    <row r="27" spans="1:4" ht="15" customHeight="1" x14ac:dyDescent="0.25">
      <c r="B27" t="s">
        <v>20</v>
      </c>
      <c r="C27" s="9" t="str">
        <f>VLOOKUP(C26,tblBBRStates,2,0)</f>
        <v>CA</v>
      </c>
      <c r="D27" s="9"/>
    </row>
    <row r="28" spans="1:4" ht="15" customHeight="1" x14ac:dyDescent="0.25">
      <c r="B28" t="s">
        <v>21</v>
      </c>
      <c r="C28" s="9" t="s">
        <v>22</v>
      </c>
      <c r="D28" s="9"/>
    </row>
    <row r="29" spans="1:4" ht="15" customHeight="1" x14ac:dyDescent="0.25">
      <c r="B29" t="s">
        <v>23</v>
      </c>
      <c r="C29" s="9" t="str">
        <f>IF(C28="Yes","Surplus",C27)</f>
        <v>Surplus</v>
      </c>
      <c r="D29" s="9"/>
    </row>
    <row r="30" spans="1:4" ht="15" customHeight="1" x14ac:dyDescent="0.25">
      <c r="B30" s="10" t="s">
        <v>24</v>
      </c>
      <c r="C30" s="80" t="s">
        <v>661</v>
      </c>
      <c r="D30" s="9"/>
    </row>
    <row r="31" spans="1:4" ht="15" customHeight="1" x14ac:dyDescent="0.25">
      <c r="B31" s="10" t="s">
        <v>25</v>
      </c>
      <c r="C31" s="80" t="s">
        <v>662</v>
      </c>
      <c r="D31" s="9"/>
    </row>
    <row r="32" spans="1:4" ht="15" customHeight="1" x14ac:dyDescent="0.25">
      <c r="B32" t="s">
        <v>26</v>
      </c>
      <c r="C32" s="9" t="str">
        <f>VLOOKUP(C29,tblBBRStateApplicabilities,3,0)</f>
        <v>Yes</v>
      </c>
      <c r="D32" s="9"/>
    </row>
    <row r="33" spans="2:4" ht="15" customHeight="1" x14ac:dyDescent="0.25">
      <c r="B33" t="s">
        <v>27</v>
      </c>
      <c r="C33" s="9" t="str">
        <f>VLOOKUP(C29,tblBBRStateApplicabilities,4,0)</f>
        <v>Yes</v>
      </c>
      <c r="D33" s="9"/>
    </row>
    <row r="34" spans="2:4" ht="15" customHeight="1" x14ac:dyDescent="0.25">
      <c r="B34" t="s">
        <v>28</v>
      </c>
      <c r="C34" s="9" t="s">
        <v>29</v>
      </c>
      <c r="D34" s="9"/>
    </row>
    <row r="35" spans="2:4" ht="15" customHeight="1" x14ac:dyDescent="0.25">
      <c r="B35" t="s">
        <v>30</v>
      </c>
      <c r="C35" s="9" t="s">
        <v>22</v>
      </c>
      <c r="D35" s="9"/>
    </row>
    <row r="36" spans="2:4" ht="15" customHeight="1" x14ac:dyDescent="0.25">
      <c r="B36" t="s">
        <v>31</v>
      </c>
      <c r="C36" s="12" t="str">
        <f>VLOOKUP(C27,tblBBRStateApplicabilities,10,FALSE)</f>
        <v>No</v>
      </c>
      <c r="D36" s="9"/>
    </row>
    <row r="37" spans="2:4" ht="15" customHeight="1" x14ac:dyDescent="0.25">
      <c r="C37" s="12"/>
      <c r="D37" s="9"/>
    </row>
    <row r="38" spans="2:4" ht="15" customHeight="1" x14ac:dyDescent="0.25">
      <c r="B38" t="s">
        <v>32</v>
      </c>
      <c r="C38" s="12" t="str">
        <f>UPPER(""&amp;C30)</f>
        <v>11/29/2022</v>
      </c>
      <c r="D38" s="9"/>
    </row>
    <row r="39" spans="2:4" ht="15" customHeight="1" x14ac:dyDescent="0.25">
      <c r="B39" t="s">
        <v>33</v>
      </c>
      <c r="C39" s="12" t="str">
        <f>UPPER(""&amp;C31)</f>
        <v>11/29/2023</v>
      </c>
      <c r="D39" s="9"/>
    </row>
    <row r="40" spans="2:4" ht="15" customHeight="1" x14ac:dyDescent="0.25">
      <c r="B40" t="s">
        <v>34</v>
      </c>
      <c r="C40" s="12">
        <f ca="1">IF(C38="TBD",TODAY(),DATEVALUE(C38))</f>
        <v>44894</v>
      </c>
      <c r="D40" s="9"/>
    </row>
    <row r="41" spans="2:4" ht="15" customHeight="1" x14ac:dyDescent="0.25">
      <c r="B41" t="s">
        <v>35</v>
      </c>
      <c r="C41" s="12">
        <f>IF(C38="TBD",DATE(YEAR(C40)+1,MONTH(C40),DAY(C40)),DATEVALUE(C39))</f>
        <v>45259</v>
      </c>
      <c r="D41" s="9"/>
    </row>
    <row r="42" spans="2:4" ht="15" customHeight="1" x14ac:dyDescent="0.25">
      <c r="C42" s="12"/>
      <c r="D42" s="9"/>
    </row>
    <row r="43" spans="2:4" ht="15" customHeight="1" x14ac:dyDescent="0.25">
      <c r="C43" s="12"/>
      <c r="D43" s="9"/>
    </row>
    <row r="44" spans="2:4" ht="15" customHeight="1" x14ac:dyDescent="0.25">
      <c r="C44" s="13"/>
      <c r="D44" s="9"/>
    </row>
    <row r="45" spans="2:4" ht="15" customHeight="1" x14ac:dyDescent="0.25">
      <c r="B45" t="s">
        <v>36</v>
      </c>
      <c r="C45" s="6">
        <f>IF(ISNA(VLOOKUP(C28,lstYesNo,1,0)),1,0)</f>
        <v>0</v>
      </c>
    </row>
    <row r="46" spans="2:4" ht="15" customHeight="1" x14ac:dyDescent="0.25">
      <c r="B46" t="s">
        <v>37</v>
      </c>
      <c r="C46" s="6">
        <f>IF(OR(AND(C38="TBD",C39&lt;&gt;"TBD"),AND(C38&lt;&gt;"TBD",C39="TBD")),1,0)</f>
        <v>0</v>
      </c>
    </row>
    <row r="47" spans="2:4" ht="15" customHeight="1" x14ac:dyDescent="0.25">
      <c r="B47" t="s">
        <v>38</v>
      </c>
      <c r="C47" s="13">
        <f ca="1">IF(C40&lt;DATE(2014,1,30),1,0)</f>
        <v>0</v>
      </c>
    </row>
    <row r="48" spans="2:4" ht="15" customHeight="1" x14ac:dyDescent="0.25">
      <c r="B48" t="s">
        <v>39</v>
      </c>
      <c r="C48" s="6">
        <f ca="1">IF(C41&lt;=C40,1,0)</f>
        <v>0</v>
      </c>
    </row>
    <row r="49" spans="1:6" ht="15" customHeight="1" x14ac:dyDescent="0.25">
      <c r="C49" s="9"/>
      <c r="D49" s="9"/>
    </row>
    <row r="50" spans="1:6" ht="15" customHeight="1" x14ac:dyDescent="0.25">
      <c r="C50" s="9"/>
      <c r="D50" s="9"/>
    </row>
    <row r="51" spans="1:6" ht="15" customHeight="1" x14ac:dyDescent="0.25">
      <c r="C51" s="9"/>
      <c r="D51" s="9"/>
    </row>
    <row r="52" spans="1:6" ht="15" customHeight="1" x14ac:dyDescent="0.25">
      <c r="C52" s="9"/>
      <c r="D52" s="9"/>
    </row>
    <row r="53" spans="1:6" ht="15" customHeight="1" x14ac:dyDescent="0.25">
      <c r="A53" s="7" t="s">
        <v>40</v>
      </c>
      <c r="C53" s="9"/>
      <c r="D53" s="9"/>
    </row>
    <row r="54" spans="1:6" ht="15" customHeight="1" x14ac:dyDescent="0.25">
      <c r="A54" s="7"/>
      <c r="B54" s="8" t="s">
        <v>41</v>
      </c>
      <c r="C54" s="9"/>
      <c r="D54" s="9"/>
    </row>
    <row r="55" spans="1:6" ht="15" customHeight="1" thickBot="1" x14ac:dyDescent="0.3">
      <c r="A55" s="7"/>
      <c r="B55" s="8" t="s">
        <v>42</v>
      </c>
      <c r="C55" s="9"/>
      <c r="D55" s="9"/>
    </row>
    <row r="56" spans="1:6" ht="15" customHeight="1" x14ac:dyDescent="0.25">
      <c r="A56" s="7"/>
      <c r="C56" s="9"/>
      <c r="D56" s="9"/>
      <c r="E56" s="82" t="s">
        <v>19</v>
      </c>
      <c r="F56" s="91" t="s">
        <v>369</v>
      </c>
    </row>
    <row r="57" spans="1:6" ht="15" customHeight="1" x14ac:dyDescent="0.25">
      <c r="A57" s="7"/>
      <c r="B57" s="10" t="s">
        <v>43</v>
      </c>
      <c r="C57" s="81" t="s">
        <v>541</v>
      </c>
      <c r="D57" s="9"/>
      <c r="E57" s="90" t="s">
        <v>43</v>
      </c>
      <c r="F57" s="94" t="str">
        <f>BBR.BBR.IndustryClass.Input</f>
        <v>Amusement Parks and Arcades</v>
      </c>
    </row>
    <row r="58" spans="1:6" ht="15" customHeight="1" x14ac:dyDescent="0.25">
      <c r="B58" s="10" t="s">
        <v>44</v>
      </c>
      <c r="C58" s="14" t="str">
        <f>VLOOKUP(BBR.BBR.IndustryClass.Input,tblIndustries,2,0)</f>
        <v>HG 2</v>
      </c>
      <c r="D58" s="9"/>
      <c r="E58" s="89" t="s">
        <v>44</v>
      </c>
      <c r="F58" s="93" t="str">
        <f>BBR.BBR.HazardGroup.Output</f>
        <v>HG 2</v>
      </c>
    </row>
    <row r="59" spans="1:6" ht="15" customHeight="1" thickBot="1" x14ac:dyDescent="0.3">
      <c r="B59" s="10" t="s">
        <v>45</v>
      </c>
      <c r="C59" s="15">
        <f>F59</f>
        <v>1709858</v>
      </c>
      <c r="D59" s="9"/>
      <c r="E59" s="100" t="s">
        <v>45</v>
      </c>
      <c r="F59" s="101">
        <v>1709858</v>
      </c>
    </row>
    <row r="60" spans="1:6" ht="15" customHeight="1" x14ac:dyDescent="0.25">
      <c r="B60" t="s">
        <v>46</v>
      </c>
      <c r="C60" s="9" t="str">
        <f>IF(BBR.BBR.Revenue.Input&gt;35000000,"MM","PE")</f>
        <v>PE</v>
      </c>
      <c r="D60" s="9"/>
      <c r="E60" s="82" t="s">
        <v>59</v>
      </c>
      <c r="F60" s="102">
        <v>1000000</v>
      </c>
    </row>
    <row r="61" spans="1:6" ht="15" customHeight="1" x14ac:dyDescent="0.25">
      <c r="B61" t="s">
        <v>47</v>
      </c>
      <c r="C61" s="16">
        <v>1000000000</v>
      </c>
      <c r="D61" s="9"/>
      <c r="E61" s="83" t="s">
        <v>663</v>
      </c>
      <c r="F61" s="84">
        <v>100000</v>
      </c>
    </row>
    <row r="62" spans="1:6" ht="15" customHeight="1" x14ac:dyDescent="0.25">
      <c r="C62" s="9"/>
      <c r="D62" s="9"/>
      <c r="E62" s="83" t="s">
        <v>98</v>
      </c>
      <c r="F62" s="84">
        <v>1000</v>
      </c>
    </row>
    <row r="63" spans="1:6" ht="15" customHeight="1" x14ac:dyDescent="0.25">
      <c r="B63" s="8" t="s">
        <v>48</v>
      </c>
      <c r="C63" s="9"/>
      <c r="D63" s="9"/>
      <c r="E63" s="85" t="s">
        <v>664</v>
      </c>
      <c r="F63" s="84">
        <v>1000000</v>
      </c>
    </row>
    <row r="64" spans="1:6" ht="15" customHeight="1" x14ac:dyDescent="0.25">
      <c r="B64" s="17" t="s">
        <v>45</v>
      </c>
      <c r="C64" s="16">
        <f>BBR.BBR.Revenue.Input</f>
        <v>1709858</v>
      </c>
      <c r="D64" s="9"/>
      <c r="E64" s="83" t="s">
        <v>665</v>
      </c>
      <c r="F64" s="84">
        <v>1000000</v>
      </c>
    </row>
    <row r="65" spans="1:6" ht="15" customHeight="1" x14ac:dyDescent="0.25">
      <c r="B65" s="17" t="s">
        <v>49</v>
      </c>
      <c r="C65" s="16">
        <f>VLOOKUP(C64,tblBBRBaseRatesInBand,1,1)</f>
        <v>0</v>
      </c>
      <c r="D65" s="9"/>
      <c r="E65" s="83" t="s">
        <v>670</v>
      </c>
      <c r="F65" s="84">
        <v>1000000</v>
      </c>
    </row>
    <row r="66" spans="1:6" ht="15" customHeight="1" x14ac:dyDescent="0.25">
      <c r="B66" s="17" t="s">
        <v>50</v>
      </c>
      <c r="C66" s="16">
        <f>VLOOKUP(C64,tblBBRBaseRatesInBand,2,1)</f>
        <v>2500000</v>
      </c>
      <c r="D66" s="9"/>
      <c r="E66" s="83" t="s">
        <v>666</v>
      </c>
      <c r="F66" s="84">
        <v>100000</v>
      </c>
    </row>
    <row r="67" spans="1:6" ht="15" customHeight="1" x14ac:dyDescent="0.25">
      <c r="B67" s="17" t="s">
        <v>51</v>
      </c>
      <c r="C67" s="16">
        <f>C64-C65</f>
        <v>1709858</v>
      </c>
      <c r="D67" s="9"/>
      <c r="E67" s="83" t="s">
        <v>667</v>
      </c>
      <c r="F67" s="84">
        <v>100000</v>
      </c>
    </row>
    <row r="68" spans="1:6" ht="15" customHeight="1" thickBot="1" x14ac:dyDescent="0.3">
      <c r="B68" s="17" t="s">
        <v>52</v>
      </c>
      <c r="C68" s="16">
        <f>VLOOKUP(C58,tblBBRHazardGroupColumn,2,0)</f>
        <v>6</v>
      </c>
      <c r="D68" s="9"/>
      <c r="E68" s="86" t="s">
        <v>651</v>
      </c>
      <c r="F68" s="88">
        <v>0</v>
      </c>
    </row>
    <row r="69" spans="1:6" ht="15" customHeight="1" x14ac:dyDescent="0.25">
      <c r="B69" s="17" t="s">
        <v>53</v>
      </c>
      <c r="C69" s="16">
        <f>VLOOKUP(C64,tblBBRBaseRateAtStart,C68,1)</f>
        <v>0</v>
      </c>
      <c r="D69" s="9"/>
      <c r="E69" s="96" t="s">
        <v>669</v>
      </c>
      <c r="F69" s="105" t="str">
        <f>C273</f>
        <v>No Change in Coverage</v>
      </c>
    </row>
    <row r="70" spans="1:6" ht="15" customHeight="1" x14ac:dyDescent="0.25">
      <c r="B70" s="17" t="s">
        <v>54</v>
      </c>
      <c r="C70" s="18">
        <f>VLOOKUP(C64,tblBBRBaseRatesInBand,C68,1)</f>
        <v>0.45569999999999999</v>
      </c>
      <c r="D70" s="9"/>
      <c r="E70" s="95" t="s">
        <v>163</v>
      </c>
      <c r="F70" s="106" t="str">
        <f>C277</f>
        <v>No Change in Coverage</v>
      </c>
    </row>
    <row r="71" spans="1:6" ht="15" customHeight="1" x14ac:dyDescent="0.25">
      <c r="B71" s="17" t="s">
        <v>48</v>
      </c>
      <c r="C71" s="16">
        <f>C69+C67*C70/1000</f>
        <v>779.18229059999999</v>
      </c>
      <c r="D71" s="9"/>
      <c r="E71" s="95" t="s">
        <v>165</v>
      </c>
      <c r="F71" s="106" t="str">
        <f>C281</f>
        <v>No Change in Coverage</v>
      </c>
    </row>
    <row r="72" spans="1:6" ht="15" customHeight="1" thickBot="1" x14ac:dyDescent="0.3">
      <c r="C72" s="9"/>
      <c r="D72" s="9"/>
      <c r="E72" s="97" t="s">
        <v>167</v>
      </c>
      <c r="F72" s="107" t="str">
        <f>C285</f>
        <v>No Change in Coverage</v>
      </c>
    </row>
    <row r="73" spans="1:6" ht="15" customHeight="1" x14ac:dyDescent="0.25">
      <c r="B73" t="s">
        <v>48</v>
      </c>
      <c r="C73" s="19">
        <f>C71</f>
        <v>779.18229059999999</v>
      </c>
      <c r="D73" s="9"/>
      <c r="E73" s="98" t="s">
        <v>174</v>
      </c>
      <c r="F73" s="108" t="str">
        <f>C295</f>
        <v>Yes</v>
      </c>
    </row>
    <row r="74" spans="1:6" ht="15" customHeight="1" x14ac:dyDescent="0.25">
      <c r="C74" s="9"/>
      <c r="D74" s="9"/>
      <c r="E74" s="103" t="s">
        <v>177</v>
      </c>
      <c r="F74" s="109" t="str">
        <f>C301</f>
        <v>Yes</v>
      </c>
    </row>
    <row r="75" spans="1:6" ht="15" customHeight="1" x14ac:dyDescent="0.25">
      <c r="B75" t="s">
        <v>55</v>
      </c>
      <c r="C75" s="6">
        <f>IF(ISNA(VLOOKUP(C58,lstBBRHazardGroup,1,0)),1,0)</f>
        <v>0</v>
      </c>
      <c r="E75" s="103" t="s">
        <v>178</v>
      </c>
      <c r="F75" s="109" t="str">
        <f>C307</f>
        <v>Yes</v>
      </c>
    </row>
    <row r="76" spans="1:6" ht="15" customHeight="1" x14ac:dyDescent="0.25">
      <c r="B76" t="s">
        <v>56</v>
      </c>
      <c r="C76" s="6">
        <f>IF(AND(C59&gt;0,C59&lt;=C61),0,1)</f>
        <v>0</v>
      </c>
      <c r="E76" s="103" t="s">
        <v>179</v>
      </c>
      <c r="F76" s="109" t="str">
        <f>C313</f>
        <v>Yes</v>
      </c>
    </row>
    <row r="77" spans="1:6" ht="15" customHeight="1" x14ac:dyDescent="0.25">
      <c r="C77" s="9"/>
      <c r="D77" s="9"/>
      <c r="E77" s="103" t="s">
        <v>180</v>
      </c>
      <c r="F77" s="109" t="str">
        <f>C319</f>
        <v>Yes</v>
      </c>
    </row>
    <row r="78" spans="1:6" ht="15" customHeight="1" x14ac:dyDescent="0.25">
      <c r="C78" s="9"/>
      <c r="D78" s="9"/>
      <c r="E78" s="103" t="s">
        <v>181</v>
      </c>
      <c r="F78" s="109" t="str">
        <f>C325</f>
        <v>No</v>
      </c>
    </row>
    <row r="79" spans="1:6" ht="15" customHeight="1" x14ac:dyDescent="0.25">
      <c r="A79" s="20" t="s">
        <v>57</v>
      </c>
      <c r="C79" s="9"/>
      <c r="D79" s="9"/>
      <c r="E79" s="103" t="s">
        <v>182</v>
      </c>
      <c r="F79" s="109" t="str">
        <f>C331</f>
        <v>No</v>
      </c>
    </row>
    <row r="80" spans="1:6" ht="15" customHeight="1" x14ac:dyDescent="0.25">
      <c r="C80" s="9"/>
      <c r="D80" s="9"/>
      <c r="E80" s="103" t="s">
        <v>183</v>
      </c>
      <c r="F80" s="109" t="str">
        <f>C337</f>
        <v>No</v>
      </c>
    </row>
    <row r="81" spans="2:6" ht="15" customHeight="1" thickBot="1" x14ac:dyDescent="0.3">
      <c r="C81" s="21" t="s">
        <v>58</v>
      </c>
      <c r="E81" s="104" t="s">
        <v>184</v>
      </c>
      <c r="F81" s="110" t="str">
        <f>C343</f>
        <v>No</v>
      </c>
    </row>
    <row r="82" spans="2:6" ht="15" customHeight="1" thickBot="1" x14ac:dyDescent="0.3">
      <c r="B82" t="s">
        <v>45</v>
      </c>
      <c r="C82" s="16">
        <f>$C$59</f>
        <v>1709858</v>
      </c>
    </row>
    <row r="83" spans="2:6" ht="15" customHeight="1" thickBot="1" x14ac:dyDescent="0.3">
      <c r="B83" s="10" t="s">
        <v>59</v>
      </c>
      <c r="C83" s="15">
        <f>F60</f>
        <v>1000000</v>
      </c>
      <c r="E83" s="98" t="s">
        <v>253</v>
      </c>
      <c r="F83" s="99">
        <f>C438</f>
        <v>1.5</v>
      </c>
    </row>
    <row r="84" spans="2:6" ht="15" customHeight="1" thickBot="1" x14ac:dyDescent="0.3">
      <c r="C84" s="9"/>
      <c r="E84" s="87" t="s">
        <v>315</v>
      </c>
      <c r="F84" s="92">
        <f ca="1">C545</f>
        <v>1670</v>
      </c>
    </row>
    <row r="85" spans="2:6" ht="15" customHeight="1" x14ac:dyDescent="0.25">
      <c r="B85" t="s">
        <v>60</v>
      </c>
      <c r="C85" s="16">
        <f>IF(C36="Yes",1000000,100000)</f>
        <v>100000</v>
      </c>
    </row>
    <row r="86" spans="2:6" ht="15" customHeight="1" x14ac:dyDescent="0.25">
      <c r="B86" t="s">
        <v>61</v>
      </c>
      <c r="C86" s="16">
        <v>32000000</v>
      </c>
    </row>
    <row r="87" spans="2:6" ht="15" customHeight="1" x14ac:dyDescent="0.25">
      <c r="B87" t="s">
        <v>62</v>
      </c>
      <c r="C87" s="6">
        <f>IF(AND(C83&gt;=C85,C83&lt;=C86),0,1)</f>
        <v>0</v>
      </c>
    </row>
    <row r="88" spans="2:6" ht="15" customHeight="1" x14ac:dyDescent="0.25">
      <c r="C88" s="9"/>
    </row>
    <row r="89" spans="2:6" ht="15" customHeight="1" x14ac:dyDescent="0.25">
      <c r="B89" t="s">
        <v>63</v>
      </c>
      <c r="C89" s="16">
        <f>VLOOKUP(C83,tblBBRILFs,1,1)</f>
        <v>1000000</v>
      </c>
    </row>
    <row r="90" spans="2:6" ht="15" customHeight="1" x14ac:dyDescent="0.25">
      <c r="B90" t="s">
        <v>64</v>
      </c>
      <c r="C90" s="16">
        <f>VLOOKUP(C83,tblBBRILFs,2,1)</f>
        <v>2000000</v>
      </c>
    </row>
    <row r="91" spans="2:6" ht="15" customHeight="1" x14ac:dyDescent="0.25">
      <c r="B91" t="s">
        <v>65</v>
      </c>
      <c r="C91" s="16">
        <f>C83-C89</f>
        <v>0</v>
      </c>
    </row>
    <row r="92" spans="2:6" ht="15" customHeight="1" x14ac:dyDescent="0.25">
      <c r="B92" t="s">
        <v>66</v>
      </c>
      <c r="C92" s="18">
        <f>IF(C90=C89,0,C91/(C90-C89))</f>
        <v>0</v>
      </c>
    </row>
    <row r="93" spans="2:6" ht="15" customHeight="1" x14ac:dyDescent="0.25">
      <c r="C93" s="9"/>
    </row>
    <row r="94" spans="2:6" ht="15" customHeight="1" x14ac:dyDescent="0.25">
      <c r="B94" t="s">
        <v>67</v>
      </c>
      <c r="C94" s="18">
        <f>VLOOKUP(C89,tblBBRILFs,3,0)</f>
        <v>1</v>
      </c>
    </row>
    <row r="95" spans="2:6" ht="15" customHeight="1" x14ac:dyDescent="0.25">
      <c r="B95" t="s">
        <v>68</v>
      </c>
      <c r="C95" s="18">
        <f>VLOOKUP(C90,tblBBRILFs,3,0)</f>
        <v>1.25</v>
      </c>
    </row>
    <row r="96" spans="2:6" ht="15" customHeight="1" x14ac:dyDescent="0.25">
      <c r="B96" t="s">
        <v>69</v>
      </c>
      <c r="C96" s="18">
        <f>(C95-C94)*C92+C94</f>
        <v>1</v>
      </c>
    </row>
    <row r="97" spans="1:4" ht="15" customHeight="1" x14ac:dyDescent="0.25">
      <c r="C97" s="9"/>
    </row>
    <row r="98" spans="1:4" ht="15" customHeight="1" x14ac:dyDescent="0.25">
      <c r="B98" t="s">
        <v>70</v>
      </c>
      <c r="C98" s="18">
        <f>VLOOKUP(C89,tblBBRILFs,4,0)</f>
        <v>1</v>
      </c>
    </row>
    <row r="99" spans="1:4" ht="15" customHeight="1" x14ac:dyDescent="0.25">
      <c r="B99" t="s">
        <v>71</v>
      </c>
      <c r="C99" s="18">
        <f>VLOOKUP(C90,tblBBRILFs,4,0)</f>
        <v>1.25</v>
      </c>
    </row>
    <row r="100" spans="1:4" ht="15" customHeight="1" x14ac:dyDescent="0.25">
      <c r="B100" t="s">
        <v>72</v>
      </c>
      <c r="C100" s="18">
        <f>(C99-C98)*C92+C98</f>
        <v>1</v>
      </c>
    </row>
    <row r="101" spans="1:4" ht="15" customHeight="1" x14ac:dyDescent="0.25">
      <c r="C101" s="9"/>
    </row>
    <row r="102" spans="1:4" ht="15" customHeight="1" x14ac:dyDescent="0.25">
      <c r="B102" t="s">
        <v>73</v>
      </c>
      <c r="C102" s="16">
        <f>MIN(MAX(C82-200000000,0),100000000)</f>
        <v>0</v>
      </c>
    </row>
    <row r="103" spans="1:4" ht="15" customHeight="1" x14ac:dyDescent="0.25">
      <c r="B103" t="s">
        <v>74</v>
      </c>
      <c r="C103" s="18">
        <f>C102/100000000</f>
        <v>0</v>
      </c>
    </row>
    <row r="104" spans="1:4" ht="15" customHeight="1" x14ac:dyDescent="0.25">
      <c r="B104" t="s">
        <v>75</v>
      </c>
      <c r="C104" s="22">
        <f>IF(C87=0,(C100-C96)*C103+C96,NA())</f>
        <v>1</v>
      </c>
    </row>
    <row r="105" spans="1:4" ht="15" customHeight="1" x14ac:dyDescent="0.25">
      <c r="C105" s="9"/>
      <c r="D105" s="9"/>
    </row>
    <row r="106" spans="1:4" ht="15" customHeight="1" x14ac:dyDescent="0.25">
      <c r="C106" s="9"/>
      <c r="D106" s="9"/>
    </row>
    <row r="107" spans="1:4" ht="15" customHeight="1" x14ac:dyDescent="0.25">
      <c r="A107" s="20" t="s">
        <v>76</v>
      </c>
      <c r="C107" s="9"/>
      <c r="D107" s="9"/>
    </row>
    <row r="108" spans="1:4" ht="15" customHeight="1" x14ac:dyDescent="0.25">
      <c r="B108" t="s">
        <v>45</v>
      </c>
      <c r="C108" s="16">
        <f>$C$59</f>
        <v>1709858</v>
      </c>
      <c r="D108" s="9"/>
    </row>
    <row r="109" spans="1:4" ht="15" customHeight="1" x14ac:dyDescent="0.25">
      <c r="B109" t="s">
        <v>77</v>
      </c>
      <c r="C109" s="23">
        <f>VLOOKUP(C108,tblBBRGuidelineNotification,3,1)</f>
        <v>0.01</v>
      </c>
      <c r="D109" s="16"/>
    </row>
    <row r="110" spans="1:4" ht="15" customHeight="1" x14ac:dyDescent="0.25">
      <c r="B110" t="s">
        <v>78</v>
      </c>
      <c r="C110" s="16">
        <f>VLOOKUP(C108,tblBBRGuidelineNotification,4,1)</f>
        <v>0</v>
      </c>
      <c r="D110" s="9"/>
    </row>
    <row r="111" spans="1:4" ht="15" customHeight="1" x14ac:dyDescent="0.25">
      <c r="B111" t="s">
        <v>79</v>
      </c>
      <c r="C111" s="16">
        <f>VLOOKUP(C108,tblBBRGuidelineNotification,5,1)</f>
        <v>25000</v>
      </c>
      <c r="D111" s="9"/>
    </row>
    <row r="112" spans="1:4" ht="15" customHeight="1" x14ac:dyDescent="0.25">
      <c r="B112" t="s">
        <v>80</v>
      </c>
      <c r="C112" s="16">
        <f>VLOOKUP(C108,tblBBRGuidelineNotification,6,1)</f>
        <v>100000</v>
      </c>
      <c r="D112" s="9"/>
    </row>
    <row r="113" spans="2:4" ht="15" customHeight="1" x14ac:dyDescent="0.25">
      <c r="B113" t="s">
        <v>81</v>
      </c>
      <c r="C113" s="24">
        <f>MAX(MIN(C108*C109+C110,C112),C111)</f>
        <v>25000</v>
      </c>
      <c r="D113" s="9"/>
    </row>
    <row r="114" spans="2:4" ht="15" customHeight="1" x14ac:dyDescent="0.25">
      <c r="B114" t="s">
        <v>82</v>
      </c>
      <c r="C114" s="24">
        <f>C121*C113</f>
        <v>250000000</v>
      </c>
      <c r="D114" s="9"/>
    </row>
    <row r="115" spans="2:4" ht="15" customHeight="1" x14ac:dyDescent="0.25">
      <c r="C115" s="9"/>
      <c r="D115" s="9"/>
    </row>
    <row r="116" spans="2:4" ht="15" customHeight="1" x14ac:dyDescent="0.25">
      <c r="C116" s="21" t="s">
        <v>58</v>
      </c>
    </row>
    <row r="117" spans="2:4" ht="15" customHeight="1" x14ac:dyDescent="0.25">
      <c r="B117" t="s">
        <v>81</v>
      </c>
      <c r="C117" s="16">
        <f>$C$113</f>
        <v>25000</v>
      </c>
    </row>
    <row r="118" spans="2:4" ht="15" customHeight="1" x14ac:dyDescent="0.25">
      <c r="B118" s="10" t="s">
        <v>83</v>
      </c>
      <c r="C118" s="15">
        <f>F61</f>
        <v>100000</v>
      </c>
    </row>
    <row r="119" spans="2:4" ht="15" customHeight="1" x14ac:dyDescent="0.25">
      <c r="B119" t="s">
        <v>84</v>
      </c>
      <c r="C119" s="18">
        <f>C118/C117</f>
        <v>4</v>
      </c>
    </row>
    <row r="120" spans="2:4" ht="15" customHeight="1" x14ac:dyDescent="0.25">
      <c r="B120" t="s">
        <v>85</v>
      </c>
      <c r="C120" s="18">
        <v>0</v>
      </c>
    </row>
    <row r="121" spans="2:4" ht="15" customHeight="1" x14ac:dyDescent="0.25">
      <c r="B121" t="s">
        <v>86</v>
      </c>
      <c r="C121" s="25">
        <v>10000</v>
      </c>
    </row>
    <row r="122" spans="2:4" ht="15" customHeight="1" x14ac:dyDescent="0.25">
      <c r="B122" t="s">
        <v>87</v>
      </c>
      <c r="C122" s="18">
        <f>VLOOKUP(C119,tblBBRNotificationFactor,1,1)</f>
        <v>3</v>
      </c>
    </row>
    <row r="123" spans="2:4" ht="15" customHeight="1" x14ac:dyDescent="0.25">
      <c r="B123" t="s">
        <v>88</v>
      </c>
      <c r="C123" s="18">
        <f>VLOOKUP(C119,tblBBRNotificationFactor,2,1)</f>
        <v>5</v>
      </c>
    </row>
    <row r="124" spans="2:4" ht="15" customHeight="1" x14ac:dyDescent="0.25">
      <c r="B124" t="s">
        <v>89</v>
      </c>
      <c r="C124" s="18">
        <f>VLOOKUP(C119,tblBBRNotificationFactor,3,1)</f>
        <v>1.1399999999999999</v>
      </c>
    </row>
    <row r="125" spans="2:4" ht="15" customHeight="1" x14ac:dyDescent="0.25">
      <c r="B125" t="s">
        <v>90</v>
      </c>
      <c r="C125" s="18">
        <f>VLOOKUP(C119,tblBBRNotificationFactor,4,1)</f>
        <v>1.2050000000000001</v>
      </c>
    </row>
    <row r="126" spans="2:4" ht="15" customHeight="1" x14ac:dyDescent="0.25">
      <c r="B126" t="s">
        <v>91</v>
      </c>
      <c r="C126" s="18">
        <f>IF(C123=C122,0,(C119-C122)/(C123-C122))</f>
        <v>0.5</v>
      </c>
    </row>
    <row r="127" spans="2:4" ht="15" customHeight="1" x14ac:dyDescent="0.25">
      <c r="B127" t="s">
        <v>92</v>
      </c>
      <c r="C127" s="26">
        <f>IF(C119&lt;=10,(C125-C124)*C126+C124,(C119-10)*0.0005+1.41)</f>
        <v>1.1724999999999999</v>
      </c>
    </row>
    <row r="128" spans="2:4" ht="15" customHeight="1" x14ac:dyDescent="0.25">
      <c r="C128" s="9"/>
    </row>
    <row r="129" spans="1:4" ht="15" customHeight="1" x14ac:dyDescent="0.25">
      <c r="B129" t="s">
        <v>93</v>
      </c>
      <c r="C129" s="6">
        <f>IF(AND(C119&lt;=C121,C119&gt;=C120,C118&lt;&gt;""),0,1)</f>
        <v>0</v>
      </c>
    </row>
    <row r="130" spans="1:4" ht="15" customHeight="1" x14ac:dyDescent="0.25">
      <c r="B130" t="s">
        <v>94</v>
      </c>
      <c r="C130" s="6">
        <f>IF(AND(C123=C122,C119&lt;&gt;C122),1,0)</f>
        <v>0</v>
      </c>
    </row>
    <row r="131" spans="1:4" ht="15" customHeight="1" x14ac:dyDescent="0.25">
      <c r="C131" s="9"/>
      <c r="D131" s="9"/>
    </row>
    <row r="132" spans="1:4" ht="15" customHeight="1" x14ac:dyDescent="0.25">
      <c r="C132" s="9"/>
      <c r="D132" s="9"/>
    </row>
    <row r="133" spans="1:4" ht="15" customHeight="1" x14ac:dyDescent="0.25">
      <c r="A133" s="20" t="s">
        <v>95</v>
      </c>
      <c r="C133" s="9"/>
      <c r="D133" s="9"/>
    </row>
    <row r="134" spans="1:4" ht="15" customHeight="1" x14ac:dyDescent="0.25">
      <c r="B134" t="s">
        <v>45</v>
      </c>
      <c r="C134" s="16">
        <f>$C$59</f>
        <v>1709858</v>
      </c>
      <c r="D134" s="9"/>
    </row>
    <row r="135" spans="1:4" ht="15" customHeight="1" x14ac:dyDescent="0.25">
      <c r="B135" t="s">
        <v>77</v>
      </c>
      <c r="C135" s="27">
        <f>VLOOKUP(C134,tblBBRGuidelineRetention,3,1)</f>
        <v>5.0000000000000001E-4</v>
      </c>
      <c r="D135" s="16"/>
    </row>
    <row r="136" spans="1:4" ht="15" customHeight="1" x14ac:dyDescent="0.25">
      <c r="B136" t="s">
        <v>78</v>
      </c>
      <c r="C136" s="16">
        <f>VLOOKUP(C134,tblBBRGuidelineRetention,4,1)</f>
        <v>0</v>
      </c>
      <c r="D136" s="9"/>
    </row>
    <row r="137" spans="1:4" ht="15" customHeight="1" x14ac:dyDescent="0.25">
      <c r="B137" t="s">
        <v>79</v>
      </c>
      <c r="C137" s="16">
        <f>VLOOKUP(C134,tblBBRGuidelineRetention,5,1)</f>
        <v>2500</v>
      </c>
      <c r="D137" s="9"/>
    </row>
    <row r="138" spans="1:4" ht="15" customHeight="1" x14ac:dyDescent="0.25">
      <c r="B138" t="s">
        <v>80</v>
      </c>
      <c r="C138" s="16">
        <f>VLOOKUP(C134,tblBBRGuidelineRetention,6,1)</f>
        <v>50000</v>
      </c>
      <c r="D138" s="9"/>
    </row>
    <row r="139" spans="1:4" ht="15" customHeight="1" x14ac:dyDescent="0.25">
      <c r="B139" t="s">
        <v>96</v>
      </c>
      <c r="C139" s="24">
        <f>MAX(MIN(C134*C135+C136,C138),C137)</f>
        <v>2500</v>
      </c>
      <c r="D139" s="9"/>
    </row>
    <row r="140" spans="1:4" ht="15" customHeight="1" x14ac:dyDescent="0.25">
      <c r="B140" t="s">
        <v>97</v>
      </c>
      <c r="C140" s="24">
        <f>C147*C139</f>
        <v>25000000</v>
      </c>
      <c r="D140" s="9"/>
    </row>
    <row r="141" spans="1:4" ht="15" customHeight="1" x14ac:dyDescent="0.25">
      <c r="C141" s="9"/>
      <c r="D141" s="9"/>
    </row>
    <row r="142" spans="1:4" ht="15" customHeight="1" x14ac:dyDescent="0.25">
      <c r="C142" s="21" t="s">
        <v>58</v>
      </c>
    </row>
    <row r="143" spans="1:4" ht="15" customHeight="1" x14ac:dyDescent="0.25">
      <c r="B143" t="s">
        <v>96</v>
      </c>
      <c r="C143" s="16">
        <f>$C$139</f>
        <v>2500</v>
      </c>
    </row>
    <row r="144" spans="1:4" ht="15" customHeight="1" x14ac:dyDescent="0.25">
      <c r="B144" s="10" t="s">
        <v>98</v>
      </c>
      <c r="C144" s="15">
        <f>F62</f>
        <v>1000</v>
      </c>
    </row>
    <row r="145" spans="2:4" ht="15" customHeight="1" x14ac:dyDescent="0.25">
      <c r="B145" t="s">
        <v>84</v>
      </c>
      <c r="C145" s="18">
        <f>C144/C143</f>
        <v>0.4</v>
      </c>
    </row>
    <row r="146" spans="2:4" ht="15" customHeight="1" x14ac:dyDescent="0.25">
      <c r="B146" t="s">
        <v>85</v>
      </c>
      <c r="C146" s="18">
        <v>0</v>
      </c>
    </row>
    <row r="147" spans="2:4" ht="15" customHeight="1" x14ac:dyDescent="0.25">
      <c r="B147" t="s">
        <v>86</v>
      </c>
      <c r="C147" s="16">
        <v>10000</v>
      </c>
    </row>
    <row r="148" spans="2:4" ht="15" customHeight="1" x14ac:dyDescent="0.25">
      <c r="B148" t="s">
        <v>87</v>
      </c>
      <c r="C148" s="18">
        <f>VLOOKUP(C145,tblBBRRetentionFactor,1,1)</f>
        <v>0.4</v>
      </c>
    </row>
    <row r="149" spans="2:4" ht="15" customHeight="1" x14ac:dyDescent="0.25">
      <c r="B149" t="s">
        <v>88</v>
      </c>
      <c r="C149" s="18">
        <f>VLOOKUP(C145,tblBBRRetentionFactor,2,1)</f>
        <v>0.5</v>
      </c>
    </row>
    <row r="150" spans="2:4" ht="15" customHeight="1" x14ac:dyDescent="0.25">
      <c r="B150" t="s">
        <v>89</v>
      </c>
      <c r="C150" s="18">
        <f>VLOOKUP(C145,tblBBRRetentionFactor,3,1)</f>
        <v>1.1080000000000001</v>
      </c>
    </row>
    <row r="151" spans="2:4" ht="15" customHeight="1" x14ac:dyDescent="0.25">
      <c r="B151" t="s">
        <v>90</v>
      </c>
      <c r="C151" s="18">
        <f>VLOOKUP(C145,tblBBRRetentionFactor,4,1)</f>
        <v>1.06</v>
      </c>
    </row>
    <row r="152" spans="2:4" ht="15" customHeight="1" x14ac:dyDescent="0.25">
      <c r="B152" t="s">
        <v>91</v>
      </c>
      <c r="C152" s="18">
        <f>IF(C149=C148,0,(C145-C148)/(C149-C148))</f>
        <v>0</v>
      </c>
    </row>
    <row r="153" spans="2:4" ht="15" customHeight="1" x14ac:dyDescent="0.25">
      <c r="B153" t="s">
        <v>99</v>
      </c>
      <c r="C153" s="26">
        <f>IF(C145&lt;=10,(C151-C150)*C152+C150,(10-C145)*0.001 +0.7919)</f>
        <v>1.1080000000000001</v>
      </c>
    </row>
    <row r="154" spans="2:4" ht="15" customHeight="1" x14ac:dyDescent="0.25">
      <c r="C154" s="9"/>
    </row>
    <row r="155" spans="2:4" ht="15" customHeight="1" x14ac:dyDescent="0.25">
      <c r="B155" t="s">
        <v>100</v>
      </c>
      <c r="C155" s="6">
        <f>IF(AND(C145&lt;=C147,C145&gt;=C146,C144&lt;&gt;""),0,1)</f>
        <v>0</v>
      </c>
    </row>
    <row r="156" spans="2:4" ht="15" customHeight="1" x14ac:dyDescent="0.25">
      <c r="B156" t="s">
        <v>101</v>
      </c>
      <c r="C156" s="6">
        <f>IF(AND(C149=C148,C145&lt;&gt;C148),1,0)</f>
        <v>0</v>
      </c>
    </row>
    <row r="157" spans="2:4" ht="15" customHeight="1" x14ac:dyDescent="0.25">
      <c r="C157" s="9"/>
      <c r="D157" s="9"/>
    </row>
    <row r="163" spans="1:3" ht="15" customHeight="1" x14ac:dyDescent="0.25">
      <c r="A163" s="20" t="s">
        <v>102</v>
      </c>
    </row>
    <row r="164" spans="1:3" ht="15" customHeight="1" x14ac:dyDescent="0.25">
      <c r="B164" s="8" t="s">
        <v>103</v>
      </c>
    </row>
    <row r="165" spans="1:3" ht="15" customHeight="1" x14ac:dyDescent="0.25">
      <c r="C165" s="9"/>
    </row>
    <row r="166" spans="1:3" ht="15" customHeight="1" x14ac:dyDescent="0.25">
      <c r="B166" s="10" t="s">
        <v>104</v>
      </c>
      <c r="C166" s="28">
        <v>0</v>
      </c>
    </row>
    <row r="167" spans="1:3" ht="15" customHeight="1" x14ac:dyDescent="0.25">
      <c r="B167" s="10" t="s">
        <v>105</v>
      </c>
      <c r="C167" s="28" t="s">
        <v>453</v>
      </c>
    </row>
    <row r="168" spans="1:3" ht="15" customHeight="1" x14ac:dyDescent="0.25">
      <c r="B168" s="10" t="s">
        <v>106</v>
      </c>
      <c r="C168" s="29">
        <v>0</v>
      </c>
    </row>
    <row r="169" spans="1:3" ht="15" customHeight="1" x14ac:dyDescent="0.25">
      <c r="B169" s="10" t="s">
        <v>107</v>
      </c>
      <c r="C169" s="30"/>
    </row>
    <row r="170" spans="1:3" ht="15" customHeight="1" x14ac:dyDescent="0.25">
      <c r="B170" t="s">
        <v>108</v>
      </c>
      <c r="C170" s="18">
        <f>VLOOKUP($C$166,tblAdmittedLossRatingClaimCountPE,3,TRUE)</f>
        <v>0.7</v>
      </c>
    </row>
    <row r="171" spans="1:3" ht="15" customHeight="1" x14ac:dyDescent="0.25">
      <c r="B171" t="s">
        <v>109</v>
      </c>
      <c r="C171" s="18">
        <f>VLOOKUP($C$166,tblAdmittedLossRatingClaimCountPE,4,TRUE)</f>
        <v>1</v>
      </c>
    </row>
    <row r="172" spans="1:3" ht="15" customHeight="1" x14ac:dyDescent="0.25">
      <c r="B172" t="s">
        <v>110</v>
      </c>
      <c r="C172" s="18">
        <f>VLOOKUP($C$166,tblAdmittedLossRatingClaimCountPE,2,TRUE)</f>
        <v>1</v>
      </c>
    </row>
    <row r="173" spans="1:3" ht="15" customHeight="1" x14ac:dyDescent="0.25">
      <c r="B173" t="s">
        <v>111</v>
      </c>
      <c r="C173" s="18">
        <f>VLOOKUP($C$167,tblAdmittedLossRatingClaimIncurredPE,3,TRUE)</f>
        <v>0.7</v>
      </c>
    </row>
    <row r="174" spans="1:3" ht="15" customHeight="1" x14ac:dyDescent="0.25">
      <c r="B174" t="s">
        <v>112</v>
      </c>
      <c r="C174" s="18">
        <f>VLOOKUP($C$167,tblAdmittedLossRatingClaimIncurredPE,4,TRUE)</f>
        <v>1</v>
      </c>
    </row>
    <row r="175" spans="1:3" ht="15" customHeight="1" x14ac:dyDescent="0.25">
      <c r="B175" t="s">
        <v>113</v>
      </c>
      <c r="C175" s="18">
        <f>VLOOKUP($C$167,tblAdmittedLossRatingClaimIncurredPE,2,TRUE)</f>
        <v>1</v>
      </c>
    </row>
    <row r="176" spans="1:3" ht="15" customHeight="1" x14ac:dyDescent="0.25">
      <c r="B176" t="s">
        <v>114</v>
      </c>
      <c r="C176" s="18">
        <f>VLOOKUP(C168,tblAdmittedLossRatingClaimIncurredMM,3,FALSE)</f>
        <v>0.7</v>
      </c>
    </row>
    <row r="177" spans="2:3" ht="15" customHeight="1" x14ac:dyDescent="0.25">
      <c r="B177" t="s">
        <v>115</v>
      </c>
      <c r="C177" s="18">
        <f>VLOOKUP(C168,tblAdmittedLossRatingClaimIncurredMM,4,FALSE)</f>
        <v>1</v>
      </c>
    </row>
    <row r="178" spans="2:3" ht="15" customHeight="1" x14ac:dyDescent="0.25">
      <c r="B178" t="s">
        <v>116</v>
      </c>
      <c r="C178" s="18">
        <f>VLOOKUP(C168,tblAdmittedLossRatingClaimIncurredMM,2,FALSE)</f>
        <v>0.95</v>
      </c>
    </row>
    <row r="179" spans="2:3" ht="15" customHeight="1" x14ac:dyDescent="0.25">
      <c r="B179" t="s">
        <v>117</v>
      </c>
      <c r="C179" s="18">
        <f>IF(C60="PE",MAX(C175,C172),C178)</f>
        <v>1</v>
      </c>
    </row>
    <row r="180" spans="2:3" ht="15" customHeight="1" x14ac:dyDescent="0.25">
      <c r="B180" t="s">
        <v>118</v>
      </c>
      <c r="C180" s="26">
        <f>IF(C32="Yes", IF(C60="PE",MAX(C170,C173),C176),IF(C60="PE",MAX(C172,C175),C178))</f>
        <v>0.7</v>
      </c>
    </row>
    <row r="181" spans="2:3" ht="15" customHeight="1" x14ac:dyDescent="0.25">
      <c r="B181" t="s">
        <v>119</v>
      </c>
      <c r="C181" s="26">
        <f>IF(C32="Yes", IF(C60="PE",MAX(C171,C174),C177),IF(C60="PE",MAX(C172,C175),C178))</f>
        <v>1</v>
      </c>
    </row>
    <row r="182" spans="2:3" ht="15" customHeight="1" x14ac:dyDescent="0.25">
      <c r="B182" t="s">
        <v>120</v>
      </c>
      <c r="C182" s="26">
        <f>IF(C169="",C179,C169)</f>
        <v>1</v>
      </c>
    </row>
    <row r="183" spans="2:3" ht="15" customHeight="1" x14ac:dyDescent="0.25">
      <c r="B183" t="s">
        <v>121</v>
      </c>
      <c r="C183" s="6">
        <f>IF(AND(C182&gt;=C180,C182&lt;=C181),0,1)</f>
        <v>0</v>
      </c>
    </row>
    <row r="185" spans="2:3" ht="15" customHeight="1" x14ac:dyDescent="0.25">
      <c r="B185" s="8" t="s">
        <v>122</v>
      </c>
    </row>
    <row r="186" spans="2:3" ht="15" customHeight="1" x14ac:dyDescent="0.25">
      <c r="B186" s="17" t="s">
        <v>123</v>
      </c>
      <c r="C186" s="31">
        <f>C491</f>
        <v>1012.259089187178</v>
      </c>
    </row>
    <row r="187" spans="2:3" ht="15" customHeight="1" x14ac:dyDescent="0.25">
      <c r="B187" s="17" t="s">
        <v>124</v>
      </c>
      <c r="C187" s="31">
        <v>2500</v>
      </c>
    </row>
    <row r="188" spans="2:3" ht="15" customHeight="1" x14ac:dyDescent="0.25">
      <c r="B188" s="17" t="s">
        <v>125</v>
      </c>
      <c r="C188" t="b">
        <f>C186&gt;=C187</f>
        <v>0</v>
      </c>
    </row>
    <row r="189" spans="2:3" ht="15" customHeight="1" x14ac:dyDescent="0.25">
      <c r="B189" s="17" t="s">
        <v>126</v>
      </c>
      <c r="C189" s="32">
        <f>IF(AND(C29="NYFTZ",C188=FALSE),1,$C$182)</f>
        <v>1</v>
      </c>
    </row>
    <row r="194" spans="1:3" ht="15" customHeight="1" x14ac:dyDescent="0.25">
      <c r="A194" s="20" t="s">
        <v>127</v>
      </c>
    </row>
    <row r="196" spans="1:3" ht="15" customHeight="1" x14ac:dyDescent="0.25">
      <c r="B196" s="10" t="s">
        <v>128</v>
      </c>
      <c r="C196" s="33">
        <f>F63</f>
        <v>1000000</v>
      </c>
    </row>
    <row r="197" spans="1:3" ht="15" customHeight="1" x14ac:dyDescent="0.25">
      <c r="B197" s="10" t="s">
        <v>129</v>
      </c>
      <c r="C197" s="34">
        <f>C196/C202</f>
        <v>1</v>
      </c>
    </row>
    <row r="198" spans="1:3" ht="15" customHeight="1" x14ac:dyDescent="0.25">
      <c r="B198" t="s">
        <v>130</v>
      </c>
      <c r="C198" s="35">
        <f>VLOOKUP($C$197,tblAdmittedRegDefense,1,TRUE)</f>
        <v>1</v>
      </c>
    </row>
    <row r="199" spans="1:3" ht="15" customHeight="1" x14ac:dyDescent="0.25">
      <c r="B199" t="s">
        <v>131</v>
      </c>
      <c r="C199" s="35">
        <f>VLOOKUP($C$197,tblAdmittedRegDefense,2,TRUE)</f>
        <v>1</v>
      </c>
    </row>
    <row r="200" spans="1:3" ht="15" customHeight="1" x14ac:dyDescent="0.25">
      <c r="B200" t="s">
        <v>132</v>
      </c>
      <c r="C200" s="36">
        <f>VLOOKUP(C198,tblPrivacyBreachResponseServices,3,TRUE)</f>
        <v>0</v>
      </c>
    </row>
    <row r="201" spans="1:3" ht="15" customHeight="1" x14ac:dyDescent="0.25">
      <c r="B201" t="s">
        <v>133</v>
      </c>
      <c r="C201" s="36">
        <f>VLOOKUP(C199,tblPrivacyBreachResponseServices,3,TRUE)</f>
        <v>0</v>
      </c>
    </row>
    <row r="202" spans="1:3" ht="15" customHeight="1" x14ac:dyDescent="0.25">
      <c r="B202" t="s">
        <v>134</v>
      </c>
      <c r="C202" s="37">
        <f>IF(BBR.BBR.AggregateLimit.Input&lt;2500000,BBR.BBR.AggregateLimit.Input,2500000)</f>
        <v>1000000</v>
      </c>
    </row>
    <row r="203" spans="1:3" ht="15" customHeight="1" x14ac:dyDescent="0.25">
      <c r="B203" t="s">
        <v>135</v>
      </c>
      <c r="C203" s="38">
        <f>IF($C$197=1,0,(C201-C200)*($C$197-C198)/(C199-C198)+C200)</f>
        <v>0</v>
      </c>
    </row>
    <row r="204" spans="1:3" ht="15" customHeight="1" x14ac:dyDescent="0.25">
      <c r="B204" t="s">
        <v>136</v>
      </c>
      <c r="C204" s="34">
        <f>C203</f>
        <v>0</v>
      </c>
    </row>
    <row r="205" spans="1:3" ht="15" customHeight="1" x14ac:dyDescent="0.25">
      <c r="C205" s="37"/>
    </row>
    <row r="206" spans="1:3" ht="15" customHeight="1" x14ac:dyDescent="0.25">
      <c r="C206" s="37"/>
    </row>
    <row r="207" spans="1:3" ht="15" customHeight="1" x14ac:dyDescent="0.25">
      <c r="C207" s="37"/>
    </row>
    <row r="208" spans="1:3" ht="15" customHeight="1" x14ac:dyDescent="0.25">
      <c r="C208" s="9"/>
    </row>
    <row r="209" spans="1:3" ht="15" customHeight="1" x14ac:dyDescent="0.25">
      <c r="A209" s="20" t="s">
        <v>137</v>
      </c>
      <c r="C209" s="9"/>
    </row>
    <row r="210" spans="1:3" ht="15" customHeight="1" x14ac:dyDescent="0.25">
      <c r="B210" s="10" t="s">
        <v>128</v>
      </c>
      <c r="C210" s="39">
        <f>F64</f>
        <v>1000000</v>
      </c>
    </row>
    <row r="211" spans="1:3" ht="15" customHeight="1" x14ac:dyDescent="0.25">
      <c r="B211" s="10" t="s">
        <v>129</v>
      </c>
      <c r="C211" s="34">
        <f>BBR.BBR.RegulatoryDefenseandPenalties.Input/BBR.BBR.AggregateLimit.Input</f>
        <v>1</v>
      </c>
    </row>
    <row r="212" spans="1:3" ht="15" customHeight="1" x14ac:dyDescent="0.25">
      <c r="B212" t="s">
        <v>130</v>
      </c>
      <c r="C212" s="40">
        <f>VLOOKUP(BBR.BBR.RegulatoryDefenseandPenalties.Percentage,tblAdmittedRegDefense,1,TRUE)</f>
        <v>1</v>
      </c>
    </row>
    <row r="213" spans="1:3" ht="15" customHeight="1" x14ac:dyDescent="0.25">
      <c r="B213" t="s">
        <v>131</v>
      </c>
      <c r="C213" s="40">
        <f>VLOOKUP(BBR.BBR.RegulatoryDefenseandPenalties.Percentage,tblAdmittedRegDefense,2,TRUE)</f>
        <v>1</v>
      </c>
    </row>
    <row r="214" spans="1:3" ht="15" customHeight="1" x14ac:dyDescent="0.25">
      <c r="B214" t="s">
        <v>138</v>
      </c>
      <c r="C214" s="40">
        <f>VLOOKUP(C212,tblAdmittedRegDefense,3,TRUE)</f>
        <v>0</v>
      </c>
    </row>
    <row r="215" spans="1:3" ht="15" customHeight="1" x14ac:dyDescent="0.25">
      <c r="B215" t="s">
        <v>139</v>
      </c>
      <c r="C215" s="40">
        <f>VLOOKUP(C213,tblAdmittedRegDefense,3,TRUE)</f>
        <v>0</v>
      </c>
    </row>
    <row r="216" spans="1:3" ht="15" customHeight="1" x14ac:dyDescent="0.25">
      <c r="B216" t="s">
        <v>140</v>
      </c>
      <c r="C216" s="41">
        <f>IF(C212=C213,0,(C215-C214)*(BBR.BBR.RegulatoryDefenseandPenalties.Percentage-C212)/(C213-C212)+C214)</f>
        <v>0</v>
      </c>
    </row>
    <row r="217" spans="1:3" ht="15" customHeight="1" x14ac:dyDescent="0.25">
      <c r="C217" s="9"/>
    </row>
    <row r="218" spans="1:3" ht="15" customHeight="1" x14ac:dyDescent="0.25">
      <c r="C218" s="9"/>
    </row>
    <row r="219" spans="1:3" ht="15" customHeight="1" x14ac:dyDescent="0.25">
      <c r="C219" s="9"/>
    </row>
    <row r="220" spans="1:3" ht="15" customHeight="1" x14ac:dyDescent="0.25">
      <c r="C220" s="9"/>
    </row>
    <row r="221" spans="1:3" ht="15" customHeight="1" x14ac:dyDescent="0.25">
      <c r="A221" s="20" t="s">
        <v>141</v>
      </c>
      <c r="C221" s="9"/>
    </row>
    <row r="222" spans="1:3" ht="15" customHeight="1" x14ac:dyDescent="0.25">
      <c r="B222" s="10" t="s">
        <v>128</v>
      </c>
      <c r="C222" s="39">
        <f>F65</f>
        <v>1000000</v>
      </c>
    </row>
    <row r="223" spans="1:3" ht="15" customHeight="1" x14ac:dyDescent="0.25">
      <c r="B223" s="10" t="s">
        <v>129</v>
      </c>
      <c r="C223" s="34">
        <f>BBR.BBR.PCIFinesandCosts.Input/BBR.BBR.AggregateLimit.Input</f>
        <v>1</v>
      </c>
    </row>
    <row r="224" spans="1:3" ht="15" customHeight="1" x14ac:dyDescent="0.25">
      <c r="B224" t="s">
        <v>130</v>
      </c>
      <c r="C224" s="40">
        <f>VLOOKUP(BBR.BBR.PCIFinesandCosts.Percentage,tblAdmittedPCIFinesAndCosts,1,TRUE)</f>
        <v>1</v>
      </c>
    </row>
    <row r="225" spans="1:4" ht="15" customHeight="1" x14ac:dyDescent="0.25">
      <c r="B225" t="s">
        <v>131</v>
      </c>
      <c r="C225" s="40">
        <f>VLOOKUP(BBR.BBR.PCIFinesandCosts.Percentage,tblAdmittedPCIFinesAndCosts,2,TRUE)</f>
        <v>1</v>
      </c>
    </row>
    <row r="226" spans="1:4" ht="15" customHeight="1" x14ac:dyDescent="0.25">
      <c r="B226" t="s">
        <v>138</v>
      </c>
      <c r="C226" s="40">
        <f>VLOOKUP(C224,tblAdmittedPCIFinesAndCosts,3,TRUE)</f>
        <v>0</v>
      </c>
    </row>
    <row r="227" spans="1:4" ht="15" customHeight="1" x14ac:dyDescent="0.25">
      <c r="B227" t="s">
        <v>139</v>
      </c>
      <c r="C227" s="40">
        <f>VLOOKUP(C225,tblAdmittedPCIFinesAndCosts,3,TRUE)</f>
        <v>0</v>
      </c>
    </row>
    <row r="228" spans="1:4" ht="15" customHeight="1" x14ac:dyDescent="0.25">
      <c r="B228" t="s">
        <v>142</v>
      </c>
      <c r="C228" s="41">
        <f>IF(C224=C225,0,(C227-C226)*(BBR.BBR.PCIFinesandCosts.Percentage-C224)/(C225-C224)+C226)</f>
        <v>0</v>
      </c>
    </row>
    <row r="229" spans="1:4" ht="15" customHeight="1" x14ac:dyDescent="0.25">
      <c r="C229" s="9"/>
    </row>
    <row r="230" spans="1:4" ht="15" customHeight="1" x14ac:dyDescent="0.25">
      <c r="C230" s="9"/>
    </row>
    <row r="233" spans="1:4" ht="15" customHeight="1" x14ac:dyDescent="0.25">
      <c r="A233" s="20" t="s">
        <v>143</v>
      </c>
      <c r="C233" s="9"/>
    </row>
    <row r="234" spans="1:4" ht="15" customHeight="1" x14ac:dyDescent="0.25">
      <c r="B234" s="10" t="s">
        <v>128</v>
      </c>
      <c r="C234" s="42">
        <f>F66</f>
        <v>100000</v>
      </c>
      <c r="D234" t="s">
        <v>659</v>
      </c>
    </row>
    <row r="235" spans="1:4" ht="15" customHeight="1" x14ac:dyDescent="0.25">
      <c r="B235" s="10" t="s">
        <v>129</v>
      </c>
      <c r="C235" s="34">
        <f>BBR.BBR.DBISecurityBreach.Input/C236</f>
        <v>1</v>
      </c>
    </row>
    <row r="236" spans="1:4" ht="15" customHeight="1" x14ac:dyDescent="0.25">
      <c r="B236" t="s">
        <v>144</v>
      </c>
      <c r="C236" s="43">
        <f>IF($C$60="MM", 1000000, 100000)</f>
        <v>100000</v>
      </c>
    </row>
    <row r="237" spans="1:4" ht="15" customHeight="1" x14ac:dyDescent="0.25">
      <c r="B237" t="s">
        <v>130</v>
      </c>
      <c r="C237" s="40">
        <f>VLOOKUP(BBR.BBR.DBISecurityBreach.Percentage,tblAdmittedFirstParty,1,TRUE)</f>
        <v>1</v>
      </c>
    </row>
    <row r="238" spans="1:4" ht="15" customHeight="1" x14ac:dyDescent="0.25">
      <c r="B238" t="s">
        <v>131</v>
      </c>
      <c r="C238" s="40">
        <f>VLOOKUP(BBR.BBR.DBISecurityBreach.Percentage,tblAdmittedFirstParty,2,TRUE)</f>
        <v>2.5</v>
      </c>
    </row>
    <row r="239" spans="1:4" ht="15" customHeight="1" x14ac:dyDescent="0.25">
      <c r="B239" t="s">
        <v>145</v>
      </c>
      <c r="C239" s="40">
        <f>VLOOKUP(C237,tblAdmittedFirstParty,3,TRUE)</f>
        <v>0</v>
      </c>
    </row>
    <row r="240" spans="1:4" ht="15" customHeight="1" x14ac:dyDescent="0.25">
      <c r="B240" t="s">
        <v>146</v>
      </c>
      <c r="C240" s="40">
        <f>VLOOKUP(C238,tblAdmittedFirstParty,3,TRUE)</f>
        <v>0.05</v>
      </c>
    </row>
    <row r="241" spans="1:4" ht="15" customHeight="1" x14ac:dyDescent="0.25">
      <c r="B241" t="s">
        <v>147</v>
      </c>
      <c r="C241" s="44">
        <f>IF(C237=C238,0.15,(C240-C239)*(BBR.BBR.DBISecurityBreach.Percentage-C237)/(C238-C237)+C239)</f>
        <v>0</v>
      </c>
    </row>
    <row r="242" spans="1:4" ht="15" customHeight="1" x14ac:dyDescent="0.25">
      <c r="C242" s="9"/>
    </row>
    <row r="243" spans="1:4" ht="15" customHeight="1" x14ac:dyDescent="0.25">
      <c r="C243" s="9"/>
    </row>
    <row r="244" spans="1:4" ht="15" customHeight="1" x14ac:dyDescent="0.25">
      <c r="C244" s="9"/>
    </row>
    <row r="246" spans="1:4" ht="15" customHeight="1" x14ac:dyDescent="0.25">
      <c r="A246" s="20" t="s">
        <v>148</v>
      </c>
      <c r="C246" s="9"/>
    </row>
    <row r="247" spans="1:4" ht="15" customHeight="1" x14ac:dyDescent="0.25">
      <c r="B247" s="10" t="s">
        <v>128</v>
      </c>
      <c r="C247" s="42">
        <f>F67</f>
        <v>100000</v>
      </c>
      <c r="D247" t="s">
        <v>659</v>
      </c>
    </row>
    <row r="248" spans="1:4" ht="15" customHeight="1" x14ac:dyDescent="0.25">
      <c r="B248" s="10" t="s">
        <v>129</v>
      </c>
      <c r="C248" s="34">
        <f>BBR.BBR.DBISystemFailure.Input/C249</f>
        <v>1</v>
      </c>
    </row>
    <row r="249" spans="1:4" ht="15" customHeight="1" x14ac:dyDescent="0.25">
      <c r="B249" t="s">
        <v>144</v>
      </c>
      <c r="C249" s="43">
        <f>IF($C$60="MM", 1000000, 100000)</f>
        <v>100000</v>
      </c>
    </row>
    <row r="250" spans="1:4" ht="15" customHeight="1" x14ac:dyDescent="0.25">
      <c r="B250" t="s">
        <v>130</v>
      </c>
      <c r="C250" s="40">
        <f>VLOOKUP(BBR.BBR.DBISystemFailure.Percentage,tblAdmittedFirstParty,1,TRUE)</f>
        <v>1</v>
      </c>
    </row>
    <row r="251" spans="1:4" ht="15" customHeight="1" x14ac:dyDescent="0.25">
      <c r="B251" t="s">
        <v>131</v>
      </c>
      <c r="C251" s="40">
        <f>VLOOKUP(BBR.BBR.DBISystemFailure.Percentage,tblAdmittedFirstParty,2,TRUE)</f>
        <v>2.5</v>
      </c>
    </row>
    <row r="252" spans="1:4" ht="15" customHeight="1" x14ac:dyDescent="0.25">
      <c r="B252" t="s">
        <v>145</v>
      </c>
      <c r="C252" s="40">
        <f>VLOOKUP(C250,tblAdmittedFirstParty,3,TRUE)</f>
        <v>0</v>
      </c>
    </row>
    <row r="253" spans="1:4" ht="15" customHeight="1" x14ac:dyDescent="0.25">
      <c r="B253" t="s">
        <v>146</v>
      </c>
      <c r="C253" s="40">
        <f>VLOOKUP(C251,tblAdmittedFirstParty,3,TRUE)</f>
        <v>0.05</v>
      </c>
    </row>
    <row r="254" spans="1:4" ht="15" customHeight="1" x14ac:dyDescent="0.25">
      <c r="B254" t="s">
        <v>149</v>
      </c>
      <c r="C254" s="44">
        <f>IF(C250=C251,0.15,(C253-C252)*(BBR.BBR.DBISystemFailure.Percentage-C250)/(C251-C250)+C252)</f>
        <v>0</v>
      </c>
    </row>
    <row r="259" spans="1:3" ht="15" customHeight="1" x14ac:dyDescent="0.25">
      <c r="A259" s="20" t="s">
        <v>150</v>
      </c>
      <c r="B259" s="8"/>
    </row>
    <row r="260" spans="1:3" ht="15" customHeight="1" x14ac:dyDescent="0.25">
      <c r="B260" s="10" t="s">
        <v>151</v>
      </c>
      <c r="C260" s="45" t="s">
        <v>152</v>
      </c>
    </row>
    <row r="261" spans="1:3" ht="15" customHeight="1" x14ac:dyDescent="0.25">
      <c r="B261" s="10" t="s">
        <v>153</v>
      </c>
      <c r="C261" s="46"/>
    </row>
    <row r="262" spans="1:3" ht="15" customHeight="1" x14ac:dyDescent="0.25">
      <c r="B262" t="s">
        <v>154</v>
      </c>
      <c r="C262" s="35">
        <f>VLOOKUP(C260,tblFullMediaCoverage,2,0)</f>
        <v>0</v>
      </c>
    </row>
    <row r="263" spans="1:3" ht="15" customHeight="1" x14ac:dyDescent="0.25">
      <c r="B263" t="s">
        <v>155</v>
      </c>
      <c r="C263" s="34">
        <f>VLOOKUP(C260,tblFullMediaCoverage,IF($C$32="Yes",3,2),0)</f>
        <v>0</v>
      </c>
    </row>
    <row r="264" spans="1:3" ht="15" customHeight="1" x14ac:dyDescent="0.25">
      <c r="B264" t="s">
        <v>156</v>
      </c>
      <c r="C264" s="34">
        <f>VLOOKUP(C260,tblFullMediaCoverage,IF($C$32="Yes",4,2),0)</f>
        <v>0</v>
      </c>
    </row>
    <row r="265" spans="1:3" ht="15" customHeight="1" x14ac:dyDescent="0.25">
      <c r="C265" s="35"/>
    </row>
    <row r="266" spans="1:3" ht="15" customHeight="1" x14ac:dyDescent="0.25">
      <c r="B266" t="s">
        <v>157</v>
      </c>
      <c r="C266" s="34">
        <f>IF(C261="",C262,C261)</f>
        <v>0</v>
      </c>
    </row>
    <row r="267" spans="1:3" ht="15" customHeight="1" x14ac:dyDescent="0.25">
      <c r="B267" t="s">
        <v>158</v>
      </c>
      <c r="C267" s="47">
        <f>IF(ISNA(VLOOKUP(C260,lstFullMediaCoverage,1,0)),1,0)</f>
        <v>0</v>
      </c>
    </row>
    <row r="268" spans="1:3" ht="15" customHeight="1" x14ac:dyDescent="0.25">
      <c r="B268" t="s">
        <v>159</v>
      </c>
      <c r="C268" s="47">
        <f>IF(AND(C266&gt;=C263,C266&lt;=C264),0,1)</f>
        <v>0</v>
      </c>
    </row>
    <row r="272" spans="1:3" ht="15" customHeight="1" x14ac:dyDescent="0.25">
      <c r="A272" s="20" t="s">
        <v>160</v>
      </c>
    </row>
    <row r="273" spans="1:5" ht="15" customHeight="1" x14ac:dyDescent="0.25">
      <c r="B273" s="10" t="s">
        <v>151</v>
      </c>
      <c r="C273" s="45" t="s">
        <v>161</v>
      </c>
    </row>
    <row r="274" spans="1:5" ht="15" customHeight="1" x14ac:dyDescent="0.25">
      <c r="B274" t="s">
        <v>162</v>
      </c>
      <c r="C274" s="34">
        <f>VLOOKUP(C273,tblProfessionalServicesLiability,2,0)</f>
        <v>0</v>
      </c>
    </row>
    <row r="275" spans="1:5" ht="15" customHeight="1" x14ac:dyDescent="0.25">
      <c r="C275" s="35"/>
    </row>
    <row r="276" spans="1:5" ht="15" customHeight="1" x14ac:dyDescent="0.25">
      <c r="A276" s="20" t="s">
        <v>163</v>
      </c>
    </row>
    <row r="277" spans="1:5" ht="15" customHeight="1" x14ac:dyDescent="0.25">
      <c r="B277" s="10" t="s">
        <v>151</v>
      </c>
      <c r="C277" s="45" t="s">
        <v>161</v>
      </c>
      <c r="E277" t="s">
        <v>668</v>
      </c>
    </row>
    <row r="278" spans="1:5" ht="15" customHeight="1" x14ac:dyDescent="0.25">
      <c r="B278" t="s">
        <v>164</v>
      </c>
      <c r="C278" s="34">
        <f>VLOOKUP(C277,tblElectronicCrime,2,0)</f>
        <v>0</v>
      </c>
    </row>
    <row r="279" spans="1:5" ht="15" customHeight="1" x14ac:dyDescent="0.25">
      <c r="C279" s="48"/>
    </row>
    <row r="280" spans="1:5" ht="15" customHeight="1" x14ac:dyDescent="0.25">
      <c r="A280" s="20" t="s">
        <v>165</v>
      </c>
    </row>
    <row r="281" spans="1:5" ht="15" customHeight="1" x14ac:dyDescent="0.25">
      <c r="B281" s="10" t="s">
        <v>151</v>
      </c>
      <c r="C281" s="45" t="s">
        <v>161</v>
      </c>
    </row>
    <row r="282" spans="1:5" ht="15" customHeight="1" x14ac:dyDescent="0.25">
      <c r="B282" t="s">
        <v>166</v>
      </c>
      <c r="C282" s="34">
        <f>VLOOKUP(C281,tblTelecommunicationsFraud,2,0)</f>
        <v>0</v>
      </c>
    </row>
    <row r="283" spans="1:5" ht="15" customHeight="1" x14ac:dyDescent="0.25">
      <c r="C283" s="48"/>
    </row>
    <row r="284" spans="1:5" ht="15" customHeight="1" x14ac:dyDescent="0.25">
      <c r="A284" s="20" t="s">
        <v>167</v>
      </c>
    </row>
    <row r="285" spans="1:5" ht="15" customHeight="1" x14ac:dyDescent="0.25">
      <c r="B285" s="10" t="s">
        <v>151</v>
      </c>
      <c r="C285" s="45" t="s">
        <v>161</v>
      </c>
      <c r="E285" t="s">
        <v>668</v>
      </c>
    </row>
    <row r="286" spans="1:5" ht="15" customHeight="1" x14ac:dyDescent="0.25">
      <c r="B286" t="s">
        <v>168</v>
      </c>
      <c r="C286" s="34">
        <f>VLOOKUP(C285,tblFraudulentInstruction,2,0)</f>
        <v>0</v>
      </c>
    </row>
    <row r="287" spans="1:5" ht="15" customHeight="1" x14ac:dyDescent="0.25">
      <c r="C287" s="48"/>
    </row>
    <row r="288" spans="1:5" ht="15" customHeight="1" x14ac:dyDescent="0.25">
      <c r="A288" s="20" t="s">
        <v>169</v>
      </c>
    </row>
    <row r="289" spans="1:3" ht="15" customHeight="1" x14ac:dyDescent="0.25">
      <c r="B289" s="10" t="s">
        <v>170</v>
      </c>
      <c r="C289" s="49" t="s">
        <v>171</v>
      </c>
    </row>
    <row r="290" spans="1:3" ht="15" customHeight="1" x14ac:dyDescent="0.25">
      <c r="B290" t="s">
        <v>172</v>
      </c>
      <c r="C290" s="32">
        <f>VLOOKUP(C289,tblBBRADL,2,0)</f>
        <v>1</v>
      </c>
    </row>
    <row r="291" spans="1:3" ht="15" customHeight="1" x14ac:dyDescent="0.25">
      <c r="B291" t="s">
        <v>173</v>
      </c>
      <c r="C291" s="47">
        <f>IF(ISNA(VLOOKUP(C289,lstBBRADL,1,0)),1,0)</f>
        <v>0</v>
      </c>
    </row>
    <row r="293" spans="1:3" ht="15" customHeight="1" x14ac:dyDescent="0.25">
      <c r="A293" s="20" t="s">
        <v>174</v>
      </c>
    </row>
    <row r="295" spans="1:3" ht="15" customHeight="1" x14ac:dyDescent="0.25">
      <c r="B295" s="10" t="s">
        <v>175</v>
      </c>
      <c r="C295" s="42" t="s">
        <v>22</v>
      </c>
    </row>
    <row r="296" spans="1:3" ht="15" customHeight="1" x14ac:dyDescent="0.25">
      <c r="B296" s="10" t="s">
        <v>176</v>
      </c>
      <c r="C296" s="34">
        <f>VLOOKUP(C295, tblAdditionalEndorsements, 2, 0)</f>
        <v>0.02</v>
      </c>
    </row>
    <row r="299" spans="1:3" ht="15" customHeight="1" x14ac:dyDescent="0.25">
      <c r="A299" s="20" t="s">
        <v>177</v>
      </c>
    </row>
    <row r="301" spans="1:3" ht="15" customHeight="1" x14ac:dyDescent="0.25">
      <c r="B301" s="10" t="s">
        <v>175</v>
      </c>
      <c r="C301" s="42" t="s">
        <v>22</v>
      </c>
    </row>
    <row r="302" spans="1:3" ht="15" customHeight="1" x14ac:dyDescent="0.25">
      <c r="B302" s="10" t="s">
        <v>176</v>
      </c>
      <c r="C302" s="34">
        <f>VLOOKUP(C301, tblAdditionalEndorsements, 2, 0)</f>
        <v>0.02</v>
      </c>
    </row>
    <row r="305" spans="1:3" ht="15" customHeight="1" x14ac:dyDescent="0.25">
      <c r="A305" s="20" t="s">
        <v>178</v>
      </c>
    </row>
    <row r="307" spans="1:3" ht="15" customHeight="1" x14ac:dyDescent="0.25">
      <c r="B307" s="10" t="s">
        <v>175</v>
      </c>
      <c r="C307" s="42" t="s">
        <v>22</v>
      </c>
    </row>
    <row r="308" spans="1:3" ht="15" customHeight="1" x14ac:dyDescent="0.25">
      <c r="B308" s="10" t="s">
        <v>176</v>
      </c>
      <c r="C308" s="34">
        <f>VLOOKUP(C307, tblAdditionalEndorsements, 2, 0)</f>
        <v>0.02</v>
      </c>
    </row>
    <row r="311" spans="1:3" ht="15" customHeight="1" x14ac:dyDescent="0.25">
      <c r="A311" s="20" t="s">
        <v>179</v>
      </c>
    </row>
    <row r="313" spans="1:3" ht="15" customHeight="1" x14ac:dyDescent="0.25">
      <c r="B313" s="10" t="s">
        <v>175</v>
      </c>
      <c r="C313" s="42" t="s">
        <v>22</v>
      </c>
    </row>
    <row r="314" spans="1:3" ht="15" customHeight="1" x14ac:dyDescent="0.25">
      <c r="B314" s="10" t="s">
        <v>176</v>
      </c>
      <c r="C314" s="34">
        <f>VLOOKUP(C313, tblAdditionalEndorsements, 2, 0)</f>
        <v>0.02</v>
      </c>
    </row>
    <row r="317" spans="1:3" ht="15" customHeight="1" x14ac:dyDescent="0.25">
      <c r="A317" s="20" t="s">
        <v>180</v>
      </c>
    </row>
    <row r="319" spans="1:3" ht="15" customHeight="1" x14ac:dyDescent="0.25">
      <c r="B319" s="10" t="s">
        <v>175</v>
      </c>
      <c r="C319" s="42" t="s">
        <v>22</v>
      </c>
    </row>
    <row r="320" spans="1:3" ht="15" customHeight="1" x14ac:dyDescent="0.25">
      <c r="B320" s="10" t="s">
        <v>176</v>
      </c>
      <c r="C320" s="34">
        <f>VLOOKUP(C319, tblAdditionalEndorsements, 2, 0)</f>
        <v>0.02</v>
      </c>
    </row>
    <row r="323" spans="1:3" ht="15" customHeight="1" x14ac:dyDescent="0.25">
      <c r="A323" s="20" t="s">
        <v>181</v>
      </c>
    </row>
    <row r="325" spans="1:3" ht="15" customHeight="1" x14ac:dyDescent="0.25">
      <c r="B325" s="10" t="s">
        <v>175</v>
      </c>
      <c r="C325" s="42" t="s">
        <v>29</v>
      </c>
    </row>
    <row r="326" spans="1:3" ht="15" customHeight="1" x14ac:dyDescent="0.25">
      <c r="B326" s="10" t="s">
        <v>176</v>
      </c>
      <c r="C326" s="34">
        <f>VLOOKUP(C325, tblAdditionalEndorsements, 2, 0)</f>
        <v>0</v>
      </c>
    </row>
    <row r="329" spans="1:3" ht="15" customHeight="1" x14ac:dyDescent="0.25">
      <c r="A329" s="20" t="s">
        <v>182</v>
      </c>
    </row>
    <row r="331" spans="1:3" ht="15" customHeight="1" x14ac:dyDescent="0.25">
      <c r="B331" s="10" t="s">
        <v>175</v>
      </c>
      <c r="C331" s="42" t="s">
        <v>29</v>
      </c>
    </row>
    <row r="332" spans="1:3" ht="15" customHeight="1" x14ac:dyDescent="0.25">
      <c r="B332" s="10" t="s">
        <v>176</v>
      </c>
      <c r="C332" s="34">
        <f>VLOOKUP(C331, tblAdditionalEndorsements, 2, 0)</f>
        <v>0</v>
      </c>
    </row>
    <row r="335" spans="1:3" ht="15" customHeight="1" x14ac:dyDescent="0.25">
      <c r="A335" s="20" t="s">
        <v>183</v>
      </c>
    </row>
    <row r="337" spans="1:3" ht="15" customHeight="1" x14ac:dyDescent="0.25">
      <c r="B337" s="10" t="s">
        <v>175</v>
      </c>
      <c r="C337" s="42" t="s">
        <v>29</v>
      </c>
    </row>
    <row r="338" spans="1:3" ht="15" customHeight="1" x14ac:dyDescent="0.25">
      <c r="B338" s="10" t="s">
        <v>176</v>
      </c>
      <c r="C338" s="34">
        <f>VLOOKUP(C337, tblAdditionalEndorsements, 2, 0)</f>
        <v>0</v>
      </c>
    </row>
    <row r="341" spans="1:3" ht="15" customHeight="1" x14ac:dyDescent="0.25">
      <c r="A341" s="20" t="s">
        <v>184</v>
      </c>
    </row>
    <row r="343" spans="1:3" ht="15" customHeight="1" x14ac:dyDescent="0.25">
      <c r="B343" s="10" t="s">
        <v>175</v>
      </c>
      <c r="C343" s="42" t="s">
        <v>29</v>
      </c>
    </row>
    <row r="344" spans="1:3" ht="15" customHeight="1" x14ac:dyDescent="0.25">
      <c r="B344" s="10" t="s">
        <v>176</v>
      </c>
      <c r="C344" s="34">
        <f>VLOOKUP(C343, tblAdditionalEndorsements, 2, 0)</f>
        <v>0</v>
      </c>
    </row>
    <row r="348" spans="1:3" ht="15" customHeight="1" x14ac:dyDescent="0.25">
      <c r="A348" s="20" t="s">
        <v>185</v>
      </c>
    </row>
    <row r="349" spans="1:3" ht="15" customHeight="1" x14ac:dyDescent="0.25">
      <c r="B349" s="8" t="s">
        <v>186</v>
      </c>
    </row>
    <row r="351" spans="1:3" ht="15" customHeight="1" x14ac:dyDescent="0.25">
      <c r="B351" s="10" t="s">
        <v>187</v>
      </c>
      <c r="C351" s="50">
        <v>0</v>
      </c>
    </row>
    <row r="352" spans="1:3" ht="15" customHeight="1" x14ac:dyDescent="0.25">
      <c r="B352" s="10" t="s">
        <v>188</v>
      </c>
      <c r="C352" s="50">
        <v>0</v>
      </c>
    </row>
    <row r="353" spans="2:3" ht="15" customHeight="1" x14ac:dyDescent="0.25">
      <c r="B353" s="10" t="s">
        <v>189</v>
      </c>
      <c r="C353" s="50">
        <v>0</v>
      </c>
    </row>
    <row r="354" spans="2:3" ht="15" customHeight="1" x14ac:dyDescent="0.25">
      <c r="B354" s="10" t="s">
        <v>190</v>
      </c>
      <c r="C354" s="50">
        <v>0</v>
      </c>
    </row>
    <row r="355" spans="2:3" ht="15" customHeight="1" x14ac:dyDescent="0.25">
      <c r="B355" s="10" t="s">
        <v>191</v>
      </c>
      <c r="C355" s="50">
        <v>0</v>
      </c>
    </row>
    <row r="356" spans="2:3" ht="15" customHeight="1" x14ac:dyDescent="0.25">
      <c r="B356" s="10" t="s">
        <v>192</v>
      </c>
      <c r="C356" s="50">
        <v>0</v>
      </c>
    </row>
    <row r="357" spans="2:3" ht="15" customHeight="1" x14ac:dyDescent="0.25">
      <c r="B357" s="10" t="s">
        <v>193</v>
      </c>
      <c r="C357" s="50">
        <v>0</v>
      </c>
    </row>
    <row r="358" spans="2:3" ht="15" customHeight="1" x14ac:dyDescent="0.25">
      <c r="B358" s="10" t="s">
        <v>194</v>
      </c>
      <c r="C358" s="50">
        <v>0</v>
      </c>
    </row>
    <row r="359" spans="2:3" ht="15" customHeight="1" x14ac:dyDescent="0.25">
      <c r="B359" s="10" t="s">
        <v>195</v>
      </c>
      <c r="C359" s="50">
        <v>0</v>
      </c>
    </row>
    <row r="360" spans="2:3" ht="15" customHeight="1" x14ac:dyDescent="0.25">
      <c r="B360" s="10" t="s">
        <v>196</v>
      </c>
      <c r="C360" s="50">
        <v>0</v>
      </c>
    </row>
    <row r="362" spans="2:3" ht="15" customHeight="1" x14ac:dyDescent="0.25">
      <c r="B362" s="10" t="s">
        <v>197</v>
      </c>
      <c r="C362" s="45"/>
    </row>
    <row r="363" spans="2:3" ht="15" customHeight="1" x14ac:dyDescent="0.25">
      <c r="B363" s="10" t="s">
        <v>198</v>
      </c>
      <c r="C363" s="45"/>
    </row>
    <row r="364" spans="2:3" ht="15" customHeight="1" x14ac:dyDescent="0.25">
      <c r="B364" s="10" t="s">
        <v>199</v>
      </c>
      <c r="C364" s="45"/>
    </row>
    <row r="365" spans="2:3" ht="15" customHeight="1" x14ac:dyDescent="0.25">
      <c r="B365" s="10" t="s">
        <v>200</v>
      </c>
      <c r="C365" s="45"/>
    </row>
    <row r="366" spans="2:3" ht="15" customHeight="1" x14ac:dyDescent="0.25">
      <c r="B366" s="10" t="s">
        <v>201</v>
      </c>
      <c r="C366" s="45"/>
    </row>
    <row r="367" spans="2:3" ht="15" customHeight="1" x14ac:dyDescent="0.25">
      <c r="B367" s="10" t="s">
        <v>202</v>
      </c>
      <c r="C367" s="45"/>
    </row>
    <row r="368" spans="2:3" ht="15" customHeight="1" x14ac:dyDescent="0.25">
      <c r="B368" s="10" t="s">
        <v>203</v>
      </c>
      <c r="C368" s="45"/>
    </row>
    <row r="369" spans="2:3" ht="15" customHeight="1" x14ac:dyDescent="0.25">
      <c r="B369" s="10" t="s">
        <v>204</v>
      </c>
      <c r="C369" s="45"/>
    </row>
    <row r="370" spans="2:3" ht="15" customHeight="1" x14ac:dyDescent="0.25">
      <c r="B370" s="10" t="s">
        <v>205</v>
      </c>
      <c r="C370" s="45"/>
    </row>
    <row r="371" spans="2:3" ht="15" customHeight="1" x14ac:dyDescent="0.25">
      <c r="B371" s="10" t="s">
        <v>206</v>
      </c>
      <c r="C371" s="45"/>
    </row>
    <row r="373" spans="2:3" ht="15" customHeight="1" x14ac:dyDescent="0.25">
      <c r="B373" t="s">
        <v>207</v>
      </c>
      <c r="C373" s="47">
        <f>IF(Main!C351=0,0,IF(Main!C362="",1,0))</f>
        <v>0</v>
      </c>
    </row>
    <row r="374" spans="2:3" ht="15" customHeight="1" x14ac:dyDescent="0.25">
      <c r="B374" t="s">
        <v>208</v>
      </c>
      <c r="C374" s="47">
        <f>IF(Main!C352=0,0,IF(Main!C363="",1,0))</f>
        <v>0</v>
      </c>
    </row>
    <row r="375" spans="2:3" ht="15" customHeight="1" x14ac:dyDescent="0.25">
      <c r="B375" t="s">
        <v>209</v>
      </c>
      <c r="C375" s="47">
        <f>IF(Main!C353=0,0,IF(Main!C364="",1,0))</f>
        <v>0</v>
      </c>
    </row>
    <row r="376" spans="2:3" ht="15" customHeight="1" x14ac:dyDescent="0.25">
      <c r="B376" t="s">
        <v>210</v>
      </c>
      <c r="C376" s="47">
        <f>IF(Main!C354=0,0,IF(Main!C365="",1,0))</f>
        <v>0</v>
      </c>
    </row>
    <row r="377" spans="2:3" ht="15" customHeight="1" x14ac:dyDescent="0.25">
      <c r="B377" t="s">
        <v>211</v>
      </c>
      <c r="C377" s="47">
        <f>IF(Main!C355=0,0,IF(Main!C366="",1,0))</f>
        <v>0</v>
      </c>
    </row>
    <row r="378" spans="2:3" ht="15" customHeight="1" x14ac:dyDescent="0.25">
      <c r="B378" t="s">
        <v>212</v>
      </c>
      <c r="C378" s="47">
        <f>IF(Main!C356=0,0,IF(Main!C367="",1,0))</f>
        <v>0</v>
      </c>
    </row>
    <row r="379" spans="2:3" ht="15" customHeight="1" x14ac:dyDescent="0.25">
      <c r="B379" t="s">
        <v>213</v>
      </c>
      <c r="C379" s="47">
        <f>IF(Main!C357=0,0,IF(Main!C368="",1,0))</f>
        <v>0</v>
      </c>
    </row>
    <row r="380" spans="2:3" ht="15" customHeight="1" x14ac:dyDescent="0.25">
      <c r="B380" t="s">
        <v>214</v>
      </c>
      <c r="C380" s="47">
        <f>IF(Main!C358=0,0,IF(Main!C369="",1,0))</f>
        <v>0</v>
      </c>
    </row>
    <row r="381" spans="2:3" ht="15" customHeight="1" x14ac:dyDescent="0.25">
      <c r="B381" t="s">
        <v>215</v>
      </c>
      <c r="C381" s="47">
        <f>IF(Main!C359=0,0,IF(Main!C370="",1,0))</f>
        <v>0</v>
      </c>
    </row>
    <row r="382" spans="2:3" ht="15" customHeight="1" x14ac:dyDescent="0.25">
      <c r="B382" t="s">
        <v>216</v>
      </c>
      <c r="C382" s="47">
        <f>IF(Main!C360=0,0,IF(Main!C371="",1,0))</f>
        <v>0</v>
      </c>
    </row>
    <row r="384" spans="2:3" ht="15" customHeight="1" x14ac:dyDescent="0.25">
      <c r="B384" t="s">
        <v>217</v>
      </c>
      <c r="C384" s="47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25">
      <c r="B385" t="s">
        <v>218</v>
      </c>
      <c r="C385" s="47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25">
      <c r="B386" t="s">
        <v>219</v>
      </c>
      <c r="C386" s="47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25">
      <c r="B387" t="s">
        <v>220</v>
      </c>
      <c r="C387" s="47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25">
      <c r="B388" t="s">
        <v>221</v>
      </c>
      <c r="C388" s="47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25">
      <c r="B389" t="s">
        <v>222</v>
      </c>
      <c r="C389" s="47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25">
      <c r="B390" t="s">
        <v>223</v>
      </c>
      <c r="C390" s="47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25">
      <c r="B391" t="s">
        <v>224</v>
      </c>
      <c r="C391" s="47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25">
      <c r="B392" t="s">
        <v>225</v>
      </c>
      <c r="C392" s="47">
        <f>IF(AND(Main!C359&lt;=VLOOKUP(Main!$C$29,tblBBRStateApplicabilities,9,FALSE),Main!C359&gt;=VLOOKUP(Main!$C$29,tblBBRStateApplicabilities,8,FALSE)),0,1)</f>
        <v>0</v>
      </c>
    </row>
    <row r="393" spans="2:3" ht="15" customHeight="1" x14ac:dyDescent="0.25">
      <c r="B393" t="s">
        <v>226</v>
      </c>
      <c r="C393" s="47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19</v>
      </c>
      <c r="C395" s="9" t="str">
        <f>$C$29</f>
        <v>Surplus</v>
      </c>
    </row>
    <row r="396" spans="2:3" ht="15" customHeight="1" x14ac:dyDescent="0.25">
      <c r="B396" t="s">
        <v>227</v>
      </c>
      <c r="C396" s="40">
        <f>VLOOKUP(C395,tblBBRStateApplicabilities,6,0)</f>
        <v>-0.5</v>
      </c>
    </row>
    <row r="397" spans="2:3" ht="15" customHeight="1" x14ac:dyDescent="0.25">
      <c r="B397" t="s">
        <v>228</v>
      </c>
      <c r="C397" s="40">
        <f>VLOOKUP(C395,tblBBRStateApplicabilities,7,0)</f>
        <v>0.5</v>
      </c>
    </row>
    <row r="398" spans="2:3" ht="15" customHeight="1" x14ac:dyDescent="0.25">
      <c r="B398" t="s">
        <v>229</v>
      </c>
      <c r="C398" s="40">
        <f>SUM(C351:C360)</f>
        <v>0</v>
      </c>
    </row>
    <row r="399" spans="2:3" ht="15" customHeight="1" x14ac:dyDescent="0.25">
      <c r="B399" t="s">
        <v>230</v>
      </c>
      <c r="C399" s="40">
        <f>MAX(MIN(C397,C398),C396)</f>
        <v>0</v>
      </c>
    </row>
    <row r="400" spans="2:3" ht="15" customHeight="1" x14ac:dyDescent="0.25">
      <c r="B400" t="s">
        <v>231</v>
      </c>
      <c r="C400" s="18">
        <f>C399+1</f>
        <v>1</v>
      </c>
    </row>
    <row r="403" spans="1:4" ht="15" customHeight="1" x14ac:dyDescent="0.25">
      <c r="B403" s="8" t="s">
        <v>232</v>
      </c>
      <c r="D403" s="9"/>
    </row>
    <row r="404" spans="1:4" ht="15" customHeight="1" x14ac:dyDescent="0.25">
      <c r="B404" s="17" t="s">
        <v>233</v>
      </c>
      <c r="C404" s="16">
        <f>D589+D590</f>
        <v>1113.4849981058958</v>
      </c>
    </row>
    <row r="405" spans="1:4" ht="15" customHeight="1" x14ac:dyDescent="0.25">
      <c r="B405" s="17" t="s">
        <v>234</v>
      </c>
      <c r="C405" s="16">
        <f>VLOOKUP(C29,tblAdmittedStateApplicabilities,11,FALSE)</f>
        <v>0</v>
      </c>
    </row>
    <row r="406" spans="1:4" ht="15" customHeight="1" x14ac:dyDescent="0.25">
      <c r="B406" s="17" t="s">
        <v>235</v>
      </c>
      <c r="C406" s="16" t="b">
        <f>C404&gt;=C405</f>
        <v>1</v>
      </c>
    </row>
    <row r="407" spans="1:4" ht="15" customHeight="1" x14ac:dyDescent="0.25">
      <c r="B407" s="17" t="s">
        <v>236</v>
      </c>
      <c r="C407" s="18">
        <f>IF(C406,$C$400,1)</f>
        <v>1</v>
      </c>
    </row>
    <row r="408" spans="1:4" ht="15" customHeight="1" x14ac:dyDescent="0.25">
      <c r="B408" s="17" t="s">
        <v>237</v>
      </c>
      <c r="C408" s="16">
        <f>C404*C407</f>
        <v>1113.4849981058958</v>
      </c>
    </row>
    <row r="409" spans="1:4" ht="15" customHeight="1" x14ac:dyDescent="0.25">
      <c r="B409" s="17" t="s">
        <v>238</v>
      </c>
      <c r="C409" s="16">
        <f>VLOOKUP(C29,tblAdmittedStateApplicabilities,12,FALSE)</f>
        <v>0</v>
      </c>
    </row>
    <row r="410" spans="1:4" ht="15" customHeight="1" x14ac:dyDescent="0.25">
      <c r="B410" s="17" t="s">
        <v>239</v>
      </c>
      <c r="C410" s="9" t="b">
        <f>C408&gt;=C409</f>
        <v>1</v>
      </c>
    </row>
    <row r="411" spans="1:4" ht="15" customHeight="1" x14ac:dyDescent="0.25">
      <c r="B411" s="17" t="s">
        <v>240</v>
      </c>
      <c r="C411" s="26">
        <f>IF(AND(C410,C406),C407,1)</f>
        <v>1</v>
      </c>
    </row>
    <row r="412" spans="1:4" ht="15" customHeight="1" x14ac:dyDescent="0.25">
      <c r="D412" s="9"/>
    </row>
    <row r="413" spans="1:4" ht="15" customHeight="1" x14ac:dyDescent="0.25">
      <c r="D413" s="9"/>
    </row>
    <row r="414" spans="1:4" ht="15" customHeight="1" x14ac:dyDescent="0.25">
      <c r="A414" s="20" t="s">
        <v>241</v>
      </c>
    </row>
    <row r="415" spans="1:4" ht="15" customHeight="1" x14ac:dyDescent="0.25">
      <c r="B415" s="8" t="s">
        <v>103</v>
      </c>
    </row>
    <row r="416" spans="1:4" ht="15" customHeight="1" x14ac:dyDescent="0.25">
      <c r="B416" s="8" t="s">
        <v>242</v>
      </c>
    </row>
    <row r="417" spans="1:3" ht="15" customHeight="1" x14ac:dyDescent="0.25">
      <c r="B417" s="8" t="s">
        <v>243</v>
      </c>
    </row>
    <row r="418" spans="1:3" ht="15" customHeight="1" x14ac:dyDescent="0.25">
      <c r="B418" s="8"/>
    </row>
    <row r="419" spans="1:3" ht="15" customHeight="1" x14ac:dyDescent="0.25">
      <c r="B419" t="s">
        <v>244</v>
      </c>
      <c r="C419" s="51">
        <f ca="1">$C$40</f>
        <v>44894</v>
      </c>
    </row>
    <row r="420" spans="1:3" ht="15" customHeight="1" x14ac:dyDescent="0.25">
      <c r="B420" t="s">
        <v>245</v>
      </c>
      <c r="C420" s="51">
        <f>$C$41</f>
        <v>45259</v>
      </c>
    </row>
    <row r="422" spans="1:3" ht="15" customHeight="1" x14ac:dyDescent="0.25">
      <c r="B422" t="s">
        <v>246</v>
      </c>
      <c r="C422" s="51">
        <f ca="1">DATE(YEAR(C419)+1,MONTH(C419),DAY(C419))</f>
        <v>45259</v>
      </c>
    </row>
    <row r="424" spans="1:3" ht="15" customHeight="1" x14ac:dyDescent="0.25">
      <c r="B424" t="s">
        <v>247</v>
      </c>
      <c r="C424" s="52">
        <f ca="1">(C420-C422)/365 + 1</f>
        <v>1</v>
      </c>
    </row>
    <row r="426" spans="1:3" ht="15" customHeight="1" x14ac:dyDescent="0.25">
      <c r="B426" t="s">
        <v>248</v>
      </c>
      <c r="C426" s="32">
        <f ca="1">C424</f>
        <v>1</v>
      </c>
    </row>
    <row r="427" spans="1:3" ht="15" customHeight="1" x14ac:dyDescent="0.25">
      <c r="B427" t="s">
        <v>249</v>
      </c>
      <c r="C427" s="47">
        <f ca="1">IF(DATE(YEAR(C419),MONTH(C419)+18,DAY(C419))&lt;C420,1,0)</f>
        <v>0</v>
      </c>
    </row>
    <row r="429" spans="1:3" ht="15" customHeight="1" x14ac:dyDescent="0.25">
      <c r="A429" s="20" t="s">
        <v>250</v>
      </c>
    </row>
    <row r="430" spans="1:3" ht="15" customHeight="1" x14ac:dyDescent="0.25">
      <c r="B430" s="8" t="s">
        <v>251</v>
      </c>
    </row>
    <row r="431" spans="1:3" ht="15" customHeight="1" x14ac:dyDescent="0.25">
      <c r="B431" t="s">
        <v>655</v>
      </c>
      <c r="C431">
        <f>IF(BBR.BBR.Revenue.Input&gt;VLOOKUP(RIGHT(BBR.BBR.HazardGroup.Output,1)&amp;VLOOKUP(BBR.BBR.SelectedRetention.Input,lstRetention,1,TRUE),tblSLDFBase,4,FALSE),VLOOKUP(BBR.BBR.IndustryClass.Input,tblIndustries,4,FALSE),2.5)</f>
        <v>1.5</v>
      </c>
    </row>
    <row r="432" spans="1:3" ht="15" customHeight="1" x14ac:dyDescent="0.25">
      <c r="B432" t="s">
        <v>658</v>
      </c>
      <c r="C432">
        <f>IF(VLOOKUP(BBR.BBR.IndustryClass.Input,tblIndustries,4,FALSE)&gt;C431,VLOOKUP(BBR.BBR.IndustryClass.Input,tblIndustries,4,FALSE),C431)</f>
        <v>1.5</v>
      </c>
    </row>
    <row r="433" spans="1:4" ht="15" customHeight="1" x14ac:dyDescent="0.25">
      <c r="B433" s="10" t="s">
        <v>651</v>
      </c>
      <c r="C433" s="53">
        <f>F68</f>
        <v>0</v>
      </c>
    </row>
    <row r="434" spans="1:4" ht="15" customHeight="1" x14ac:dyDescent="0.25">
      <c r="B434" t="s">
        <v>656</v>
      </c>
      <c r="C434">
        <f>C432+BBR.BBR.SurplusLinesDeviationFactorModifier.Input</f>
        <v>1.5</v>
      </c>
    </row>
    <row r="435" spans="1:4" ht="15" customHeight="1" x14ac:dyDescent="0.25">
      <c r="B435" s="10" t="s">
        <v>250</v>
      </c>
      <c r="C435" s="79" t="s">
        <v>660</v>
      </c>
      <c r="D435" s="8" t="s">
        <v>654</v>
      </c>
    </row>
    <row r="436" spans="1:4" ht="15" customHeight="1" x14ac:dyDescent="0.25">
      <c r="B436" s="10" t="s">
        <v>252</v>
      </c>
      <c r="C436" s="53"/>
      <c r="D436" s="8"/>
    </row>
    <row r="438" spans="1:4" ht="15" customHeight="1" x14ac:dyDescent="0.25">
      <c r="B438" t="s">
        <v>253</v>
      </c>
      <c r="C438" s="32">
        <f>IF(C435&lt;&gt;"Blank",C435,C434)</f>
        <v>1.5</v>
      </c>
    </row>
    <row r="439" spans="1:4" ht="15" customHeight="1" x14ac:dyDescent="0.25">
      <c r="B439" t="s">
        <v>254</v>
      </c>
      <c r="C439" s="47">
        <f>IF(AND(C438&lt;&gt;1,C29&lt;&gt;"Surplus"),1,0)</f>
        <v>0</v>
      </c>
    </row>
    <row r="440" spans="1:4" ht="15" customHeight="1" x14ac:dyDescent="0.25">
      <c r="B440" t="s">
        <v>255</v>
      </c>
      <c r="C440" s="47">
        <f>IF(C438&lt;=0,1,0)</f>
        <v>0</v>
      </c>
    </row>
    <row r="446" spans="1:4" ht="15" customHeight="1" x14ac:dyDescent="0.25">
      <c r="A446" s="20" t="s">
        <v>256</v>
      </c>
    </row>
    <row r="447" spans="1:4" ht="15" customHeight="1" x14ac:dyDescent="0.25">
      <c r="B447" s="8" t="s">
        <v>257</v>
      </c>
    </row>
    <row r="449" spans="1:4" ht="15" customHeight="1" x14ac:dyDescent="0.25">
      <c r="B449" t="s">
        <v>258</v>
      </c>
      <c r="C449">
        <v>1</v>
      </c>
      <c r="D449" s="8" t="s">
        <v>259</v>
      </c>
    </row>
    <row r="450" spans="1:4" ht="15" customHeight="1" x14ac:dyDescent="0.25">
      <c r="B450" t="s">
        <v>260</v>
      </c>
      <c r="C450">
        <f>IF(C449="",1,C449)</f>
        <v>1</v>
      </c>
    </row>
    <row r="451" spans="1:4" ht="15" customHeight="1" x14ac:dyDescent="0.25">
      <c r="B451" t="s">
        <v>261</v>
      </c>
      <c r="C451">
        <f>IF(AND(C450&lt;&gt;1,C29&lt;&gt;"NE"),1,0)</f>
        <v>0</v>
      </c>
    </row>
    <row r="452" spans="1:4" ht="15" customHeight="1" x14ac:dyDescent="0.25">
      <c r="B452" t="s">
        <v>262</v>
      </c>
      <c r="C452">
        <f>IF(AND(C450&lt;=1.4,C450&gt;=0.6),0,1)</f>
        <v>0</v>
      </c>
    </row>
    <row r="455" spans="1:4" ht="15" customHeight="1" x14ac:dyDescent="0.25">
      <c r="A455" s="20" t="s">
        <v>263</v>
      </c>
    </row>
    <row r="456" spans="1:4" ht="15" customHeight="1" x14ac:dyDescent="0.25">
      <c r="A456" s="20"/>
    </row>
    <row r="457" spans="1:4" ht="15" customHeight="1" x14ac:dyDescent="0.25">
      <c r="C457" s="54" t="s">
        <v>58</v>
      </c>
    </row>
    <row r="458" spans="1:4" ht="15" customHeight="1" x14ac:dyDescent="0.25">
      <c r="B458" t="s">
        <v>264</v>
      </c>
      <c r="C458" s="55">
        <v>1000</v>
      </c>
    </row>
    <row r="461" spans="1:4" ht="15" customHeight="1" x14ac:dyDescent="0.25">
      <c r="A461" s="20" t="s">
        <v>265</v>
      </c>
    </row>
    <row r="462" spans="1:4" ht="15" customHeight="1" x14ac:dyDescent="0.25">
      <c r="A462" s="20"/>
    </row>
    <row r="464" spans="1:4" ht="15" customHeight="1" x14ac:dyDescent="0.25">
      <c r="B464" s="10" t="s">
        <v>266</v>
      </c>
      <c r="C464" s="46">
        <v>0.2</v>
      </c>
    </row>
    <row r="465" spans="2:4" ht="15" customHeight="1" x14ac:dyDescent="0.25">
      <c r="B465" t="s">
        <v>267</v>
      </c>
      <c r="C465" s="35">
        <v>0.2</v>
      </c>
    </row>
    <row r="466" spans="2:4" ht="15" customHeight="1" x14ac:dyDescent="0.25">
      <c r="B466" t="s">
        <v>268</v>
      </c>
      <c r="C466" t="str">
        <f>$C$34</f>
        <v>No</v>
      </c>
    </row>
    <row r="467" spans="2:4" ht="15" customHeight="1" x14ac:dyDescent="0.25">
      <c r="B467" t="s">
        <v>269</v>
      </c>
      <c r="C467" s="35">
        <f>IF(C466="Yes",C464,C465)</f>
        <v>0.2</v>
      </c>
    </row>
    <row r="470" spans="2:4" ht="15" customHeight="1" x14ac:dyDescent="0.25">
      <c r="D470" s="54" t="s">
        <v>58</v>
      </c>
    </row>
    <row r="471" spans="2:4" ht="15" customHeight="1" x14ac:dyDescent="0.25">
      <c r="B471" t="s">
        <v>270</v>
      </c>
    </row>
    <row r="472" spans="2:4" ht="15" customHeight="1" x14ac:dyDescent="0.25">
      <c r="B472" s="56" t="s">
        <v>271</v>
      </c>
      <c r="D472" s="31">
        <f ca="1">MAX(SUM((C521+C495*C496*(C497-1)+C498*SUM(C499:C508))*PRODUCT(C523:C525),C529)*C530,C534)</f>
        <v>1012.259089187178</v>
      </c>
    </row>
    <row r="473" spans="2:4" ht="15" customHeight="1" x14ac:dyDescent="0.25">
      <c r="B473" s="56" t="s">
        <v>272</v>
      </c>
      <c r="D473" s="31">
        <f ca="1">MAX(SUM((C521+C495*C496*(C497-1)+C498*SUM(C499:C508))*PRODUCT(C523:C525),C529)*C530,C534)</f>
        <v>1012.259089187178</v>
      </c>
    </row>
    <row r="474" spans="2:4" ht="15" customHeight="1" x14ac:dyDescent="0.25">
      <c r="B474" s="56" t="s">
        <v>273</v>
      </c>
      <c r="D474" s="31">
        <f ca="1">MAX(SUM((C521+C495*C496*(C497-1)+C498*SUM(C499:C508))*PRODUCT(C523:C525),C529)*C530,C534)</f>
        <v>1012.259089187178</v>
      </c>
    </row>
    <row r="475" spans="2:4" ht="15" customHeight="1" x14ac:dyDescent="0.25">
      <c r="D475" s="31"/>
    </row>
    <row r="476" spans="2:4" ht="15.75" customHeight="1" x14ac:dyDescent="0.25">
      <c r="B476" t="s">
        <v>274</v>
      </c>
    </row>
    <row r="477" spans="2:4" ht="15" customHeight="1" x14ac:dyDescent="0.25">
      <c r="B477" s="56" t="s">
        <v>271</v>
      </c>
      <c r="D477" s="31">
        <f ca="1">MIN(0,($C$467-$C$465)*D472)</f>
        <v>0</v>
      </c>
    </row>
    <row r="478" spans="2:4" ht="15" customHeight="1" x14ac:dyDescent="0.25">
      <c r="B478" s="56" t="s">
        <v>272</v>
      </c>
      <c r="D478" s="31">
        <f ca="1">MIN(0,($C$467-$C$465)*D473)</f>
        <v>0</v>
      </c>
    </row>
    <row r="479" spans="2:4" ht="15" customHeight="1" x14ac:dyDescent="0.25">
      <c r="B479" s="56" t="s">
        <v>273</v>
      </c>
      <c r="D479" s="31">
        <f ca="1">MIN(0,($C$467-$C$465)*D474)</f>
        <v>0</v>
      </c>
    </row>
    <row r="481" spans="1:4" ht="15" customHeight="1" x14ac:dyDescent="0.25">
      <c r="A481" s="7" t="s">
        <v>275</v>
      </c>
      <c r="B481" s="1"/>
      <c r="C481" s="1"/>
      <c r="D481" s="1"/>
    </row>
    <row r="482" spans="1:4" ht="15" customHeight="1" x14ac:dyDescent="0.25">
      <c r="A482" s="7"/>
      <c r="B482" s="1"/>
      <c r="C482" s="1"/>
      <c r="D482" s="1"/>
    </row>
    <row r="483" spans="1:4" ht="15" customHeight="1" x14ac:dyDescent="0.25">
      <c r="A483" s="7"/>
      <c r="B483" s="1"/>
      <c r="C483" s="54" t="s">
        <v>58</v>
      </c>
    </row>
    <row r="484" spans="1:4" ht="15" customHeight="1" x14ac:dyDescent="0.25">
      <c r="A484" s="1"/>
      <c r="B484" s="57" t="s">
        <v>276</v>
      </c>
      <c r="C484" s="58">
        <f>$C$73</f>
        <v>779.18229059999999</v>
      </c>
    </row>
    <row r="485" spans="1:4" ht="15" customHeight="1" x14ac:dyDescent="0.25">
      <c r="A485" s="1"/>
      <c r="B485" s="57" t="s">
        <v>277</v>
      </c>
      <c r="C485" s="59">
        <f>C$104</f>
        <v>1</v>
      </c>
    </row>
    <row r="486" spans="1:4" ht="15" customHeight="1" x14ac:dyDescent="0.25">
      <c r="A486" s="1"/>
      <c r="B486" s="57" t="s">
        <v>278</v>
      </c>
      <c r="C486" s="59">
        <f>C$127</f>
        <v>1.1724999999999999</v>
      </c>
    </row>
    <row r="487" spans="1:4" ht="15" customHeight="1" x14ac:dyDescent="0.25">
      <c r="A487" s="1"/>
      <c r="B487" s="57" t="s">
        <v>279</v>
      </c>
      <c r="C487" s="59">
        <f>C$153</f>
        <v>1.1080000000000001</v>
      </c>
    </row>
    <row r="488" spans="1:4" ht="15" customHeight="1" x14ac:dyDescent="0.25">
      <c r="A488" s="1"/>
      <c r="B488" s="60" t="s">
        <v>280</v>
      </c>
      <c r="C488" s="58">
        <f>PRODUCT(C484:C487)</f>
        <v>1012.259089187178</v>
      </c>
    </row>
    <row r="489" spans="1:4" ht="15" customHeight="1" x14ac:dyDescent="0.25">
      <c r="A489" s="1"/>
      <c r="B489" s="57"/>
      <c r="C489" s="59"/>
    </row>
    <row r="490" spans="1:4" ht="15" customHeight="1" x14ac:dyDescent="0.25">
      <c r="A490" s="1"/>
      <c r="B490" s="57"/>
      <c r="C490" s="59"/>
    </row>
    <row r="491" spans="1:4" ht="15" customHeight="1" x14ac:dyDescent="0.25">
      <c r="A491" s="1"/>
      <c r="B491" s="57" t="s">
        <v>281</v>
      </c>
      <c r="C491" s="58">
        <f>C484*C486*C487</f>
        <v>1012.259089187178</v>
      </c>
    </row>
    <row r="492" spans="1:4" ht="15" customHeight="1" x14ac:dyDescent="0.25">
      <c r="A492" s="1"/>
      <c r="B492" s="57" t="s">
        <v>282</v>
      </c>
      <c r="C492" s="59">
        <f>+C189</f>
        <v>1</v>
      </c>
    </row>
    <row r="493" spans="1:4" ht="15" customHeight="1" x14ac:dyDescent="0.25">
      <c r="A493" s="1"/>
      <c r="B493" s="60" t="s">
        <v>283</v>
      </c>
      <c r="C493" s="58">
        <f>PRODUCT(C491:C492)</f>
        <v>1012.259089187178</v>
      </c>
    </row>
    <row r="494" spans="1:4" ht="15" customHeight="1" x14ac:dyDescent="0.25">
      <c r="A494" s="1"/>
      <c r="B494" s="57"/>
      <c r="C494" s="59"/>
    </row>
    <row r="495" spans="1:4" ht="15" customHeight="1" x14ac:dyDescent="0.25">
      <c r="A495" s="1"/>
      <c r="B495" s="57" t="s">
        <v>48</v>
      </c>
      <c r="C495" s="58">
        <f>C484</f>
        <v>779.18229059999999</v>
      </c>
    </row>
    <row r="496" spans="1:4" ht="15" customHeight="1" x14ac:dyDescent="0.25">
      <c r="A496" s="1"/>
      <c r="B496" s="57" t="s">
        <v>92</v>
      </c>
      <c r="C496" s="59">
        <f>C486</f>
        <v>1.1724999999999999</v>
      </c>
    </row>
    <row r="497" spans="1:3" ht="15" customHeight="1" x14ac:dyDescent="0.25">
      <c r="A497" s="1"/>
      <c r="B497" s="57" t="s">
        <v>284</v>
      </c>
      <c r="C497" s="59">
        <f>C$290</f>
        <v>1</v>
      </c>
    </row>
    <row r="498" spans="1:3" ht="15" customHeight="1" x14ac:dyDescent="0.25">
      <c r="A498" s="1"/>
      <c r="B498" s="57" t="s">
        <v>285</v>
      </c>
      <c r="C498" s="58">
        <f>C488</f>
        <v>1012.259089187178</v>
      </c>
    </row>
    <row r="499" spans="1:3" ht="15" customHeight="1" x14ac:dyDescent="0.25">
      <c r="A499" s="1"/>
      <c r="B499" s="61" t="s">
        <v>286</v>
      </c>
      <c r="C499" s="62">
        <f>BBR.BBR.PrivacyBreachResponse.Output</f>
        <v>0</v>
      </c>
    </row>
    <row r="500" spans="1:3" ht="15" customHeight="1" x14ac:dyDescent="0.25">
      <c r="A500" s="1"/>
      <c r="B500" s="61" t="s">
        <v>287</v>
      </c>
      <c r="C500" s="62">
        <f>BBR.BBR.RegulatoryDefenseandPenalties.Output</f>
        <v>0</v>
      </c>
    </row>
    <row r="501" spans="1:3" ht="15" customHeight="1" x14ac:dyDescent="0.25">
      <c r="A501" s="1"/>
      <c r="B501" s="61" t="s">
        <v>288</v>
      </c>
      <c r="C501" s="62">
        <f>BBR.BBR.PCIFinesandCosts.Output</f>
        <v>0</v>
      </c>
    </row>
    <row r="502" spans="1:3" ht="15" customHeight="1" x14ac:dyDescent="0.25">
      <c r="A502" s="1"/>
      <c r="B502" s="61" t="s">
        <v>289</v>
      </c>
      <c r="C502" s="62">
        <f>BBR.BBR.DBISecurityBreach.Output</f>
        <v>0</v>
      </c>
    </row>
    <row r="503" spans="1:3" ht="15" customHeight="1" x14ac:dyDescent="0.25">
      <c r="A503" s="1"/>
      <c r="B503" s="61" t="s">
        <v>290</v>
      </c>
      <c r="C503" s="62">
        <f>BBR.BBR.DBISystemFailure.Output</f>
        <v>0</v>
      </c>
    </row>
    <row r="504" spans="1:3" s="1" customFormat="1" ht="15" customHeight="1" x14ac:dyDescent="0.25">
      <c r="B504" s="61" t="s">
        <v>291</v>
      </c>
      <c r="C504" s="62">
        <f>BBR.BBR.IPInfringementDebit.Output</f>
        <v>0</v>
      </c>
    </row>
    <row r="505" spans="1:3" s="1" customFormat="1" ht="15" customHeight="1" x14ac:dyDescent="0.25">
      <c r="B505" s="61" t="s">
        <v>292</v>
      </c>
      <c r="C505" s="62">
        <f>BBR.BBR.ProfServicesCredit.Output</f>
        <v>0</v>
      </c>
    </row>
    <row r="506" spans="1:3" s="1" customFormat="1" ht="15" customHeight="1" x14ac:dyDescent="0.25">
      <c r="B506" s="61" t="s">
        <v>293</v>
      </c>
      <c r="C506" s="62">
        <f>BBR.BBR.ElectronicCrimeCredit.Output</f>
        <v>0</v>
      </c>
    </row>
    <row r="507" spans="1:3" s="1" customFormat="1" ht="15" customHeight="1" x14ac:dyDescent="0.25">
      <c r="B507" s="61" t="s">
        <v>294</v>
      </c>
      <c r="C507" s="62">
        <f>BBR.BBR.TelephoneFraudCredit.Output</f>
        <v>0</v>
      </c>
    </row>
    <row r="508" spans="1:3" s="1" customFormat="1" ht="15" customHeight="1" x14ac:dyDescent="0.25">
      <c r="B508" s="61" t="s">
        <v>295</v>
      </c>
      <c r="C508" s="62">
        <f>BBR.BBR.FradulentInstructionCredit.Output</f>
        <v>0</v>
      </c>
    </row>
    <row r="509" spans="1:3" s="1" customFormat="1" ht="15" customHeight="1" x14ac:dyDescent="0.25">
      <c r="B509" s="61" t="s">
        <v>174</v>
      </c>
      <c r="C509" s="62">
        <f>BBR.BBR.ComputerHardwareReplacementCost.Output</f>
        <v>0.02</v>
      </c>
    </row>
    <row r="510" spans="1:3" s="1" customFormat="1" ht="15" customHeight="1" x14ac:dyDescent="0.25">
      <c r="B510" s="61" t="s">
        <v>296</v>
      </c>
      <c r="C510" s="62">
        <f>BBR.BBR.CryptoJacking.Output</f>
        <v>0.02</v>
      </c>
    </row>
    <row r="511" spans="1:3" s="1" customFormat="1" ht="15" customHeight="1" x14ac:dyDescent="0.25">
      <c r="B511" s="61" t="s">
        <v>178</v>
      </c>
      <c r="C511" s="62">
        <f>BBR.BBR.ReputationLoss.Output</f>
        <v>0.02</v>
      </c>
    </row>
    <row r="512" spans="1:3" s="1" customFormat="1" ht="15" customHeight="1" x14ac:dyDescent="0.25">
      <c r="B512" s="61" t="s">
        <v>297</v>
      </c>
      <c r="C512" s="62">
        <f>BBR.BBR.ContingentBodilyInjury.Output</f>
        <v>0.02</v>
      </c>
    </row>
    <row r="513" spans="2:3" s="1" customFormat="1" ht="15" customHeight="1" x14ac:dyDescent="0.25">
      <c r="B513" s="61" t="s">
        <v>298</v>
      </c>
      <c r="C513" s="62">
        <f>BBR.BBR.InvoiceManipulation.Output</f>
        <v>0.02</v>
      </c>
    </row>
    <row r="514" spans="2:3" s="1" customFormat="1" ht="15" customHeight="1" x14ac:dyDescent="0.25">
      <c r="B514" s="61" t="s">
        <v>299</v>
      </c>
      <c r="C514" s="62">
        <f>BBR.BBR.MissedBid.Output</f>
        <v>0</v>
      </c>
    </row>
    <row r="515" spans="2:3" s="1" customFormat="1" ht="15" customHeight="1" x14ac:dyDescent="0.25">
      <c r="B515" s="61" t="s">
        <v>300</v>
      </c>
      <c r="C515" s="62">
        <f>BBR.BBR.CardReissuanceCosts.Output</f>
        <v>0</v>
      </c>
    </row>
    <row r="516" spans="2:3" s="1" customFormat="1" ht="15" customHeight="1" x14ac:dyDescent="0.25">
      <c r="B516" s="61" t="s">
        <v>183</v>
      </c>
      <c r="C516" s="62">
        <f>BBR.BBR.RPSInvoiceManipulationAutoDealers.Output</f>
        <v>0</v>
      </c>
    </row>
    <row r="517" spans="2:3" s="1" customFormat="1" ht="15" customHeight="1" x14ac:dyDescent="0.25">
      <c r="B517" s="61" t="s">
        <v>184</v>
      </c>
      <c r="C517" s="62">
        <f>BBR.BBR.AmendProofofLossSublimit.Output</f>
        <v>0</v>
      </c>
    </row>
    <row r="518" spans="2:3" s="1" customFormat="1" ht="15" customHeight="1" x14ac:dyDescent="0.25">
      <c r="B518" s="60" t="s">
        <v>301</v>
      </c>
      <c r="C518" s="58">
        <f>C498*SUM(C499:C517)</f>
        <v>101.22590891871781</v>
      </c>
    </row>
    <row r="519" spans="2:3" s="1" customFormat="1" ht="15" customHeight="1" x14ac:dyDescent="0.25">
      <c r="B519" s="57" t="s">
        <v>302</v>
      </c>
      <c r="C519" s="59">
        <f>C495*C496*(C497-1)</f>
        <v>0</v>
      </c>
    </row>
    <row r="520" spans="2:3" s="1" customFormat="1" ht="15" customHeight="1" x14ac:dyDescent="0.25">
      <c r="B520" s="57"/>
      <c r="C520" s="59"/>
    </row>
    <row r="521" spans="2:3" s="1" customFormat="1" ht="15" customHeight="1" x14ac:dyDescent="0.25">
      <c r="B521" s="57" t="s">
        <v>283</v>
      </c>
      <c r="C521" s="58">
        <f>C493</f>
        <v>1012.259089187178</v>
      </c>
    </row>
    <row r="522" spans="2:3" s="1" customFormat="1" ht="15" customHeight="1" x14ac:dyDescent="0.25">
      <c r="B522" s="57" t="s">
        <v>303</v>
      </c>
      <c r="C522" s="58">
        <f>C518+C519</f>
        <v>101.22590891871781</v>
      </c>
    </row>
    <row r="523" spans="2:3" s="1" customFormat="1" ht="15" customHeight="1" x14ac:dyDescent="0.25">
      <c r="B523" s="57" t="s">
        <v>304</v>
      </c>
      <c r="C523" s="59">
        <f>C411</f>
        <v>1</v>
      </c>
    </row>
    <row r="524" spans="2:3" s="1" customFormat="1" ht="15" customHeight="1" x14ac:dyDescent="0.25">
      <c r="B524" s="57" t="s">
        <v>305</v>
      </c>
      <c r="C524" s="59">
        <v>1</v>
      </c>
    </row>
    <row r="525" spans="2:3" s="1" customFormat="1" ht="15" customHeight="1" x14ac:dyDescent="0.25">
      <c r="B525" s="57" t="s">
        <v>306</v>
      </c>
      <c r="C525" s="59">
        <f ca="1">$C$426</f>
        <v>1</v>
      </c>
    </row>
    <row r="526" spans="2:3" s="1" customFormat="1" ht="15" customHeight="1" x14ac:dyDescent="0.25">
      <c r="B526" s="60" t="s">
        <v>307</v>
      </c>
      <c r="C526" s="58">
        <f ca="1">(C521+C522)*PRODUCT(C523:C525)</f>
        <v>1113.4849981058958</v>
      </c>
    </row>
    <row r="527" spans="2:3" s="1" customFormat="1" ht="15" customHeight="1" x14ac:dyDescent="0.25">
      <c r="B527" s="57"/>
      <c r="C527" s="59"/>
    </row>
    <row r="528" spans="2:3" s="1" customFormat="1" ht="15" customHeight="1" x14ac:dyDescent="0.25">
      <c r="B528" s="57" t="s">
        <v>307</v>
      </c>
      <c r="C528" s="58">
        <f ca="1">C526</f>
        <v>1113.4849981058958</v>
      </c>
    </row>
    <row r="529" spans="1:3" s="1" customFormat="1" ht="15" customHeight="1" x14ac:dyDescent="0.25">
      <c r="B529" s="57" t="s">
        <v>308</v>
      </c>
      <c r="C529" s="58">
        <v>0</v>
      </c>
    </row>
    <row r="530" spans="1:3" s="1" customFormat="1" ht="15" customHeight="1" x14ac:dyDescent="0.25">
      <c r="B530" s="57" t="s">
        <v>309</v>
      </c>
      <c r="C530" s="59">
        <f>$C$450</f>
        <v>1</v>
      </c>
    </row>
    <row r="531" spans="1:3" s="1" customFormat="1" ht="15" customHeight="1" x14ac:dyDescent="0.25">
      <c r="B531" s="60" t="s">
        <v>310</v>
      </c>
      <c r="C531" s="58">
        <f ca="1">C528*C530</f>
        <v>1113.4849981058958</v>
      </c>
    </row>
    <row r="532" spans="1:3" s="1" customFormat="1" ht="15" customHeight="1" x14ac:dyDescent="0.25">
      <c r="B532" s="57"/>
      <c r="C532" s="59"/>
    </row>
    <row r="533" spans="1:3" s="1" customFormat="1" ht="15" customHeight="1" x14ac:dyDescent="0.25">
      <c r="B533" s="57" t="s">
        <v>310</v>
      </c>
      <c r="C533" s="58">
        <f ca="1">C531</f>
        <v>1113.4849981058958</v>
      </c>
    </row>
    <row r="534" spans="1:3" s="1" customFormat="1" ht="15" customHeight="1" x14ac:dyDescent="0.25">
      <c r="B534" s="57" t="s">
        <v>311</v>
      </c>
      <c r="C534" s="58">
        <f>C$458</f>
        <v>1000</v>
      </c>
    </row>
    <row r="535" spans="1:3" s="1" customFormat="1" ht="15" customHeight="1" x14ac:dyDescent="0.25">
      <c r="B535" s="57" t="s">
        <v>277</v>
      </c>
      <c r="C535" s="59">
        <f>C$104</f>
        <v>1</v>
      </c>
    </row>
    <row r="536" spans="1:3" s="1" customFormat="1" ht="15" customHeight="1" x14ac:dyDescent="0.25">
      <c r="B536" s="57" t="s">
        <v>312</v>
      </c>
      <c r="C536" s="59">
        <f>$C$438</f>
        <v>1.5</v>
      </c>
    </row>
    <row r="537" spans="1:3" s="1" customFormat="1" ht="15" customHeight="1" x14ac:dyDescent="0.25">
      <c r="B537" s="60" t="s">
        <v>313</v>
      </c>
      <c r="C537" s="58">
        <f ca="1">MAX(C533:C534)*C535*C536</f>
        <v>1670.2274971588436</v>
      </c>
    </row>
    <row r="538" spans="1:3" s="1" customFormat="1" ht="15" customHeight="1" x14ac:dyDescent="0.25">
      <c r="B538" s="57"/>
      <c r="C538" s="59"/>
    </row>
    <row r="539" spans="1:3" s="1" customFormat="1" ht="15" customHeight="1" x14ac:dyDescent="0.25">
      <c r="B539" s="57" t="s">
        <v>313</v>
      </c>
      <c r="C539" s="58">
        <f ca="1">C537</f>
        <v>1670.2274971588436</v>
      </c>
    </row>
    <row r="540" spans="1:3" s="1" customFormat="1" ht="15" customHeight="1" x14ac:dyDescent="0.25">
      <c r="B540" s="60" t="s">
        <v>314</v>
      </c>
      <c r="C540" s="58">
        <f ca="1">ROUND(C539,1)</f>
        <v>1670.2</v>
      </c>
    </row>
    <row r="541" spans="1:3" s="1" customFormat="1" ht="15" customHeight="1" x14ac:dyDescent="0.25">
      <c r="A541"/>
      <c r="B541"/>
      <c r="C541"/>
    </row>
    <row r="542" spans="1:3" s="1" customFormat="1" ht="15" customHeight="1" x14ac:dyDescent="0.25">
      <c r="A542"/>
      <c r="B542"/>
      <c r="C542"/>
    </row>
    <row r="543" spans="1:3" s="1" customFormat="1" ht="15" customHeight="1" x14ac:dyDescent="0.25">
      <c r="A543"/>
      <c r="B543"/>
      <c r="C543"/>
    </row>
    <row r="544" spans="1:3" s="1" customFormat="1" ht="15" customHeight="1" x14ac:dyDescent="0.25">
      <c r="A544"/>
      <c r="B544"/>
      <c r="C544"/>
    </row>
    <row r="545" spans="1:5" s="1" customFormat="1" ht="15" customHeight="1" x14ac:dyDescent="0.25">
      <c r="A545"/>
      <c r="B545" t="s">
        <v>315</v>
      </c>
      <c r="C545" s="63">
        <f ca="1">ROUND(C540/100,1)*100</f>
        <v>1670</v>
      </c>
    </row>
    <row r="546" spans="1:5" s="1" customFormat="1" ht="15" customHeight="1" x14ac:dyDescent="0.25">
      <c r="A546"/>
      <c r="B546" t="s">
        <v>316</v>
      </c>
      <c r="C546" s="31">
        <v>0</v>
      </c>
    </row>
    <row r="547" spans="1:5" s="1" customFormat="1" ht="15" customHeight="1" x14ac:dyDescent="0.25">
      <c r="A547"/>
      <c r="B547"/>
      <c r="C547"/>
      <c r="D547"/>
    </row>
    <row r="548" spans="1:5" s="1" customFormat="1" ht="15" customHeight="1" x14ac:dyDescent="0.25">
      <c r="A548"/>
      <c r="B548"/>
      <c r="C548"/>
      <c r="D548"/>
    </row>
    <row r="549" spans="1:5" s="1" customFormat="1" ht="15" customHeight="1" x14ac:dyDescent="0.25">
      <c r="A549" s="7" t="s">
        <v>317</v>
      </c>
    </row>
    <row r="550" spans="1:5" s="1" customFormat="1" ht="15" customHeight="1" x14ac:dyDescent="0.25">
      <c r="A550" s="7"/>
    </row>
    <row r="551" spans="1:5" s="1" customFormat="1" ht="15" customHeight="1" x14ac:dyDescent="0.25">
      <c r="A551" s="7"/>
      <c r="C551" s="54" t="s">
        <v>318</v>
      </c>
      <c r="D551" s="54" t="s">
        <v>58</v>
      </c>
    </row>
    <row r="552" spans="1:5" s="1" customFormat="1" ht="15" customHeight="1" x14ac:dyDescent="0.25">
      <c r="B552" s="57" t="s">
        <v>276</v>
      </c>
      <c r="C552" s="1" t="s">
        <v>319</v>
      </c>
      <c r="D552" s="58">
        <f>$C$73</f>
        <v>779.18229059999999</v>
      </c>
    </row>
    <row r="553" spans="1:5" s="1" customFormat="1" ht="15" customHeight="1" x14ac:dyDescent="0.25">
      <c r="B553" s="57" t="s">
        <v>277</v>
      </c>
      <c r="C553" s="1" t="s">
        <v>319</v>
      </c>
      <c r="D553" s="59">
        <f>C$104</f>
        <v>1</v>
      </c>
    </row>
    <row r="554" spans="1:5" s="1" customFormat="1" ht="15" customHeight="1" x14ac:dyDescent="0.25">
      <c r="B554" s="57" t="s">
        <v>278</v>
      </c>
      <c r="C554" s="1" t="s">
        <v>319</v>
      </c>
      <c r="D554" s="59">
        <f>C$127</f>
        <v>1.1724999999999999</v>
      </c>
    </row>
    <row r="555" spans="1:5" ht="15" customHeight="1" x14ac:dyDescent="0.25">
      <c r="A555" s="1"/>
      <c r="B555" s="57" t="s">
        <v>279</v>
      </c>
      <c r="C555" s="1" t="s">
        <v>319</v>
      </c>
      <c r="D555" s="59">
        <f>C$153</f>
        <v>1.1080000000000001</v>
      </c>
      <c r="E555" s="1"/>
    </row>
    <row r="556" spans="1:5" ht="15" customHeight="1" x14ac:dyDescent="0.25">
      <c r="A556" s="1"/>
      <c r="B556" s="60" t="s">
        <v>280</v>
      </c>
      <c r="C556" s="1"/>
      <c r="D556" s="58">
        <f>PRODUCT(D552:D555)</f>
        <v>1012.259089187178</v>
      </c>
      <c r="E556" s="1"/>
    </row>
    <row r="557" spans="1:5" ht="15" customHeight="1" x14ac:dyDescent="0.25">
      <c r="A557" s="1"/>
      <c r="B557" s="57"/>
      <c r="C557" s="1"/>
      <c r="D557" s="59"/>
      <c r="E557" t="s">
        <v>320</v>
      </c>
    </row>
    <row r="558" spans="1:5" ht="15" customHeight="1" x14ac:dyDescent="0.25">
      <c r="A558" s="1"/>
      <c r="B558" s="57"/>
      <c r="C558" s="1"/>
      <c r="D558" s="59"/>
      <c r="E558" s="31">
        <f ca="1">SUM((C521+C495*C496*(C497-1)+C498*SUM(C499:C508))*PRODUCT(C523:C525))</f>
        <v>1012.259089187178</v>
      </c>
    </row>
    <row r="559" spans="1:5" ht="15" customHeight="1" x14ac:dyDescent="0.25">
      <c r="A559" s="1"/>
      <c r="B559" s="57" t="s">
        <v>281</v>
      </c>
      <c r="C559" s="1"/>
      <c r="D559" s="58">
        <f>D552*D554*D555</f>
        <v>1012.259089187178</v>
      </c>
      <c r="E559" s="58">
        <f ca="1">SUM((C521+C495*C496*(C497-1)+C498*SUM(C499:C508))*PRODUCT(C523:C525))</f>
        <v>1012.259089187178</v>
      </c>
    </row>
    <row r="560" spans="1:5" ht="15" customHeight="1" x14ac:dyDescent="0.25">
      <c r="A560" s="1"/>
      <c r="B560" s="57" t="s">
        <v>282</v>
      </c>
      <c r="C560" s="1" t="s">
        <v>321</v>
      </c>
      <c r="D560" s="59">
        <f>BBR.BBR.LossRatingFactor.Output</f>
        <v>1</v>
      </c>
      <c r="E560" s="58">
        <f ca="1">SUM((C521+C495*C496*(C497-1)+C498*SUM(C499:C508))*PRODUCT(C523:C525))</f>
        <v>1012.259089187178</v>
      </c>
    </row>
    <row r="561" spans="1:4" ht="15" customHeight="1" x14ac:dyDescent="0.25">
      <c r="A561" s="1"/>
      <c r="B561" s="60" t="s">
        <v>283</v>
      </c>
      <c r="C561" s="1"/>
      <c r="D561" s="58">
        <f>PRODUCT(D559:D560)</f>
        <v>1012.259089187178</v>
      </c>
    </row>
    <row r="562" spans="1:4" ht="15" customHeight="1" x14ac:dyDescent="0.25">
      <c r="A562" s="1"/>
      <c r="B562" s="57"/>
      <c r="C562" s="1"/>
      <c r="D562" s="59"/>
    </row>
    <row r="563" spans="1:4" ht="15" customHeight="1" x14ac:dyDescent="0.25">
      <c r="A563" s="1"/>
      <c r="B563" s="57" t="s">
        <v>48</v>
      </c>
      <c r="C563" s="1"/>
      <c r="D563" s="58">
        <f>D552</f>
        <v>779.18229059999999</v>
      </c>
    </row>
    <row r="564" spans="1:4" ht="15" customHeight="1" x14ac:dyDescent="0.25">
      <c r="A564" s="1"/>
      <c r="B564" s="57" t="s">
        <v>92</v>
      </c>
      <c r="C564" s="1"/>
      <c r="D564" s="59">
        <f>D554</f>
        <v>1.1724999999999999</v>
      </c>
    </row>
    <row r="565" spans="1:4" ht="15" customHeight="1" x14ac:dyDescent="0.25">
      <c r="A565" s="1"/>
      <c r="B565" s="57" t="s">
        <v>284</v>
      </c>
      <c r="C565" s="1" t="s">
        <v>319</v>
      </c>
      <c r="D565" s="59">
        <f>C$290</f>
        <v>1</v>
      </c>
    </row>
    <row r="566" spans="1:4" ht="15" customHeight="1" x14ac:dyDescent="0.25">
      <c r="A566" s="1"/>
      <c r="B566" s="57" t="s">
        <v>285</v>
      </c>
      <c r="C566" s="1"/>
      <c r="D566" s="58">
        <f>D556</f>
        <v>1012.259089187178</v>
      </c>
    </row>
    <row r="567" spans="1:4" ht="15" customHeight="1" x14ac:dyDescent="0.25">
      <c r="A567" s="1"/>
      <c r="B567" s="57" t="s">
        <v>286</v>
      </c>
      <c r="C567" s="1" t="s">
        <v>319</v>
      </c>
      <c r="D567" s="62">
        <f>BBR.BBR.PrivacyBreachResponse.Output</f>
        <v>0</v>
      </c>
    </row>
    <row r="568" spans="1:4" ht="15" customHeight="1" x14ac:dyDescent="0.25">
      <c r="A568" s="1"/>
      <c r="B568" s="57" t="s">
        <v>287</v>
      </c>
      <c r="C568" s="1" t="s">
        <v>319</v>
      </c>
      <c r="D568" s="62">
        <f>BBR.BBR.RegulatoryDefenseandPenalties.Output</f>
        <v>0</v>
      </c>
    </row>
    <row r="569" spans="1:4" ht="15" customHeight="1" x14ac:dyDescent="0.25">
      <c r="A569" s="1"/>
      <c r="B569" s="57" t="s">
        <v>288</v>
      </c>
      <c r="C569" s="1" t="s">
        <v>319</v>
      </c>
      <c r="D569" s="62">
        <f>BBR.BBR.PCIFinesandCosts.Output</f>
        <v>0</v>
      </c>
    </row>
    <row r="570" spans="1:4" ht="15" customHeight="1" x14ac:dyDescent="0.25">
      <c r="A570" s="1"/>
      <c r="B570" s="57" t="s">
        <v>289</v>
      </c>
      <c r="C570" s="1" t="s">
        <v>319</v>
      </c>
      <c r="D570" s="62">
        <f>BBR.BBR.DBISecurityBreach.Output</f>
        <v>0</v>
      </c>
    </row>
    <row r="571" spans="1:4" ht="15" customHeight="1" x14ac:dyDescent="0.25">
      <c r="A571" s="1"/>
      <c r="B571" s="57" t="s">
        <v>290</v>
      </c>
      <c r="C571" s="1" t="s">
        <v>319</v>
      </c>
      <c r="D571" s="62">
        <f>BBR.BBR.DBISystemFailure.Output</f>
        <v>0</v>
      </c>
    </row>
    <row r="572" spans="1:4" ht="15" customHeight="1" x14ac:dyDescent="0.25">
      <c r="A572" s="1"/>
      <c r="B572" s="57" t="s">
        <v>291</v>
      </c>
      <c r="C572" s="1" t="s">
        <v>321</v>
      </c>
      <c r="D572" s="62">
        <f>BBR.BBR.IPInfringementDebit.Output</f>
        <v>0</v>
      </c>
    </row>
    <row r="573" spans="1:4" ht="15" customHeight="1" x14ac:dyDescent="0.25">
      <c r="A573" s="1"/>
      <c r="B573" s="57" t="s">
        <v>292</v>
      </c>
      <c r="C573" s="1" t="s">
        <v>319</v>
      </c>
      <c r="D573" s="62">
        <f>BBR.BBR.ProfServicesCredit.Output</f>
        <v>0</v>
      </c>
    </row>
    <row r="574" spans="1:4" s="1" customFormat="1" ht="15" customHeight="1" x14ac:dyDescent="0.25">
      <c r="B574" s="57" t="s">
        <v>293</v>
      </c>
      <c r="C574" s="1" t="s">
        <v>319</v>
      </c>
      <c r="D574" s="62">
        <f>BBR.BBR.ElectronicCrimeCredit.Output</f>
        <v>0</v>
      </c>
    </row>
    <row r="575" spans="1:4" s="1" customFormat="1" ht="15" customHeight="1" x14ac:dyDescent="0.25">
      <c r="B575" s="57" t="s">
        <v>294</v>
      </c>
      <c r="C575" s="1" t="s">
        <v>319</v>
      </c>
      <c r="D575" s="62">
        <f>BBR.BBR.TelephoneFraudCredit.Output</f>
        <v>0</v>
      </c>
    </row>
    <row r="576" spans="1:4" s="1" customFormat="1" ht="15" customHeight="1" x14ac:dyDescent="0.25">
      <c r="B576" s="57" t="s">
        <v>295</v>
      </c>
      <c r="C576" s="1" t="s">
        <v>319</v>
      </c>
      <c r="D576" s="62">
        <f>BBR.BBR.FradulentInstructionCredit.Output</f>
        <v>0</v>
      </c>
    </row>
    <row r="577" spans="2:4" s="1" customFormat="1" ht="15" customHeight="1" x14ac:dyDescent="0.25">
      <c r="B577" s="57" t="s">
        <v>174</v>
      </c>
      <c r="C577" s="1" t="s">
        <v>319</v>
      </c>
      <c r="D577" s="62">
        <f>BBR.BBR.ComputerHardwareReplacementCost.Output</f>
        <v>0.02</v>
      </c>
    </row>
    <row r="578" spans="2:4" s="1" customFormat="1" ht="15" customHeight="1" x14ac:dyDescent="0.25">
      <c r="B578" s="57" t="s">
        <v>296</v>
      </c>
      <c r="C578" s="1" t="s">
        <v>319</v>
      </c>
      <c r="D578" s="62">
        <f>BBR.BBR.CryptoJacking.Output</f>
        <v>0.02</v>
      </c>
    </row>
    <row r="579" spans="2:4" s="1" customFormat="1" ht="15" customHeight="1" x14ac:dyDescent="0.25">
      <c r="B579" s="57" t="s">
        <v>178</v>
      </c>
      <c r="C579" s="1" t="s">
        <v>319</v>
      </c>
      <c r="D579" s="62">
        <f>BBR.BBR.ReputationLoss.Output</f>
        <v>0.02</v>
      </c>
    </row>
    <row r="580" spans="2:4" s="1" customFormat="1" ht="15" customHeight="1" x14ac:dyDescent="0.25">
      <c r="B580" s="57" t="s">
        <v>297</v>
      </c>
      <c r="C580" s="1" t="s">
        <v>319</v>
      </c>
      <c r="D580" s="62">
        <f>BBR.BBR.ContingentBodilyInjury.Output</f>
        <v>0.02</v>
      </c>
    </row>
    <row r="581" spans="2:4" s="1" customFormat="1" ht="15" customHeight="1" x14ac:dyDescent="0.25">
      <c r="B581" s="57" t="s">
        <v>298</v>
      </c>
      <c r="C581" s="1" t="s">
        <v>319</v>
      </c>
      <c r="D581" s="62">
        <f>BBR.BBR.InvoiceManipulation.Output</f>
        <v>0.02</v>
      </c>
    </row>
    <row r="582" spans="2:4" s="1" customFormat="1" ht="15" customHeight="1" x14ac:dyDescent="0.25">
      <c r="B582" s="57" t="s">
        <v>299</v>
      </c>
      <c r="C582" s="1" t="s">
        <v>319</v>
      </c>
      <c r="D582" s="62">
        <f>BBR.BBR.MissedBid.Output</f>
        <v>0</v>
      </c>
    </row>
    <row r="583" spans="2:4" s="1" customFormat="1" ht="15" customHeight="1" x14ac:dyDescent="0.25">
      <c r="B583" s="57" t="s">
        <v>300</v>
      </c>
      <c r="C583" s="1" t="s">
        <v>319</v>
      </c>
      <c r="D583" s="62">
        <f>BBR.BBR.CardReissuanceCosts.Output</f>
        <v>0</v>
      </c>
    </row>
    <row r="584" spans="2:4" s="1" customFormat="1" ht="15" customHeight="1" x14ac:dyDescent="0.25">
      <c r="B584" s="57" t="s">
        <v>183</v>
      </c>
      <c r="C584" s="1" t="s">
        <v>319</v>
      </c>
      <c r="D584" s="62">
        <f>BBR.BBR.RPSInvoiceManipulationAutoDealers.Output</f>
        <v>0</v>
      </c>
    </row>
    <row r="585" spans="2:4" s="1" customFormat="1" ht="15" customHeight="1" x14ac:dyDescent="0.25">
      <c r="B585" s="57" t="s">
        <v>184</v>
      </c>
      <c r="C585" s="1" t="s">
        <v>319</v>
      </c>
      <c r="D585" s="62">
        <f>BBR.BBR.AmendProofofLossSublimit.Output</f>
        <v>0</v>
      </c>
    </row>
    <row r="586" spans="2:4" s="1" customFormat="1" ht="15" customHeight="1" x14ac:dyDescent="0.25">
      <c r="B586" s="60" t="s">
        <v>301</v>
      </c>
      <c r="D586" s="58">
        <f>D566*SUM(D567:D585)</f>
        <v>101.22590891871781</v>
      </c>
    </row>
    <row r="587" spans="2:4" s="1" customFormat="1" ht="15" customHeight="1" x14ac:dyDescent="0.25">
      <c r="B587" s="60" t="s">
        <v>302</v>
      </c>
      <c r="D587" s="58">
        <f>D563*D564*(D565-1)</f>
        <v>0</v>
      </c>
    </row>
    <row r="588" spans="2:4" s="1" customFormat="1" ht="15" customHeight="1" x14ac:dyDescent="0.25">
      <c r="B588" s="57"/>
      <c r="D588" s="59"/>
    </row>
    <row r="589" spans="2:4" s="1" customFormat="1" ht="15" customHeight="1" x14ac:dyDescent="0.25">
      <c r="B589" s="57" t="s">
        <v>283</v>
      </c>
      <c r="D589" s="58">
        <f>D561</f>
        <v>1012.259089187178</v>
      </c>
    </row>
    <row r="590" spans="2:4" s="1" customFormat="1" ht="15" customHeight="1" x14ac:dyDescent="0.25">
      <c r="B590" s="57" t="s">
        <v>322</v>
      </c>
      <c r="D590" s="58">
        <f>D586+D587</f>
        <v>101.22590891871781</v>
      </c>
    </row>
    <row r="591" spans="2:4" s="1" customFormat="1" ht="15" customHeight="1" x14ac:dyDescent="0.25">
      <c r="B591" s="57" t="s">
        <v>304</v>
      </c>
      <c r="C591" s="1" t="s">
        <v>321</v>
      </c>
      <c r="D591" s="59">
        <v>1</v>
      </c>
    </row>
    <row r="592" spans="2:4" s="1" customFormat="1" ht="15" customHeight="1" x14ac:dyDescent="0.25">
      <c r="B592" s="57" t="s">
        <v>305</v>
      </c>
      <c r="C592" s="1" t="s">
        <v>319</v>
      </c>
      <c r="D592" s="59">
        <v>1</v>
      </c>
    </row>
    <row r="593" spans="2:4" s="1" customFormat="1" ht="15" customHeight="1" x14ac:dyDescent="0.25">
      <c r="B593" s="57" t="s">
        <v>306</v>
      </c>
      <c r="C593" s="1" t="s">
        <v>319</v>
      </c>
      <c r="D593" s="59">
        <f ca="1">$C$426</f>
        <v>1</v>
      </c>
    </row>
    <row r="594" spans="2:4" s="1" customFormat="1" ht="15" customHeight="1" x14ac:dyDescent="0.25">
      <c r="B594" s="57" t="s">
        <v>312</v>
      </c>
      <c r="C594" s="1" t="s">
        <v>321</v>
      </c>
      <c r="D594" s="59">
        <v>1</v>
      </c>
    </row>
    <row r="595" spans="2:4" s="1" customFormat="1" ht="15" customHeight="1" x14ac:dyDescent="0.25">
      <c r="B595" s="60" t="s">
        <v>307</v>
      </c>
      <c r="D595" s="58">
        <f ca="1">(D589+D590)*PRODUCT(D591:D594)</f>
        <v>1113.4849981058958</v>
      </c>
    </row>
    <row r="596" spans="2:4" s="1" customFormat="1" ht="15" customHeight="1" x14ac:dyDescent="0.25">
      <c r="B596" s="57"/>
      <c r="D596" s="59"/>
    </row>
    <row r="597" spans="2:4" s="1" customFormat="1" ht="15" customHeight="1" x14ac:dyDescent="0.25">
      <c r="B597" s="57" t="s">
        <v>307</v>
      </c>
      <c r="D597" s="58">
        <f ca="1">D595</f>
        <v>1113.4849981058958</v>
      </c>
    </row>
    <row r="598" spans="2:4" s="1" customFormat="1" ht="15" customHeight="1" x14ac:dyDescent="0.25">
      <c r="B598" s="57" t="s">
        <v>309</v>
      </c>
      <c r="C598" s="1" t="s">
        <v>321</v>
      </c>
      <c r="D598" s="59">
        <v>1</v>
      </c>
    </row>
    <row r="599" spans="2:4" s="1" customFormat="1" ht="15" customHeight="1" x14ac:dyDescent="0.25">
      <c r="B599" s="60" t="s">
        <v>323</v>
      </c>
      <c r="D599" s="58">
        <f ca="1">D597*D598</f>
        <v>1113.4849981058958</v>
      </c>
    </row>
    <row r="600" spans="2:4" s="1" customFormat="1" ht="15" customHeight="1" x14ac:dyDescent="0.25">
      <c r="B600" s="57"/>
      <c r="D600" s="59"/>
    </row>
    <row r="601" spans="2:4" s="1" customFormat="1" ht="15" customHeight="1" x14ac:dyDescent="0.25">
      <c r="B601" s="57" t="s">
        <v>324</v>
      </c>
      <c r="D601" s="58">
        <f ca="1">D599</f>
        <v>1113.4849981058958</v>
      </c>
    </row>
    <row r="602" spans="2:4" s="1" customFormat="1" ht="15" customHeight="1" x14ac:dyDescent="0.25">
      <c r="B602" s="57" t="s">
        <v>311</v>
      </c>
      <c r="C602" s="1" t="s">
        <v>321</v>
      </c>
      <c r="D602" s="58">
        <v>0</v>
      </c>
    </row>
    <row r="603" spans="2:4" s="1" customFormat="1" ht="15" customHeight="1" x14ac:dyDescent="0.25">
      <c r="B603" s="57" t="s">
        <v>277</v>
      </c>
      <c r="C603" s="1" t="s">
        <v>319</v>
      </c>
      <c r="D603" s="59">
        <f>C$104</f>
        <v>1</v>
      </c>
    </row>
    <row r="604" spans="2:4" s="1" customFormat="1" ht="15" customHeight="1" x14ac:dyDescent="0.25">
      <c r="B604" s="57" t="s">
        <v>312</v>
      </c>
      <c r="C604" s="1" t="s">
        <v>321</v>
      </c>
      <c r="D604" s="59">
        <v>1</v>
      </c>
    </row>
    <row r="605" spans="2:4" s="1" customFormat="1" ht="15" customHeight="1" x14ac:dyDescent="0.25">
      <c r="B605" s="60" t="s">
        <v>313</v>
      </c>
      <c r="D605" s="58">
        <f ca="1">MAX(D601:D602)*D603*D604</f>
        <v>1113.4849981058958</v>
      </c>
    </row>
    <row r="606" spans="2:4" s="1" customFormat="1" ht="15" customHeight="1" x14ac:dyDescent="0.25">
      <c r="B606" s="57"/>
      <c r="D606" s="59"/>
    </row>
    <row r="607" spans="2:4" s="1" customFormat="1" ht="15" customHeight="1" x14ac:dyDescent="0.25">
      <c r="B607" s="57" t="s">
        <v>313</v>
      </c>
      <c r="D607" s="58">
        <f ca="1">D605</f>
        <v>1113.4849981058958</v>
      </c>
    </row>
    <row r="608" spans="2:4" s="1" customFormat="1" ht="15" customHeight="1" x14ac:dyDescent="0.25">
      <c r="B608" s="57" t="s">
        <v>325</v>
      </c>
      <c r="C608" s="1" t="s">
        <v>319</v>
      </c>
      <c r="D608" s="64">
        <v>0</v>
      </c>
    </row>
    <row r="609" spans="1:4" s="1" customFormat="1" ht="15" customHeight="1" x14ac:dyDescent="0.25">
      <c r="B609" s="60" t="s">
        <v>326</v>
      </c>
      <c r="D609" s="65">
        <f ca="1">ROUND((D607+D608),0)</f>
        <v>1113</v>
      </c>
    </row>
    <row r="610" spans="1:4" s="1" customFormat="1" ht="15" customHeight="1" x14ac:dyDescent="0.25">
      <c r="A610"/>
      <c r="B610"/>
      <c r="C610"/>
      <c r="D610"/>
    </row>
    <row r="611" spans="1:4" s="1" customFormat="1" ht="15" customHeight="1" x14ac:dyDescent="0.25">
      <c r="A611"/>
      <c r="B611"/>
      <c r="C611"/>
      <c r="D611"/>
    </row>
    <row r="612" spans="1:4" s="1" customFormat="1" ht="15" customHeight="1" x14ac:dyDescent="0.25">
      <c r="A612" s="20" t="s">
        <v>327</v>
      </c>
      <c r="B612"/>
      <c r="C612"/>
      <c r="D612"/>
    </row>
    <row r="613" spans="1:4" s="1" customFormat="1" ht="15" customHeight="1" x14ac:dyDescent="0.25">
      <c r="A613"/>
      <c r="B613"/>
      <c r="C613"/>
      <c r="D613"/>
    </row>
    <row r="614" spans="1:4" s="1" customFormat="1" ht="15" customHeight="1" x14ac:dyDescent="0.25">
      <c r="A614"/>
      <c r="B614" t="s">
        <v>328</v>
      </c>
      <c r="C614" s="35">
        <f>$C$464</f>
        <v>0.2</v>
      </c>
      <c r="D614"/>
    </row>
    <row r="615" spans="1:4" s="1" customFormat="1" ht="15" customHeight="1" x14ac:dyDescent="0.25">
      <c r="A615"/>
      <c r="B615" t="s">
        <v>329</v>
      </c>
      <c r="C615" s="35">
        <v>0.5</v>
      </c>
      <c r="D615"/>
    </row>
    <row r="616" spans="1:4" s="1" customFormat="1" ht="15" customHeight="1" x14ac:dyDescent="0.25">
      <c r="A616"/>
      <c r="B616" t="s">
        <v>330</v>
      </c>
      <c r="C616"/>
      <c r="D616" s="31">
        <f ca="1">D609*(1-MIN(0.2,$C$614))*$C$615</f>
        <v>445.20000000000005</v>
      </c>
    </row>
    <row r="617" spans="1:4" s="1" customFormat="1" ht="15" customHeight="1" x14ac:dyDescent="0.25">
      <c r="A617"/>
      <c r="B617" t="s">
        <v>331</v>
      </c>
      <c r="C617" s="35">
        <v>0.7</v>
      </c>
      <c r="D617"/>
    </row>
    <row r="618" spans="1:4" s="1" customFormat="1" ht="15" customHeight="1" x14ac:dyDescent="0.25">
      <c r="A618"/>
      <c r="B618" t="s">
        <v>332</v>
      </c>
      <c r="C618"/>
      <c r="D618" s="31">
        <f ca="1">D616/$C$617</f>
        <v>636.00000000000011</v>
      </c>
    </row>
    <row r="619" spans="1:4" s="1" customFormat="1" ht="15" customHeight="1" x14ac:dyDescent="0.25">
      <c r="A619"/>
      <c r="B619" t="s">
        <v>328</v>
      </c>
      <c r="C619" s="35">
        <f>$C$464</f>
        <v>0.2</v>
      </c>
      <c r="D619"/>
    </row>
    <row r="620" spans="1:4" s="1" customFormat="1" ht="15" customHeight="1" x14ac:dyDescent="0.25">
      <c r="A620"/>
      <c r="B620" t="s">
        <v>333</v>
      </c>
      <c r="C620"/>
      <c r="D620" s="55">
        <f ca="1">D618/(1-$C$619)</f>
        <v>795.00000000000011</v>
      </c>
    </row>
    <row r="621" spans="1:4" s="1" customFormat="1" ht="15" customHeight="1" x14ac:dyDescent="0.25">
      <c r="A621"/>
      <c r="B621" t="s">
        <v>334</v>
      </c>
      <c r="C621"/>
      <c r="D621" s="32">
        <f ca="1">IF(BBR.BBR.GrossBenchmarkPrice.Output=0,0,C545/D620)</f>
        <v>2.1006289308176096</v>
      </c>
    </row>
    <row r="622" spans="1:4" s="1" customFormat="1" ht="15" customHeight="1" x14ac:dyDescent="0.25">
      <c r="A622"/>
      <c r="B622"/>
      <c r="C622"/>
      <c r="D622"/>
    </row>
    <row r="623" spans="1:4" s="1" customFormat="1" ht="15" customHeight="1" x14ac:dyDescent="0.25">
      <c r="A623"/>
      <c r="B623"/>
      <c r="C623"/>
      <c r="D623"/>
    </row>
    <row r="625" spans="1:4" s="1" customFormat="1" ht="15" customHeight="1" x14ac:dyDescent="0.25">
      <c r="A625" s="20" t="s">
        <v>335</v>
      </c>
      <c r="B625"/>
      <c r="C625"/>
      <c r="D625"/>
    </row>
    <row r="626" spans="1:4" s="1" customFormat="1" ht="15" customHeight="1" x14ac:dyDescent="0.25">
      <c r="A626"/>
      <c r="B626" t="s">
        <v>336</v>
      </c>
      <c r="C626"/>
      <c r="D626" s="31">
        <f ca="1">BBR.BBR.FinalModelPremium.Output</f>
        <v>1670</v>
      </c>
    </row>
    <row r="627" spans="1:4" s="1" customFormat="1" ht="15" customHeight="1" x14ac:dyDescent="0.25">
      <c r="A627"/>
      <c r="B627" t="s">
        <v>337</v>
      </c>
      <c r="C627"/>
      <c r="D627" s="55">
        <f ca="1">ROUND(D626*0.275,0)</f>
        <v>459</v>
      </c>
    </row>
    <row r="628" spans="1:4" s="1" customFormat="1" ht="15" customHeight="1" x14ac:dyDescent="0.25">
      <c r="A628"/>
      <c r="B628" t="s">
        <v>338</v>
      </c>
      <c r="C628"/>
      <c r="D628" s="55">
        <f ca="1">D626-D627</f>
        <v>1211</v>
      </c>
    </row>
    <row r="629" spans="1:4" s="1" customFormat="1" ht="15" customHeight="1" x14ac:dyDescent="0.25">
      <c r="A629"/>
      <c r="B629"/>
      <c r="C629"/>
      <c r="D629"/>
    </row>
    <row r="630" spans="1:4" s="1" customFormat="1" ht="15" customHeight="1" x14ac:dyDescent="0.25">
      <c r="A630"/>
      <c r="B630"/>
      <c r="C630"/>
      <c r="D630"/>
    </row>
    <row r="631" spans="1:4" s="1" customFormat="1" ht="15" customHeight="1" x14ac:dyDescent="0.25">
      <c r="A631"/>
      <c r="B631"/>
      <c r="C631"/>
      <c r="D631"/>
    </row>
    <row r="632" spans="1:4" s="1" customFormat="1" ht="15" customHeight="1" x14ac:dyDescent="0.25">
      <c r="A632"/>
      <c r="B632" t="s">
        <v>339</v>
      </c>
      <c r="C632" s="24">
        <f>VLOOKUP(BBR.BBR.Revenue.Input,tblAdmittedRounding,3,TRUE)</f>
        <v>99999</v>
      </c>
      <c r="D632"/>
    </row>
    <row r="633" spans="1:4" ht="15" customHeight="1" x14ac:dyDescent="0.25">
      <c r="B633" t="s">
        <v>340</v>
      </c>
      <c r="C633" s="24">
        <f>VLOOKUP(BBR.BBR.Revenue.Input,tblAdmittedRounding,4,TRUE)</f>
        <v>99999</v>
      </c>
    </row>
  </sheetData>
  <phoneticPr fontId="29" type="noConversion"/>
  <dataValidations count="54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79 C283 C287 C44 G1 C47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Rounding adjustment out of bounds" sqref="C443" xr:uid="{00000000-0002-0000-0000-000003000000}"/>
    <dataValidation allowBlank="1" showInputMessage="1" showErrorMessage="1" error="Nebraska deviation factor only allowed when writing in Nebraska" sqref="C451" xr:uid="{00000000-0002-0000-0000-000004000000}"/>
    <dataValidation allowBlank="1" showInputMessage="1" showErrorMessage="1" error="Nebraska only allows deviation of +/-40%" sqref="C452" xr:uid="{00000000-0002-0000-0000-000005000000}"/>
    <dataValidation type="list" allowBlank="1" showInputMessage="1" showErrorMessage="1" sqref="C289" xr:uid="{00000000-0002-0000-0000-000006000000}">
      <formula1>lstBBRADL</formula1>
    </dataValidation>
    <dataValidation type="list" allowBlank="1" showInputMessage="1" showErrorMessage="1" sqref="C260" xr:uid="{00000000-0002-0000-0000-000007000000}">
      <formula1>lstFullMediaCoverage</formula1>
    </dataValidation>
    <dataValidation type="list" allowBlank="1" showInputMessage="1" showErrorMessage="1" sqref="C57" xr:uid="{00000000-0002-0000-0000-000008000000}">
      <formula1>lstIndustries</formula1>
    </dataValidation>
    <dataValidation type="list" allowBlank="1" showInputMessage="1" showErrorMessage="1" sqref="C277" xr:uid="{00000000-0002-0000-0000-000009000000}">
      <formula1>lstElectronicCrime</formula1>
    </dataValidation>
    <dataValidation type="list" allowBlank="1" showInputMessage="1" showErrorMessage="1" sqref="C281" xr:uid="{00000000-0002-0000-0000-00000A000000}">
      <formula1>lstTelecommunicationsFraud</formula1>
    </dataValidation>
    <dataValidation type="list" allowBlank="1" showInputMessage="1" showErrorMessage="1" sqref="C285" xr:uid="{00000000-0002-0000-0000-00000B000000}">
      <formula1>lstFraudulentInstruction</formula1>
    </dataValidation>
    <dataValidation type="list" sqref="C273" xr:uid="{00000000-0002-0000-0000-00000C000000}">
      <formula1>lstProfessionalServicesLiability</formula1>
    </dataValidation>
    <dataValidation type="list" allowBlank="1" showInputMessage="1" showErrorMessage="1" sqref="C168" xr:uid="{00000000-0002-0000-0000-00000D000000}">
      <formula1>lstAdmittedLossRatingClaimIncurredMM</formula1>
    </dataValidation>
    <dataValidation allowBlank="1" sqref="C205:C207 C200:C202" xr:uid="{00000000-0002-0000-0000-00000E000000}"/>
    <dataValidation type="list" allowBlank="1" showInputMessage="1" showErrorMessage="1" sqref="C167" xr:uid="{00000000-0002-0000-0000-00000F000000}">
      <formula1>lstAdmittedLossRatingClaimIncurredPE</formula1>
    </dataValidation>
    <dataValidation type="list" allowBlank="1" showInputMessage="1" showErrorMessage="1" sqref="C295 C301 C307 C313 C319 C325 C331 C337 C343" xr:uid="{00000000-0002-0000-0000-000010000000}">
      <formula1>lstAdditionalEndorsements</formula1>
    </dataValidation>
    <dataValidation allowBlank="1" showInputMessage="1" showErrorMessage="1" error="Surplus lines &quot;yes/no&quot; is invalid" sqref="C45" xr:uid="{00000000-0002-0000-0000-000011000000}"/>
    <dataValidation allowBlank="1" showInputMessage="1" showErrorMessage="1" error="If effective date or expiration date is TBD both must be TBD" sqref="C46" xr:uid="{00000000-0002-0000-0000-000012000000}"/>
    <dataValidation allowBlank="1" showInputMessage="1" showErrorMessage="1" error="Expiration date must be after effective date" sqref="C48" xr:uid="{00000000-0002-0000-0000-000013000000}"/>
    <dataValidation allowBlank="1" showInputMessage="1" showErrorMessage="1" error="Hazard group selection is not valid" sqref="C75" xr:uid="{00000000-0002-0000-0000-000014000000}"/>
    <dataValidation allowBlank="1" showInputMessage="1" showErrorMessage="1" error="Revenue is out of bounds" sqref="C76" xr:uid="{00000000-0002-0000-0000-000015000000}"/>
    <dataValidation allowBlank="1" showInputMessage="1" showErrorMessage="1" error="Aggregate limit is not within bounds" sqref="C87" xr:uid="{00000000-0002-0000-0000-000016000000}"/>
    <dataValidation allowBlank="1" showInputMessage="1" showErrorMessage="1" error="Notification ratio is out of bounds" sqref="C129" xr:uid="{00000000-0002-0000-0000-000017000000}"/>
    <dataValidation allowBlank="1" showInputMessage="1" showErrorMessage="1" error="Something is wrong with notification factor calculation" sqref="C130" xr:uid="{00000000-0002-0000-0000-000018000000}"/>
    <dataValidation allowBlank="1" showInputMessage="1" showErrorMessage="1" error="Retention ratio is out of bounds" sqref="C155" xr:uid="{00000000-0002-0000-0000-000019000000}"/>
    <dataValidation allowBlank="1" showInputMessage="1" showErrorMessage="1" error="Something is wrong with Retention factor calculation" sqref="C156" xr:uid="{00000000-0002-0000-0000-00001A000000}"/>
    <dataValidation allowBlank="1" showInputMessage="1" showErrorMessage="1" error="Loss Rating is out of range" sqref="C183" xr:uid="{00000000-0002-0000-0000-00001B000000}"/>
    <dataValidation allowBlank="1" showInputMessage="1" showErrorMessage="1" error="Media answer is not valid" sqref="C267" xr:uid="{00000000-0002-0000-0000-00001C000000}"/>
    <dataValidation allowBlank="1" showInputMessage="1" showErrorMessage="1" error="Media Input is out of range" sqref="C268" xr:uid="{00000000-0002-0000-0000-00001D000000}"/>
    <dataValidation allowBlank="1" showInputMessage="1" showErrorMessage="1" error="ADL answer is not valid" sqref="C291" xr:uid="{00000000-0002-0000-0000-00001E000000}"/>
    <dataValidation allowBlank="1" showInputMessage="1" showErrorMessage="1" error="Financial Condition Note is Missing" sqref="C373" xr:uid="{00000000-0002-0000-0000-00001F000000}"/>
    <dataValidation allowBlank="1" showInputMessage="1" showErrorMessage="1" error="Maturity of Business Note is Missing" sqref="C374" xr:uid="{00000000-0002-0000-0000-000020000000}"/>
    <dataValidation allowBlank="1" showInputMessage="1" showErrorMessage="1" error="Quality of Management Note is Missing" sqref="C375" xr:uid="{00000000-0002-0000-0000-000021000000}"/>
    <dataValidation allowBlank="1" showInputMessage="1" showErrorMessage="1" error="Volume of Information Stored or Managed Note is Missing" sqref="C376" xr:uid="{00000000-0002-0000-0000-000022000000}"/>
    <dataValidation allowBlank="1" showInputMessage="1" showErrorMessage="1" error="Territory of Operations Note is Missing" sqref="C377" xr:uid="{00000000-0002-0000-0000-000023000000}"/>
    <dataValidation allowBlank="1" showInputMessage="1" showErrorMessage="1" error="Nature of Content Disseminated Note is Missing" sqref="C378" xr:uid="{00000000-0002-0000-0000-000024000000}"/>
    <dataValidation allowBlank="1" showInputMessage="1" showErrorMessage="1" error="Nature of Reputational Risk Exposure Note is Missing" sqref="C379" xr:uid="{00000000-0002-0000-0000-000025000000}"/>
    <dataValidation allowBlank="1" showInputMessage="1" showErrorMessage="1" error="Nature of Payment Card Processing Exposure Note is Missing" sqref="C380" xr:uid="{00000000-0002-0000-0000-000026000000}"/>
    <dataValidation allowBlank="1" showInputMessage="1" showErrorMessage="1" error="Privacy and Security Controls Procedures Note is Missing" sqref="C381" xr:uid="{00000000-0002-0000-0000-000027000000}"/>
    <dataValidation allowBlank="1" showInputMessage="1" showErrorMessage="1" error="Participation in a Risk Control Program Note is Missing" sqref="C382" xr:uid="{00000000-0002-0000-0000-000028000000}"/>
    <dataValidation allowBlank="1" showInputMessage="1" showErrorMessage="1" error="Financial Condition Selection is invalid" sqref="C384" xr:uid="{00000000-0002-0000-0000-000029000000}"/>
    <dataValidation allowBlank="1" showInputMessage="1" showErrorMessage="1" error="Maturity of Business Selection is invalid" sqref="C385" xr:uid="{00000000-0002-0000-0000-00002A000000}"/>
    <dataValidation allowBlank="1" showInputMessage="1" showErrorMessage="1" error="Quality of Management Selection is invalid" sqref="C386" xr:uid="{00000000-0002-0000-0000-00002B000000}"/>
    <dataValidation allowBlank="1" showInputMessage="1" showErrorMessage="1" error="Volume of Information Stored or Managed Selection is invalid" sqref="C387" xr:uid="{00000000-0002-0000-0000-00002C000000}"/>
    <dataValidation allowBlank="1" showInputMessage="1" showErrorMessage="1" error="Territory of Operations Selection is invalid" sqref="C388" xr:uid="{00000000-0002-0000-0000-00002D000000}"/>
    <dataValidation allowBlank="1" showInputMessage="1" showErrorMessage="1" error="Nature of Content Disseminated Selection is invalid" sqref="C389" xr:uid="{00000000-0002-0000-0000-00002E000000}"/>
    <dataValidation allowBlank="1" showInputMessage="1" showErrorMessage="1" error="Nature of Reputational Risk Exposure Selection is invalid" sqref="C390" xr:uid="{00000000-0002-0000-0000-00002F000000}"/>
    <dataValidation allowBlank="1" showInputMessage="1" showErrorMessage="1" error="Nature of Payment Card Processing Exposure Selection is invalid" sqref="C391" xr:uid="{00000000-0002-0000-0000-000030000000}"/>
    <dataValidation allowBlank="1" showInputMessage="1" showErrorMessage="1" error="Privacy and Security Controls Procedures Selection is invalid" sqref="C392" xr:uid="{00000000-0002-0000-0000-000031000000}"/>
    <dataValidation allowBlank="1" showInputMessage="1" showErrorMessage="1" error="Participation in a Risk Control Program Selection is invalid" sqref="C393" xr:uid="{00000000-0002-0000-0000-000032000000}"/>
    <dataValidation allowBlank="1" showInputMessage="1" showErrorMessage="1" error="Policy Term Cannot Exceed 18 Months" sqref="C427" xr:uid="{00000000-0002-0000-0000-000033000000}"/>
    <dataValidation allowBlank="1" showInputMessage="1" showErrorMessage="1" error="Surplus lines deviation factor only allowed when writing surplus lines" sqref="C439" xr:uid="{00000000-0002-0000-0000-000034000000}"/>
    <dataValidation allowBlank="1" showInputMessage="1" showErrorMessage="1" error="Surplus lines deviation factor must be greater than zero" sqref="C440" xr:uid="{00000000-0002-0000-0000-000035000000}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7"/>
  <sheetViews>
    <sheetView topLeftCell="A527" zoomScale="69" zoomScaleNormal="69" workbookViewId="0">
      <selection activeCell="E531" sqref="E531"/>
    </sheetView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42578125" customWidth="1"/>
  </cols>
  <sheetData>
    <row r="1" spans="1:11" ht="15" customHeight="1" x14ac:dyDescent="0.25">
      <c r="A1" s="7" t="s">
        <v>5</v>
      </c>
      <c r="B1" s="1"/>
      <c r="C1" s="1"/>
      <c r="D1" s="1"/>
      <c r="E1" s="1"/>
      <c r="F1" s="1"/>
      <c r="G1" s="1"/>
      <c r="H1" s="1"/>
      <c r="I1" s="1"/>
    </row>
    <row r="2" spans="1:11" ht="15" customHeight="1" x14ac:dyDescent="0.25">
      <c r="A2" s="7" t="s">
        <v>6</v>
      </c>
      <c r="B2" s="1"/>
      <c r="C2" s="1"/>
      <c r="D2" s="1"/>
      <c r="E2" s="1"/>
      <c r="F2" s="1"/>
      <c r="G2" s="1"/>
      <c r="H2" s="1"/>
      <c r="I2" s="1"/>
    </row>
    <row r="3" spans="1:11" ht="15" customHeight="1" x14ac:dyDescent="0.25">
      <c r="A3" s="1" t="s">
        <v>341</v>
      </c>
      <c r="B3" s="1"/>
      <c r="C3" s="1"/>
      <c r="D3" s="1"/>
      <c r="E3" s="1"/>
      <c r="F3" s="1"/>
      <c r="G3" s="1"/>
      <c r="H3" s="1"/>
      <c r="I3" s="1"/>
    </row>
    <row r="6" spans="1:11" ht="15" customHeight="1" x14ac:dyDescent="0.25">
      <c r="B6" s="66" t="s">
        <v>342</v>
      </c>
      <c r="C6" s="66" t="s">
        <v>343</v>
      </c>
      <c r="D6" s="66" t="s">
        <v>344</v>
      </c>
      <c r="E6" s="66" t="s">
        <v>345</v>
      </c>
      <c r="F6" s="66" t="s">
        <v>346</v>
      </c>
      <c r="G6" s="66" t="s">
        <v>347</v>
      </c>
      <c r="H6" s="66" t="s">
        <v>348</v>
      </c>
      <c r="I6" s="66" t="s">
        <v>349</v>
      </c>
      <c r="J6" s="66" t="s">
        <v>350</v>
      </c>
      <c r="K6" s="66" t="s">
        <v>351</v>
      </c>
    </row>
    <row r="7" spans="1:11" ht="15" customHeight="1" x14ac:dyDescent="0.25">
      <c r="A7" t="s">
        <v>352</v>
      </c>
      <c r="B7" s="31">
        <v>0</v>
      </c>
      <c r="C7" s="31">
        <v>2500000</v>
      </c>
      <c r="D7" s="31">
        <v>2500000</v>
      </c>
      <c r="E7" s="52">
        <v>0.29169</v>
      </c>
      <c r="F7" s="52">
        <v>0.36456000000000005</v>
      </c>
      <c r="G7" s="52">
        <v>0.45569999999999999</v>
      </c>
      <c r="H7" s="52">
        <v>0.51796500000000001</v>
      </c>
      <c r="I7" s="52">
        <v>0.58862999999999999</v>
      </c>
      <c r="J7" s="52">
        <v>0.752745</v>
      </c>
      <c r="K7" s="52">
        <v>0.85553999999999997</v>
      </c>
    </row>
    <row r="8" spans="1:11" ht="15" customHeight="1" x14ac:dyDescent="0.25">
      <c r="B8" s="31">
        <v>2500000</v>
      </c>
      <c r="C8" s="31">
        <v>5000000</v>
      </c>
      <c r="D8" s="31">
        <v>2500000</v>
      </c>
      <c r="E8" s="52">
        <v>0.23005500000000001</v>
      </c>
      <c r="F8" s="52">
        <v>0.28759499999999999</v>
      </c>
      <c r="G8" s="52">
        <v>0.35952000000000001</v>
      </c>
      <c r="H8" s="52">
        <v>0.39028499999999999</v>
      </c>
      <c r="I8" s="52">
        <v>0.42315000000000003</v>
      </c>
      <c r="J8" s="52">
        <v>0.51555000000000006</v>
      </c>
      <c r="K8" s="52">
        <v>0.55734000000000006</v>
      </c>
    </row>
    <row r="9" spans="1:11" ht="15" customHeight="1" x14ac:dyDescent="0.25">
      <c r="B9" s="31">
        <v>5000000</v>
      </c>
      <c r="C9" s="31">
        <v>7500000</v>
      </c>
      <c r="D9" s="31">
        <v>2500000</v>
      </c>
      <c r="E9" s="52">
        <v>0.21126</v>
      </c>
      <c r="F9" s="52">
        <v>0.264075</v>
      </c>
      <c r="G9" s="52">
        <v>0.33012000000000002</v>
      </c>
      <c r="H9" s="52">
        <v>0.35300999999999999</v>
      </c>
      <c r="I9" s="52">
        <v>0.37716000000000005</v>
      </c>
      <c r="J9" s="52">
        <v>0.45265499999999997</v>
      </c>
      <c r="K9" s="52">
        <v>0.482265</v>
      </c>
    </row>
    <row r="10" spans="1:11" ht="15" customHeight="1" x14ac:dyDescent="0.25">
      <c r="B10" s="31">
        <v>7500000</v>
      </c>
      <c r="C10" s="31">
        <v>10000000</v>
      </c>
      <c r="D10" s="31">
        <v>2500000</v>
      </c>
      <c r="E10" s="52">
        <v>0.20002500000000001</v>
      </c>
      <c r="F10" s="52">
        <v>0.25000500000000003</v>
      </c>
      <c r="G10" s="52">
        <v>0.31247999999999998</v>
      </c>
      <c r="H10" s="52">
        <v>0.33106500000000005</v>
      </c>
      <c r="I10" s="52">
        <v>0.35017500000000001</v>
      </c>
      <c r="J10" s="52">
        <v>0.41632500000000006</v>
      </c>
      <c r="K10" s="52">
        <v>0.43921500000000002</v>
      </c>
    </row>
    <row r="11" spans="1:11" ht="15" customHeight="1" x14ac:dyDescent="0.25">
      <c r="B11" s="31">
        <v>10000000</v>
      </c>
      <c r="C11" s="31">
        <v>12500000</v>
      </c>
      <c r="D11" s="31">
        <v>2500000</v>
      </c>
      <c r="E11" s="52">
        <v>0.19215000000000002</v>
      </c>
      <c r="F11" s="52">
        <v>0.24024000000000001</v>
      </c>
      <c r="G11" s="52">
        <v>0.30030000000000001</v>
      </c>
      <c r="H11" s="52">
        <v>0.31573500000000004</v>
      </c>
      <c r="I11" s="52">
        <v>0.33159000000000005</v>
      </c>
      <c r="J11" s="52">
        <v>0.39123000000000002</v>
      </c>
      <c r="K11" s="52">
        <v>0.40971000000000002</v>
      </c>
    </row>
    <row r="12" spans="1:11" ht="15" customHeight="1" x14ac:dyDescent="0.25">
      <c r="B12" s="31">
        <v>12500000</v>
      </c>
      <c r="C12" s="31">
        <v>15000000</v>
      </c>
      <c r="D12" s="31">
        <v>2500000</v>
      </c>
      <c r="E12" s="52">
        <v>0.18574500000000002</v>
      </c>
      <c r="F12" s="52">
        <v>0.232155</v>
      </c>
      <c r="G12" s="52">
        <v>0.29021999999999998</v>
      </c>
      <c r="H12" s="52">
        <v>0.30355500000000002</v>
      </c>
      <c r="I12" s="52">
        <v>0.31720500000000001</v>
      </c>
      <c r="J12" s="52">
        <v>0.37233000000000005</v>
      </c>
      <c r="K12" s="52">
        <v>0.38797500000000001</v>
      </c>
    </row>
    <row r="13" spans="1:11" ht="15" customHeight="1" x14ac:dyDescent="0.25">
      <c r="B13" s="31">
        <v>15000000</v>
      </c>
      <c r="C13" s="31">
        <v>20000000</v>
      </c>
      <c r="D13" s="31">
        <v>5000000</v>
      </c>
      <c r="E13" s="52">
        <v>0.17871000000000001</v>
      </c>
      <c r="F13" s="52">
        <v>0.22344</v>
      </c>
      <c r="G13" s="52">
        <v>0.27930000000000005</v>
      </c>
      <c r="H13" s="52">
        <v>0.29021999999999998</v>
      </c>
      <c r="I13" s="52">
        <v>0.30114000000000002</v>
      </c>
      <c r="J13" s="52">
        <v>0.35111999999999999</v>
      </c>
      <c r="K13" s="52">
        <v>0.36340500000000003</v>
      </c>
    </row>
    <row r="14" spans="1:11" ht="15" customHeight="1" x14ac:dyDescent="0.25">
      <c r="B14" s="31">
        <v>20000000</v>
      </c>
      <c r="C14" s="31">
        <v>25000000</v>
      </c>
      <c r="D14" s="31">
        <v>5000000</v>
      </c>
      <c r="E14" s="52">
        <v>0.17178000000000002</v>
      </c>
      <c r="F14" s="52">
        <v>0.214725</v>
      </c>
      <c r="G14" s="52">
        <v>0.26838000000000001</v>
      </c>
      <c r="H14" s="52">
        <v>0.27699000000000001</v>
      </c>
      <c r="I14" s="52">
        <v>0.285495</v>
      </c>
      <c r="J14" s="52">
        <v>0.33075000000000004</v>
      </c>
      <c r="K14" s="52">
        <v>0.34009500000000004</v>
      </c>
    </row>
    <row r="15" spans="1:11" ht="15" customHeight="1" x14ac:dyDescent="0.25">
      <c r="B15" s="31">
        <v>25000000</v>
      </c>
      <c r="C15" s="31">
        <v>35000000</v>
      </c>
      <c r="D15" s="31">
        <v>10000000</v>
      </c>
      <c r="E15" s="52">
        <v>6.9014999999999993E-2</v>
      </c>
      <c r="F15" s="52">
        <v>8.6322499999999996E-2</v>
      </c>
      <c r="G15" s="52">
        <v>0.10793</v>
      </c>
      <c r="H15" s="52">
        <v>0.12620500000000001</v>
      </c>
      <c r="I15" s="52">
        <v>0.14641499999999999</v>
      </c>
      <c r="J15" s="52">
        <v>0.19016749999999999</v>
      </c>
      <c r="K15" s="52">
        <v>0.218225</v>
      </c>
    </row>
    <row r="16" spans="1:11" ht="15" customHeight="1" x14ac:dyDescent="0.25">
      <c r="B16" s="31">
        <v>35000000</v>
      </c>
      <c r="C16" s="31">
        <v>45000000</v>
      </c>
      <c r="D16" s="31">
        <v>10000000</v>
      </c>
      <c r="E16" s="52">
        <v>5.7834999999999998E-2</v>
      </c>
      <c r="F16" s="52">
        <v>7.2239999999999999E-2</v>
      </c>
      <c r="G16" s="52">
        <v>9.0300000000000005E-2</v>
      </c>
      <c r="H16" s="52">
        <v>9.6534999999999996E-2</v>
      </c>
      <c r="I16" s="52">
        <v>0.10298499999999999</v>
      </c>
      <c r="J16" s="52">
        <v>0.12383999999999999</v>
      </c>
      <c r="K16" s="52">
        <v>0.13222499999999998</v>
      </c>
    </row>
    <row r="17" spans="2:11" ht="15" customHeight="1" x14ac:dyDescent="0.25">
      <c r="B17" s="31">
        <v>45000000</v>
      </c>
      <c r="C17" s="31">
        <v>55000000</v>
      </c>
      <c r="D17" s="31">
        <v>10000000</v>
      </c>
      <c r="E17" s="52">
        <v>5.0417499999999997E-2</v>
      </c>
      <c r="F17" s="52">
        <v>6.2994999999999995E-2</v>
      </c>
      <c r="G17" s="52">
        <v>7.8689999999999996E-2</v>
      </c>
      <c r="H17" s="52">
        <v>8.4065000000000001E-2</v>
      </c>
      <c r="I17" s="52">
        <v>8.9762499999999995E-2</v>
      </c>
      <c r="J17" s="52">
        <v>0.10793</v>
      </c>
      <c r="K17" s="52">
        <v>0.11524</v>
      </c>
    </row>
    <row r="18" spans="2:11" ht="15" customHeight="1" x14ac:dyDescent="0.25">
      <c r="B18" s="31">
        <v>55000000</v>
      </c>
      <c r="C18" s="31">
        <v>65000000</v>
      </c>
      <c r="D18" s="31">
        <v>10000000</v>
      </c>
      <c r="E18" s="52">
        <v>4.4934999999999996E-2</v>
      </c>
      <c r="F18" s="52">
        <v>5.6114999999999998E-2</v>
      </c>
      <c r="G18" s="52">
        <v>7.0089999999999986E-2</v>
      </c>
      <c r="H18" s="52">
        <v>7.4927499999999994E-2</v>
      </c>
      <c r="I18" s="52">
        <v>8.0087499999999992E-2</v>
      </c>
      <c r="J18" s="52">
        <v>9.6319999999999989E-2</v>
      </c>
      <c r="K18" s="52">
        <v>0.10287749999999998</v>
      </c>
    </row>
    <row r="19" spans="2:11" ht="15" customHeight="1" x14ac:dyDescent="0.25">
      <c r="B19" s="31">
        <v>65000000</v>
      </c>
      <c r="C19" s="31">
        <v>75000000</v>
      </c>
      <c r="D19" s="31">
        <v>10000000</v>
      </c>
      <c r="E19" s="52">
        <v>4.0742500000000001E-2</v>
      </c>
      <c r="F19" s="52">
        <v>5.0954999999999993E-2</v>
      </c>
      <c r="G19" s="52">
        <v>6.3640000000000002E-2</v>
      </c>
      <c r="H19" s="52">
        <v>6.794E-2</v>
      </c>
      <c r="I19" s="52">
        <v>7.2455000000000006E-2</v>
      </c>
      <c r="J19" s="52">
        <v>8.7075E-2</v>
      </c>
      <c r="K19" s="52">
        <v>9.2987499999999987E-2</v>
      </c>
    </row>
    <row r="20" spans="2:11" ht="15" customHeight="1" x14ac:dyDescent="0.25">
      <c r="B20" s="31">
        <v>75000000</v>
      </c>
      <c r="C20" s="31">
        <v>100000000</v>
      </c>
      <c r="D20" s="31">
        <v>25000000</v>
      </c>
      <c r="E20" s="52">
        <v>3.5475E-2</v>
      </c>
      <c r="F20" s="52">
        <v>4.4397499999999999E-2</v>
      </c>
      <c r="G20" s="52">
        <v>5.5469999999999998E-2</v>
      </c>
      <c r="H20" s="52">
        <v>5.9124999999999997E-2</v>
      </c>
      <c r="I20" s="52">
        <v>6.2994999999999995E-2</v>
      </c>
      <c r="J20" s="52">
        <v>7.546499999999999E-2</v>
      </c>
      <c r="K20" s="52">
        <v>8.0410000000000009E-2</v>
      </c>
    </row>
    <row r="21" spans="2:11" ht="15" customHeight="1" x14ac:dyDescent="0.25">
      <c r="B21" s="31">
        <v>100000000</v>
      </c>
      <c r="C21" s="31">
        <v>125000000</v>
      </c>
      <c r="D21" s="31">
        <v>25000000</v>
      </c>
      <c r="E21" s="52">
        <v>3.1020000000000002E-2</v>
      </c>
      <c r="F21" s="52">
        <v>3.8720000000000004E-2</v>
      </c>
      <c r="G21" s="52">
        <v>4.8399999999999999E-2</v>
      </c>
      <c r="H21" s="52">
        <v>5.1700000000000003E-2</v>
      </c>
      <c r="I21" s="52">
        <v>5.5220000000000005E-2</v>
      </c>
      <c r="J21" s="52">
        <v>6.633E-2</v>
      </c>
      <c r="K21" s="52">
        <v>7.084E-2</v>
      </c>
    </row>
    <row r="22" spans="2:11" ht="15" customHeight="1" x14ac:dyDescent="0.25">
      <c r="B22" s="31">
        <v>125000000</v>
      </c>
      <c r="C22" s="31">
        <v>150000000</v>
      </c>
      <c r="D22" s="31">
        <v>25000000</v>
      </c>
      <c r="E22" s="52">
        <v>2.7060000000000004E-2</v>
      </c>
      <c r="F22" s="52">
        <v>3.3770000000000001E-2</v>
      </c>
      <c r="G22" s="52">
        <v>4.224E-2</v>
      </c>
      <c r="H22" s="52">
        <v>4.521E-2</v>
      </c>
      <c r="I22" s="52">
        <v>4.8510000000000005E-2</v>
      </c>
      <c r="J22" s="52">
        <v>5.8410000000000004E-2</v>
      </c>
      <c r="K22" s="52">
        <v>6.2590000000000007E-2</v>
      </c>
    </row>
    <row r="23" spans="2:11" ht="15" customHeight="1" x14ac:dyDescent="0.25">
      <c r="B23" s="31">
        <v>150000000</v>
      </c>
      <c r="C23" s="31">
        <v>175000000</v>
      </c>
      <c r="D23" s="31">
        <v>25000000</v>
      </c>
      <c r="E23" s="52">
        <v>2.486E-2</v>
      </c>
      <c r="F23" s="52">
        <v>3.1020000000000002E-2</v>
      </c>
      <c r="G23" s="52">
        <v>3.8720000000000004E-2</v>
      </c>
      <c r="H23" s="52">
        <v>4.1140000000000003E-2</v>
      </c>
      <c r="I23" s="52">
        <v>4.3780000000000006E-2</v>
      </c>
      <c r="J23" s="52">
        <v>5.2470000000000003E-2</v>
      </c>
      <c r="K23" s="52">
        <v>5.5879999999999999E-2</v>
      </c>
    </row>
    <row r="24" spans="2:11" ht="15" customHeight="1" x14ac:dyDescent="0.25">
      <c r="B24" s="31">
        <v>175000000</v>
      </c>
      <c r="C24" s="31">
        <v>200000000</v>
      </c>
      <c r="D24" s="31">
        <v>25000000</v>
      </c>
      <c r="E24" s="52">
        <v>2.3650000000000001E-2</v>
      </c>
      <c r="F24" s="52">
        <v>2.9590000000000002E-2</v>
      </c>
      <c r="G24" s="52">
        <v>3.696E-2</v>
      </c>
      <c r="H24" s="52">
        <v>3.8610000000000005E-2</v>
      </c>
      <c r="I24" s="52">
        <v>4.037000000000001E-2</v>
      </c>
      <c r="J24" s="52">
        <v>4.7520000000000007E-2</v>
      </c>
      <c r="K24" s="52">
        <v>4.9610000000000008E-2</v>
      </c>
    </row>
    <row r="25" spans="2:11" ht="15" customHeight="1" x14ac:dyDescent="0.25">
      <c r="B25" s="31">
        <v>200000000</v>
      </c>
      <c r="C25" s="31">
        <v>225000000</v>
      </c>
      <c r="D25" s="31">
        <v>25000000</v>
      </c>
      <c r="E25" s="52">
        <v>2.2770000000000002E-2</v>
      </c>
      <c r="F25" s="52">
        <v>2.8490000000000001E-2</v>
      </c>
      <c r="G25" s="52">
        <v>3.5639999999999998E-2</v>
      </c>
      <c r="H25" s="52">
        <v>3.6300000000000006E-2</v>
      </c>
      <c r="I25" s="52">
        <v>3.6850000000000008E-2</v>
      </c>
      <c r="J25" s="52">
        <v>4.2130000000000001E-2</v>
      </c>
      <c r="K25" s="52">
        <v>4.2460000000000005E-2</v>
      </c>
    </row>
    <row r="26" spans="2:11" ht="15" customHeight="1" x14ac:dyDescent="0.25">
      <c r="B26" s="31">
        <v>225000000</v>
      </c>
      <c r="C26" s="31">
        <v>250000000</v>
      </c>
      <c r="D26" s="31">
        <v>25000000</v>
      </c>
      <c r="E26" s="52">
        <v>2.2550000000000004E-2</v>
      </c>
      <c r="F26" s="52">
        <v>2.8160000000000004E-2</v>
      </c>
      <c r="G26" s="52">
        <v>3.5200000000000002E-2</v>
      </c>
      <c r="H26" s="52">
        <v>3.542E-2</v>
      </c>
      <c r="I26" s="52">
        <v>3.542E-2</v>
      </c>
      <c r="J26" s="52">
        <v>3.9600000000000003E-2</v>
      </c>
      <c r="K26" s="52">
        <v>3.916E-2</v>
      </c>
    </row>
    <row r="27" spans="2:11" ht="15" customHeight="1" x14ac:dyDescent="0.25">
      <c r="B27" s="31">
        <v>250000000</v>
      </c>
      <c r="C27" s="31">
        <v>300000000</v>
      </c>
      <c r="D27" s="31">
        <v>50000000</v>
      </c>
      <c r="E27" s="52">
        <v>2.1374999999999998E-2</v>
      </c>
      <c r="F27" s="52">
        <v>2.6662499999999999E-2</v>
      </c>
      <c r="G27" s="52">
        <v>3.3300000000000003E-2</v>
      </c>
      <c r="H27" s="52">
        <v>3.3300000000000003E-2</v>
      </c>
      <c r="I27" s="52">
        <v>3.3075E-2</v>
      </c>
      <c r="J27" s="52">
        <v>3.7012499999999997E-2</v>
      </c>
      <c r="K27" s="52">
        <v>3.6449999999999996E-2</v>
      </c>
    </row>
    <row r="28" spans="2:11" ht="15" customHeight="1" x14ac:dyDescent="0.25">
      <c r="B28" s="31">
        <v>300000000</v>
      </c>
      <c r="C28" s="31">
        <v>350000000</v>
      </c>
      <c r="D28" s="31">
        <v>50000000</v>
      </c>
      <c r="E28" s="52">
        <v>1.9574999999999999E-2</v>
      </c>
      <c r="F28" s="52">
        <v>2.4524999999999998E-2</v>
      </c>
      <c r="G28" s="52">
        <v>3.0599999999999999E-2</v>
      </c>
      <c r="H28" s="52">
        <v>3.0374999999999999E-2</v>
      </c>
      <c r="I28" s="52">
        <v>2.9925E-2</v>
      </c>
      <c r="J28" s="52">
        <v>3.2962499999999999E-2</v>
      </c>
      <c r="K28" s="52">
        <v>3.1949999999999999E-2</v>
      </c>
    </row>
    <row r="29" spans="2:11" ht="15" customHeight="1" x14ac:dyDescent="0.25">
      <c r="B29" s="31">
        <v>350000000</v>
      </c>
      <c r="C29" s="31">
        <v>400000000</v>
      </c>
      <c r="D29" s="31">
        <v>50000000</v>
      </c>
      <c r="E29" s="52">
        <v>1.8224999999999998E-2</v>
      </c>
      <c r="F29" s="52">
        <v>2.2724999999999999E-2</v>
      </c>
      <c r="G29" s="52">
        <v>2.835E-2</v>
      </c>
      <c r="H29" s="52">
        <v>2.7899999999999998E-2</v>
      </c>
      <c r="I29" s="52">
        <v>2.7224999999999999E-2</v>
      </c>
      <c r="J29" s="52">
        <v>2.9925E-2</v>
      </c>
      <c r="K29" s="52">
        <v>2.8912500000000001E-2</v>
      </c>
    </row>
    <row r="30" spans="2:11" ht="15" customHeight="1" x14ac:dyDescent="0.25">
      <c r="B30" s="31">
        <v>400000000</v>
      </c>
      <c r="C30" s="31">
        <v>450000000</v>
      </c>
      <c r="D30" s="31">
        <v>50000000</v>
      </c>
      <c r="E30" s="52">
        <v>1.67625E-2</v>
      </c>
      <c r="F30" s="52">
        <v>2.0924999999999999E-2</v>
      </c>
      <c r="G30" s="52">
        <v>2.6099999999999998E-2</v>
      </c>
      <c r="H30" s="52">
        <v>2.5762500000000001E-2</v>
      </c>
      <c r="I30" s="52">
        <v>2.5312499999999998E-2</v>
      </c>
      <c r="J30" s="52">
        <v>2.7899999999999998E-2</v>
      </c>
      <c r="K30" s="52">
        <v>2.7E-2</v>
      </c>
    </row>
    <row r="31" spans="2:11" ht="15" customHeight="1" x14ac:dyDescent="0.25">
      <c r="B31" s="31">
        <v>450000000</v>
      </c>
      <c r="C31" s="31">
        <v>500000000</v>
      </c>
      <c r="D31" s="31">
        <v>50000000</v>
      </c>
      <c r="E31" s="52">
        <v>1.5862499999999998E-2</v>
      </c>
      <c r="F31" s="52">
        <v>1.9800000000000002E-2</v>
      </c>
      <c r="G31" s="52">
        <v>2.4749999999999998E-2</v>
      </c>
      <c r="H31" s="52">
        <v>2.4187499999999997E-2</v>
      </c>
      <c r="I31" s="52">
        <v>2.3625E-2</v>
      </c>
      <c r="J31" s="52">
        <v>2.5874999999999999E-2</v>
      </c>
      <c r="K31" s="52">
        <v>2.4862500000000003E-2</v>
      </c>
    </row>
    <row r="32" spans="2:11" ht="15" customHeight="1" x14ac:dyDescent="0.25">
      <c r="B32" s="31">
        <v>500000000</v>
      </c>
      <c r="C32" s="31">
        <v>550000000</v>
      </c>
      <c r="D32" s="31">
        <v>50000000</v>
      </c>
      <c r="E32" s="52">
        <v>1.1925E-2</v>
      </c>
      <c r="F32" s="52">
        <v>1.49625E-2</v>
      </c>
      <c r="G32" s="52">
        <v>1.8675000000000001E-2</v>
      </c>
      <c r="H32" s="52">
        <v>1.9800000000000002E-2</v>
      </c>
      <c r="I32" s="52">
        <v>1.89E-2</v>
      </c>
      <c r="J32" s="52">
        <v>2.2499999999999999E-2</v>
      </c>
      <c r="K32" s="52">
        <v>2.3512499999999999E-2</v>
      </c>
    </row>
    <row r="33" spans="1:11" ht="15" customHeight="1" x14ac:dyDescent="0.25">
      <c r="B33" s="31">
        <v>550000000</v>
      </c>
      <c r="C33" s="31">
        <v>600000000</v>
      </c>
      <c r="D33" s="31">
        <v>50000000</v>
      </c>
      <c r="E33" s="52">
        <v>1.1362499999999999E-2</v>
      </c>
      <c r="F33" s="52">
        <v>1.4175E-2</v>
      </c>
      <c r="G33" s="52">
        <v>1.7775000000000003E-2</v>
      </c>
      <c r="H33" s="52">
        <v>1.89E-2</v>
      </c>
      <c r="I33" s="52">
        <v>1.7887500000000001E-2</v>
      </c>
      <c r="J33" s="52">
        <v>2.12625E-2</v>
      </c>
      <c r="K33" s="52">
        <v>2.2275000000000003E-2</v>
      </c>
    </row>
    <row r="34" spans="1:11" ht="15" customHeight="1" x14ac:dyDescent="0.25">
      <c r="B34" s="31">
        <v>600000000</v>
      </c>
      <c r="C34" s="31">
        <v>650000000</v>
      </c>
      <c r="D34" s="31">
        <v>50000000</v>
      </c>
      <c r="E34" s="52">
        <v>1.09125E-2</v>
      </c>
      <c r="F34" s="52">
        <v>1.36125E-2</v>
      </c>
      <c r="G34" s="52">
        <v>1.6987499999999999E-2</v>
      </c>
      <c r="H34" s="52">
        <v>1.8000000000000002E-2</v>
      </c>
      <c r="I34" s="52">
        <v>1.6987499999999999E-2</v>
      </c>
      <c r="J34" s="52">
        <v>2.0249999999999997E-2</v>
      </c>
      <c r="K34" s="52">
        <v>2.1150000000000002E-2</v>
      </c>
    </row>
    <row r="35" spans="1:11" ht="15" customHeight="1" x14ac:dyDescent="0.25">
      <c r="B35" s="31">
        <v>650000000</v>
      </c>
      <c r="C35" s="31">
        <v>700000000</v>
      </c>
      <c r="D35" s="31">
        <v>50000000</v>
      </c>
      <c r="E35" s="52">
        <v>1.04625E-2</v>
      </c>
      <c r="F35" s="52">
        <v>1.3049999999999999E-2</v>
      </c>
      <c r="G35" s="52">
        <v>1.6199999999999999E-2</v>
      </c>
      <c r="H35" s="52">
        <v>1.7212499999999999E-2</v>
      </c>
      <c r="I35" s="52">
        <v>1.6312500000000001E-2</v>
      </c>
      <c r="J35" s="52">
        <v>1.9349999999999999E-2</v>
      </c>
      <c r="K35" s="52">
        <v>2.0249999999999997E-2</v>
      </c>
    </row>
    <row r="36" spans="1:11" ht="15" customHeight="1" x14ac:dyDescent="0.25">
      <c r="B36" s="31">
        <v>700000000</v>
      </c>
      <c r="C36" s="31">
        <v>750000000</v>
      </c>
      <c r="D36" s="31">
        <v>50000000</v>
      </c>
      <c r="E36" s="52">
        <v>1.0012500000000001E-2</v>
      </c>
      <c r="F36" s="52">
        <v>1.24875E-2</v>
      </c>
      <c r="G36" s="52">
        <v>1.5637499999999999E-2</v>
      </c>
      <c r="H36" s="52">
        <v>1.6650000000000002E-2</v>
      </c>
      <c r="I36" s="52">
        <v>1.5637499999999999E-2</v>
      </c>
      <c r="J36" s="52">
        <v>1.8562500000000003E-2</v>
      </c>
      <c r="K36" s="52">
        <v>1.9349999999999999E-2</v>
      </c>
    </row>
    <row r="37" spans="1:11" ht="15" customHeight="1" x14ac:dyDescent="0.25">
      <c r="B37" s="31">
        <v>750000000</v>
      </c>
      <c r="C37" s="31">
        <v>800000000</v>
      </c>
      <c r="D37" s="31">
        <v>50000000</v>
      </c>
      <c r="E37" s="52">
        <v>9.6749999999999996E-3</v>
      </c>
      <c r="F37" s="52">
        <v>1.20375E-2</v>
      </c>
      <c r="G37" s="52">
        <v>1.5075E-2</v>
      </c>
      <c r="H37" s="52">
        <v>1.5975E-2</v>
      </c>
      <c r="I37" s="52">
        <v>1.49625E-2</v>
      </c>
      <c r="J37" s="52">
        <v>1.7887500000000001E-2</v>
      </c>
      <c r="K37" s="52">
        <v>1.8675000000000001E-2</v>
      </c>
    </row>
    <row r="38" spans="1:11" ht="15" customHeight="1" x14ac:dyDescent="0.25">
      <c r="B38" s="31">
        <v>800000000</v>
      </c>
      <c r="C38" s="31">
        <v>850000000</v>
      </c>
      <c r="D38" s="31">
        <v>50000000</v>
      </c>
      <c r="E38" s="52">
        <v>9.2250000000000006E-3</v>
      </c>
      <c r="F38" s="52">
        <v>1.1587500000000001E-2</v>
      </c>
      <c r="G38" s="52">
        <v>1.4512499999999999E-2</v>
      </c>
      <c r="H38" s="52">
        <v>1.5412500000000001E-2</v>
      </c>
      <c r="I38" s="52">
        <v>1.4400000000000001E-2</v>
      </c>
      <c r="J38" s="52">
        <v>1.7212499999999999E-2</v>
      </c>
      <c r="K38" s="52">
        <v>1.8000000000000002E-2</v>
      </c>
    </row>
    <row r="39" spans="1:11" ht="15" customHeight="1" x14ac:dyDescent="0.25">
      <c r="B39" s="31">
        <v>850000000</v>
      </c>
      <c r="C39" s="31">
        <v>900000000</v>
      </c>
      <c r="D39" s="31">
        <v>50000000</v>
      </c>
      <c r="E39" s="52">
        <v>9.0000000000000011E-3</v>
      </c>
      <c r="F39" s="52">
        <v>1.125E-2</v>
      </c>
      <c r="G39" s="52">
        <v>1.40625E-2</v>
      </c>
      <c r="H39" s="52">
        <v>1.49625E-2</v>
      </c>
      <c r="I39" s="52">
        <v>1.3949999999999999E-2</v>
      </c>
      <c r="J39" s="52">
        <v>1.6650000000000002E-2</v>
      </c>
      <c r="K39" s="52">
        <v>1.7325E-2</v>
      </c>
    </row>
    <row r="40" spans="1:11" ht="15" customHeight="1" x14ac:dyDescent="0.25">
      <c r="B40" s="31">
        <v>900000000</v>
      </c>
      <c r="C40" s="31">
        <v>950000000</v>
      </c>
      <c r="D40" s="31">
        <v>50000000</v>
      </c>
      <c r="E40" s="52">
        <v>8.7749999999999998E-3</v>
      </c>
      <c r="F40" s="52">
        <v>1.09125E-2</v>
      </c>
      <c r="G40" s="52">
        <v>1.36125E-2</v>
      </c>
      <c r="H40" s="52">
        <v>1.4512499999999999E-2</v>
      </c>
      <c r="I40" s="52">
        <v>1.35E-2</v>
      </c>
      <c r="J40" s="52">
        <v>1.6087500000000001E-2</v>
      </c>
      <c r="K40" s="52">
        <v>1.67625E-2</v>
      </c>
    </row>
    <row r="41" spans="1:11" ht="15" customHeight="1" x14ac:dyDescent="0.25">
      <c r="B41" s="31">
        <v>950000000</v>
      </c>
      <c r="C41" s="31">
        <v>1000000000</v>
      </c>
      <c r="D41" s="31">
        <v>50000000</v>
      </c>
      <c r="E41" s="52">
        <v>8.4375000000000006E-3</v>
      </c>
      <c r="F41" s="52">
        <v>1.0575000000000001E-2</v>
      </c>
      <c r="G41" s="52">
        <v>1.3162500000000001E-2</v>
      </c>
      <c r="H41" s="52">
        <v>1.40625E-2</v>
      </c>
      <c r="I41" s="52">
        <v>1.3049999999999999E-2</v>
      </c>
      <c r="J41" s="52">
        <v>1.5525000000000001E-2</v>
      </c>
      <c r="K41" s="52">
        <v>1.6312500000000001E-2</v>
      </c>
    </row>
    <row r="43" spans="1:11" ht="15" customHeight="1" x14ac:dyDescent="0.25">
      <c r="E43" s="52"/>
    </row>
    <row r="44" spans="1:11" ht="15" customHeight="1" x14ac:dyDescent="0.25">
      <c r="B44" s="66" t="s">
        <v>342</v>
      </c>
      <c r="C44" s="66" t="s">
        <v>343</v>
      </c>
      <c r="D44" s="66" t="s">
        <v>344</v>
      </c>
      <c r="E44" s="66" t="s">
        <v>345</v>
      </c>
      <c r="F44" s="66" t="s">
        <v>346</v>
      </c>
      <c r="G44" s="66" t="s">
        <v>347</v>
      </c>
      <c r="H44" s="66" t="s">
        <v>348</v>
      </c>
      <c r="I44" s="66" t="s">
        <v>349</v>
      </c>
      <c r="J44" s="66" t="s">
        <v>350</v>
      </c>
      <c r="K44" s="66" t="s">
        <v>351</v>
      </c>
    </row>
    <row r="45" spans="1:11" ht="15" customHeight="1" x14ac:dyDescent="0.25">
      <c r="A45" t="s">
        <v>353</v>
      </c>
      <c r="B45" s="31">
        <v>0</v>
      </c>
      <c r="C45" s="31">
        <v>2500000</v>
      </c>
      <c r="D45" s="31">
        <v>2500000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</row>
    <row r="46" spans="1:11" ht="15" customHeight="1" x14ac:dyDescent="0.25">
      <c r="B46" s="31">
        <v>2500000</v>
      </c>
      <c r="C46" s="31">
        <v>5000000</v>
      </c>
      <c r="D46" s="31">
        <v>2500000</v>
      </c>
      <c r="E46" s="31">
        <f t="shared" ref="E46:E79" si="0">$D45*E7/1000+E45</f>
        <v>729.22500000000002</v>
      </c>
      <c r="F46" s="31">
        <f t="shared" ref="F46:F79" si="1">$D45*F7/1000+F45</f>
        <v>911.40000000000009</v>
      </c>
      <c r="G46" s="31">
        <f t="shared" ref="G46:G79" si="2">$D45*G7/1000+G45</f>
        <v>1139.25</v>
      </c>
      <c r="H46" s="31">
        <f t="shared" ref="H46:H79" si="3">$D45*H7/1000+H45</f>
        <v>1294.9124999999999</v>
      </c>
      <c r="I46" s="31">
        <f t="shared" ref="I46:I79" si="4">$D45*I7/1000+I45</f>
        <v>1471.575</v>
      </c>
      <c r="J46" s="31">
        <f t="shared" ref="J46:J79" si="5">$D45*J7/1000+J45</f>
        <v>1881.8625</v>
      </c>
      <c r="K46" s="31">
        <f t="shared" ref="K46:K79" si="6">$D45*K7/1000+K45</f>
        <v>2138.85</v>
      </c>
    </row>
    <row r="47" spans="1:11" ht="15" customHeight="1" x14ac:dyDescent="0.25">
      <c r="B47" s="31">
        <v>5000000</v>
      </c>
      <c r="C47" s="31">
        <v>7500000</v>
      </c>
      <c r="D47" s="31">
        <v>2500000</v>
      </c>
      <c r="E47" s="31">
        <f t="shared" si="0"/>
        <v>1304.3625000000002</v>
      </c>
      <c r="F47" s="31">
        <f t="shared" si="1"/>
        <v>1630.3875</v>
      </c>
      <c r="G47" s="31">
        <f t="shared" si="2"/>
        <v>2038.05</v>
      </c>
      <c r="H47" s="31">
        <f t="shared" si="3"/>
        <v>2270.625</v>
      </c>
      <c r="I47" s="31">
        <f t="shared" si="4"/>
        <v>2529.4499999999998</v>
      </c>
      <c r="J47" s="31">
        <f t="shared" si="5"/>
        <v>3170.7375000000002</v>
      </c>
      <c r="K47" s="31">
        <f t="shared" si="6"/>
        <v>3532.2</v>
      </c>
    </row>
    <row r="48" spans="1:11" ht="15" customHeight="1" x14ac:dyDescent="0.25">
      <c r="B48" s="31">
        <v>7500000</v>
      </c>
      <c r="C48" s="31">
        <v>10000000</v>
      </c>
      <c r="D48" s="31">
        <v>2500000</v>
      </c>
      <c r="E48" s="31">
        <f t="shared" si="0"/>
        <v>1832.5125000000003</v>
      </c>
      <c r="F48" s="31">
        <f t="shared" si="1"/>
        <v>2290.5749999999998</v>
      </c>
      <c r="G48" s="31">
        <f t="shared" si="2"/>
        <v>2863.35</v>
      </c>
      <c r="H48" s="31">
        <f t="shared" si="3"/>
        <v>3153.15</v>
      </c>
      <c r="I48" s="31">
        <f t="shared" si="4"/>
        <v>3472.35</v>
      </c>
      <c r="J48" s="31">
        <f t="shared" si="5"/>
        <v>4302.375</v>
      </c>
      <c r="K48" s="31">
        <f t="shared" si="6"/>
        <v>4737.8624999999993</v>
      </c>
    </row>
    <row r="49" spans="2:11" ht="15" customHeight="1" x14ac:dyDescent="0.25">
      <c r="B49" s="31">
        <v>10000000</v>
      </c>
      <c r="C49" s="31">
        <v>12500000</v>
      </c>
      <c r="D49" s="31">
        <v>2500000</v>
      </c>
      <c r="E49" s="31">
        <f t="shared" si="0"/>
        <v>2332.5750000000003</v>
      </c>
      <c r="F49" s="31">
        <f t="shared" si="1"/>
        <v>2915.5875000000001</v>
      </c>
      <c r="G49" s="31">
        <f t="shared" si="2"/>
        <v>3644.55</v>
      </c>
      <c r="H49" s="31">
        <f t="shared" si="3"/>
        <v>3980.8125</v>
      </c>
      <c r="I49" s="31">
        <f t="shared" si="4"/>
        <v>4347.7875000000004</v>
      </c>
      <c r="J49" s="31">
        <f t="shared" si="5"/>
        <v>5343.1875</v>
      </c>
      <c r="K49" s="31">
        <f t="shared" si="6"/>
        <v>5835.9</v>
      </c>
    </row>
    <row r="50" spans="2:11" ht="15" customHeight="1" x14ac:dyDescent="0.25">
      <c r="B50" s="31">
        <v>12500000</v>
      </c>
      <c r="C50" s="31">
        <v>15000000</v>
      </c>
      <c r="D50" s="31">
        <v>2500000</v>
      </c>
      <c r="E50" s="31">
        <f t="shared" si="0"/>
        <v>2812.9500000000003</v>
      </c>
      <c r="F50" s="31">
        <f t="shared" si="1"/>
        <v>3516.1875</v>
      </c>
      <c r="G50" s="31">
        <f t="shared" si="2"/>
        <v>4395.3</v>
      </c>
      <c r="H50" s="31">
        <f t="shared" si="3"/>
        <v>4770.1499999999996</v>
      </c>
      <c r="I50" s="31">
        <f t="shared" si="4"/>
        <v>5176.7625000000007</v>
      </c>
      <c r="J50" s="31">
        <f t="shared" si="5"/>
        <v>6321.2624999999998</v>
      </c>
      <c r="K50" s="31">
        <f t="shared" si="6"/>
        <v>6860.1749999999993</v>
      </c>
    </row>
    <row r="51" spans="2:11" ht="15" customHeight="1" x14ac:dyDescent="0.25">
      <c r="B51" s="31">
        <v>15000000</v>
      </c>
      <c r="C51" s="31">
        <v>20000000</v>
      </c>
      <c r="D51" s="31">
        <v>5000000</v>
      </c>
      <c r="E51" s="31">
        <f t="shared" si="0"/>
        <v>3277.3125000000005</v>
      </c>
      <c r="F51" s="31">
        <f t="shared" si="1"/>
        <v>4096.5749999999998</v>
      </c>
      <c r="G51" s="31">
        <f t="shared" si="2"/>
        <v>5120.8500000000004</v>
      </c>
      <c r="H51" s="31">
        <f t="shared" si="3"/>
        <v>5529.0374999999995</v>
      </c>
      <c r="I51" s="31">
        <f t="shared" si="4"/>
        <v>5969.7750000000005</v>
      </c>
      <c r="J51" s="31">
        <f t="shared" si="5"/>
        <v>7252.0874999999996</v>
      </c>
      <c r="K51" s="31">
        <f t="shared" si="6"/>
        <v>7830.1124999999993</v>
      </c>
    </row>
    <row r="52" spans="2:11" ht="15" customHeight="1" x14ac:dyDescent="0.25">
      <c r="B52" s="31">
        <v>20000000</v>
      </c>
      <c r="C52" s="31">
        <v>25000000</v>
      </c>
      <c r="D52" s="31">
        <v>5000000</v>
      </c>
      <c r="E52" s="31">
        <f t="shared" si="0"/>
        <v>4170.8625000000002</v>
      </c>
      <c r="F52" s="31">
        <f t="shared" si="1"/>
        <v>5213.7749999999996</v>
      </c>
      <c r="G52" s="31">
        <f t="shared" si="2"/>
        <v>6517.35</v>
      </c>
      <c r="H52" s="31">
        <f t="shared" si="3"/>
        <v>6980.1374999999989</v>
      </c>
      <c r="I52" s="31">
        <f t="shared" si="4"/>
        <v>7475.4750000000004</v>
      </c>
      <c r="J52" s="31">
        <f t="shared" si="5"/>
        <v>9007.6875</v>
      </c>
      <c r="K52" s="31">
        <f t="shared" si="6"/>
        <v>9647.1374999999989</v>
      </c>
    </row>
    <row r="53" spans="2:11" ht="15" customHeight="1" x14ac:dyDescent="0.25">
      <c r="B53" s="31">
        <v>25000000</v>
      </c>
      <c r="C53" s="31">
        <v>35000000</v>
      </c>
      <c r="D53" s="31">
        <v>10000000</v>
      </c>
      <c r="E53" s="31">
        <f t="shared" si="0"/>
        <v>5029.7625000000007</v>
      </c>
      <c r="F53" s="31">
        <f t="shared" si="1"/>
        <v>6287.4</v>
      </c>
      <c r="G53" s="31">
        <f t="shared" si="2"/>
        <v>7859.25</v>
      </c>
      <c r="H53" s="31">
        <f t="shared" si="3"/>
        <v>8365.0874999999996</v>
      </c>
      <c r="I53" s="31">
        <f t="shared" si="4"/>
        <v>8902.9500000000007</v>
      </c>
      <c r="J53" s="31">
        <f t="shared" si="5"/>
        <v>10661.4375</v>
      </c>
      <c r="K53" s="31">
        <f t="shared" si="6"/>
        <v>11347.612499999999</v>
      </c>
    </row>
    <row r="54" spans="2:11" ht="15" customHeight="1" x14ac:dyDescent="0.25">
      <c r="B54" s="31">
        <v>35000000</v>
      </c>
      <c r="C54" s="31">
        <v>45000000</v>
      </c>
      <c r="D54" s="31">
        <v>10000000</v>
      </c>
      <c r="E54" s="31">
        <f t="shared" si="0"/>
        <v>5719.9125000000004</v>
      </c>
      <c r="F54" s="31">
        <f t="shared" si="1"/>
        <v>7150.625</v>
      </c>
      <c r="G54" s="31">
        <f t="shared" si="2"/>
        <v>8938.5499999999993</v>
      </c>
      <c r="H54" s="31">
        <f t="shared" si="3"/>
        <v>9627.1374999999989</v>
      </c>
      <c r="I54" s="31">
        <f t="shared" si="4"/>
        <v>10367.1</v>
      </c>
      <c r="J54" s="31">
        <f t="shared" si="5"/>
        <v>12563.112499999999</v>
      </c>
      <c r="K54" s="31">
        <f t="shared" si="6"/>
        <v>13529.862499999999</v>
      </c>
    </row>
    <row r="55" spans="2:11" ht="15" customHeight="1" x14ac:dyDescent="0.25">
      <c r="B55" s="31">
        <v>45000000</v>
      </c>
      <c r="C55" s="31">
        <v>55000000</v>
      </c>
      <c r="D55" s="31">
        <v>10000000</v>
      </c>
      <c r="E55" s="31">
        <f t="shared" si="0"/>
        <v>6298.2625000000007</v>
      </c>
      <c r="F55" s="31">
        <f t="shared" si="1"/>
        <v>7873.0249999999996</v>
      </c>
      <c r="G55" s="31">
        <f t="shared" si="2"/>
        <v>9841.5499999999993</v>
      </c>
      <c r="H55" s="31">
        <f t="shared" si="3"/>
        <v>10592.487499999999</v>
      </c>
      <c r="I55" s="31">
        <f t="shared" si="4"/>
        <v>11396.95</v>
      </c>
      <c r="J55" s="31">
        <f t="shared" si="5"/>
        <v>13801.512499999999</v>
      </c>
      <c r="K55" s="31">
        <f t="shared" si="6"/>
        <v>14852.112499999999</v>
      </c>
    </row>
    <row r="56" spans="2:11" ht="15" customHeight="1" x14ac:dyDescent="0.25">
      <c r="B56" s="31">
        <v>55000000</v>
      </c>
      <c r="C56" s="31">
        <v>65000000</v>
      </c>
      <c r="D56" s="31">
        <v>10000000</v>
      </c>
      <c r="E56" s="31">
        <f t="shared" si="0"/>
        <v>6802.4375000000009</v>
      </c>
      <c r="F56" s="31">
        <f t="shared" si="1"/>
        <v>8502.9750000000004</v>
      </c>
      <c r="G56" s="31">
        <f t="shared" si="2"/>
        <v>10628.449999999999</v>
      </c>
      <c r="H56" s="31">
        <f t="shared" si="3"/>
        <v>11433.137499999999</v>
      </c>
      <c r="I56" s="31">
        <f t="shared" si="4"/>
        <v>12294.575000000001</v>
      </c>
      <c r="J56" s="31">
        <f t="shared" si="5"/>
        <v>14880.812499999998</v>
      </c>
      <c r="K56" s="31">
        <f t="shared" si="6"/>
        <v>16004.512499999999</v>
      </c>
    </row>
    <row r="57" spans="2:11" ht="15" customHeight="1" x14ac:dyDescent="0.25">
      <c r="B57" s="31">
        <v>65000000</v>
      </c>
      <c r="C57" s="31">
        <v>75000000</v>
      </c>
      <c r="D57" s="31">
        <v>10000000</v>
      </c>
      <c r="E57" s="31">
        <f t="shared" si="0"/>
        <v>7251.7875000000013</v>
      </c>
      <c r="F57" s="31">
        <f t="shared" si="1"/>
        <v>9064.125</v>
      </c>
      <c r="G57" s="31">
        <f t="shared" si="2"/>
        <v>11329.349999999999</v>
      </c>
      <c r="H57" s="31">
        <f t="shared" si="3"/>
        <v>12182.412499999999</v>
      </c>
      <c r="I57" s="31">
        <f t="shared" si="4"/>
        <v>13095.45</v>
      </c>
      <c r="J57" s="31">
        <f t="shared" si="5"/>
        <v>15844.012499999999</v>
      </c>
      <c r="K57" s="31">
        <f t="shared" si="6"/>
        <v>17033.287499999999</v>
      </c>
    </row>
    <row r="58" spans="2:11" ht="15" customHeight="1" x14ac:dyDescent="0.25">
      <c r="B58" s="31">
        <v>75000000</v>
      </c>
      <c r="C58" s="31">
        <v>100000000</v>
      </c>
      <c r="D58" s="31">
        <v>25000000</v>
      </c>
      <c r="E58" s="31">
        <f t="shared" si="0"/>
        <v>7659.2125000000015</v>
      </c>
      <c r="F58" s="31">
        <f t="shared" si="1"/>
        <v>9573.6749999999993</v>
      </c>
      <c r="G58" s="31">
        <f t="shared" si="2"/>
        <v>11965.749999999998</v>
      </c>
      <c r="H58" s="31">
        <f t="shared" si="3"/>
        <v>12861.812499999998</v>
      </c>
      <c r="I58" s="31">
        <f t="shared" si="4"/>
        <v>13820</v>
      </c>
      <c r="J58" s="31">
        <f t="shared" si="5"/>
        <v>16714.762499999997</v>
      </c>
      <c r="K58" s="31">
        <f t="shared" si="6"/>
        <v>17963.162499999999</v>
      </c>
    </row>
    <row r="59" spans="2:11" ht="15" customHeight="1" x14ac:dyDescent="0.25">
      <c r="B59" s="31">
        <v>100000000</v>
      </c>
      <c r="C59" s="31">
        <v>125000000</v>
      </c>
      <c r="D59" s="31">
        <v>25000000</v>
      </c>
      <c r="E59" s="31">
        <f t="shared" si="0"/>
        <v>8546.0875000000015</v>
      </c>
      <c r="F59" s="31">
        <f t="shared" si="1"/>
        <v>10683.612499999999</v>
      </c>
      <c r="G59" s="31">
        <f t="shared" si="2"/>
        <v>13352.499999999998</v>
      </c>
      <c r="H59" s="31">
        <f t="shared" si="3"/>
        <v>14339.937499999998</v>
      </c>
      <c r="I59" s="31">
        <f t="shared" si="4"/>
        <v>15394.875</v>
      </c>
      <c r="J59" s="31">
        <f t="shared" si="5"/>
        <v>18601.387499999997</v>
      </c>
      <c r="K59" s="31">
        <f t="shared" si="6"/>
        <v>19973.412499999999</v>
      </c>
    </row>
    <row r="60" spans="2:11" ht="15" customHeight="1" x14ac:dyDescent="0.25">
      <c r="B60" s="31">
        <v>125000000</v>
      </c>
      <c r="C60" s="31">
        <v>150000000</v>
      </c>
      <c r="D60" s="31">
        <v>25000000</v>
      </c>
      <c r="E60" s="31">
        <f t="shared" si="0"/>
        <v>9321.5875000000015</v>
      </c>
      <c r="F60" s="31">
        <f t="shared" si="1"/>
        <v>11651.612499999999</v>
      </c>
      <c r="G60" s="31">
        <f t="shared" si="2"/>
        <v>14562.499999999998</v>
      </c>
      <c r="H60" s="31">
        <f t="shared" si="3"/>
        <v>15632.437499999998</v>
      </c>
      <c r="I60" s="31">
        <f t="shared" si="4"/>
        <v>16775.375</v>
      </c>
      <c r="J60" s="31">
        <f t="shared" si="5"/>
        <v>20259.637499999997</v>
      </c>
      <c r="K60" s="31">
        <f t="shared" si="6"/>
        <v>21744.412499999999</v>
      </c>
    </row>
    <row r="61" spans="2:11" ht="15" customHeight="1" x14ac:dyDescent="0.25">
      <c r="B61" s="31">
        <v>150000000</v>
      </c>
      <c r="C61" s="31">
        <v>175000000</v>
      </c>
      <c r="D61" s="31">
        <v>25000000</v>
      </c>
      <c r="E61" s="31">
        <f t="shared" si="0"/>
        <v>9998.0875000000015</v>
      </c>
      <c r="F61" s="31">
        <f t="shared" si="1"/>
        <v>12495.862499999999</v>
      </c>
      <c r="G61" s="31">
        <f t="shared" si="2"/>
        <v>15618.499999999998</v>
      </c>
      <c r="H61" s="31">
        <f t="shared" si="3"/>
        <v>16762.6875</v>
      </c>
      <c r="I61" s="31">
        <f t="shared" si="4"/>
        <v>17988.125</v>
      </c>
      <c r="J61" s="31">
        <f t="shared" si="5"/>
        <v>21719.887499999997</v>
      </c>
      <c r="K61" s="31">
        <f t="shared" si="6"/>
        <v>23309.162499999999</v>
      </c>
    </row>
    <row r="62" spans="2:11" ht="15" customHeight="1" x14ac:dyDescent="0.25">
      <c r="B62" s="31">
        <v>175000000</v>
      </c>
      <c r="C62" s="31">
        <v>200000000</v>
      </c>
      <c r="D62" s="31">
        <v>25000000</v>
      </c>
      <c r="E62" s="31">
        <f t="shared" si="0"/>
        <v>10619.587500000001</v>
      </c>
      <c r="F62" s="31">
        <f t="shared" si="1"/>
        <v>13271.362499999999</v>
      </c>
      <c r="G62" s="31">
        <f t="shared" si="2"/>
        <v>16586.5</v>
      </c>
      <c r="H62" s="31">
        <f t="shared" si="3"/>
        <v>17791.1875</v>
      </c>
      <c r="I62" s="31">
        <f t="shared" si="4"/>
        <v>19082.625</v>
      </c>
      <c r="J62" s="31">
        <f t="shared" si="5"/>
        <v>23031.637499999997</v>
      </c>
      <c r="K62" s="31">
        <f t="shared" si="6"/>
        <v>24706.162499999999</v>
      </c>
    </row>
    <row r="63" spans="2:11" ht="15" customHeight="1" x14ac:dyDescent="0.25">
      <c r="B63" s="31">
        <v>200000000</v>
      </c>
      <c r="C63" s="31">
        <v>225000000</v>
      </c>
      <c r="D63" s="31">
        <v>25000000</v>
      </c>
      <c r="E63" s="31">
        <f t="shared" si="0"/>
        <v>11210.837500000001</v>
      </c>
      <c r="F63" s="31">
        <f t="shared" si="1"/>
        <v>14011.112499999999</v>
      </c>
      <c r="G63" s="31">
        <f t="shared" si="2"/>
        <v>17510.5</v>
      </c>
      <c r="H63" s="31">
        <f t="shared" si="3"/>
        <v>18756.4375</v>
      </c>
      <c r="I63" s="31">
        <f t="shared" si="4"/>
        <v>20091.875</v>
      </c>
      <c r="J63" s="31">
        <f t="shared" si="5"/>
        <v>24219.637499999997</v>
      </c>
      <c r="K63" s="31">
        <f t="shared" si="6"/>
        <v>25946.412499999999</v>
      </c>
    </row>
    <row r="64" spans="2:11" ht="15" customHeight="1" x14ac:dyDescent="0.25">
      <c r="B64" s="31">
        <v>225000000</v>
      </c>
      <c r="C64" s="31">
        <v>250000000</v>
      </c>
      <c r="D64" s="31">
        <v>25000000</v>
      </c>
      <c r="E64" s="31">
        <f t="shared" si="0"/>
        <v>11780.087500000001</v>
      </c>
      <c r="F64" s="31">
        <f t="shared" si="1"/>
        <v>14723.362499999999</v>
      </c>
      <c r="G64" s="31">
        <f t="shared" si="2"/>
        <v>18401.5</v>
      </c>
      <c r="H64" s="31">
        <f t="shared" si="3"/>
        <v>19663.9375</v>
      </c>
      <c r="I64" s="31">
        <f t="shared" si="4"/>
        <v>21013.125</v>
      </c>
      <c r="J64" s="31">
        <f t="shared" si="5"/>
        <v>25272.887499999997</v>
      </c>
      <c r="K64" s="31">
        <f t="shared" si="6"/>
        <v>27007.912499999999</v>
      </c>
    </row>
    <row r="65" spans="2:11" ht="15" customHeight="1" x14ac:dyDescent="0.25">
      <c r="B65" s="31">
        <v>250000000</v>
      </c>
      <c r="C65" s="31">
        <v>300000000</v>
      </c>
      <c r="D65" s="31">
        <v>50000000</v>
      </c>
      <c r="E65" s="31">
        <f t="shared" si="0"/>
        <v>12343.837500000001</v>
      </c>
      <c r="F65" s="31">
        <f t="shared" si="1"/>
        <v>15427.362499999999</v>
      </c>
      <c r="G65" s="31">
        <f t="shared" si="2"/>
        <v>19281.5</v>
      </c>
      <c r="H65" s="31">
        <f t="shared" si="3"/>
        <v>20549.4375</v>
      </c>
      <c r="I65" s="31">
        <f t="shared" si="4"/>
        <v>21898.625</v>
      </c>
      <c r="J65" s="31">
        <f t="shared" si="5"/>
        <v>26262.887499999997</v>
      </c>
      <c r="K65" s="31">
        <f t="shared" si="6"/>
        <v>27986.912499999999</v>
      </c>
    </row>
    <row r="66" spans="2:11" ht="15" customHeight="1" x14ac:dyDescent="0.25">
      <c r="B66" s="31">
        <v>300000000</v>
      </c>
      <c r="C66" s="31">
        <v>350000000</v>
      </c>
      <c r="D66" s="31">
        <v>50000000</v>
      </c>
      <c r="E66" s="31">
        <f t="shared" si="0"/>
        <v>13412.587500000001</v>
      </c>
      <c r="F66" s="31">
        <f t="shared" si="1"/>
        <v>16760.487499999999</v>
      </c>
      <c r="G66" s="31">
        <f t="shared" si="2"/>
        <v>20946.5</v>
      </c>
      <c r="H66" s="31">
        <f t="shared" si="3"/>
        <v>22214.4375</v>
      </c>
      <c r="I66" s="31">
        <f t="shared" si="4"/>
        <v>23552.375</v>
      </c>
      <c r="J66" s="31">
        <f t="shared" si="5"/>
        <v>28113.512499999997</v>
      </c>
      <c r="K66" s="31">
        <f t="shared" si="6"/>
        <v>29809.412499999999</v>
      </c>
    </row>
    <row r="67" spans="2:11" ht="15" customHeight="1" x14ac:dyDescent="0.25">
      <c r="B67" s="31">
        <v>350000000</v>
      </c>
      <c r="C67" s="31">
        <v>400000000</v>
      </c>
      <c r="D67" s="31">
        <v>50000000</v>
      </c>
      <c r="E67" s="31">
        <f t="shared" si="0"/>
        <v>14391.337500000001</v>
      </c>
      <c r="F67" s="31">
        <f t="shared" si="1"/>
        <v>17986.737499999999</v>
      </c>
      <c r="G67" s="31">
        <f t="shared" si="2"/>
        <v>22476.5</v>
      </c>
      <c r="H67" s="31">
        <f t="shared" si="3"/>
        <v>23733.1875</v>
      </c>
      <c r="I67" s="31">
        <f t="shared" si="4"/>
        <v>25048.625</v>
      </c>
      <c r="J67" s="31">
        <f t="shared" si="5"/>
        <v>29761.637499999997</v>
      </c>
      <c r="K67" s="31">
        <f t="shared" si="6"/>
        <v>31406.912499999999</v>
      </c>
    </row>
    <row r="68" spans="2:11" ht="15" customHeight="1" x14ac:dyDescent="0.25">
      <c r="B68" s="31">
        <v>400000000</v>
      </c>
      <c r="C68" s="31">
        <v>450000000</v>
      </c>
      <c r="D68" s="31">
        <v>50000000</v>
      </c>
      <c r="E68" s="31">
        <f t="shared" si="0"/>
        <v>15302.587500000001</v>
      </c>
      <c r="F68" s="31">
        <f t="shared" si="1"/>
        <v>19122.987499999999</v>
      </c>
      <c r="G68" s="31">
        <f t="shared" si="2"/>
        <v>23894</v>
      </c>
      <c r="H68" s="31">
        <f t="shared" si="3"/>
        <v>25128.1875</v>
      </c>
      <c r="I68" s="31">
        <f t="shared" si="4"/>
        <v>26409.875</v>
      </c>
      <c r="J68" s="31">
        <f t="shared" si="5"/>
        <v>31257.887499999997</v>
      </c>
      <c r="K68" s="31">
        <f t="shared" si="6"/>
        <v>32852.537499999999</v>
      </c>
    </row>
    <row r="69" spans="2:11" ht="15" customHeight="1" x14ac:dyDescent="0.25">
      <c r="B69" s="31">
        <v>450000000</v>
      </c>
      <c r="C69" s="31">
        <v>500000000</v>
      </c>
      <c r="D69" s="31">
        <v>50000000</v>
      </c>
      <c r="E69" s="31">
        <f t="shared" si="0"/>
        <v>16140.712500000001</v>
      </c>
      <c r="F69" s="31">
        <f t="shared" si="1"/>
        <v>20169.237499999999</v>
      </c>
      <c r="G69" s="31">
        <f t="shared" si="2"/>
        <v>25199</v>
      </c>
      <c r="H69" s="31">
        <f t="shared" si="3"/>
        <v>26416.3125</v>
      </c>
      <c r="I69" s="31">
        <f t="shared" si="4"/>
        <v>27675.5</v>
      </c>
      <c r="J69" s="31">
        <f t="shared" si="5"/>
        <v>32652.887499999997</v>
      </c>
      <c r="K69" s="31">
        <f t="shared" si="6"/>
        <v>34202.537499999999</v>
      </c>
    </row>
    <row r="70" spans="2:11" ht="15" customHeight="1" x14ac:dyDescent="0.25">
      <c r="B70" s="31">
        <v>500000000</v>
      </c>
      <c r="C70" s="31">
        <v>550000000</v>
      </c>
      <c r="D70" s="31">
        <v>50000000</v>
      </c>
      <c r="E70" s="31">
        <f t="shared" si="0"/>
        <v>16933.837500000001</v>
      </c>
      <c r="F70" s="31">
        <f t="shared" si="1"/>
        <v>21159.237499999999</v>
      </c>
      <c r="G70" s="31">
        <f t="shared" si="2"/>
        <v>26436.5</v>
      </c>
      <c r="H70" s="31">
        <f t="shared" si="3"/>
        <v>27625.6875</v>
      </c>
      <c r="I70" s="31">
        <f t="shared" si="4"/>
        <v>28856.75</v>
      </c>
      <c r="J70" s="31">
        <f t="shared" si="5"/>
        <v>33946.637499999997</v>
      </c>
      <c r="K70" s="31">
        <f t="shared" si="6"/>
        <v>35445.662499999999</v>
      </c>
    </row>
    <row r="71" spans="2:11" ht="15" customHeight="1" x14ac:dyDescent="0.25">
      <c r="B71" s="31">
        <v>550000000</v>
      </c>
      <c r="C71" s="31">
        <v>600000000</v>
      </c>
      <c r="D71" s="31">
        <v>50000000</v>
      </c>
      <c r="E71" s="31">
        <f t="shared" si="0"/>
        <v>17530.087500000001</v>
      </c>
      <c r="F71" s="31">
        <f t="shared" si="1"/>
        <v>21907.362499999999</v>
      </c>
      <c r="G71" s="31">
        <f t="shared" si="2"/>
        <v>27370.25</v>
      </c>
      <c r="H71" s="31">
        <f t="shared" si="3"/>
        <v>28615.6875</v>
      </c>
      <c r="I71" s="31">
        <f t="shared" si="4"/>
        <v>29801.75</v>
      </c>
      <c r="J71" s="31">
        <f t="shared" si="5"/>
        <v>35071.637499999997</v>
      </c>
      <c r="K71" s="31">
        <f t="shared" si="6"/>
        <v>36621.287499999999</v>
      </c>
    </row>
    <row r="72" spans="2:11" ht="15" customHeight="1" x14ac:dyDescent="0.25">
      <c r="B72" s="31">
        <v>600000000</v>
      </c>
      <c r="C72" s="31">
        <v>650000000</v>
      </c>
      <c r="D72" s="31">
        <v>50000000</v>
      </c>
      <c r="E72" s="31">
        <f t="shared" si="0"/>
        <v>18098.212500000001</v>
      </c>
      <c r="F72" s="31">
        <f t="shared" si="1"/>
        <v>22616.112499999999</v>
      </c>
      <c r="G72" s="31">
        <f t="shared" si="2"/>
        <v>28259</v>
      </c>
      <c r="H72" s="31">
        <f t="shared" si="3"/>
        <v>29560.6875</v>
      </c>
      <c r="I72" s="31">
        <f t="shared" si="4"/>
        <v>30696.125</v>
      </c>
      <c r="J72" s="31">
        <f t="shared" si="5"/>
        <v>36134.762499999997</v>
      </c>
      <c r="K72" s="31">
        <f t="shared" si="6"/>
        <v>37735.037499999999</v>
      </c>
    </row>
    <row r="73" spans="2:11" ht="15" customHeight="1" x14ac:dyDescent="0.25">
      <c r="B73" s="31">
        <v>650000000</v>
      </c>
      <c r="C73" s="31">
        <v>700000000</v>
      </c>
      <c r="D73" s="31">
        <v>50000000</v>
      </c>
      <c r="E73" s="31">
        <f t="shared" si="0"/>
        <v>18643.837500000001</v>
      </c>
      <c r="F73" s="31">
        <f t="shared" si="1"/>
        <v>23296.737499999999</v>
      </c>
      <c r="G73" s="31">
        <f t="shared" si="2"/>
        <v>29108.375</v>
      </c>
      <c r="H73" s="31">
        <f t="shared" si="3"/>
        <v>30460.6875</v>
      </c>
      <c r="I73" s="31">
        <f t="shared" si="4"/>
        <v>31545.5</v>
      </c>
      <c r="J73" s="31">
        <f t="shared" si="5"/>
        <v>37147.262499999997</v>
      </c>
      <c r="K73" s="31">
        <f t="shared" si="6"/>
        <v>38792.537499999999</v>
      </c>
    </row>
    <row r="74" spans="2:11" ht="15" customHeight="1" x14ac:dyDescent="0.25">
      <c r="B74" s="31">
        <v>700000000</v>
      </c>
      <c r="C74" s="31">
        <v>750000000</v>
      </c>
      <c r="D74" s="31">
        <v>50000000</v>
      </c>
      <c r="E74" s="31">
        <f t="shared" si="0"/>
        <v>19166.962500000001</v>
      </c>
      <c r="F74" s="31">
        <f t="shared" si="1"/>
        <v>23949.237499999999</v>
      </c>
      <c r="G74" s="31">
        <f t="shared" si="2"/>
        <v>29918.375</v>
      </c>
      <c r="H74" s="31">
        <f t="shared" si="3"/>
        <v>31321.3125</v>
      </c>
      <c r="I74" s="31">
        <f t="shared" si="4"/>
        <v>32361.125</v>
      </c>
      <c r="J74" s="31">
        <f t="shared" si="5"/>
        <v>38114.762499999997</v>
      </c>
      <c r="K74" s="31">
        <f t="shared" si="6"/>
        <v>39805.037499999999</v>
      </c>
    </row>
    <row r="75" spans="2:11" ht="15" customHeight="1" x14ac:dyDescent="0.25">
      <c r="B75" s="31">
        <v>750000000</v>
      </c>
      <c r="C75" s="31">
        <v>800000000</v>
      </c>
      <c r="D75" s="31">
        <v>50000000</v>
      </c>
      <c r="E75" s="31">
        <f t="shared" si="0"/>
        <v>19667.587500000001</v>
      </c>
      <c r="F75" s="31">
        <f t="shared" si="1"/>
        <v>24573.612499999999</v>
      </c>
      <c r="G75" s="31">
        <f t="shared" si="2"/>
        <v>30700.25</v>
      </c>
      <c r="H75" s="31">
        <f t="shared" si="3"/>
        <v>32153.8125</v>
      </c>
      <c r="I75" s="31">
        <f t="shared" si="4"/>
        <v>33143</v>
      </c>
      <c r="J75" s="31">
        <f t="shared" si="5"/>
        <v>39042.887499999997</v>
      </c>
      <c r="K75" s="31">
        <f t="shared" si="6"/>
        <v>40772.537499999999</v>
      </c>
    </row>
    <row r="76" spans="2:11" ht="15" customHeight="1" x14ac:dyDescent="0.25">
      <c r="B76" s="31">
        <v>800000000</v>
      </c>
      <c r="C76" s="31">
        <v>850000000</v>
      </c>
      <c r="D76" s="31">
        <v>50000000</v>
      </c>
      <c r="E76" s="31">
        <f t="shared" si="0"/>
        <v>20151.337500000001</v>
      </c>
      <c r="F76" s="31">
        <f t="shared" si="1"/>
        <v>25175.487499999999</v>
      </c>
      <c r="G76" s="31">
        <f t="shared" si="2"/>
        <v>31454</v>
      </c>
      <c r="H76" s="31">
        <f t="shared" si="3"/>
        <v>32952.5625</v>
      </c>
      <c r="I76" s="31">
        <f t="shared" si="4"/>
        <v>33891.125</v>
      </c>
      <c r="J76" s="31">
        <f t="shared" si="5"/>
        <v>39937.262499999997</v>
      </c>
      <c r="K76" s="31">
        <f t="shared" si="6"/>
        <v>41706.287499999999</v>
      </c>
    </row>
    <row r="77" spans="2:11" ht="15" customHeight="1" x14ac:dyDescent="0.25">
      <c r="B77" s="31">
        <v>850000000</v>
      </c>
      <c r="C77" s="31">
        <v>900000000</v>
      </c>
      <c r="D77" s="31">
        <v>50000000</v>
      </c>
      <c r="E77" s="31">
        <f t="shared" si="0"/>
        <v>20612.587500000001</v>
      </c>
      <c r="F77" s="31">
        <f t="shared" si="1"/>
        <v>25754.862499999999</v>
      </c>
      <c r="G77" s="31">
        <f t="shared" si="2"/>
        <v>32179.625</v>
      </c>
      <c r="H77" s="31">
        <f t="shared" si="3"/>
        <v>33723.1875</v>
      </c>
      <c r="I77" s="31">
        <f t="shared" si="4"/>
        <v>34611.125</v>
      </c>
      <c r="J77" s="31">
        <f t="shared" si="5"/>
        <v>40797.887499999997</v>
      </c>
      <c r="K77" s="31">
        <f t="shared" si="6"/>
        <v>42606.287499999999</v>
      </c>
    </row>
    <row r="78" spans="2:11" ht="15" customHeight="1" x14ac:dyDescent="0.25">
      <c r="B78" s="31">
        <v>900000000</v>
      </c>
      <c r="C78" s="31">
        <v>950000000</v>
      </c>
      <c r="D78" s="31">
        <v>50000000</v>
      </c>
      <c r="E78" s="31">
        <f t="shared" si="0"/>
        <v>21062.587500000001</v>
      </c>
      <c r="F78" s="31">
        <f t="shared" si="1"/>
        <v>26317.362499999999</v>
      </c>
      <c r="G78" s="31">
        <f t="shared" si="2"/>
        <v>32882.75</v>
      </c>
      <c r="H78" s="31">
        <f t="shared" si="3"/>
        <v>34471.3125</v>
      </c>
      <c r="I78" s="31">
        <f t="shared" si="4"/>
        <v>35308.625</v>
      </c>
      <c r="J78" s="31">
        <f t="shared" si="5"/>
        <v>41630.387499999997</v>
      </c>
      <c r="K78" s="31">
        <f t="shared" si="6"/>
        <v>43472.537499999999</v>
      </c>
    </row>
    <row r="79" spans="2:11" ht="15" customHeight="1" x14ac:dyDescent="0.25">
      <c r="B79" s="31">
        <v>950000000</v>
      </c>
      <c r="C79" s="31">
        <v>1000000000</v>
      </c>
      <c r="D79" s="31">
        <v>50000000</v>
      </c>
      <c r="E79" s="31">
        <f t="shared" si="0"/>
        <v>21501.337500000001</v>
      </c>
      <c r="F79" s="31">
        <f t="shared" si="1"/>
        <v>26862.987499999999</v>
      </c>
      <c r="G79" s="31">
        <f t="shared" si="2"/>
        <v>33563.375</v>
      </c>
      <c r="H79" s="31">
        <f t="shared" si="3"/>
        <v>35196.9375</v>
      </c>
      <c r="I79" s="31">
        <f t="shared" si="4"/>
        <v>35983.625</v>
      </c>
      <c r="J79" s="31">
        <f t="shared" si="5"/>
        <v>42434.762499999997</v>
      </c>
      <c r="K79" s="31">
        <f t="shared" si="6"/>
        <v>44310.662499999999</v>
      </c>
    </row>
    <row r="81" spans="1:5" ht="30" customHeight="1" x14ac:dyDescent="0.25">
      <c r="B81" s="66" t="s">
        <v>44</v>
      </c>
      <c r="C81" s="66" t="s">
        <v>52</v>
      </c>
    </row>
    <row r="82" spans="1:5" ht="15" customHeight="1" x14ac:dyDescent="0.25">
      <c r="A82" t="s">
        <v>354</v>
      </c>
      <c r="B82" t="s">
        <v>345</v>
      </c>
      <c r="C82" s="31">
        <v>4</v>
      </c>
    </row>
    <row r="83" spans="1:5" ht="15" customHeight="1" x14ac:dyDescent="0.25">
      <c r="A83" t="s">
        <v>355</v>
      </c>
      <c r="B83" t="s">
        <v>346</v>
      </c>
      <c r="C83" s="31">
        <v>5</v>
      </c>
    </row>
    <row r="84" spans="1:5" ht="15" customHeight="1" x14ac:dyDescent="0.25">
      <c r="B84" t="s">
        <v>347</v>
      </c>
      <c r="C84" s="31">
        <v>6</v>
      </c>
    </row>
    <row r="85" spans="1:5" ht="15" customHeight="1" x14ac:dyDescent="0.25">
      <c r="B85" t="s">
        <v>348</v>
      </c>
      <c r="C85" s="31">
        <v>7</v>
      </c>
    </row>
    <row r="86" spans="1:5" ht="15" customHeight="1" x14ac:dyDescent="0.25">
      <c r="B86" t="s">
        <v>349</v>
      </c>
      <c r="C86" s="31">
        <v>8</v>
      </c>
    </row>
    <row r="87" spans="1:5" ht="15" customHeight="1" x14ac:dyDescent="0.25">
      <c r="B87" t="s">
        <v>350</v>
      </c>
      <c r="C87" s="31">
        <v>9</v>
      </c>
    </row>
    <row r="88" spans="1:5" ht="15" customHeight="1" x14ac:dyDescent="0.25">
      <c r="B88" t="s">
        <v>351</v>
      </c>
      <c r="C88" s="31">
        <v>10</v>
      </c>
    </row>
    <row r="90" spans="1:5" ht="15" customHeight="1" x14ac:dyDescent="0.25">
      <c r="B90" s="66" t="s">
        <v>356</v>
      </c>
      <c r="C90" s="66" t="s">
        <v>357</v>
      </c>
      <c r="D90" s="66" t="s">
        <v>358</v>
      </c>
      <c r="E90" s="66" t="s">
        <v>359</v>
      </c>
    </row>
    <row r="91" spans="1:5" ht="15" customHeight="1" x14ac:dyDescent="0.25">
      <c r="A91" t="s">
        <v>360</v>
      </c>
      <c r="B91" s="31">
        <v>100000</v>
      </c>
      <c r="C91" s="31">
        <v>250000</v>
      </c>
      <c r="D91" s="52">
        <v>0.67</v>
      </c>
      <c r="E91" s="52">
        <v>0.67</v>
      </c>
    </row>
    <row r="92" spans="1:5" ht="15" customHeight="1" x14ac:dyDescent="0.25">
      <c r="A92" t="s">
        <v>361</v>
      </c>
      <c r="B92" s="31">
        <v>250000</v>
      </c>
      <c r="C92" s="31">
        <v>500000</v>
      </c>
      <c r="D92" s="52">
        <v>0.75</v>
      </c>
      <c r="E92" s="52">
        <v>0.75</v>
      </c>
    </row>
    <row r="93" spans="1:5" ht="15" customHeight="1" x14ac:dyDescent="0.25">
      <c r="B93" s="31">
        <v>500000</v>
      </c>
      <c r="C93" s="31">
        <v>1000000</v>
      </c>
      <c r="D93" s="52">
        <v>0.84</v>
      </c>
      <c r="E93" s="52">
        <v>0.84</v>
      </c>
    </row>
    <row r="94" spans="1:5" ht="15" customHeight="1" x14ac:dyDescent="0.25">
      <c r="B94" s="31">
        <v>1000000</v>
      </c>
      <c r="C94" s="31">
        <v>2000000</v>
      </c>
      <c r="D94" s="52">
        <v>1</v>
      </c>
      <c r="E94" s="52">
        <v>1</v>
      </c>
    </row>
    <row r="95" spans="1:5" ht="15" customHeight="1" x14ac:dyDescent="0.25">
      <c r="B95" s="31">
        <v>2000000</v>
      </c>
      <c r="C95" s="31">
        <v>3000000</v>
      </c>
      <c r="D95" s="52">
        <v>1.25</v>
      </c>
      <c r="E95" s="52">
        <v>1.25</v>
      </c>
    </row>
    <row r="96" spans="1:5" ht="15" customHeight="1" x14ac:dyDescent="0.25">
      <c r="B96" s="31">
        <v>3000000</v>
      </c>
      <c r="C96" s="31">
        <v>4000000</v>
      </c>
      <c r="D96" s="52">
        <v>1.47</v>
      </c>
      <c r="E96" s="52">
        <v>1.47</v>
      </c>
    </row>
    <row r="97" spans="2:5" ht="15" customHeight="1" x14ac:dyDescent="0.25">
      <c r="B97" s="31">
        <v>4000000</v>
      </c>
      <c r="C97" s="31">
        <v>5000000</v>
      </c>
      <c r="D97" s="52">
        <v>1.69</v>
      </c>
      <c r="E97" s="52">
        <v>1.69</v>
      </c>
    </row>
    <row r="98" spans="2:5" ht="15" customHeight="1" x14ac:dyDescent="0.25">
      <c r="B98" s="31">
        <v>5000000</v>
      </c>
      <c r="C98" s="31">
        <v>7500000</v>
      </c>
      <c r="D98" s="52">
        <v>1.91</v>
      </c>
      <c r="E98" s="52">
        <v>1.91</v>
      </c>
    </row>
    <row r="99" spans="2:5" ht="15" customHeight="1" x14ac:dyDescent="0.25">
      <c r="B99" s="31">
        <v>7500000</v>
      </c>
      <c r="C99" s="31">
        <v>10000000</v>
      </c>
      <c r="D99" s="52">
        <v>2.46</v>
      </c>
      <c r="E99" s="52">
        <v>2.46</v>
      </c>
    </row>
    <row r="100" spans="2:5" ht="15" customHeight="1" x14ac:dyDescent="0.25">
      <c r="B100" s="31">
        <v>10000000</v>
      </c>
      <c r="C100" s="31">
        <v>11000000</v>
      </c>
      <c r="D100" s="52">
        <v>2.95</v>
      </c>
      <c r="E100" s="52">
        <v>2.95</v>
      </c>
    </row>
    <row r="101" spans="2:5" ht="15" customHeight="1" x14ac:dyDescent="0.25">
      <c r="B101" s="31">
        <v>11000000</v>
      </c>
      <c r="C101" s="31">
        <v>12000000</v>
      </c>
      <c r="D101" s="52">
        <v>3.12</v>
      </c>
      <c r="E101" s="52">
        <v>3.12</v>
      </c>
    </row>
    <row r="102" spans="2:5" ht="15" customHeight="1" x14ac:dyDescent="0.25">
      <c r="B102" s="31">
        <v>12000000</v>
      </c>
      <c r="C102" s="31">
        <v>13000000</v>
      </c>
      <c r="D102" s="52">
        <v>3.28</v>
      </c>
      <c r="E102" s="52">
        <v>3.28</v>
      </c>
    </row>
    <row r="103" spans="2:5" ht="15" customHeight="1" x14ac:dyDescent="0.25">
      <c r="B103" s="31">
        <v>13000000</v>
      </c>
      <c r="C103" s="31">
        <v>14000000</v>
      </c>
      <c r="D103" s="52">
        <v>3.44</v>
      </c>
      <c r="E103" s="52">
        <v>3.44</v>
      </c>
    </row>
    <row r="104" spans="2:5" ht="15" customHeight="1" x14ac:dyDescent="0.25">
      <c r="B104" s="31">
        <v>14000000</v>
      </c>
      <c r="C104" s="31">
        <v>15000000</v>
      </c>
      <c r="D104" s="52">
        <v>3.6</v>
      </c>
      <c r="E104" s="52">
        <v>3.6</v>
      </c>
    </row>
    <row r="105" spans="2:5" ht="15" customHeight="1" x14ac:dyDescent="0.25">
      <c r="B105" s="31">
        <v>15000000</v>
      </c>
      <c r="C105" s="31">
        <v>16000000</v>
      </c>
      <c r="D105" s="52">
        <v>3.76</v>
      </c>
      <c r="E105" s="52">
        <v>3.76</v>
      </c>
    </row>
    <row r="106" spans="2:5" ht="15" customHeight="1" x14ac:dyDescent="0.25">
      <c r="B106" s="31">
        <v>16000000</v>
      </c>
      <c r="C106" s="31">
        <v>17000000</v>
      </c>
      <c r="D106" s="52">
        <v>3.91</v>
      </c>
      <c r="E106" s="52">
        <v>3.91</v>
      </c>
    </row>
    <row r="107" spans="2:5" ht="15" customHeight="1" x14ac:dyDescent="0.25">
      <c r="B107" s="31">
        <v>17000000</v>
      </c>
      <c r="C107" s="31">
        <v>18000000</v>
      </c>
      <c r="D107" s="52">
        <v>4.0599999999999996</v>
      </c>
      <c r="E107" s="52">
        <v>4.0599999999999996</v>
      </c>
    </row>
    <row r="108" spans="2:5" ht="15" customHeight="1" x14ac:dyDescent="0.25">
      <c r="B108" s="31">
        <v>18000000</v>
      </c>
      <c r="C108" s="31">
        <v>19000000</v>
      </c>
      <c r="D108" s="52">
        <v>4.2</v>
      </c>
      <c r="E108" s="52">
        <v>4.2</v>
      </c>
    </row>
    <row r="109" spans="2:5" ht="15" customHeight="1" x14ac:dyDescent="0.25">
      <c r="B109" s="31">
        <v>19000000</v>
      </c>
      <c r="C109" s="31">
        <v>20000000</v>
      </c>
      <c r="D109" s="52">
        <v>4.34</v>
      </c>
      <c r="E109" s="52">
        <v>4.34</v>
      </c>
    </row>
    <row r="110" spans="2:5" ht="15" customHeight="1" x14ac:dyDescent="0.25">
      <c r="B110" s="31">
        <v>20000000</v>
      </c>
      <c r="C110" s="31">
        <v>21000000</v>
      </c>
      <c r="D110" s="52">
        <v>4.4800000000000004</v>
      </c>
      <c r="E110" s="52">
        <v>4.4800000000000004</v>
      </c>
    </row>
    <row r="111" spans="2:5" ht="15" customHeight="1" x14ac:dyDescent="0.25">
      <c r="B111" s="31">
        <v>21000000</v>
      </c>
      <c r="C111" s="31">
        <v>22000000</v>
      </c>
      <c r="D111" s="52">
        <v>4.62</v>
      </c>
      <c r="E111" s="52">
        <v>4.62</v>
      </c>
    </row>
    <row r="112" spans="2:5" ht="15" customHeight="1" x14ac:dyDescent="0.25">
      <c r="B112" s="31">
        <v>22000000</v>
      </c>
      <c r="C112" s="31">
        <v>23000000</v>
      </c>
      <c r="D112" s="52">
        <v>4.76</v>
      </c>
      <c r="E112" s="52">
        <v>4.76</v>
      </c>
    </row>
    <row r="113" spans="1:5" ht="15" customHeight="1" x14ac:dyDescent="0.25">
      <c r="B113" s="31">
        <v>23000000</v>
      </c>
      <c r="C113" s="31">
        <v>24000000</v>
      </c>
      <c r="D113" s="52">
        <v>4.9000000000000004</v>
      </c>
      <c r="E113" s="52">
        <v>4.9000000000000004</v>
      </c>
    </row>
    <row r="114" spans="1:5" ht="15" customHeight="1" x14ac:dyDescent="0.25">
      <c r="B114" s="31">
        <v>24000000</v>
      </c>
      <c r="C114" s="31">
        <v>25000000</v>
      </c>
      <c r="D114" s="52">
        <v>5.04</v>
      </c>
      <c r="E114" s="52">
        <v>5.04</v>
      </c>
    </row>
    <row r="115" spans="1:5" ht="15" customHeight="1" x14ac:dyDescent="0.25">
      <c r="B115" s="31">
        <v>25000000</v>
      </c>
      <c r="C115" s="31">
        <v>26000000</v>
      </c>
      <c r="D115" s="52">
        <v>5.17</v>
      </c>
      <c r="E115" s="52">
        <v>5.17</v>
      </c>
    </row>
    <row r="116" spans="1:5" ht="15" customHeight="1" x14ac:dyDescent="0.25">
      <c r="B116" s="31">
        <v>26000000</v>
      </c>
      <c r="C116" s="31">
        <v>27000000</v>
      </c>
      <c r="D116" s="52">
        <v>5.3</v>
      </c>
      <c r="E116" s="52">
        <v>5.3</v>
      </c>
    </row>
    <row r="117" spans="1:5" ht="15" customHeight="1" x14ac:dyDescent="0.25">
      <c r="B117" s="31">
        <v>27000000</v>
      </c>
      <c r="C117" s="31">
        <v>28000000</v>
      </c>
      <c r="D117" s="52">
        <v>5.43</v>
      </c>
      <c r="E117" s="52">
        <v>5.43</v>
      </c>
    </row>
    <row r="118" spans="1:5" ht="15" customHeight="1" x14ac:dyDescent="0.25">
      <c r="B118" s="31">
        <v>28000000</v>
      </c>
      <c r="C118" s="31">
        <v>29000000</v>
      </c>
      <c r="D118" s="52">
        <v>5.56</v>
      </c>
      <c r="E118" s="52">
        <v>5.56</v>
      </c>
    </row>
    <row r="119" spans="1:5" ht="15" customHeight="1" x14ac:dyDescent="0.25">
      <c r="B119" s="31">
        <v>29000000</v>
      </c>
      <c r="C119" s="31">
        <v>30000000</v>
      </c>
      <c r="D119" s="52">
        <v>5.68</v>
      </c>
      <c r="E119" s="52">
        <v>5.68</v>
      </c>
    </row>
    <row r="120" spans="1:5" ht="15" customHeight="1" x14ac:dyDescent="0.25">
      <c r="B120" s="31">
        <v>30000000</v>
      </c>
      <c r="C120" s="31">
        <v>31000000</v>
      </c>
      <c r="D120" s="52">
        <v>5.8</v>
      </c>
      <c r="E120" s="52">
        <v>5.8</v>
      </c>
    </row>
    <row r="121" spans="1:5" ht="15" customHeight="1" x14ac:dyDescent="0.25">
      <c r="B121" s="31">
        <v>31000000</v>
      </c>
      <c r="C121" s="31">
        <v>32000000</v>
      </c>
      <c r="D121" s="52">
        <v>5.92</v>
      </c>
      <c r="E121" s="52">
        <v>5.92</v>
      </c>
    </row>
    <row r="122" spans="1:5" ht="15" customHeight="1" x14ac:dyDescent="0.25">
      <c r="B122" s="31">
        <v>32000000</v>
      </c>
      <c r="C122" s="31">
        <v>32000000</v>
      </c>
      <c r="D122" s="52">
        <v>6.04</v>
      </c>
      <c r="E122" s="52">
        <v>6.04</v>
      </c>
    </row>
    <row r="125" spans="1:5" ht="30" customHeight="1" x14ac:dyDescent="0.25">
      <c r="B125" s="66" t="s">
        <v>19</v>
      </c>
      <c r="C125" s="66" t="s">
        <v>362</v>
      </c>
    </row>
    <row r="126" spans="1:5" ht="15" customHeight="1" x14ac:dyDescent="0.25">
      <c r="A126" t="s">
        <v>363</v>
      </c>
      <c r="B126" t="s">
        <v>364</v>
      </c>
      <c r="C126" t="s">
        <v>364</v>
      </c>
    </row>
    <row r="127" spans="1:5" ht="15" customHeight="1" x14ac:dyDescent="0.25">
      <c r="A127" t="s">
        <v>365</v>
      </c>
      <c r="B127" t="s">
        <v>366</v>
      </c>
      <c r="C127" t="s">
        <v>366</v>
      </c>
    </row>
    <row r="128" spans="1:5" ht="15" customHeight="1" x14ac:dyDescent="0.25">
      <c r="B128" t="s">
        <v>367</v>
      </c>
      <c r="C128" t="s">
        <v>367</v>
      </c>
    </row>
    <row r="129" spans="2:3" ht="15" customHeight="1" x14ac:dyDescent="0.25">
      <c r="B129" t="s">
        <v>368</v>
      </c>
      <c r="C129" t="s">
        <v>368</v>
      </c>
    </row>
    <row r="130" spans="2:3" ht="15" customHeight="1" x14ac:dyDescent="0.25">
      <c r="B130" t="s">
        <v>369</v>
      </c>
      <c r="C130" t="s">
        <v>369</v>
      </c>
    </row>
    <row r="131" spans="2:3" ht="15" customHeight="1" x14ac:dyDescent="0.25">
      <c r="B131" t="s">
        <v>370</v>
      </c>
      <c r="C131" t="s">
        <v>370</v>
      </c>
    </row>
    <row r="132" spans="2:3" ht="15" customHeight="1" x14ac:dyDescent="0.25">
      <c r="B132" t="s">
        <v>371</v>
      </c>
      <c r="C132" t="s">
        <v>371</v>
      </c>
    </row>
    <row r="133" spans="2:3" ht="15" customHeight="1" x14ac:dyDescent="0.25">
      <c r="B133" t="s">
        <v>372</v>
      </c>
      <c r="C133" t="s">
        <v>372</v>
      </c>
    </row>
    <row r="134" spans="2:3" ht="15" customHeight="1" x14ac:dyDescent="0.25">
      <c r="B134" t="s">
        <v>373</v>
      </c>
      <c r="C134" t="s">
        <v>373</v>
      </c>
    </row>
    <row r="135" spans="2:3" ht="15" customHeight="1" x14ac:dyDescent="0.25">
      <c r="B135" t="s">
        <v>374</v>
      </c>
      <c r="C135" t="s">
        <v>374</v>
      </c>
    </row>
    <row r="136" spans="2:3" ht="15" customHeight="1" x14ac:dyDescent="0.25">
      <c r="B136" t="s">
        <v>375</v>
      </c>
      <c r="C136" t="s">
        <v>375</v>
      </c>
    </row>
    <row r="137" spans="2:3" ht="15" customHeight="1" x14ac:dyDescent="0.25">
      <c r="B137" t="s">
        <v>376</v>
      </c>
      <c r="C137" t="s">
        <v>376</v>
      </c>
    </row>
    <row r="138" spans="2:3" ht="15" customHeight="1" x14ac:dyDescent="0.25">
      <c r="B138" t="s">
        <v>377</v>
      </c>
      <c r="C138" t="s">
        <v>377</v>
      </c>
    </row>
    <row r="139" spans="2:3" ht="15" customHeight="1" x14ac:dyDescent="0.25">
      <c r="B139" t="s">
        <v>378</v>
      </c>
      <c r="C139" t="s">
        <v>378</v>
      </c>
    </row>
    <row r="140" spans="2:3" ht="15" customHeight="1" x14ac:dyDescent="0.25">
      <c r="B140" t="s">
        <v>379</v>
      </c>
      <c r="C140" t="s">
        <v>379</v>
      </c>
    </row>
    <row r="141" spans="2:3" ht="15" customHeight="1" x14ac:dyDescent="0.25">
      <c r="B141" t="s">
        <v>380</v>
      </c>
      <c r="C141" t="s">
        <v>380</v>
      </c>
    </row>
    <row r="142" spans="2:3" ht="15" customHeight="1" x14ac:dyDescent="0.25">
      <c r="B142" t="s">
        <v>381</v>
      </c>
      <c r="C142" t="s">
        <v>381</v>
      </c>
    </row>
    <row r="143" spans="2:3" ht="15" customHeight="1" x14ac:dyDescent="0.25">
      <c r="B143" t="s">
        <v>382</v>
      </c>
      <c r="C143" t="s">
        <v>382</v>
      </c>
    </row>
    <row r="144" spans="2:3" ht="15" customHeight="1" x14ac:dyDescent="0.25">
      <c r="B144" t="s">
        <v>383</v>
      </c>
      <c r="C144" t="s">
        <v>383</v>
      </c>
    </row>
    <row r="145" spans="2:3" ht="15" customHeight="1" x14ac:dyDescent="0.25">
      <c r="B145" t="s">
        <v>384</v>
      </c>
      <c r="C145" t="s">
        <v>384</v>
      </c>
    </row>
    <row r="146" spans="2:3" ht="15" customHeight="1" x14ac:dyDescent="0.25">
      <c r="B146" t="s">
        <v>385</v>
      </c>
      <c r="C146" t="s">
        <v>385</v>
      </c>
    </row>
    <row r="147" spans="2:3" ht="15" customHeight="1" x14ac:dyDescent="0.25">
      <c r="B147" t="s">
        <v>386</v>
      </c>
      <c r="C147" t="s">
        <v>386</v>
      </c>
    </row>
    <row r="148" spans="2:3" ht="15" customHeight="1" x14ac:dyDescent="0.25">
      <c r="B148" t="s">
        <v>387</v>
      </c>
      <c r="C148" t="s">
        <v>387</v>
      </c>
    </row>
    <row r="149" spans="2:3" ht="15" customHeight="1" x14ac:dyDescent="0.25">
      <c r="B149" t="s">
        <v>388</v>
      </c>
      <c r="C149" t="s">
        <v>388</v>
      </c>
    </row>
    <row r="150" spans="2:3" ht="15" customHeight="1" x14ac:dyDescent="0.25">
      <c r="B150" t="s">
        <v>389</v>
      </c>
      <c r="C150" t="s">
        <v>389</v>
      </c>
    </row>
    <row r="151" spans="2:3" ht="15" customHeight="1" x14ac:dyDescent="0.25">
      <c r="B151" t="s">
        <v>390</v>
      </c>
      <c r="C151" t="s">
        <v>390</v>
      </c>
    </row>
    <row r="152" spans="2:3" ht="15" customHeight="1" x14ac:dyDescent="0.25">
      <c r="B152" t="s">
        <v>391</v>
      </c>
      <c r="C152" t="s">
        <v>391</v>
      </c>
    </row>
    <row r="153" spans="2:3" ht="15" customHeight="1" x14ac:dyDescent="0.25">
      <c r="B153" t="s">
        <v>392</v>
      </c>
      <c r="C153" t="s">
        <v>392</v>
      </c>
    </row>
    <row r="154" spans="2:3" ht="15" customHeight="1" x14ac:dyDescent="0.25">
      <c r="B154" t="s">
        <v>393</v>
      </c>
      <c r="C154" t="s">
        <v>393</v>
      </c>
    </row>
    <row r="155" spans="2:3" ht="15" customHeight="1" x14ac:dyDescent="0.25">
      <c r="B155" t="s">
        <v>394</v>
      </c>
      <c r="C155" t="s">
        <v>394</v>
      </c>
    </row>
    <row r="156" spans="2:3" ht="15" customHeight="1" x14ac:dyDescent="0.25">
      <c r="B156" t="s">
        <v>395</v>
      </c>
      <c r="C156" t="s">
        <v>395</v>
      </c>
    </row>
    <row r="157" spans="2:3" ht="15" customHeight="1" x14ac:dyDescent="0.25">
      <c r="B157" t="s">
        <v>396</v>
      </c>
      <c r="C157" t="s">
        <v>396</v>
      </c>
    </row>
    <row r="158" spans="2:3" ht="15" customHeight="1" x14ac:dyDescent="0.25">
      <c r="B158" t="s">
        <v>397</v>
      </c>
      <c r="C158" t="s">
        <v>397</v>
      </c>
    </row>
    <row r="159" spans="2:3" ht="15" customHeight="1" x14ac:dyDescent="0.25">
      <c r="B159" t="s">
        <v>398</v>
      </c>
      <c r="C159" t="s">
        <v>398</v>
      </c>
    </row>
    <row r="160" spans="2:3" ht="15" customHeight="1" x14ac:dyDescent="0.25">
      <c r="B160" t="s">
        <v>399</v>
      </c>
      <c r="C160" t="s">
        <v>399</v>
      </c>
    </row>
    <row r="161" spans="2:3" ht="15" customHeight="1" x14ac:dyDescent="0.25">
      <c r="B161" t="s">
        <v>400</v>
      </c>
      <c r="C161" t="s">
        <v>400</v>
      </c>
    </row>
    <row r="162" spans="2:3" ht="15" customHeight="1" x14ac:dyDescent="0.25">
      <c r="B162" t="s">
        <v>401</v>
      </c>
      <c r="C162" t="s">
        <v>401</v>
      </c>
    </row>
    <row r="163" spans="2:3" ht="15" customHeight="1" x14ac:dyDescent="0.25">
      <c r="B163" t="s">
        <v>402</v>
      </c>
      <c r="C163" t="s">
        <v>402</v>
      </c>
    </row>
    <row r="164" spans="2:3" ht="15" customHeight="1" x14ac:dyDescent="0.25">
      <c r="B164" t="s">
        <v>403</v>
      </c>
      <c r="C164" t="s">
        <v>403</v>
      </c>
    </row>
    <row r="165" spans="2:3" ht="15" customHeight="1" x14ac:dyDescent="0.25">
      <c r="B165" t="s">
        <v>404</v>
      </c>
      <c r="C165" t="s">
        <v>404</v>
      </c>
    </row>
    <row r="166" spans="2:3" ht="15" customHeight="1" x14ac:dyDescent="0.25">
      <c r="B166" t="s">
        <v>405</v>
      </c>
      <c r="C166" t="s">
        <v>405</v>
      </c>
    </row>
    <row r="167" spans="2:3" ht="15" customHeight="1" x14ac:dyDescent="0.25">
      <c r="B167" t="s">
        <v>406</v>
      </c>
      <c r="C167" t="s">
        <v>406</v>
      </c>
    </row>
    <row r="168" spans="2:3" ht="15" customHeight="1" x14ac:dyDescent="0.25">
      <c r="B168" t="s">
        <v>407</v>
      </c>
      <c r="C168" t="s">
        <v>407</v>
      </c>
    </row>
    <row r="169" spans="2:3" ht="15" customHeight="1" x14ac:dyDescent="0.25">
      <c r="B169" t="s">
        <v>408</v>
      </c>
      <c r="C169" t="s">
        <v>408</v>
      </c>
    </row>
    <row r="170" spans="2:3" ht="15" customHeight="1" x14ac:dyDescent="0.25">
      <c r="B170" t="s">
        <v>409</v>
      </c>
      <c r="C170" t="s">
        <v>409</v>
      </c>
    </row>
    <row r="171" spans="2:3" ht="15" customHeight="1" x14ac:dyDescent="0.25">
      <c r="B171" t="s">
        <v>410</v>
      </c>
      <c r="C171" t="s">
        <v>410</v>
      </c>
    </row>
    <row r="172" spans="2:3" ht="15" customHeight="1" x14ac:dyDescent="0.25">
      <c r="B172" t="s">
        <v>411</v>
      </c>
      <c r="C172" t="s">
        <v>411</v>
      </c>
    </row>
    <row r="173" spans="2:3" ht="15" customHeight="1" x14ac:dyDescent="0.25">
      <c r="B173" t="s">
        <v>412</v>
      </c>
      <c r="C173" t="s">
        <v>412</v>
      </c>
    </row>
    <row r="174" spans="2:3" ht="15" customHeight="1" x14ac:dyDescent="0.25">
      <c r="B174" t="s">
        <v>413</v>
      </c>
      <c r="C174" t="s">
        <v>413</v>
      </c>
    </row>
    <row r="175" spans="2:3" ht="15" customHeight="1" x14ac:dyDescent="0.25">
      <c r="B175" t="s">
        <v>414</v>
      </c>
      <c r="C175" t="s">
        <v>414</v>
      </c>
    </row>
    <row r="176" spans="2:3" ht="15" customHeight="1" x14ac:dyDescent="0.25">
      <c r="B176" t="s">
        <v>415</v>
      </c>
      <c r="C176" t="s">
        <v>415</v>
      </c>
    </row>
    <row r="177" spans="1:13" ht="15" customHeight="1" x14ac:dyDescent="0.25">
      <c r="B177" t="s">
        <v>416</v>
      </c>
      <c r="C177" t="s">
        <v>416</v>
      </c>
    </row>
    <row r="180" spans="1:13" ht="45" customHeight="1" x14ac:dyDescent="0.25">
      <c r="B180" s="66" t="s">
        <v>417</v>
      </c>
      <c r="C180" s="66" t="s">
        <v>418</v>
      </c>
      <c r="D180" s="66" t="s">
        <v>419</v>
      </c>
      <c r="E180" s="66" t="s">
        <v>420</v>
      </c>
      <c r="F180" s="66" t="s">
        <v>421</v>
      </c>
      <c r="G180" s="66" t="s">
        <v>422</v>
      </c>
      <c r="H180" s="66" t="s">
        <v>423</v>
      </c>
      <c r="I180" s="66" t="s">
        <v>424</v>
      </c>
      <c r="J180" s="66" t="s">
        <v>425</v>
      </c>
      <c r="K180" s="66" t="s">
        <v>426</v>
      </c>
      <c r="L180" s="66" t="s">
        <v>427</v>
      </c>
      <c r="M180" s="66" t="s">
        <v>428</v>
      </c>
    </row>
    <row r="181" spans="1:13" ht="15" customHeight="1" x14ac:dyDescent="0.25">
      <c r="A181" t="s">
        <v>429</v>
      </c>
      <c r="B181" t="s">
        <v>364</v>
      </c>
      <c r="C181" t="s">
        <v>22</v>
      </c>
      <c r="D181" t="s">
        <v>22</v>
      </c>
      <c r="E181" t="s">
        <v>22</v>
      </c>
      <c r="F181" s="67" t="s">
        <v>22</v>
      </c>
      <c r="G181" s="68">
        <v>-0.25</v>
      </c>
      <c r="H181" s="68">
        <v>0.25</v>
      </c>
      <c r="I181" s="68">
        <v>-0.25</v>
      </c>
      <c r="J181" s="68">
        <v>0.25</v>
      </c>
      <c r="K181" s="68" t="s">
        <v>29</v>
      </c>
      <c r="L181" s="69">
        <v>0</v>
      </c>
      <c r="M181" s="69">
        <v>0</v>
      </c>
    </row>
    <row r="182" spans="1:13" ht="15" customHeight="1" x14ac:dyDescent="0.25">
      <c r="B182" t="s">
        <v>366</v>
      </c>
      <c r="C182" t="s">
        <v>29</v>
      </c>
      <c r="D182" t="s">
        <v>22</v>
      </c>
      <c r="E182" t="s">
        <v>22</v>
      </c>
      <c r="F182" s="67" t="s">
        <v>22</v>
      </c>
      <c r="G182" s="68">
        <v>-0.4</v>
      </c>
      <c r="H182" s="68">
        <v>0.4</v>
      </c>
      <c r="I182" s="68">
        <v>-0.25</v>
      </c>
      <c r="J182" s="68">
        <v>0.25</v>
      </c>
      <c r="K182" s="68" t="s">
        <v>29</v>
      </c>
      <c r="L182" s="69">
        <v>0</v>
      </c>
      <c r="M182" s="69">
        <v>0</v>
      </c>
    </row>
    <row r="183" spans="1:13" ht="15" customHeight="1" x14ac:dyDescent="0.25">
      <c r="B183" t="s">
        <v>367</v>
      </c>
      <c r="C183" t="s">
        <v>22</v>
      </c>
      <c r="D183" t="s">
        <v>22</v>
      </c>
      <c r="E183" t="s">
        <v>22</v>
      </c>
      <c r="F183" s="67" t="s">
        <v>22</v>
      </c>
      <c r="G183" s="68">
        <v>-0.25</v>
      </c>
      <c r="H183" s="68">
        <v>0.25</v>
      </c>
      <c r="I183" s="68">
        <v>-0.25</v>
      </c>
      <c r="J183" s="68">
        <v>0.25</v>
      </c>
      <c r="K183" s="68" t="s">
        <v>29</v>
      </c>
      <c r="L183" s="69">
        <v>0</v>
      </c>
      <c r="M183" s="69">
        <v>0</v>
      </c>
    </row>
    <row r="184" spans="1:13" ht="15" customHeight="1" x14ac:dyDescent="0.25">
      <c r="B184" t="s">
        <v>368</v>
      </c>
      <c r="C184" t="s">
        <v>22</v>
      </c>
      <c r="D184" t="s">
        <v>29</v>
      </c>
      <c r="E184" t="s">
        <v>22</v>
      </c>
      <c r="F184" s="67" t="s">
        <v>22</v>
      </c>
      <c r="G184" s="68">
        <v>-0.5</v>
      </c>
      <c r="H184" s="68">
        <v>0.5</v>
      </c>
      <c r="I184" s="68">
        <v>-0.25</v>
      </c>
      <c r="J184" s="68">
        <v>0.25</v>
      </c>
      <c r="K184" s="68" t="s">
        <v>22</v>
      </c>
      <c r="L184" s="69">
        <v>0</v>
      </c>
      <c r="M184" s="69">
        <v>0</v>
      </c>
    </row>
    <row r="185" spans="1:13" ht="15" customHeight="1" x14ac:dyDescent="0.25">
      <c r="B185" t="s">
        <v>369</v>
      </c>
      <c r="C185" t="s">
        <v>22</v>
      </c>
      <c r="D185" t="s">
        <v>29</v>
      </c>
      <c r="E185" t="s">
        <v>29</v>
      </c>
      <c r="F185" s="67" t="s">
        <v>29</v>
      </c>
      <c r="G185" s="68">
        <v>-0.25</v>
      </c>
      <c r="H185" s="68">
        <v>0.25</v>
      </c>
      <c r="I185" s="68">
        <v>-0.05</v>
      </c>
      <c r="J185" s="68">
        <v>0.05</v>
      </c>
      <c r="K185" s="68" t="s">
        <v>29</v>
      </c>
      <c r="L185" s="69">
        <v>0</v>
      </c>
      <c r="M185" s="69">
        <v>0</v>
      </c>
    </row>
    <row r="186" spans="1:13" ht="15" customHeight="1" x14ac:dyDescent="0.25">
      <c r="B186" t="s">
        <v>370</v>
      </c>
      <c r="C186" t="s">
        <v>22</v>
      </c>
      <c r="D186" t="s">
        <v>22</v>
      </c>
      <c r="E186" t="s">
        <v>22</v>
      </c>
      <c r="F186" s="67" t="s">
        <v>22</v>
      </c>
      <c r="G186" s="68">
        <v>-0.25</v>
      </c>
      <c r="H186" s="68">
        <v>0.25</v>
      </c>
      <c r="I186" s="68">
        <v>-0.25</v>
      </c>
      <c r="J186" s="68">
        <v>0.25</v>
      </c>
      <c r="K186" s="68" t="s">
        <v>29</v>
      </c>
      <c r="L186" s="69">
        <v>0</v>
      </c>
      <c r="M186" s="69">
        <v>0</v>
      </c>
    </row>
    <row r="187" spans="1:13" ht="15" customHeight="1" x14ac:dyDescent="0.25">
      <c r="B187" t="s">
        <v>371</v>
      </c>
      <c r="C187" t="s">
        <v>22</v>
      </c>
      <c r="D187" t="s">
        <v>22</v>
      </c>
      <c r="E187" t="s">
        <v>22</v>
      </c>
      <c r="F187" s="67" t="s">
        <v>22</v>
      </c>
      <c r="G187" s="68">
        <v>-0.25</v>
      </c>
      <c r="H187" s="68">
        <v>0.25</v>
      </c>
      <c r="I187" s="68">
        <v>-0.25</v>
      </c>
      <c r="J187" s="68">
        <v>0.25</v>
      </c>
      <c r="K187" s="68" t="s">
        <v>29</v>
      </c>
      <c r="L187" s="69">
        <v>0</v>
      </c>
      <c r="M187" s="69">
        <v>0</v>
      </c>
    </row>
    <row r="188" spans="1:13" ht="15" customHeight="1" x14ac:dyDescent="0.25">
      <c r="B188" t="s">
        <v>372</v>
      </c>
      <c r="C188" t="s">
        <v>22</v>
      </c>
      <c r="D188" t="s">
        <v>22</v>
      </c>
      <c r="E188" t="s">
        <v>22</v>
      </c>
      <c r="F188" s="67" t="s">
        <v>22</v>
      </c>
      <c r="G188" s="68">
        <v>-0.25</v>
      </c>
      <c r="H188" s="68">
        <v>0.25</v>
      </c>
      <c r="I188" s="68">
        <v>-0.25</v>
      </c>
      <c r="J188" s="68">
        <v>0.25</v>
      </c>
      <c r="K188" s="68" t="s">
        <v>29</v>
      </c>
      <c r="L188" s="69">
        <v>0</v>
      </c>
      <c r="M188" s="69">
        <v>0</v>
      </c>
    </row>
    <row r="189" spans="1:13" ht="15" customHeight="1" x14ac:dyDescent="0.25">
      <c r="B189" t="s">
        <v>373</v>
      </c>
      <c r="C189" t="s">
        <v>22</v>
      </c>
      <c r="D189" t="s">
        <v>22</v>
      </c>
      <c r="E189" t="s">
        <v>22</v>
      </c>
      <c r="F189" s="67" t="s">
        <v>22</v>
      </c>
      <c r="G189" s="68">
        <v>-0.25</v>
      </c>
      <c r="H189" s="68">
        <v>0.25</v>
      </c>
      <c r="I189" s="68">
        <v>-0.25</v>
      </c>
      <c r="J189" s="68">
        <v>0.25</v>
      </c>
      <c r="K189" s="68" t="s">
        <v>29</v>
      </c>
      <c r="L189" s="69">
        <v>0</v>
      </c>
      <c r="M189" s="69">
        <v>0</v>
      </c>
    </row>
    <row r="190" spans="1:13" ht="15" customHeight="1" x14ac:dyDescent="0.25">
      <c r="B190" t="s">
        <v>374</v>
      </c>
      <c r="C190" t="s">
        <v>22</v>
      </c>
      <c r="D190" t="s">
        <v>29</v>
      </c>
      <c r="E190" t="s">
        <v>22</v>
      </c>
      <c r="F190" s="67" t="s">
        <v>29</v>
      </c>
      <c r="G190" s="68">
        <v>-0.25</v>
      </c>
      <c r="H190" s="68">
        <v>0.25</v>
      </c>
      <c r="I190" s="68">
        <v>-0.25</v>
      </c>
      <c r="J190" s="68">
        <v>0.25</v>
      </c>
      <c r="K190" s="68" t="s">
        <v>29</v>
      </c>
      <c r="L190" s="69">
        <v>1000</v>
      </c>
      <c r="M190" s="69">
        <v>1000</v>
      </c>
    </row>
    <row r="191" spans="1:13" ht="15" customHeight="1" x14ac:dyDescent="0.25">
      <c r="B191" t="s">
        <v>375</v>
      </c>
      <c r="C191" t="s">
        <v>22</v>
      </c>
      <c r="D191" t="s">
        <v>29</v>
      </c>
      <c r="E191" t="s">
        <v>22</v>
      </c>
      <c r="F191" s="67" t="s">
        <v>22</v>
      </c>
      <c r="G191" s="68">
        <v>-0.15</v>
      </c>
      <c r="H191" s="68">
        <v>0.15</v>
      </c>
      <c r="I191" s="68">
        <v>-0.25</v>
      </c>
      <c r="J191" s="68">
        <v>0.25</v>
      </c>
      <c r="K191" s="68" t="s">
        <v>29</v>
      </c>
      <c r="L191" s="69">
        <v>0</v>
      </c>
      <c r="M191" s="69">
        <v>0</v>
      </c>
    </row>
    <row r="192" spans="1:13" ht="15" customHeight="1" x14ac:dyDescent="0.25">
      <c r="B192" t="s">
        <v>376</v>
      </c>
      <c r="C192" t="s">
        <v>29</v>
      </c>
      <c r="D192" t="s">
        <v>22</v>
      </c>
      <c r="E192" t="s">
        <v>22</v>
      </c>
      <c r="F192" s="67" t="s">
        <v>29</v>
      </c>
      <c r="G192" s="68">
        <v>0</v>
      </c>
      <c r="H192" s="68">
        <v>0</v>
      </c>
      <c r="I192" s="68">
        <v>-0.25</v>
      </c>
      <c r="J192" s="68">
        <v>0.25</v>
      </c>
      <c r="K192" s="68" t="s">
        <v>29</v>
      </c>
      <c r="L192" s="69">
        <v>0</v>
      </c>
      <c r="M192" s="69">
        <v>0</v>
      </c>
    </row>
    <row r="193" spans="2:13" ht="15" customHeight="1" x14ac:dyDescent="0.25">
      <c r="B193" t="s">
        <v>377</v>
      </c>
      <c r="C193" t="s">
        <v>22</v>
      </c>
      <c r="D193" t="s">
        <v>22</v>
      </c>
      <c r="E193" s="67" t="s">
        <v>22</v>
      </c>
      <c r="F193" s="67" t="s">
        <v>22</v>
      </c>
      <c r="G193" s="68">
        <v>-0.25</v>
      </c>
      <c r="H193" s="68">
        <v>0.25</v>
      </c>
      <c r="I193" s="68">
        <v>-0.25</v>
      </c>
      <c r="J193" s="68">
        <v>0.25</v>
      </c>
      <c r="K193" s="68" t="s">
        <v>29</v>
      </c>
      <c r="L193" s="69">
        <v>0</v>
      </c>
      <c r="M193" s="69">
        <v>0</v>
      </c>
    </row>
    <row r="194" spans="2:13" ht="15" customHeight="1" x14ac:dyDescent="0.25">
      <c r="B194" t="s">
        <v>378</v>
      </c>
      <c r="C194" t="s">
        <v>22</v>
      </c>
      <c r="D194" t="s">
        <v>22</v>
      </c>
      <c r="E194" t="s">
        <v>22</v>
      </c>
      <c r="F194" s="67" t="s">
        <v>22</v>
      </c>
      <c r="G194" s="68">
        <v>-0.5</v>
      </c>
      <c r="H194" s="68">
        <v>0.5</v>
      </c>
      <c r="I194" s="68">
        <v>-0.25</v>
      </c>
      <c r="J194" s="68">
        <v>0.25</v>
      </c>
      <c r="K194" s="70" t="s">
        <v>29</v>
      </c>
      <c r="L194" s="69">
        <v>0</v>
      </c>
      <c r="M194" s="69">
        <v>0</v>
      </c>
    </row>
    <row r="195" spans="2:13" ht="15" customHeight="1" x14ac:dyDescent="0.25">
      <c r="B195" t="s">
        <v>379</v>
      </c>
      <c r="C195" t="s">
        <v>22</v>
      </c>
      <c r="D195" t="s">
        <v>22</v>
      </c>
      <c r="E195" t="s">
        <v>22</v>
      </c>
      <c r="F195" s="67" t="s">
        <v>22</v>
      </c>
      <c r="G195" s="68">
        <v>-0.5</v>
      </c>
      <c r="H195" s="68">
        <v>0.5</v>
      </c>
      <c r="I195" s="68">
        <v>-0.25</v>
      </c>
      <c r="J195" s="68">
        <v>0.25</v>
      </c>
      <c r="K195" s="68" t="s">
        <v>29</v>
      </c>
      <c r="L195" s="69">
        <v>0</v>
      </c>
      <c r="M195" s="69">
        <v>0</v>
      </c>
    </row>
    <row r="196" spans="2:13" ht="15" customHeight="1" x14ac:dyDescent="0.25">
      <c r="B196" t="s">
        <v>380</v>
      </c>
      <c r="C196" t="s">
        <v>29</v>
      </c>
      <c r="D196" t="s">
        <v>22</v>
      </c>
      <c r="E196" t="s">
        <v>22</v>
      </c>
      <c r="F196" s="67" t="s">
        <v>22</v>
      </c>
      <c r="G196" s="68">
        <v>-0.25</v>
      </c>
      <c r="H196" s="68">
        <v>0.25</v>
      </c>
      <c r="I196" s="68">
        <v>-0.25</v>
      </c>
      <c r="J196" s="68">
        <v>0.25</v>
      </c>
      <c r="K196" s="68" t="s">
        <v>29</v>
      </c>
      <c r="L196" s="69">
        <v>0</v>
      </c>
      <c r="M196" s="69">
        <v>0</v>
      </c>
    </row>
    <row r="197" spans="2:13" ht="15" customHeight="1" x14ac:dyDescent="0.25">
      <c r="B197" t="s">
        <v>381</v>
      </c>
      <c r="C197" t="s">
        <v>22</v>
      </c>
      <c r="D197" t="s">
        <v>29</v>
      </c>
      <c r="E197" t="s">
        <v>22</v>
      </c>
      <c r="F197" s="67" t="s">
        <v>22</v>
      </c>
      <c r="G197" s="68">
        <v>-0.4</v>
      </c>
      <c r="H197" s="68">
        <v>0.4</v>
      </c>
      <c r="I197" s="68">
        <v>-0.25</v>
      </c>
      <c r="J197" s="68">
        <v>0.25</v>
      </c>
      <c r="K197" s="68" t="s">
        <v>29</v>
      </c>
      <c r="L197" s="69">
        <v>0</v>
      </c>
      <c r="M197" s="69">
        <v>0</v>
      </c>
    </row>
    <row r="198" spans="2:13" ht="15" customHeight="1" x14ac:dyDescent="0.25">
      <c r="B198" t="s">
        <v>382</v>
      </c>
      <c r="C198" t="s">
        <v>22</v>
      </c>
      <c r="D198" t="s">
        <v>22</v>
      </c>
      <c r="E198" t="s">
        <v>22</v>
      </c>
      <c r="F198" s="67" t="s">
        <v>29</v>
      </c>
      <c r="G198" s="68">
        <v>-0.5</v>
      </c>
      <c r="H198" s="68">
        <v>0.5</v>
      </c>
      <c r="I198" s="68">
        <v>-0.25</v>
      </c>
      <c r="J198" s="68">
        <v>0.25</v>
      </c>
      <c r="K198" s="68" t="s">
        <v>29</v>
      </c>
      <c r="L198" s="69">
        <v>0</v>
      </c>
      <c r="M198" s="69">
        <v>0</v>
      </c>
    </row>
    <row r="199" spans="2:13" ht="15" customHeight="1" x14ac:dyDescent="0.25">
      <c r="B199" t="s">
        <v>383</v>
      </c>
      <c r="C199" t="s">
        <v>29</v>
      </c>
      <c r="D199" t="s">
        <v>22</v>
      </c>
      <c r="E199" t="s">
        <v>22</v>
      </c>
      <c r="F199" s="67" t="s">
        <v>22</v>
      </c>
      <c r="G199" s="68">
        <v>-0.25</v>
      </c>
      <c r="H199" s="68">
        <v>0.25</v>
      </c>
      <c r="I199" s="68">
        <v>-0.25</v>
      </c>
      <c r="J199" s="68">
        <v>0.25</v>
      </c>
      <c r="K199" s="68" t="s">
        <v>29</v>
      </c>
      <c r="L199" s="69">
        <v>0</v>
      </c>
      <c r="M199" s="69">
        <v>6000</v>
      </c>
    </row>
    <row r="200" spans="2:13" ht="15" customHeight="1" x14ac:dyDescent="0.25">
      <c r="B200" t="s">
        <v>384</v>
      </c>
      <c r="C200" t="s">
        <v>22</v>
      </c>
      <c r="D200" t="s">
        <v>22</v>
      </c>
      <c r="E200" t="s">
        <v>22</v>
      </c>
      <c r="F200" s="67" t="s">
        <v>22</v>
      </c>
      <c r="G200" s="68">
        <v>-0.4</v>
      </c>
      <c r="H200" s="68">
        <v>0.4</v>
      </c>
      <c r="I200" s="68">
        <v>-0.25</v>
      </c>
      <c r="J200" s="68">
        <v>0.25</v>
      </c>
      <c r="K200" s="68" t="s">
        <v>29</v>
      </c>
      <c r="L200" s="69">
        <v>0</v>
      </c>
      <c r="M200" s="69">
        <v>0</v>
      </c>
    </row>
    <row r="201" spans="2:13" ht="15" customHeight="1" x14ac:dyDescent="0.25">
      <c r="B201" t="s">
        <v>385</v>
      </c>
      <c r="C201" t="s">
        <v>22</v>
      </c>
      <c r="D201" t="s">
        <v>29</v>
      </c>
      <c r="E201" t="s">
        <v>22</v>
      </c>
      <c r="F201" s="67" t="s">
        <v>22</v>
      </c>
      <c r="G201" s="68">
        <v>-0.4</v>
      </c>
      <c r="H201" s="68">
        <v>0.4</v>
      </c>
      <c r="I201" s="68">
        <v>-0.25</v>
      </c>
      <c r="J201" s="68">
        <v>0.25</v>
      </c>
      <c r="K201" s="68" t="s">
        <v>29</v>
      </c>
      <c r="L201" s="69">
        <v>0</v>
      </c>
      <c r="M201" s="69">
        <v>0</v>
      </c>
    </row>
    <row r="202" spans="2:13" ht="15" customHeight="1" x14ac:dyDescent="0.25">
      <c r="B202" t="s">
        <v>386</v>
      </c>
      <c r="C202" t="s">
        <v>22</v>
      </c>
      <c r="D202" t="s">
        <v>22</v>
      </c>
      <c r="E202" t="s">
        <v>22</v>
      </c>
      <c r="F202" s="67" t="s">
        <v>22</v>
      </c>
      <c r="G202" s="68">
        <v>-0.4</v>
      </c>
      <c r="H202" s="68">
        <v>0.25</v>
      </c>
      <c r="I202" s="68">
        <v>-0.25</v>
      </c>
      <c r="J202" s="68">
        <v>0.25</v>
      </c>
      <c r="K202" s="68" t="s">
        <v>29</v>
      </c>
      <c r="L202" s="69">
        <v>0</v>
      </c>
      <c r="M202" s="69">
        <v>0</v>
      </c>
    </row>
    <row r="203" spans="2:13" ht="15" customHeight="1" x14ac:dyDescent="0.25">
      <c r="B203" t="s">
        <v>387</v>
      </c>
      <c r="C203" t="s">
        <v>22</v>
      </c>
      <c r="D203" t="s">
        <v>22</v>
      </c>
      <c r="E203" t="s">
        <v>22</v>
      </c>
      <c r="F203" s="67" t="s">
        <v>22</v>
      </c>
      <c r="G203" s="68">
        <v>-0.25</v>
      </c>
      <c r="H203" s="68">
        <v>0.25</v>
      </c>
      <c r="I203" s="68">
        <v>-0.25</v>
      </c>
      <c r="J203" s="68">
        <v>0.25</v>
      </c>
      <c r="K203" s="68" t="s">
        <v>29</v>
      </c>
      <c r="L203" s="69">
        <v>0</v>
      </c>
      <c r="M203" s="69">
        <v>0</v>
      </c>
    </row>
    <row r="204" spans="2:13" ht="15" customHeight="1" x14ac:dyDescent="0.25">
      <c r="B204" t="s">
        <v>388</v>
      </c>
      <c r="C204" t="s">
        <v>22</v>
      </c>
      <c r="D204" t="s">
        <v>22</v>
      </c>
      <c r="E204" t="s">
        <v>22</v>
      </c>
      <c r="F204" s="67" t="s">
        <v>22</v>
      </c>
      <c r="G204" s="68">
        <v>-0.4</v>
      </c>
      <c r="H204" s="68">
        <v>0.4</v>
      </c>
      <c r="I204" s="68">
        <v>-0.25</v>
      </c>
      <c r="J204" s="68">
        <v>0.25</v>
      </c>
      <c r="K204" s="68" t="s">
        <v>29</v>
      </c>
      <c r="L204" s="69">
        <v>0</v>
      </c>
      <c r="M204" s="69">
        <v>0</v>
      </c>
    </row>
    <row r="205" spans="2:13" ht="15" customHeight="1" x14ac:dyDescent="0.25">
      <c r="B205" t="s">
        <v>389</v>
      </c>
      <c r="C205" t="s">
        <v>22</v>
      </c>
      <c r="D205" t="s">
        <v>29</v>
      </c>
      <c r="E205" t="s">
        <v>29</v>
      </c>
      <c r="F205" s="67" t="s">
        <v>29</v>
      </c>
      <c r="G205" s="68">
        <v>-0.4</v>
      </c>
      <c r="H205" s="68">
        <v>0.4</v>
      </c>
      <c r="I205" s="68">
        <v>-0.25</v>
      </c>
      <c r="J205" s="68">
        <v>0.25</v>
      </c>
      <c r="K205" s="68" t="s">
        <v>29</v>
      </c>
      <c r="L205" s="69">
        <v>0</v>
      </c>
      <c r="M205" s="69">
        <v>0</v>
      </c>
    </row>
    <row r="206" spans="2:13" ht="15" customHeight="1" x14ac:dyDescent="0.25">
      <c r="B206" t="s">
        <v>390</v>
      </c>
      <c r="C206" t="s">
        <v>22</v>
      </c>
      <c r="D206" t="s">
        <v>29</v>
      </c>
      <c r="E206" t="s">
        <v>22</v>
      </c>
      <c r="F206" s="67" t="s">
        <v>22</v>
      </c>
      <c r="G206" s="68">
        <v>-0.25</v>
      </c>
      <c r="H206" s="68">
        <v>0.25</v>
      </c>
      <c r="I206" s="68">
        <v>-0.25</v>
      </c>
      <c r="J206" s="68">
        <v>0.25</v>
      </c>
      <c r="K206" s="68" t="s">
        <v>29</v>
      </c>
      <c r="L206" s="69">
        <v>0</v>
      </c>
      <c r="M206" s="69">
        <v>0</v>
      </c>
    </row>
    <row r="207" spans="2:13" ht="15" customHeight="1" x14ac:dyDescent="0.25">
      <c r="B207" t="s">
        <v>391</v>
      </c>
      <c r="C207" t="s">
        <v>29</v>
      </c>
      <c r="D207" t="s">
        <v>22</v>
      </c>
      <c r="E207" t="s">
        <v>22</v>
      </c>
      <c r="F207" s="67" t="s">
        <v>29</v>
      </c>
      <c r="G207" s="68">
        <v>-0.4</v>
      </c>
      <c r="H207" s="68">
        <v>0.4</v>
      </c>
      <c r="I207" s="68">
        <v>-0.25</v>
      </c>
      <c r="J207" s="68">
        <v>0.25</v>
      </c>
      <c r="K207" s="68" t="s">
        <v>22</v>
      </c>
      <c r="L207" s="69">
        <v>0</v>
      </c>
      <c r="M207" s="69">
        <v>0</v>
      </c>
    </row>
    <row r="208" spans="2:13" ht="15" customHeight="1" x14ac:dyDescent="0.25">
      <c r="B208" t="s">
        <v>392</v>
      </c>
      <c r="C208" t="s">
        <v>22</v>
      </c>
      <c r="D208" t="s">
        <v>29</v>
      </c>
      <c r="E208" t="s">
        <v>22</v>
      </c>
      <c r="F208" s="67" t="s">
        <v>29</v>
      </c>
      <c r="G208" s="68">
        <v>0</v>
      </c>
      <c r="H208" s="68">
        <v>0</v>
      </c>
      <c r="I208" s="68">
        <v>0</v>
      </c>
      <c r="J208" s="68">
        <v>0</v>
      </c>
      <c r="K208" s="68" t="s">
        <v>29</v>
      </c>
      <c r="L208" s="69">
        <v>0</v>
      </c>
      <c r="M208" s="69">
        <v>0</v>
      </c>
    </row>
    <row r="209" spans="2:13" ht="15" customHeight="1" x14ac:dyDescent="0.25">
      <c r="B209" t="s">
        <v>393</v>
      </c>
      <c r="C209" t="s">
        <v>22</v>
      </c>
      <c r="D209" t="s">
        <v>22</v>
      </c>
      <c r="E209" t="s">
        <v>22</v>
      </c>
      <c r="F209" s="67" t="s">
        <v>22</v>
      </c>
      <c r="G209" s="68">
        <v>-0.25</v>
      </c>
      <c r="H209" s="68">
        <v>0.25</v>
      </c>
      <c r="I209" s="68">
        <v>-0.25</v>
      </c>
      <c r="J209" s="68">
        <v>0.25</v>
      </c>
      <c r="K209" s="68" t="s">
        <v>29</v>
      </c>
      <c r="L209" s="69">
        <v>0</v>
      </c>
      <c r="M209" s="69">
        <v>0</v>
      </c>
    </row>
    <row r="210" spans="2:13" ht="15" customHeight="1" x14ac:dyDescent="0.25">
      <c r="B210" t="s">
        <v>394</v>
      </c>
      <c r="C210" t="s">
        <v>22</v>
      </c>
      <c r="D210" t="s">
        <v>29</v>
      </c>
      <c r="E210" t="s">
        <v>22</v>
      </c>
      <c r="F210" s="67" t="s">
        <v>29</v>
      </c>
      <c r="G210" s="68">
        <v>-0.4</v>
      </c>
      <c r="H210" s="68">
        <v>0.4</v>
      </c>
      <c r="I210" s="68">
        <v>-0.25</v>
      </c>
      <c r="J210" s="68">
        <v>0.25</v>
      </c>
      <c r="K210" s="68" t="s">
        <v>29</v>
      </c>
      <c r="L210" s="69">
        <v>0</v>
      </c>
      <c r="M210" s="69">
        <v>0</v>
      </c>
    </row>
    <row r="211" spans="2:13" ht="15" customHeight="1" x14ac:dyDescent="0.25">
      <c r="B211" t="s">
        <v>395</v>
      </c>
      <c r="C211" t="s">
        <v>22</v>
      </c>
      <c r="D211" t="s">
        <v>22</v>
      </c>
      <c r="E211" t="s">
        <v>22</v>
      </c>
      <c r="F211" s="67" t="s">
        <v>22</v>
      </c>
      <c r="G211" s="68">
        <v>-0.25</v>
      </c>
      <c r="H211" s="68">
        <v>0.25</v>
      </c>
      <c r="I211" s="68">
        <v>-0.25</v>
      </c>
      <c r="J211" s="68">
        <v>0.25</v>
      </c>
      <c r="K211" s="68" t="s">
        <v>29</v>
      </c>
      <c r="L211" s="69">
        <v>0</v>
      </c>
      <c r="M211" s="69">
        <v>0</v>
      </c>
    </row>
    <row r="212" spans="2:13" ht="15" customHeight="1" x14ac:dyDescent="0.25">
      <c r="B212" t="s">
        <v>396</v>
      </c>
      <c r="C212" t="s">
        <v>29</v>
      </c>
      <c r="D212" t="s">
        <v>22</v>
      </c>
      <c r="E212" t="s">
        <v>22</v>
      </c>
      <c r="F212" s="67" t="s">
        <v>22</v>
      </c>
      <c r="G212" s="68">
        <v>-0.5</v>
      </c>
      <c r="H212" s="68">
        <v>0.5</v>
      </c>
      <c r="I212" s="68">
        <v>-0.25</v>
      </c>
      <c r="J212" s="68">
        <v>0.25</v>
      </c>
      <c r="K212" s="68" t="s">
        <v>29</v>
      </c>
      <c r="L212" s="69">
        <v>0</v>
      </c>
      <c r="M212" s="69">
        <v>0</v>
      </c>
    </row>
    <row r="213" spans="2:13" ht="15" customHeight="1" x14ac:dyDescent="0.25">
      <c r="B213" t="s">
        <v>397</v>
      </c>
      <c r="C213" t="s">
        <v>29</v>
      </c>
      <c r="D213" t="s">
        <v>22</v>
      </c>
      <c r="E213" t="s">
        <v>22</v>
      </c>
      <c r="F213" s="67" t="s">
        <v>29</v>
      </c>
      <c r="G213" s="68">
        <v>-0.15</v>
      </c>
      <c r="H213" s="68">
        <v>0.15</v>
      </c>
      <c r="I213" s="68">
        <v>-0.25</v>
      </c>
      <c r="J213" s="68">
        <v>0.25</v>
      </c>
      <c r="K213" s="68" t="s">
        <v>29</v>
      </c>
      <c r="L213" s="69">
        <v>2500</v>
      </c>
      <c r="M213" s="69">
        <v>0</v>
      </c>
    </row>
    <row r="214" spans="2:13" ht="15" customHeight="1" x14ac:dyDescent="0.25">
      <c r="B214" t="s">
        <v>398</v>
      </c>
      <c r="C214" t="s">
        <v>22</v>
      </c>
      <c r="D214" t="s">
        <v>22</v>
      </c>
      <c r="E214" t="s">
        <v>22</v>
      </c>
      <c r="F214" s="67" t="s">
        <v>29</v>
      </c>
      <c r="G214" s="68">
        <v>-0.15</v>
      </c>
      <c r="H214" s="68">
        <v>0.15</v>
      </c>
      <c r="I214" s="68">
        <v>-0.25</v>
      </c>
      <c r="J214" s="68">
        <v>0.25</v>
      </c>
      <c r="K214" s="68" t="s">
        <v>29</v>
      </c>
      <c r="L214" s="69">
        <v>2500</v>
      </c>
      <c r="M214" s="69">
        <v>0</v>
      </c>
    </row>
    <row r="215" spans="2:13" ht="15" customHeight="1" x14ac:dyDescent="0.25">
      <c r="B215" t="s">
        <v>399</v>
      </c>
      <c r="C215" t="s">
        <v>22</v>
      </c>
      <c r="D215" t="s">
        <v>22</v>
      </c>
      <c r="E215" t="s">
        <v>29</v>
      </c>
      <c r="F215" s="67" t="s">
        <v>29</v>
      </c>
      <c r="G215" s="68">
        <v>-0.5</v>
      </c>
      <c r="H215" s="68">
        <v>0.5</v>
      </c>
      <c r="I215" s="68">
        <v>-0.25</v>
      </c>
      <c r="J215" s="68">
        <v>0.25</v>
      </c>
      <c r="K215" s="68" t="s">
        <v>29</v>
      </c>
      <c r="L215" s="69">
        <v>0</v>
      </c>
      <c r="M215" s="69">
        <v>0</v>
      </c>
    </row>
    <row r="216" spans="2:13" ht="15" customHeight="1" x14ac:dyDescent="0.25">
      <c r="B216" t="s">
        <v>400</v>
      </c>
      <c r="C216" t="s">
        <v>22</v>
      </c>
      <c r="D216" t="s">
        <v>22</v>
      </c>
      <c r="E216" t="s">
        <v>22</v>
      </c>
      <c r="F216" s="67" t="s">
        <v>22</v>
      </c>
      <c r="G216" s="68">
        <v>-0.25</v>
      </c>
      <c r="H216" s="68">
        <v>0.25</v>
      </c>
      <c r="I216" s="68">
        <v>-0.25</v>
      </c>
      <c r="J216" s="68">
        <v>0.25</v>
      </c>
      <c r="K216" s="68" t="s">
        <v>22</v>
      </c>
      <c r="L216" s="69">
        <v>0</v>
      </c>
      <c r="M216" s="69">
        <v>0</v>
      </c>
    </row>
    <row r="217" spans="2:13" ht="15" customHeight="1" x14ac:dyDescent="0.25">
      <c r="B217" t="s">
        <v>401</v>
      </c>
      <c r="C217" t="s">
        <v>22</v>
      </c>
      <c r="D217" t="s">
        <v>29</v>
      </c>
      <c r="E217" t="s">
        <v>22</v>
      </c>
      <c r="F217" s="67" t="s">
        <v>22</v>
      </c>
      <c r="G217" s="68">
        <v>-0.25</v>
      </c>
      <c r="H217" s="68">
        <v>0.25</v>
      </c>
      <c r="I217" s="68">
        <v>-0.25</v>
      </c>
      <c r="J217" s="68">
        <v>0.25</v>
      </c>
      <c r="K217" s="68" t="s">
        <v>29</v>
      </c>
      <c r="L217" s="69">
        <v>0</v>
      </c>
      <c r="M217" s="69">
        <v>0</v>
      </c>
    </row>
    <row r="218" spans="2:13" ht="15" customHeight="1" x14ac:dyDescent="0.25">
      <c r="B218" t="s">
        <v>402</v>
      </c>
      <c r="C218" t="s">
        <v>22</v>
      </c>
      <c r="D218" t="s">
        <v>29</v>
      </c>
      <c r="E218" t="s">
        <v>29</v>
      </c>
      <c r="F218" s="67" t="s">
        <v>22</v>
      </c>
      <c r="G218" s="68">
        <v>-0.4</v>
      </c>
      <c r="H218" s="68">
        <v>0.4</v>
      </c>
      <c r="I218" s="68">
        <v>-0.25</v>
      </c>
      <c r="J218" s="68">
        <v>0.25</v>
      </c>
      <c r="K218" s="68" t="s">
        <v>29</v>
      </c>
      <c r="L218" s="69">
        <v>0</v>
      </c>
      <c r="M218" s="69">
        <v>0</v>
      </c>
    </row>
    <row r="219" spans="2:13" ht="15" customHeight="1" x14ac:dyDescent="0.25">
      <c r="B219" t="s">
        <v>403</v>
      </c>
      <c r="C219" t="s">
        <v>22</v>
      </c>
      <c r="D219" t="s">
        <v>22</v>
      </c>
      <c r="E219" t="s">
        <v>22</v>
      </c>
      <c r="F219" s="67" t="s">
        <v>29</v>
      </c>
      <c r="G219" s="68">
        <v>-0.25</v>
      </c>
      <c r="H219" s="68">
        <v>0.25</v>
      </c>
      <c r="I219" s="68">
        <v>-0.25</v>
      </c>
      <c r="J219" s="68">
        <v>0.25</v>
      </c>
      <c r="K219" s="68" t="s">
        <v>29</v>
      </c>
      <c r="L219" s="69">
        <v>0</v>
      </c>
      <c r="M219" s="69">
        <v>0</v>
      </c>
    </row>
    <row r="220" spans="2:13" ht="15" customHeight="1" x14ac:dyDescent="0.25">
      <c r="B220" t="s">
        <v>404</v>
      </c>
      <c r="C220" t="s">
        <v>22</v>
      </c>
      <c r="D220" t="s">
        <v>22</v>
      </c>
      <c r="E220" t="s">
        <v>22</v>
      </c>
      <c r="F220" s="67" t="s">
        <v>22</v>
      </c>
      <c r="G220" s="68">
        <v>-0.4</v>
      </c>
      <c r="H220" s="68">
        <v>0.4</v>
      </c>
      <c r="I220" s="68">
        <v>-0.25</v>
      </c>
      <c r="J220" s="68">
        <v>0.25</v>
      </c>
      <c r="K220" s="68" t="s">
        <v>29</v>
      </c>
      <c r="L220" s="69">
        <v>0</v>
      </c>
      <c r="M220" s="69">
        <v>0</v>
      </c>
    </row>
    <row r="221" spans="2:13" ht="15" customHeight="1" x14ac:dyDescent="0.25">
      <c r="B221" t="s">
        <v>405</v>
      </c>
      <c r="C221" t="s">
        <v>22</v>
      </c>
      <c r="D221" t="s">
        <v>29</v>
      </c>
      <c r="E221" t="s">
        <v>22</v>
      </c>
      <c r="F221" s="67" t="s">
        <v>22</v>
      </c>
      <c r="G221" s="68">
        <v>-0.4</v>
      </c>
      <c r="H221" s="68">
        <v>0.4</v>
      </c>
      <c r="I221" s="68">
        <v>-0.25</v>
      </c>
      <c r="J221" s="68">
        <v>0.25</v>
      </c>
      <c r="K221" s="68" t="s">
        <v>29</v>
      </c>
      <c r="L221" s="69">
        <v>0</v>
      </c>
      <c r="M221" s="69">
        <v>0</v>
      </c>
    </row>
    <row r="222" spans="2:13" ht="15" customHeight="1" x14ac:dyDescent="0.25">
      <c r="B222" t="s">
        <v>406</v>
      </c>
      <c r="C222" t="s">
        <v>22</v>
      </c>
      <c r="D222" t="s">
        <v>22</v>
      </c>
      <c r="E222" t="s">
        <v>22</v>
      </c>
      <c r="F222" s="67" t="s">
        <v>22</v>
      </c>
      <c r="G222" s="68">
        <v>-0.4</v>
      </c>
      <c r="H222" s="68">
        <v>0.25</v>
      </c>
      <c r="I222" s="68">
        <v>-0.25</v>
      </c>
      <c r="J222" s="68">
        <v>0.25</v>
      </c>
      <c r="K222" s="68" t="s">
        <v>29</v>
      </c>
      <c r="L222" s="69">
        <v>0</v>
      </c>
      <c r="M222" s="69">
        <v>0</v>
      </c>
    </row>
    <row r="223" spans="2:13" ht="15" customHeight="1" x14ac:dyDescent="0.25">
      <c r="B223" t="s">
        <v>407</v>
      </c>
      <c r="C223" t="s">
        <v>22</v>
      </c>
      <c r="D223" t="s">
        <v>29</v>
      </c>
      <c r="E223" t="s">
        <v>29</v>
      </c>
      <c r="F223" s="67" t="s">
        <v>29</v>
      </c>
      <c r="G223" s="68">
        <v>-0.25</v>
      </c>
      <c r="H223" s="68">
        <v>0.25</v>
      </c>
      <c r="I223" s="68">
        <v>-0.25</v>
      </c>
      <c r="J223" s="68">
        <v>0.25</v>
      </c>
      <c r="K223" s="68" t="s">
        <v>22</v>
      </c>
      <c r="L223" s="69">
        <v>0</v>
      </c>
      <c r="M223" s="69">
        <v>0</v>
      </c>
    </row>
    <row r="224" spans="2:13" ht="15" customHeight="1" x14ac:dyDescent="0.25">
      <c r="B224" t="s">
        <v>408</v>
      </c>
      <c r="C224" t="s">
        <v>22</v>
      </c>
      <c r="D224" t="s">
        <v>22</v>
      </c>
      <c r="E224" t="s">
        <v>22</v>
      </c>
      <c r="F224" s="67" t="s">
        <v>29</v>
      </c>
      <c r="G224" s="68">
        <v>-0.5</v>
      </c>
      <c r="H224" s="68">
        <v>0.5</v>
      </c>
      <c r="I224" s="68">
        <v>-0.25</v>
      </c>
      <c r="J224" s="68">
        <v>0.25</v>
      </c>
      <c r="K224" s="68" t="s">
        <v>29</v>
      </c>
      <c r="L224" s="69">
        <v>0</v>
      </c>
      <c r="M224" s="69">
        <v>0</v>
      </c>
    </row>
    <row r="225" spans="1:13" ht="15" customHeight="1" x14ac:dyDescent="0.25">
      <c r="B225" t="s">
        <v>409</v>
      </c>
      <c r="C225" t="s">
        <v>22</v>
      </c>
      <c r="D225" t="s">
        <v>29</v>
      </c>
      <c r="E225" t="s">
        <v>29</v>
      </c>
      <c r="F225" s="67" t="s">
        <v>29</v>
      </c>
      <c r="G225" s="68">
        <v>-0.4</v>
      </c>
      <c r="H225" s="68">
        <v>0.4</v>
      </c>
      <c r="I225" s="68">
        <v>-0.25</v>
      </c>
      <c r="J225" s="68">
        <v>0.25</v>
      </c>
      <c r="K225" s="68" t="s">
        <v>29</v>
      </c>
      <c r="L225" s="69">
        <v>0</v>
      </c>
      <c r="M225" s="69">
        <v>0</v>
      </c>
    </row>
    <row r="226" spans="1:13" ht="15" customHeight="1" x14ac:dyDescent="0.25">
      <c r="B226" t="s">
        <v>410</v>
      </c>
      <c r="C226" t="s">
        <v>22</v>
      </c>
      <c r="D226" t="s">
        <v>22</v>
      </c>
      <c r="E226" t="s">
        <v>22</v>
      </c>
      <c r="F226" s="67" t="s">
        <v>22</v>
      </c>
      <c r="G226" s="68">
        <v>-0.25</v>
      </c>
      <c r="H226" s="68">
        <v>0.25</v>
      </c>
      <c r="I226" s="68">
        <v>-0.25</v>
      </c>
      <c r="J226" s="68">
        <v>0.25</v>
      </c>
      <c r="K226" s="68" t="s">
        <v>29</v>
      </c>
      <c r="L226" s="69">
        <v>0</v>
      </c>
      <c r="M226" s="69">
        <v>0</v>
      </c>
    </row>
    <row r="227" spans="1:13" ht="15" customHeight="1" x14ac:dyDescent="0.25">
      <c r="B227" t="s">
        <v>411</v>
      </c>
      <c r="C227" t="s">
        <v>29</v>
      </c>
      <c r="D227" t="s">
        <v>22</v>
      </c>
      <c r="E227" t="s">
        <v>22</v>
      </c>
      <c r="F227" s="67" t="s">
        <v>22</v>
      </c>
      <c r="G227" s="68">
        <v>-0.25</v>
      </c>
      <c r="H227" s="68">
        <v>0.25</v>
      </c>
      <c r="I227" s="68">
        <v>-0.25</v>
      </c>
      <c r="J227" s="68">
        <v>0.25</v>
      </c>
      <c r="K227" s="68" t="s">
        <v>29</v>
      </c>
      <c r="L227" s="69">
        <v>0</v>
      </c>
      <c r="M227" s="69">
        <v>0</v>
      </c>
    </row>
    <row r="228" spans="1:13" ht="15" customHeight="1" x14ac:dyDescent="0.25">
      <c r="B228" t="s">
        <v>412</v>
      </c>
      <c r="C228" t="s">
        <v>29</v>
      </c>
      <c r="D228" t="s">
        <v>22</v>
      </c>
      <c r="E228" t="s">
        <v>22</v>
      </c>
      <c r="F228" s="67" t="s">
        <v>22</v>
      </c>
      <c r="G228" s="68">
        <v>-0.5</v>
      </c>
      <c r="H228" s="68">
        <v>0.5</v>
      </c>
      <c r="I228" s="68">
        <v>-0.25</v>
      </c>
      <c r="J228" s="68">
        <v>0.25</v>
      </c>
      <c r="K228" s="68" t="s">
        <v>29</v>
      </c>
      <c r="L228" s="69">
        <v>0</v>
      </c>
      <c r="M228" s="69">
        <v>0</v>
      </c>
    </row>
    <row r="229" spans="1:13" ht="15" customHeight="1" x14ac:dyDescent="0.25">
      <c r="B229" t="s">
        <v>413</v>
      </c>
      <c r="C229" t="s">
        <v>29</v>
      </c>
      <c r="D229" t="s">
        <v>22</v>
      </c>
      <c r="E229" t="s">
        <v>22</v>
      </c>
      <c r="F229" s="67" t="s">
        <v>22</v>
      </c>
      <c r="G229" s="68">
        <v>-0.25</v>
      </c>
      <c r="H229" s="68">
        <v>0.25</v>
      </c>
      <c r="I229" s="68">
        <v>-0.25</v>
      </c>
      <c r="J229" s="68">
        <v>0.25</v>
      </c>
      <c r="K229" s="68" t="s">
        <v>29</v>
      </c>
      <c r="L229" s="69">
        <v>1000</v>
      </c>
      <c r="M229" s="69">
        <v>0</v>
      </c>
    </row>
    <row r="230" spans="1:13" ht="15" customHeight="1" x14ac:dyDescent="0.25">
      <c r="B230" t="s">
        <v>414</v>
      </c>
      <c r="C230" t="s">
        <v>22</v>
      </c>
      <c r="D230" t="s">
        <v>22</v>
      </c>
      <c r="E230" t="s">
        <v>22</v>
      </c>
      <c r="F230" s="67" t="s">
        <v>22</v>
      </c>
      <c r="G230" s="68">
        <v>-0.4</v>
      </c>
      <c r="H230" s="68">
        <v>0.4</v>
      </c>
      <c r="I230" s="68">
        <v>-0.25</v>
      </c>
      <c r="J230" s="68">
        <v>0.25</v>
      </c>
      <c r="K230" s="68" t="s">
        <v>29</v>
      </c>
      <c r="L230" s="69">
        <v>0</v>
      </c>
      <c r="M230" s="69">
        <v>0</v>
      </c>
    </row>
    <row r="231" spans="1:13" ht="15" customHeight="1" x14ac:dyDescent="0.25">
      <c r="B231" t="s">
        <v>415</v>
      </c>
      <c r="C231" t="s">
        <v>22</v>
      </c>
      <c r="D231" t="s">
        <v>22</v>
      </c>
      <c r="E231" t="s">
        <v>22</v>
      </c>
      <c r="F231" s="67" t="s">
        <v>29</v>
      </c>
      <c r="G231" s="68">
        <v>-0.5</v>
      </c>
      <c r="H231" s="68">
        <v>0.5</v>
      </c>
      <c r="I231" s="68">
        <v>-0.25</v>
      </c>
      <c r="J231" s="68">
        <v>0.25</v>
      </c>
      <c r="K231" s="68" t="s">
        <v>29</v>
      </c>
      <c r="L231" s="69">
        <v>0</v>
      </c>
      <c r="M231" s="69">
        <v>0</v>
      </c>
    </row>
    <row r="232" spans="1:13" ht="15" customHeight="1" x14ac:dyDescent="0.25">
      <c r="B232" t="s">
        <v>416</v>
      </c>
      <c r="C232" t="s">
        <v>29</v>
      </c>
      <c r="D232" t="s">
        <v>22</v>
      </c>
      <c r="E232" t="s">
        <v>22</v>
      </c>
      <c r="F232" s="67" t="s">
        <v>22</v>
      </c>
      <c r="G232" s="68">
        <v>-0.5</v>
      </c>
      <c r="H232" s="68">
        <v>0.5</v>
      </c>
      <c r="I232" s="68">
        <v>-0.25</v>
      </c>
      <c r="J232" s="68">
        <v>0.25</v>
      </c>
      <c r="K232" s="68" t="s">
        <v>29</v>
      </c>
      <c r="L232" s="69">
        <v>0</v>
      </c>
      <c r="M232" s="69">
        <v>0</v>
      </c>
    </row>
    <row r="233" spans="1:13" ht="15" customHeight="1" x14ac:dyDescent="0.25">
      <c r="B233" t="s">
        <v>430</v>
      </c>
      <c r="C233" t="s">
        <v>22</v>
      </c>
      <c r="D233" t="s">
        <v>22</v>
      </c>
      <c r="E233" t="s">
        <v>22</v>
      </c>
      <c r="F233" s="67" t="s">
        <v>22</v>
      </c>
      <c r="G233" s="68">
        <v>-0.5</v>
      </c>
      <c r="H233" s="68">
        <v>0.5</v>
      </c>
      <c r="I233" s="68">
        <v>-0.25</v>
      </c>
      <c r="J233" s="68">
        <v>0.25</v>
      </c>
      <c r="K233" s="68" t="s">
        <v>29</v>
      </c>
      <c r="L233" s="69">
        <v>0</v>
      </c>
      <c r="M233" s="69">
        <v>0</v>
      </c>
    </row>
    <row r="236" spans="1:13" ht="15" customHeight="1" x14ac:dyDescent="0.25">
      <c r="B236" s="66" t="s">
        <v>431</v>
      </c>
    </row>
    <row r="237" spans="1:13" ht="15" customHeight="1" x14ac:dyDescent="0.25">
      <c r="A237" t="s">
        <v>432</v>
      </c>
      <c r="B237" t="s">
        <v>22</v>
      </c>
    </row>
    <row r="238" spans="1:13" ht="15" customHeight="1" x14ac:dyDescent="0.25">
      <c r="B238" t="s">
        <v>29</v>
      </c>
    </row>
    <row r="241" spans="1:7" ht="30" customHeight="1" x14ac:dyDescent="0.25">
      <c r="B241" s="66" t="s">
        <v>433</v>
      </c>
      <c r="C241" s="66" t="s">
        <v>434</v>
      </c>
      <c r="D241" s="66" t="s">
        <v>77</v>
      </c>
      <c r="E241" s="66" t="s">
        <v>78</v>
      </c>
      <c r="F241" s="66" t="s">
        <v>435</v>
      </c>
      <c r="G241" s="66" t="s">
        <v>436</v>
      </c>
    </row>
    <row r="242" spans="1:7" ht="15" customHeight="1" x14ac:dyDescent="0.25">
      <c r="A242" t="s">
        <v>437</v>
      </c>
      <c r="B242" s="31">
        <v>0</v>
      </c>
      <c r="C242" s="31">
        <v>10000000</v>
      </c>
      <c r="D242" s="71">
        <v>0.01</v>
      </c>
      <c r="E242" s="31"/>
      <c r="F242" s="31">
        <v>25000</v>
      </c>
      <c r="G242" s="31">
        <v>100000</v>
      </c>
    </row>
    <row r="243" spans="1:7" ht="15" customHeight="1" x14ac:dyDescent="0.25">
      <c r="B243" s="31">
        <v>10000000</v>
      </c>
      <c r="C243" s="31">
        <v>50000000</v>
      </c>
      <c r="D243" s="71">
        <v>5.0000000000000001E-3</v>
      </c>
      <c r="E243" s="31">
        <v>50000</v>
      </c>
      <c r="F243" s="31">
        <v>100000</v>
      </c>
      <c r="G243" s="31">
        <v>300000</v>
      </c>
    </row>
    <row r="244" spans="1:7" ht="15" customHeight="1" x14ac:dyDescent="0.25">
      <c r="B244" s="31">
        <v>50000000</v>
      </c>
      <c r="C244" s="31">
        <v>100000000</v>
      </c>
      <c r="D244" s="71">
        <v>4.0000000000000001E-3</v>
      </c>
      <c r="E244" s="31">
        <v>100000</v>
      </c>
      <c r="F244" s="31">
        <v>300000</v>
      </c>
      <c r="G244" s="31">
        <v>500000</v>
      </c>
    </row>
    <row r="245" spans="1:7" ht="15" customHeight="1" x14ac:dyDescent="0.25">
      <c r="B245" s="31">
        <v>100000000</v>
      </c>
      <c r="C245" s="31">
        <v>500000000</v>
      </c>
      <c r="D245" s="71">
        <v>3.7499999999999999E-3</v>
      </c>
      <c r="E245" s="31">
        <v>125000</v>
      </c>
      <c r="F245" s="31">
        <v>500000</v>
      </c>
      <c r="G245" s="31">
        <v>2000000</v>
      </c>
    </row>
    <row r="246" spans="1:7" ht="15" customHeight="1" x14ac:dyDescent="0.25">
      <c r="B246" s="31">
        <v>500000000</v>
      </c>
      <c r="D246" s="71">
        <v>0</v>
      </c>
      <c r="E246" s="31">
        <v>2000000</v>
      </c>
      <c r="F246" s="31">
        <v>2000000</v>
      </c>
      <c r="G246" s="31">
        <v>2000000</v>
      </c>
    </row>
    <row r="249" spans="1:7" ht="45" customHeight="1" x14ac:dyDescent="0.25">
      <c r="B249" s="66" t="s">
        <v>87</v>
      </c>
      <c r="C249" s="66" t="s">
        <v>88</v>
      </c>
      <c r="D249" s="66" t="s">
        <v>89</v>
      </c>
      <c r="E249" s="66" t="s">
        <v>90</v>
      </c>
    </row>
    <row r="250" spans="1:7" ht="15" customHeight="1" x14ac:dyDescent="0.25">
      <c r="A250" t="s">
        <v>438</v>
      </c>
      <c r="B250" s="52">
        <v>0</v>
      </c>
      <c r="C250" s="52">
        <v>0.25</v>
      </c>
      <c r="D250" s="52">
        <v>0.7</v>
      </c>
      <c r="E250" s="52">
        <v>0.82499999999999996</v>
      </c>
    </row>
    <row r="251" spans="1:7" ht="15" customHeight="1" x14ac:dyDescent="0.25">
      <c r="B251" s="52">
        <v>0.25</v>
      </c>
      <c r="C251" s="52">
        <v>0.5</v>
      </c>
      <c r="D251" s="52">
        <v>0.82499999999999996</v>
      </c>
      <c r="E251" s="52">
        <v>0.91</v>
      </c>
    </row>
    <row r="252" spans="1:7" ht="15" customHeight="1" x14ac:dyDescent="0.25">
      <c r="B252" s="52">
        <v>0.5</v>
      </c>
      <c r="C252" s="52">
        <v>0.75</v>
      </c>
      <c r="D252" s="52">
        <v>0.91</v>
      </c>
      <c r="E252" s="52">
        <v>0.96499999999999997</v>
      </c>
    </row>
    <row r="253" spans="1:7" ht="15" customHeight="1" x14ac:dyDescent="0.25">
      <c r="B253" s="52">
        <v>0.75</v>
      </c>
      <c r="C253" s="52">
        <v>1</v>
      </c>
      <c r="D253" s="52">
        <v>0.96499999999999997</v>
      </c>
      <c r="E253" s="52">
        <v>1</v>
      </c>
    </row>
    <row r="254" spans="1:7" ht="15" customHeight="1" x14ac:dyDescent="0.25">
      <c r="B254" s="52">
        <v>1</v>
      </c>
      <c r="C254" s="52">
        <v>1.5</v>
      </c>
      <c r="D254" s="52">
        <v>1</v>
      </c>
      <c r="E254" s="52">
        <v>1.05</v>
      </c>
    </row>
    <row r="255" spans="1:7" ht="15" customHeight="1" x14ac:dyDescent="0.25">
      <c r="B255" s="52">
        <v>1.5</v>
      </c>
      <c r="C255" s="52">
        <v>2</v>
      </c>
      <c r="D255" s="52">
        <v>1.05</v>
      </c>
      <c r="E255" s="52">
        <v>1.0900000000000001</v>
      </c>
    </row>
    <row r="256" spans="1:7" ht="15" customHeight="1" x14ac:dyDescent="0.25">
      <c r="B256" s="52">
        <v>2</v>
      </c>
      <c r="C256" s="52">
        <v>3</v>
      </c>
      <c r="D256" s="52">
        <v>1.0900000000000001</v>
      </c>
      <c r="E256" s="52">
        <v>1.1399999999999999</v>
      </c>
    </row>
    <row r="257" spans="1:7" ht="15" customHeight="1" x14ac:dyDescent="0.25">
      <c r="B257" s="52">
        <v>3</v>
      </c>
      <c r="C257" s="52">
        <v>5</v>
      </c>
      <c r="D257" s="52">
        <v>1.1399999999999999</v>
      </c>
      <c r="E257" s="52">
        <v>1.2050000000000001</v>
      </c>
    </row>
    <row r="258" spans="1:7" ht="15" customHeight="1" x14ac:dyDescent="0.25">
      <c r="B258" s="52">
        <v>5</v>
      </c>
      <c r="C258" s="52">
        <v>7.5</v>
      </c>
      <c r="D258" s="52">
        <v>1.2050000000000001</v>
      </c>
      <c r="E258" s="52">
        <v>1.2949999999999999</v>
      </c>
    </row>
    <row r="259" spans="1:7" ht="15" customHeight="1" x14ac:dyDescent="0.25">
      <c r="B259" s="52">
        <v>7.5</v>
      </c>
      <c r="C259" s="52">
        <v>10</v>
      </c>
      <c r="D259" s="52">
        <v>1.2949999999999999</v>
      </c>
      <c r="E259" s="52">
        <v>1.41</v>
      </c>
    </row>
    <row r="262" spans="1:7" ht="30" customHeight="1" x14ac:dyDescent="0.25">
      <c r="B262" s="66" t="s">
        <v>433</v>
      </c>
      <c r="C262" s="66" t="s">
        <v>434</v>
      </c>
      <c r="D262" s="66" t="s">
        <v>77</v>
      </c>
      <c r="E262" s="66" t="s">
        <v>78</v>
      </c>
      <c r="F262" s="66" t="s">
        <v>435</v>
      </c>
      <c r="G262" s="66" t="s">
        <v>436</v>
      </c>
    </row>
    <row r="263" spans="1:7" ht="15" customHeight="1" x14ac:dyDescent="0.25">
      <c r="A263" t="s">
        <v>439</v>
      </c>
      <c r="B263" s="31">
        <v>0</v>
      </c>
      <c r="C263" s="31">
        <v>100000000</v>
      </c>
      <c r="D263" s="71">
        <v>5.0000000000000001E-4</v>
      </c>
      <c r="E263" s="31"/>
      <c r="F263" s="31">
        <v>2500</v>
      </c>
      <c r="G263" s="31">
        <v>50000</v>
      </c>
    </row>
    <row r="264" spans="1:7" ht="15" customHeight="1" x14ac:dyDescent="0.25">
      <c r="B264" s="31">
        <v>100000000</v>
      </c>
      <c r="C264" s="31"/>
      <c r="D264" s="71">
        <v>1.25E-4</v>
      </c>
      <c r="E264" s="31">
        <v>37500</v>
      </c>
      <c r="F264" s="31">
        <v>50000</v>
      </c>
      <c r="G264" s="31">
        <v>100000</v>
      </c>
    </row>
    <row r="267" spans="1:7" ht="45" customHeight="1" x14ac:dyDescent="0.25">
      <c r="B267" s="66" t="s">
        <v>87</v>
      </c>
      <c r="C267" s="66" t="s">
        <v>88</v>
      </c>
      <c r="D267" s="66" t="s">
        <v>89</v>
      </c>
      <c r="E267" s="66" t="s">
        <v>90</v>
      </c>
    </row>
    <row r="268" spans="1:7" ht="15" customHeight="1" x14ac:dyDescent="0.25">
      <c r="A268" t="s">
        <v>440</v>
      </c>
      <c r="B268" s="52">
        <v>0</v>
      </c>
      <c r="C268" s="52">
        <v>0.1</v>
      </c>
      <c r="D268" s="52">
        <v>1.3</v>
      </c>
      <c r="E268" s="52">
        <v>1.252</v>
      </c>
    </row>
    <row r="269" spans="1:7" ht="15" customHeight="1" x14ac:dyDescent="0.25">
      <c r="B269" s="52">
        <v>0.1</v>
      </c>
      <c r="C269" s="52">
        <v>0.2</v>
      </c>
      <c r="D269" s="52">
        <v>1.252</v>
      </c>
      <c r="E269" s="52">
        <v>1.204</v>
      </c>
    </row>
    <row r="270" spans="1:7" ht="15" customHeight="1" x14ac:dyDescent="0.25">
      <c r="B270" s="52">
        <v>0.2</v>
      </c>
      <c r="C270" s="52">
        <v>0.30000000000000004</v>
      </c>
      <c r="D270" s="52">
        <v>1.204</v>
      </c>
      <c r="E270" s="52">
        <v>1.1559999999999999</v>
      </c>
    </row>
    <row r="271" spans="1:7" ht="15" customHeight="1" x14ac:dyDescent="0.25">
      <c r="B271" s="52">
        <v>0.30000000000000004</v>
      </c>
      <c r="C271" s="52">
        <v>0.4</v>
      </c>
      <c r="D271" s="52">
        <v>1.1559999999999999</v>
      </c>
      <c r="E271" s="52">
        <v>1.1080000000000001</v>
      </c>
    </row>
    <row r="272" spans="1:7" ht="15" customHeight="1" x14ac:dyDescent="0.25">
      <c r="B272" s="52">
        <v>0.4</v>
      </c>
      <c r="C272" s="52">
        <v>0.5</v>
      </c>
      <c r="D272" s="52">
        <v>1.1080000000000001</v>
      </c>
      <c r="E272" s="52">
        <v>1.06</v>
      </c>
    </row>
    <row r="273" spans="2:5" ht="15" customHeight="1" x14ac:dyDescent="0.25">
      <c r="B273" s="52">
        <v>0.5</v>
      </c>
      <c r="C273" s="52">
        <v>0.6</v>
      </c>
      <c r="D273" s="52">
        <v>1.06</v>
      </c>
      <c r="E273" s="52">
        <v>1.044</v>
      </c>
    </row>
    <row r="274" spans="2:5" ht="15" customHeight="1" x14ac:dyDescent="0.25">
      <c r="B274" s="52">
        <v>0.6</v>
      </c>
      <c r="C274" s="52">
        <v>0.7</v>
      </c>
      <c r="D274" s="52">
        <v>1.044</v>
      </c>
      <c r="E274" s="52">
        <v>1.0309999999999999</v>
      </c>
    </row>
    <row r="275" spans="2:5" ht="15" customHeight="1" x14ac:dyDescent="0.25">
      <c r="B275" s="52">
        <v>0.7</v>
      </c>
      <c r="C275" s="52">
        <v>0.79999999999999993</v>
      </c>
      <c r="D275" s="52">
        <v>1.0309999999999999</v>
      </c>
      <c r="E275" s="52">
        <v>1.0195000000000001</v>
      </c>
    </row>
    <row r="276" spans="2:5" ht="15" customHeight="1" x14ac:dyDescent="0.25">
      <c r="B276" s="52">
        <v>0.79999999999999993</v>
      </c>
      <c r="C276" s="52">
        <v>0.89999999999999991</v>
      </c>
      <c r="D276" s="52">
        <v>1.0195000000000001</v>
      </c>
      <c r="E276" s="52">
        <v>1.0089999999999999</v>
      </c>
    </row>
    <row r="277" spans="2:5" ht="15" customHeight="1" x14ac:dyDescent="0.25">
      <c r="B277" s="52">
        <v>0.89999999999999991</v>
      </c>
      <c r="C277" s="52">
        <v>0.99999999999999989</v>
      </c>
      <c r="D277" s="52">
        <v>1.0089999999999999</v>
      </c>
      <c r="E277" s="52">
        <v>1</v>
      </c>
    </row>
    <row r="278" spans="2:5" ht="15" customHeight="1" x14ac:dyDescent="0.25">
      <c r="B278" s="52">
        <v>0.99999999999999989</v>
      </c>
      <c r="C278" s="52">
        <v>1.0999999999999999</v>
      </c>
      <c r="D278" s="52">
        <v>1</v>
      </c>
      <c r="E278" s="52">
        <v>0.99099999999999999</v>
      </c>
    </row>
    <row r="279" spans="2:5" ht="15" customHeight="1" x14ac:dyDescent="0.25">
      <c r="B279" s="52">
        <v>1.0999999999999999</v>
      </c>
      <c r="C279" s="52">
        <v>1.2</v>
      </c>
      <c r="D279" s="52">
        <v>0.99099999999999999</v>
      </c>
      <c r="E279" s="52">
        <v>0.98299999999999998</v>
      </c>
    </row>
    <row r="280" spans="2:5" ht="15" customHeight="1" x14ac:dyDescent="0.25">
      <c r="B280" s="52">
        <v>1.2</v>
      </c>
      <c r="C280" s="52">
        <v>1.3</v>
      </c>
      <c r="D280" s="52">
        <v>0.98299999999999998</v>
      </c>
      <c r="E280" s="52">
        <v>0.97550000000000003</v>
      </c>
    </row>
    <row r="281" spans="2:5" ht="15" customHeight="1" x14ac:dyDescent="0.25">
      <c r="B281" s="52">
        <v>1.3</v>
      </c>
      <c r="C281" s="52">
        <v>1.4000000000000001</v>
      </c>
      <c r="D281" s="52">
        <v>0.97550000000000003</v>
      </c>
      <c r="E281" s="52">
        <v>0.96850000000000003</v>
      </c>
    </row>
    <row r="282" spans="2:5" ht="15" customHeight="1" x14ac:dyDescent="0.25">
      <c r="B282" s="52">
        <v>1.4000000000000001</v>
      </c>
      <c r="C282" s="52">
        <v>1.5000000000000002</v>
      </c>
      <c r="D282" s="52">
        <v>0.96850000000000003</v>
      </c>
      <c r="E282" s="52">
        <v>0.96199999999999997</v>
      </c>
    </row>
    <row r="283" spans="2:5" ht="15" customHeight="1" x14ac:dyDescent="0.25">
      <c r="B283" s="52">
        <v>1.5000000000000002</v>
      </c>
      <c r="C283" s="52">
        <v>1.6000000000000003</v>
      </c>
      <c r="D283" s="52">
        <v>0.96199999999999997</v>
      </c>
      <c r="E283" s="52">
        <v>0.95599999999999996</v>
      </c>
    </row>
    <row r="284" spans="2:5" ht="15" customHeight="1" x14ac:dyDescent="0.25">
      <c r="B284" s="52">
        <v>1.6000000000000003</v>
      </c>
      <c r="C284" s="52">
        <v>1.7000000000000004</v>
      </c>
      <c r="D284" s="52">
        <v>0.95599999999999996</v>
      </c>
      <c r="E284" s="52">
        <v>0.95050000000000001</v>
      </c>
    </row>
    <row r="285" spans="2:5" ht="15" customHeight="1" x14ac:dyDescent="0.25">
      <c r="B285" s="52">
        <v>1.7000000000000004</v>
      </c>
      <c r="C285" s="52">
        <v>1.8000000000000005</v>
      </c>
      <c r="D285" s="52">
        <v>0.95050000000000001</v>
      </c>
      <c r="E285" s="52">
        <v>0.94499999999999995</v>
      </c>
    </row>
    <row r="286" spans="2:5" ht="15" customHeight="1" x14ac:dyDescent="0.25">
      <c r="B286" s="52">
        <v>1.8000000000000005</v>
      </c>
      <c r="C286" s="52">
        <v>1.9000000000000006</v>
      </c>
      <c r="D286" s="52">
        <v>0.94499999999999995</v>
      </c>
      <c r="E286" s="52">
        <v>0.94</v>
      </c>
    </row>
    <row r="287" spans="2:5" ht="15" customHeight="1" x14ac:dyDescent="0.25">
      <c r="B287" s="52">
        <v>1.9000000000000006</v>
      </c>
      <c r="C287" s="52">
        <v>2.0000000000000004</v>
      </c>
      <c r="D287" s="52">
        <v>0.94</v>
      </c>
      <c r="E287" s="52">
        <v>0.9355</v>
      </c>
    </row>
    <row r="288" spans="2:5" ht="15" customHeight="1" x14ac:dyDescent="0.25">
      <c r="B288" s="52">
        <v>2.0000000000000004</v>
      </c>
      <c r="C288" s="52">
        <v>2.1000000000000005</v>
      </c>
      <c r="D288" s="52">
        <v>0.9355</v>
      </c>
      <c r="E288" s="52">
        <v>0.93100000000000005</v>
      </c>
    </row>
    <row r="289" spans="2:5" ht="15" customHeight="1" x14ac:dyDescent="0.25">
      <c r="B289" s="52">
        <v>2.1000000000000005</v>
      </c>
      <c r="C289" s="52">
        <v>2.2000000000000006</v>
      </c>
      <c r="D289" s="52">
        <v>0.93100000000000005</v>
      </c>
      <c r="E289" s="52">
        <v>0.92649999999999999</v>
      </c>
    </row>
    <row r="290" spans="2:5" ht="15" customHeight="1" x14ac:dyDescent="0.25">
      <c r="B290" s="52">
        <v>2.2000000000000006</v>
      </c>
      <c r="C290" s="52">
        <v>2.3000000000000007</v>
      </c>
      <c r="D290" s="52">
        <v>0.92649999999999999</v>
      </c>
      <c r="E290" s="52">
        <v>0.92249999999999999</v>
      </c>
    </row>
    <row r="291" spans="2:5" ht="15" customHeight="1" x14ac:dyDescent="0.25">
      <c r="B291" s="52">
        <v>2.3000000000000007</v>
      </c>
      <c r="C291" s="52">
        <v>2.4000000000000008</v>
      </c>
      <c r="D291" s="52">
        <v>0.92249999999999999</v>
      </c>
      <c r="E291" s="52">
        <v>0.91849999999999998</v>
      </c>
    </row>
    <row r="292" spans="2:5" ht="15" customHeight="1" x14ac:dyDescent="0.25">
      <c r="B292" s="52">
        <v>2.4000000000000008</v>
      </c>
      <c r="C292" s="52">
        <v>2.5000000000000009</v>
      </c>
      <c r="D292" s="52">
        <v>0.91849999999999998</v>
      </c>
      <c r="E292" s="52">
        <v>0.91449999999999998</v>
      </c>
    </row>
    <row r="293" spans="2:5" ht="15" customHeight="1" x14ac:dyDescent="0.25">
      <c r="B293" s="52">
        <v>2.5000000000000009</v>
      </c>
      <c r="C293" s="52">
        <v>2.600000000000001</v>
      </c>
      <c r="D293" s="52">
        <v>0.91449999999999998</v>
      </c>
      <c r="E293" s="52">
        <v>0.91100000000000003</v>
      </c>
    </row>
    <row r="294" spans="2:5" ht="15" customHeight="1" x14ac:dyDescent="0.25">
      <c r="B294" s="52">
        <v>2.600000000000001</v>
      </c>
      <c r="C294" s="52">
        <v>2.7000000000000011</v>
      </c>
      <c r="D294" s="52">
        <v>0.91100000000000003</v>
      </c>
      <c r="E294" s="52">
        <v>0.90749999999999997</v>
      </c>
    </row>
    <row r="295" spans="2:5" ht="15" customHeight="1" x14ac:dyDescent="0.25">
      <c r="B295" s="52">
        <v>2.7000000000000011</v>
      </c>
      <c r="C295" s="52">
        <v>2.8000000000000012</v>
      </c>
      <c r="D295" s="52">
        <v>0.90749999999999997</v>
      </c>
      <c r="E295" s="52">
        <v>0.90400000000000003</v>
      </c>
    </row>
    <row r="296" spans="2:5" ht="15" customHeight="1" x14ac:dyDescent="0.25">
      <c r="B296" s="52">
        <v>2.8000000000000012</v>
      </c>
      <c r="C296" s="52">
        <v>2.9000000000000012</v>
      </c>
      <c r="D296" s="52">
        <v>0.90400000000000003</v>
      </c>
      <c r="E296" s="52">
        <v>0.90100000000000002</v>
      </c>
    </row>
    <row r="297" spans="2:5" ht="15" customHeight="1" x14ac:dyDescent="0.25">
      <c r="B297" s="52">
        <v>2.9000000000000012</v>
      </c>
      <c r="C297" s="52">
        <v>3.0000000000000013</v>
      </c>
      <c r="D297" s="52">
        <v>0.90100000000000002</v>
      </c>
      <c r="E297" s="52">
        <v>0.89749999999999996</v>
      </c>
    </row>
    <row r="298" spans="2:5" ht="15" customHeight="1" x14ac:dyDescent="0.25">
      <c r="B298" s="52">
        <v>3.0000000000000013</v>
      </c>
      <c r="C298" s="52">
        <v>3.1000000000000014</v>
      </c>
      <c r="D298" s="52">
        <v>0.89749999999999996</v>
      </c>
      <c r="E298" s="52">
        <v>0.89449999999999996</v>
      </c>
    </row>
    <row r="299" spans="2:5" ht="15" customHeight="1" x14ac:dyDescent="0.25">
      <c r="B299" s="52">
        <v>3.1000000000000014</v>
      </c>
      <c r="C299" s="52">
        <v>3.2000000000000015</v>
      </c>
      <c r="D299" s="52">
        <v>0.89449999999999996</v>
      </c>
      <c r="E299" s="52">
        <v>0.89149999999999996</v>
      </c>
    </row>
    <row r="300" spans="2:5" ht="15" customHeight="1" x14ac:dyDescent="0.25">
      <c r="B300" s="52">
        <v>3.2000000000000015</v>
      </c>
      <c r="C300" s="52">
        <v>3.3000000000000016</v>
      </c>
      <c r="D300" s="52">
        <v>0.89149999999999996</v>
      </c>
      <c r="E300" s="52">
        <v>0.88849999999999996</v>
      </c>
    </row>
    <row r="301" spans="2:5" ht="15" customHeight="1" x14ac:dyDescent="0.25">
      <c r="B301" s="52">
        <v>3.3000000000000016</v>
      </c>
      <c r="C301" s="52">
        <v>3.4000000000000017</v>
      </c>
      <c r="D301" s="52">
        <v>0.88849999999999996</v>
      </c>
      <c r="E301" s="52">
        <v>0.88600000000000001</v>
      </c>
    </row>
    <row r="302" spans="2:5" ht="15" customHeight="1" x14ac:dyDescent="0.25">
      <c r="B302" s="52">
        <v>3.4000000000000017</v>
      </c>
      <c r="C302" s="52">
        <v>3.5000000000000018</v>
      </c>
      <c r="D302" s="52">
        <v>0.88600000000000001</v>
      </c>
      <c r="E302" s="52">
        <v>0.88300000000000001</v>
      </c>
    </row>
    <row r="303" spans="2:5" ht="15" customHeight="1" x14ac:dyDescent="0.25">
      <c r="B303" s="52">
        <v>3.5000000000000018</v>
      </c>
      <c r="C303" s="52">
        <v>3.6000000000000019</v>
      </c>
      <c r="D303" s="52">
        <v>0.88300000000000001</v>
      </c>
      <c r="E303" s="52">
        <v>0.88049999999999995</v>
      </c>
    </row>
    <row r="304" spans="2:5" ht="15" customHeight="1" x14ac:dyDescent="0.25">
      <c r="B304" s="52">
        <v>3.6000000000000019</v>
      </c>
      <c r="C304" s="52">
        <v>3.700000000000002</v>
      </c>
      <c r="D304" s="52">
        <v>0.88049999999999995</v>
      </c>
      <c r="E304" s="52">
        <v>0.878</v>
      </c>
    </row>
    <row r="305" spans="2:5" ht="15" customHeight="1" x14ac:dyDescent="0.25">
      <c r="B305" s="52">
        <v>3.700000000000002</v>
      </c>
      <c r="C305" s="52">
        <v>3.800000000000002</v>
      </c>
      <c r="D305" s="52">
        <v>0.878</v>
      </c>
      <c r="E305" s="52">
        <v>0.87549999999999994</v>
      </c>
    </row>
    <row r="306" spans="2:5" ht="15" customHeight="1" x14ac:dyDescent="0.25">
      <c r="B306" s="52">
        <v>3.800000000000002</v>
      </c>
      <c r="C306" s="52">
        <v>3.9000000000000021</v>
      </c>
      <c r="D306" s="52">
        <v>0.87549999999999994</v>
      </c>
      <c r="E306" s="52">
        <v>0.873</v>
      </c>
    </row>
    <row r="307" spans="2:5" ht="15" customHeight="1" x14ac:dyDescent="0.25">
      <c r="B307" s="52">
        <v>3.9000000000000021</v>
      </c>
      <c r="C307" s="52">
        <v>4.0000000000000018</v>
      </c>
      <c r="D307" s="52">
        <v>0.873</v>
      </c>
      <c r="E307" s="52">
        <v>0.871</v>
      </c>
    </row>
    <row r="308" spans="2:5" ht="15" customHeight="1" x14ac:dyDescent="0.25">
      <c r="B308" s="52">
        <v>4.0000000000000018</v>
      </c>
      <c r="C308" s="52">
        <v>4.1000000000000014</v>
      </c>
      <c r="D308" s="52">
        <v>0.871</v>
      </c>
      <c r="E308" s="52">
        <v>0.86850000000000005</v>
      </c>
    </row>
    <row r="309" spans="2:5" ht="15" customHeight="1" x14ac:dyDescent="0.25">
      <c r="B309" s="52">
        <v>4.1000000000000014</v>
      </c>
      <c r="C309" s="52">
        <v>4.2000000000000011</v>
      </c>
      <c r="D309" s="52">
        <v>0.86850000000000005</v>
      </c>
      <c r="E309" s="52">
        <v>0.86599999999999999</v>
      </c>
    </row>
    <row r="310" spans="2:5" ht="15" customHeight="1" x14ac:dyDescent="0.25">
      <c r="B310" s="52">
        <v>4.2000000000000011</v>
      </c>
      <c r="C310" s="52">
        <v>4.3000000000000007</v>
      </c>
      <c r="D310" s="52">
        <v>0.86599999999999999</v>
      </c>
      <c r="E310" s="52">
        <v>0.86399999999999999</v>
      </c>
    </row>
    <row r="311" spans="2:5" ht="15" customHeight="1" x14ac:dyDescent="0.25">
      <c r="B311" s="52">
        <v>4.3000000000000007</v>
      </c>
      <c r="C311" s="52">
        <v>4.4000000000000004</v>
      </c>
      <c r="D311" s="52">
        <v>0.86399999999999999</v>
      </c>
      <c r="E311" s="52">
        <v>0.86199999999999999</v>
      </c>
    </row>
    <row r="312" spans="2:5" ht="15" customHeight="1" x14ac:dyDescent="0.25">
      <c r="B312" s="52">
        <v>4.4000000000000004</v>
      </c>
      <c r="C312" s="52">
        <v>4.5</v>
      </c>
      <c r="D312" s="52">
        <v>0.86199999999999999</v>
      </c>
      <c r="E312" s="52">
        <v>0.86</v>
      </c>
    </row>
    <row r="313" spans="2:5" ht="15" customHeight="1" x14ac:dyDescent="0.25">
      <c r="B313" s="52">
        <v>4.5</v>
      </c>
      <c r="C313" s="52">
        <v>4.5999999999999996</v>
      </c>
      <c r="D313" s="52">
        <v>0.86</v>
      </c>
      <c r="E313" s="52">
        <v>0.85799999999999998</v>
      </c>
    </row>
    <row r="314" spans="2:5" ht="15" customHeight="1" x14ac:dyDescent="0.25">
      <c r="B314" s="52">
        <v>4.5999999999999996</v>
      </c>
      <c r="C314" s="52">
        <v>4.6999999999999993</v>
      </c>
      <c r="D314" s="52">
        <v>0.85799999999999998</v>
      </c>
      <c r="E314" s="52">
        <v>0.85599999999999998</v>
      </c>
    </row>
    <row r="315" spans="2:5" ht="15" customHeight="1" x14ac:dyDescent="0.25">
      <c r="B315" s="52">
        <v>4.6999999999999993</v>
      </c>
      <c r="C315" s="52">
        <v>4.7999999999999989</v>
      </c>
      <c r="D315" s="52">
        <v>0.85599999999999998</v>
      </c>
      <c r="E315" s="52">
        <v>0.85399999999999998</v>
      </c>
    </row>
    <row r="316" spans="2:5" ht="15" customHeight="1" x14ac:dyDescent="0.25">
      <c r="B316" s="52">
        <v>4.7999999999999989</v>
      </c>
      <c r="C316" s="52">
        <v>4.8999999999999986</v>
      </c>
      <c r="D316" s="52">
        <v>0.85399999999999998</v>
      </c>
      <c r="E316" s="52">
        <v>0.85199999999999998</v>
      </c>
    </row>
    <row r="317" spans="2:5" ht="15" customHeight="1" x14ac:dyDescent="0.25">
      <c r="B317" s="52">
        <v>4.9000000000000004</v>
      </c>
      <c r="C317" s="52">
        <v>5</v>
      </c>
      <c r="D317" s="52">
        <f t="shared" ref="D317:D348" si="7">E316</f>
        <v>0.85199999999999998</v>
      </c>
      <c r="E317" s="52">
        <v>0.85</v>
      </c>
    </row>
    <row r="318" spans="2:5" ht="15" customHeight="1" x14ac:dyDescent="0.25">
      <c r="B318" s="52">
        <v>5</v>
      </c>
      <c r="C318" s="52">
        <v>5.0999999999999996</v>
      </c>
      <c r="D318" s="52">
        <f t="shared" si="7"/>
        <v>0.85</v>
      </c>
      <c r="E318" s="52">
        <v>0.84830000000000005</v>
      </c>
    </row>
    <row r="319" spans="2:5" ht="15" customHeight="1" x14ac:dyDescent="0.25">
      <c r="B319" s="52">
        <v>5.0999999999999996</v>
      </c>
      <c r="C319" s="52">
        <v>5.2</v>
      </c>
      <c r="D319" s="52">
        <f t="shared" si="7"/>
        <v>0.84830000000000005</v>
      </c>
      <c r="E319" s="52">
        <v>0.84660000000000002</v>
      </c>
    </row>
    <row r="320" spans="2:5" ht="15" customHeight="1" x14ac:dyDescent="0.25">
      <c r="B320" s="52">
        <v>5.2</v>
      </c>
      <c r="C320" s="52">
        <v>5.3</v>
      </c>
      <c r="D320" s="52">
        <f t="shared" si="7"/>
        <v>0.84660000000000002</v>
      </c>
      <c r="E320" s="52">
        <v>0.84499999999999997</v>
      </c>
    </row>
    <row r="321" spans="2:5" ht="15" customHeight="1" x14ac:dyDescent="0.25">
      <c r="B321" s="52">
        <v>5.3</v>
      </c>
      <c r="C321" s="52">
        <v>5.4</v>
      </c>
      <c r="D321" s="52">
        <f t="shared" si="7"/>
        <v>0.84499999999999997</v>
      </c>
      <c r="E321" s="52">
        <v>0.84330000000000005</v>
      </c>
    </row>
    <row r="322" spans="2:5" ht="15" customHeight="1" x14ac:dyDescent="0.25">
      <c r="B322" s="52">
        <v>5.4</v>
      </c>
      <c r="C322" s="52">
        <v>5.5</v>
      </c>
      <c r="D322" s="52">
        <f t="shared" si="7"/>
        <v>0.84330000000000005</v>
      </c>
      <c r="E322" s="52">
        <v>0.84179999999999999</v>
      </c>
    </row>
    <row r="323" spans="2:5" ht="15" customHeight="1" x14ac:dyDescent="0.25">
      <c r="B323" s="52">
        <v>5.5</v>
      </c>
      <c r="C323" s="52">
        <v>5.6</v>
      </c>
      <c r="D323" s="52">
        <f t="shared" si="7"/>
        <v>0.84179999999999999</v>
      </c>
      <c r="E323" s="52">
        <v>0.84019999999999995</v>
      </c>
    </row>
    <row r="324" spans="2:5" ht="15" customHeight="1" x14ac:dyDescent="0.25">
      <c r="B324" s="52">
        <v>5.6</v>
      </c>
      <c r="C324" s="52">
        <v>5.7</v>
      </c>
      <c r="D324" s="52">
        <f t="shared" si="7"/>
        <v>0.84019999999999995</v>
      </c>
      <c r="E324" s="52">
        <v>0.8387</v>
      </c>
    </row>
    <row r="325" spans="2:5" ht="15" customHeight="1" x14ac:dyDescent="0.25">
      <c r="B325" s="52">
        <v>5.7</v>
      </c>
      <c r="C325" s="52">
        <v>5.8</v>
      </c>
      <c r="D325" s="52">
        <f t="shared" si="7"/>
        <v>0.8387</v>
      </c>
      <c r="E325" s="52">
        <v>0.83720000000000006</v>
      </c>
    </row>
    <row r="326" spans="2:5" ht="15" customHeight="1" x14ac:dyDescent="0.25">
      <c r="B326" s="52">
        <v>5.8</v>
      </c>
      <c r="C326" s="52">
        <v>5.9</v>
      </c>
      <c r="D326" s="52">
        <f t="shared" si="7"/>
        <v>0.83720000000000006</v>
      </c>
      <c r="E326" s="52">
        <v>0.83579999999999999</v>
      </c>
    </row>
    <row r="327" spans="2:5" ht="15" customHeight="1" x14ac:dyDescent="0.25">
      <c r="B327" s="52">
        <v>5.9</v>
      </c>
      <c r="C327" s="52">
        <v>6</v>
      </c>
      <c r="D327" s="52">
        <f t="shared" si="7"/>
        <v>0.83579999999999999</v>
      </c>
      <c r="E327" s="52">
        <v>0.83430000000000004</v>
      </c>
    </row>
    <row r="328" spans="2:5" ht="15" customHeight="1" x14ac:dyDescent="0.25">
      <c r="B328" s="52">
        <v>6</v>
      </c>
      <c r="C328" s="52">
        <v>6.1</v>
      </c>
      <c r="D328" s="52">
        <f t="shared" si="7"/>
        <v>0.83430000000000004</v>
      </c>
      <c r="E328" s="52">
        <v>0.83289999999999997</v>
      </c>
    </row>
    <row r="329" spans="2:5" ht="15" customHeight="1" x14ac:dyDescent="0.25">
      <c r="B329" s="52">
        <v>6.1</v>
      </c>
      <c r="C329" s="52">
        <v>6.2</v>
      </c>
      <c r="D329" s="52">
        <f t="shared" si="7"/>
        <v>0.83289999999999997</v>
      </c>
      <c r="E329" s="52">
        <v>0.83150000000000002</v>
      </c>
    </row>
    <row r="330" spans="2:5" ht="15" customHeight="1" x14ac:dyDescent="0.25">
      <c r="B330" s="52">
        <v>6.1999999999999904</v>
      </c>
      <c r="C330" s="52">
        <v>6.2999999999999901</v>
      </c>
      <c r="D330" s="52">
        <f t="shared" si="7"/>
        <v>0.83150000000000002</v>
      </c>
      <c r="E330" s="52">
        <v>0.83020000000000005</v>
      </c>
    </row>
    <row r="331" spans="2:5" ht="15" customHeight="1" x14ac:dyDescent="0.25">
      <c r="B331" s="52">
        <v>6.2999999999999901</v>
      </c>
      <c r="C331" s="52">
        <v>6.3999999999999897</v>
      </c>
      <c r="D331" s="52">
        <f t="shared" si="7"/>
        <v>0.83020000000000005</v>
      </c>
      <c r="E331" s="52">
        <v>0.82879999999999998</v>
      </c>
    </row>
    <row r="332" spans="2:5" ht="15" customHeight="1" x14ac:dyDescent="0.25">
      <c r="B332" s="52">
        <v>6.3999999999999897</v>
      </c>
      <c r="C332" s="52">
        <v>6.4999999999999902</v>
      </c>
      <c r="D332" s="52">
        <f t="shared" si="7"/>
        <v>0.82879999999999998</v>
      </c>
      <c r="E332" s="52">
        <v>0.82750000000000001</v>
      </c>
    </row>
    <row r="333" spans="2:5" ht="15" customHeight="1" x14ac:dyDescent="0.25">
      <c r="B333" s="52">
        <v>6.4999999999999902</v>
      </c>
      <c r="C333" s="52">
        <v>6.5999999999999899</v>
      </c>
      <c r="D333" s="52">
        <f t="shared" si="7"/>
        <v>0.82750000000000001</v>
      </c>
      <c r="E333" s="52">
        <v>0.82620000000000005</v>
      </c>
    </row>
    <row r="334" spans="2:5" ht="15" customHeight="1" x14ac:dyDescent="0.25">
      <c r="B334" s="52">
        <v>6.5999999999999899</v>
      </c>
      <c r="C334" s="52">
        <v>6.6999999999999904</v>
      </c>
      <c r="D334" s="52">
        <f t="shared" si="7"/>
        <v>0.82620000000000005</v>
      </c>
      <c r="E334" s="52">
        <v>0.82499999999999996</v>
      </c>
    </row>
    <row r="335" spans="2:5" ht="15" customHeight="1" x14ac:dyDescent="0.25">
      <c r="B335" s="52">
        <v>6.6999999999999904</v>
      </c>
      <c r="C335" s="52">
        <v>6.7999999999999901</v>
      </c>
      <c r="D335" s="52">
        <f t="shared" si="7"/>
        <v>0.82499999999999996</v>
      </c>
      <c r="E335" s="52">
        <v>0.82369999999999999</v>
      </c>
    </row>
    <row r="336" spans="2:5" ht="15" customHeight="1" x14ac:dyDescent="0.25">
      <c r="B336" s="52">
        <v>6.7999999999999901</v>
      </c>
      <c r="C336" s="52">
        <v>6.8999999999999897</v>
      </c>
      <c r="D336" s="52">
        <f t="shared" si="7"/>
        <v>0.82369999999999999</v>
      </c>
      <c r="E336" s="52">
        <v>0.82250000000000001</v>
      </c>
    </row>
    <row r="337" spans="2:5" ht="15" customHeight="1" x14ac:dyDescent="0.25">
      <c r="B337" s="52">
        <v>6.8999999999999897</v>
      </c>
      <c r="C337" s="52">
        <v>6.9999999999999902</v>
      </c>
      <c r="D337" s="52">
        <f t="shared" si="7"/>
        <v>0.82250000000000001</v>
      </c>
      <c r="E337" s="52">
        <v>0.82130000000000003</v>
      </c>
    </row>
    <row r="338" spans="2:5" ht="15" customHeight="1" x14ac:dyDescent="0.25">
      <c r="B338" s="52">
        <v>6.9999999999999902</v>
      </c>
      <c r="C338" s="52">
        <v>7.0999999999999899</v>
      </c>
      <c r="D338" s="52">
        <f t="shared" si="7"/>
        <v>0.82130000000000003</v>
      </c>
      <c r="E338" s="52">
        <v>0.82010000000000005</v>
      </c>
    </row>
    <row r="339" spans="2:5" ht="15" customHeight="1" x14ac:dyDescent="0.25">
      <c r="B339" s="52">
        <v>7.0999999999999899</v>
      </c>
      <c r="C339" s="52">
        <v>7.1999999999999904</v>
      </c>
      <c r="D339" s="52">
        <f t="shared" si="7"/>
        <v>0.82010000000000005</v>
      </c>
      <c r="E339" s="52">
        <v>0.81889999999999996</v>
      </c>
    </row>
    <row r="340" spans="2:5" ht="15" customHeight="1" x14ac:dyDescent="0.25">
      <c r="B340" s="52">
        <v>7.1999999999999904</v>
      </c>
      <c r="C340" s="52">
        <v>7.2999999999999901</v>
      </c>
      <c r="D340" s="52">
        <f t="shared" si="7"/>
        <v>0.81889999999999996</v>
      </c>
      <c r="E340" s="52">
        <v>0.81779999999999997</v>
      </c>
    </row>
    <row r="341" spans="2:5" ht="15" customHeight="1" x14ac:dyDescent="0.25">
      <c r="B341" s="52">
        <v>7.2999999999999901</v>
      </c>
      <c r="C341" s="52">
        <v>7.3999999999999897</v>
      </c>
      <c r="D341" s="52">
        <f t="shared" si="7"/>
        <v>0.81779999999999997</v>
      </c>
      <c r="E341" s="52">
        <v>0.81659999999999999</v>
      </c>
    </row>
    <row r="342" spans="2:5" ht="15" customHeight="1" x14ac:dyDescent="0.25">
      <c r="B342" s="52">
        <v>7.3999999999999897</v>
      </c>
      <c r="C342" s="52">
        <v>7.4999999999999902</v>
      </c>
      <c r="D342" s="52">
        <f t="shared" si="7"/>
        <v>0.81659999999999999</v>
      </c>
      <c r="E342" s="52">
        <v>0.8155</v>
      </c>
    </row>
    <row r="343" spans="2:5" ht="15" customHeight="1" x14ac:dyDescent="0.25">
      <c r="B343" s="52">
        <v>7.4999999999999902</v>
      </c>
      <c r="C343" s="52">
        <v>7.5999999999999899</v>
      </c>
      <c r="D343" s="52">
        <f t="shared" si="7"/>
        <v>0.8155</v>
      </c>
      <c r="E343" s="52">
        <v>0.81440000000000001</v>
      </c>
    </row>
    <row r="344" spans="2:5" ht="15" customHeight="1" x14ac:dyDescent="0.25">
      <c r="B344" s="52">
        <v>7.5999999999999899</v>
      </c>
      <c r="C344" s="52">
        <v>7.6999999999999904</v>
      </c>
      <c r="D344" s="52">
        <f t="shared" si="7"/>
        <v>0.81440000000000001</v>
      </c>
      <c r="E344" s="52">
        <v>0.81330000000000002</v>
      </c>
    </row>
    <row r="345" spans="2:5" ht="15" customHeight="1" x14ac:dyDescent="0.25">
      <c r="B345" s="52">
        <v>7.6999999999999904</v>
      </c>
      <c r="C345" s="52">
        <v>7.7999999999999901</v>
      </c>
      <c r="D345" s="52">
        <f t="shared" si="7"/>
        <v>0.81330000000000002</v>
      </c>
      <c r="E345" s="52">
        <v>0.81230000000000002</v>
      </c>
    </row>
    <row r="346" spans="2:5" ht="15" customHeight="1" x14ac:dyDescent="0.25">
      <c r="B346" s="52">
        <v>7.7999999999999901</v>
      </c>
      <c r="C346" s="52">
        <v>7.8999999999999897</v>
      </c>
      <c r="D346" s="52">
        <f t="shared" si="7"/>
        <v>0.81230000000000002</v>
      </c>
      <c r="E346" s="52">
        <v>0.81120000000000003</v>
      </c>
    </row>
    <row r="347" spans="2:5" ht="15" customHeight="1" x14ac:dyDescent="0.25">
      <c r="B347" s="52">
        <v>7.8999999999999897</v>
      </c>
      <c r="C347" s="52">
        <v>7.9999999999999902</v>
      </c>
      <c r="D347" s="52">
        <f t="shared" si="7"/>
        <v>0.81120000000000003</v>
      </c>
      <c r="E347" s="52">
        <v>0.81020000000000003</v>
      </c>
    </row>
    <row r="348" spans="2:5" ht="15" customHeight="1" x14ac:dyDescent="0.25">
      <c r="B348" s="52">
        <v>7.9999999999999902</v>
      </c>
      <c r="C348" s="52">
        <v>8.0999999999999908</v>
      </c>
      <c r="D348" s="52">
        <f t="shared" si="7"/>
        <v>0.81020000000000003</v>
      </c>
      <c r="E348" s="52">
        <v>0.80910000000000004</v>
      </c>
    </row>
    <row r="349" spans="2:5" ht="15" customHeight="1" x14ac:dyDescent="0.25">
      <c r="B349" s="52">
        <v>8.0999999999999908</v>
      </c>
      <c r="C349" s="52">
        <v>8.1999999999999904</v>
      </c>
      <c r="D349" s="52">
        <f t="shared" ref="D349:D367" si="8">E348</f>
        <v>0.80910000000000004</v>
      </c>
      <c r="E349" s="52">
        <v>0.80810000000000004</v>
      </c>
    </row>
    <row r="350" spans="2:5" ht="15" customHeight="1" x14ac:dyDescent="0.25">
      <c r="B350" s="52">
        <v>8.1999999999999904</v>
      </c>
      <c r="C350" s="52">
        <v>8.2999999999999901</v>
      </c>
      <c r="D350" s="52">
        <f t="shared" si="8"/>
        <v>0.80810000000000004</v>
      </c>
      <c r="E350" s="52">
        <v>0.80710000000000004</v>
      </c>
    </row>
    <row r="351" spans="2:5" ht="15" customHeight="1" x14ac:dyDescent="0.25">
      <c r="B351" s="52">
        <v>8.2999999999999901</v>
      </c>
      <c r="C351" s="52">
        <v>8.3999999999999897</v>
      </c>
      <c r="D351" s="52">
        <f t="shared" si="8"/>
        <v>0.80710000000000004</v>
      </c>
      <c r="E351" s="52">
        <v>0.80610000000000004</v>
      </c>
    </row>
    <row r="352" spans="2:5" ht="15" customHeight="1" x14ac:dyDescent="0.25">
      <c r="B352" s="52">
        <v>8.3999999999999897</v>
      </c>
      <c r="C352" s="52">
        <v>8.4999999999999893</v>
      </c>
      <c r="D352" s="52">
        <f t="shared" si="8"/>
        <v>0.80610000000000004</v>
      </c>
      <c r="E352" s="52">
        <v>0.80520000000000003</v>
      </c>
    </row>
    <row r="353" spans="2:5" ht="15" customHeight="1" x14ac:dyDescent="0.25">
      <c r="B353" s="52">
        <v>8.4999999999999893</v>
      </c>
      <c r="C353" s="52">
        <v>8.5999999999999908</v>
      </c>
      <c r="D353" s="52">
        <f t="shared" si="8"/>
        <v>0.80520000000000003</v>
      </c>
      <c r="E353" s="52">
        <v>0.80420000000000003</v>
      </c>
    </row>
    <row r="354" spans="2:5" ht="15" customHeight="1" x14ac:dyDescent="0.25">
      <c r="B354" s="52">
        <v>8.5999999999999908</v>
      </c>
      <c r="C354" s="52">
        <v>8.6999999999999904</v>
      </c>
      <c r="D354" s="52">
        <f t="shared" si="8"/>
        <v>0.80420000000000003</v>
      </c>
      <c r="E354" s="52">
        <v>0.80330000000000001</v>
      </c>
    </row>
    <row r="355" spans="2:5" ht="15" customHeight="1" x14ac:dyDescent="0.25">
      <c r="B355" s="52">
        <v>8.6999999999999904</v>
      </c>
      <c r="C355" s="52">
        <v>8.7999999999999901</v>
      </c>
      <c r="D355" s="52">
        <f t="shared" si="8"/>
        <v>0.80330000000000001</v>
      </c>
      <c r="E355" s="52">
        <v>0.80230000000000001</v>
      </c>
    </row>
    <row r="356" spans="2:5" ht="15" customHeight="1" x14ac:dyDescent="0.25">
      <c r="B356" s="52">
        <v>8.7999999999999901</v>
      </c>
      <c r="C356" s="52">
        <v>8.8999999999999897</v>
      </c>
      <c r="D356" s="52">
        <f t="shared" si="8"/>
        <v>0.80230000000000001</v>
      </c>
      <c r="E356" s="52">
        <v>0.8014</v>
      </c>
    </row>
    <row r="357" spans="2:5" ht="15" customHeight="1" x14ac:dyDescent="0.25">
      <c r="B357" s="52">
        <v>8.8999999999999897</v>
      </c>
      <c r="C357" s="52">
        <v>8.9999999999999893</v>
      </c>
      <c r="D357" s="52">
        <f t="shared" si="8"/>
        <v>0.8014</v>
      </c>
      <c r="E357" s="52">
        <v>0.80049999999999999</v>
      </c>
    </row>
    <row r="358" spans="2:5" ht="15" customHeight="1" x14ac:dyDescent="0.25">
      <c r="B358" s="52">
        <v>8.9999999999999805</v>
      </c>
      <c r="C358" s="52">
        <v>9.0999999999999801</v>
      </c>
      <c r="D358" s="52">
        <f t="shared" si="8"/>
        <v>0.80049999999999999</v>
      </c>
      <c r="E358" s="52">
        <v>0.79959999999999998</v>
      </c>
    </row>
    <row r="359" spans="2:5" ht="15" customHeight="1" x14ac:dyDescent="0.25">
      <c r="B359" s="52">
        <v>9.0999999999999801</v>
      </c>
      <c r="C359" s="52">
        <v>9.1999999999999797</v>
      </c>
      <c r="D359" s="52">
        <f t="shared" si="8"/>
        <v>0.79959999999999998</v>
      </c>
      <c r="E359" s="52">
        <v>0.79869999999999997</v>
      </c>
    </row>
    <row r="360" spans="2:5" ht="15" customHeight="1" x14ac:dyDescent="0.25">
      <c r="B360" s="52">
        <v>9.1999999999999797</v>
      </c>
      <c r="C360" s="52">
        <v>9.2999999999999794</v>
      </c>
      <c r="D360" s="52">
        <f t="shared" si="8"/>
        <v>0.79869999999999997</v>
      </c>
      <c r="E360" s="52">
        <v>0.79779999999999995</v>
      </c>
    </row>
    <row r="361" spans="2:5" ht="15" customHeight="1" x14ac:dyDescent="0.25">
      <c r="B361" s="52">
        <v>9.2999999999999794</v>
      </c>
      <c r="C361" s="52">
        <v>9.3999999999999808</v>
      </c>
      <c r="D361" s="52">
        <f t="shared" si="8"/>
        <v>0.79779999999999995</v>
      </c>
      <c r="E361" s="52">
        <v>0.79690000000000005</v>
      </c>
    </row>
    <row r="362" spans="2:5" ht="15" customHeight="1" x14ac:dyDescent="0.25">
      <c r="B362" s="52">
        <v>9.3999999999999808</v>
      </c>
      <c r="C362" s="52">
        <v>9.4999999999999805</v>
      </c>
      <c r="D362" s="52">
        <f t="shared" si="8"/>
        <v>0.79690000000000005</v>
      </c>
      <c r="E362" s="52">
        <v>0.79610000000000003</v>
      </c>
    </row>
    <row r="363" spans="2:5" ht="15" customHeight="1" x14ac:dyDescent="0.25">
      <c r="B363" s="52">
        <v>9.4999999999999805</v>
      </c>
      <c r="C363" s="52">
        <v>9.5999999999999801</v>
      </c>
      <c r="D363" s="52">
        <f t="shared" si="8"/>
        <v>0.79610000000000003</v>
      </c>
      <c r="E363" s="52">
        <v>0.79520000000000002</v>
      </c>
    </row>
    <row r="364" spans="2:5" ht="15" customHeight="1" x14ac:dyDescent="0.25">
      <c r="B364" s="52">
        <v>9.5999999999999801</v>
      </c>
      <c r="C364" s="52">
        <v>9.6999999999999797</v>
      </c>
      <c r="D364" s="52">
        <f t="shared" si="8"/>
        <v>0.79520000000000002</v>
      </c>
      <c r="E364" s="52">
        <v>0.7944</v>
      </c>
    </row>
    <row r="365" spans="2:5" ht="15" customHeight="1" x14ac:dyDescent="0.25">
      <c r="B365" s="52">
        <v>9.6999999999999797</v>
      </c>
      <c r="C365" s="52">
        <v>9.7999999999999794</v>
      </c>
      <c r="D365" s="52">
        <f t="shared" si="8"/>
        <v>0.7944</v>
      </c>
      <c r="E365" s="52">
        <v>0.79359999999999997</v>
      </c>
    </row>
    <row r="366" spans="2:5" ht="15" customHeight="1" x14ac:dyDescent="0.25">
      <c r="B366" s="52">
        <v>9.7999999999999794</v>
      </c>
      <c r="C366" s="52">
        <v>9.8999999999999808</v>
      </c>
      <c r="D366" s="52">
        <f t="shared" si="8"/>
        <v>0.79359999999999997</v>
      </c>
      <c r="E366" s="52">
        <v>0.79269999999999996</v>
      </c>
    </row>
    <row r="367" spans="2:5" ht="15" customHeight="1" x14ac:dyDescent="0.25">
      <c r="B367" s="52">
        <v>9.8999999999999808</v>
      </c>
      <c r="C367" s="52">
        <v>9.9999999999999805</v>
      </c>
      <c r="D367" s="52">
        <f t="shared" si="8"/>
        <v>0.79269999999999996</v>
      </c>
      <c r="E367" s="72">
        <v>0.79190000000000005</v>
      </c>
    </row>
    <row r="370" spans="1:5" ht="60" customHeight="1" x14ac:dyDescent="0.25">
      <c r="B370" s="66" t="s">
        <v>441</v>
      </c>
      <c r="C370" s="66" t="s">
        <v>442</v>
      </c>
      <c r="D370" s="66" t="s">
        <v>443</v>
      </c>
      <c r="E370" s="66" t="s">
        <v>444</v>
      </c>
    </row>
    <row r="371" spans="1:5" ht="15" customHeight="1" x14ac:dyDescent="0.25">
      <c r="A371" t="s">
        <v>445</v>
      </c>
      <c r="B371" t="s">
        <v>446</v>
      </c>
      <c r="C371" s="52">
        <v>1</v>
      </c>
      <c r="D371" s="52">
        <v>1</v>
      </c>
      <c r="E371" s="52">
        <v>1</v>
      </c>
    </row>
    <row r="372" spans="1:5" ht="15" customHeight="1" x14ac:dyDescent="0.25">
      <c r="A372" t="s">
        <v>447</v>
      </c>
      <c r="B372" t="s">
        <v>448</v>
      </c>
      <c r="C372" s="52">
        <v>1.25</v>
      </c>
      <c r="D372" s="52">
        <v>1.05</v>
      </c>
      <c r="E372" s="52">
        <v>1.5</v>
      </c>
    </row>
    <row r="373" spans="1:5" ht="15" customHeight="1" x14ac:dyDescent="0.25">
      <c r="B373" t="s">
        <v>449</v>
      </c>
      <c r="C373" s="52">
        <v>1.5</v>
      </c>
      <c r="D373" s="52">
        <v>1.05</v>
      </c>
      <c r="E373" s="52">
        <v>1.5</v>
      </c>
    </row>
    <row r="377" spans="1:5" ht="15" customHeight="1" x14ac:dyDescent="0.25">
      <c r="B377" s="66" t="s">
        <v>441</v>
      </c>
      <c r="C377" s="66" t="s">
        <v>442</v>
      </c>
      <c r="D377" s="66" t="s">
        <v>443</v>
      </c>
      <c r="E377" s="66" t="s">
        <v>444</v>
      </c>
    </row>
    <row r="378" spans="1:5" ht="15" customHeight="1" x14ac:dyDescent="0.25">
      <c r="A378" t="s">
        <v>450</v>
      </c>
      <c r="B378">
        <v>0</v>
      </c>
      <c r="C378" s="73">
        <v>1</v>
      </c>
      <c r="D378" s="73">
        <v>0.7</v>
      </c>
      <c r="E378" s="73">
        <v>1</v>
      </c>
    </row>
    <row r="379" spans="1:5" ht="15" customHeight="1" x14ac:dyDescent="0.25">
      <c r="A379" t="s">
        <v>451</v>
      </c>
      <c r="B379">
        <v>1</v>
      </c>
      <c r="C379" s="73">
        <v>1.1499999999999999</v>
      </c>
      <c r="D379" s="73">
        <v>1.01</v>
      </c>
      <c r="E379" s="73">
        <v>1.1499999999999999</v>
      </c>
    </row>
    <row r="380" spans="1:5" ht="15" customHeight="1" x14ac:dyDescent="0.25">
      <c r="B380">
        <v>2</v>
      </c>
      <c r="C380" s="73">
        <v>1.3</v>
      </c>
      <c r="D380" s="73">
        <v>1.1599999999999999</v>
      </c>
      <c r="E380" s="73">
        <v>1.3</v>
      </c>
    </row>
    <row r="381" spans="1:5" ht="15" customHeight="1" x14ac:dyDescent="0.25">
      <c r="B381">
        <v>3</v>
      </c>
      <c r="C381" s="73">
        <v>1.5</v>
      </c>
      <c r="D381" s="73">
        <v>1.31</v>
      </c>
      <c r="E381" s="73">
        <v>2</v>
      </c>
    </row>
    <row r="382" spans="1:5" ht="15" customHeight="1" x14ac:dyDescent="0.25">
      <c r="B382">
        <v>4</v>
      </c>
      <c r="C382" s="73">
        <v>2.5</v>
      </c>
      <c r="D382" s="73">
        <v>2.0099999999999998</v>
      </c>
      <c r="E382" s="73">
        <v>2.5</v>
      </c>
    </row>
    <row r="385" spans="1:5" ht="15" customHeight="1" x14ac:dyDescent="0.25">
      <c r="B385" s="66" t="s">
        <v>441</v>
      </c>
      <c r="C385" s="66" t="s">
        <v>442</v>
      </c>
      <c r="D385" s="66" t="s">
        <v>443</v>
      </c>
      <c r="E385" s="66" t="s">
        <v>444</v>
      </c>
    </row>
    <row r="386" spans="1:5" ht="15" customHeight="1" x14ac:dyDescent="0.25">
      <c r="A386" t="s">
        <v>452</v>
      </c>
      <c r="B386" t="s">
        <v>453</v>
      </c>
      <c r="C386" s="73">
        <v>1</v>
      </c>
      <c r="D386" s="73">
        <v>0.7</v>
      </c>
      <c r="E386" s="73">
        <v>1</v>
      </c>
    </row>
    <row r="387" spans="1:5" ht="15" customHeight="1" x14ac:dyDescent="0.25">
      <c r="A387" t="s">
        <v>454</v>
      </c>
      <c r="B387" t="s">
        <v>455</v>
      </c>
      <c r="C387" s="73">
        <v>1.1000000000000001</v>
      </c>
      <c r="D387" s="73">
        <v>1.01</v>
      </c>
      <c r="E387" s="73">
        <v>1.1499999999999999</v>
      </c>
    </row>
    <row r="388" spans="1:5" ht="15" customHeight="1" x14ac:dyDescent="0.25">
      <c r="B388" s="74" t="s">
        <v>456</v>
      </c>
      <c r="C388" s="73">
        <v>1.2</v>
      </c>
      <c r="D388" s="73">
        <v>1.1599999999999999</v>
      </c>
      <c r="E388" s="73">
        <v>1.3</v>
      </c>
    </row>
    <row r="389" spans="1:5" ht="15" customHeight="1" x14ac:dyDescent="0.25">
      <c r="B389" s="74" t="s">
        <v>457</v>
      </c>
      <c r="C389" s="73">
        <v>1.75</v>
      </c>
      <c r="D389" s="73">
        <v>1.31</v>
      </c>
      <c r="E389" s="73">
        <v>2</v>
      </c>
    </row>
    <row r="390" spans="1:5" ht="15" customHeight="1" x14ac:dyDescent="0.25">
      <c r="B390" s="75" t="s">
        <v>458</v>
      </c>
      <c r="C390" s="73">
        <v>2.25</v>
      </c>
      <c r="D390" s="73">
        <v>2.0099999999999998</v>
      </c>
      <c r="E390" s="73">
        <v>2.5</v>
      </c>
    </row>
    <row r="395" spans="1:5" ht="15" customHeight="1" x14ac:dyDescent="0.25">
      <c r="B395" s="66" t="s">
        <v>459</v>
      </c>
      <c r="C395" s="66" t="s">
        <v>442</v>
      </c>
      <c r="D395" s="66" t="s">
        <v>443</v>
      </c>
      <c r="E395" s="66" t="s">
        <v>444</v>
      </c>
    </row>
    <row r="396" spans="1:5" ht="15" customHeight="1" x14ac:dyDescent="0.25">
      <c r="A396" t="s">
        <v>460</v>
      </c>
      <c r="B396" s="68">
        <v>0</v>
      </c>
      <c r="C396" s="73">
        <v>0.95</v>
      </c>
      <c r="D396" s="73">
        <v>0.7</v>
      </c>
      <c r="E396" s="73">
        <v>1</v>
      </c>
    </row>
    <row r="397" spans="1:5" ht="15" customHeight="1" x14ac:dyDescent="0.25">
      <c r="A397" t="s">
        <v>461</v>
      </c>
      <c r="B397" t="s">
        <v>462</v>
      </c>
      <c r="C397" s="73">
        <v>1.1000000000000001</v>
      </c>
      <c r="D397" s="73">
        <v>1.01</v>
      </c>
      <c r="E397" s="73">
        <v>1.25</v>
      </c>
    </row>
    <row r="398" spans="1:5" ht="15" customHeight="1" x14ac:dyDescent="0.25">
      <c r="B398" t="s">
        <v>463</v>
      </c>
      <c r="C398" s="73">
        <v>1.3</v>
      </c>
      <c r="D398" s="73">
        <v>1.26</v>
      </c>
      <c r="E398" s="73">
        <v>1.5</v>
      </c>
    </row>
    <row r="399" spans="1:5" ht="15" customHeight="1" x14ac:dyDescent="0.25">
      <c r="B399" s="74" t="s">
        <v>464</v>
      </c>
      <c r="C399" s="73">
        <v>1.75</v>
      </c>
      <c r="D399" s="73">
        <v>1.51</v>
      </c>
      <c r="E399" s="73">
        <v>2</v>
      </c>
    </row>
    <row r="400" spans="1:5" ht="15" customHeight="1" x14ac:dyDescent="0.25">
      <c r="B400" s="74" t="s">
        <v>465</v>
      </c>
      <c r="C400" s="73">
        <v>2.25</v>
      </c>
      <c r="D400" s="73">
        <v>2.0099999999999998</v>
      </c>
      <c r="E400" s="73">
        <v>2.5</v>
      </c>
    </row>
    <row r="401" spans="1:5" ht="15" customHeight="1" x14ac:dyDescent="0.25">
      <c r="B401" s="75"/>
      <c r="C401" s="73"/>
      <c r="D401" s="73"/>
      <c r="E401" s="73"/>
    </row>
    <row r="407" spans="1:5" ht="60" customHeight="1" x14ac:dyDescent="0.25">
      <c r="B407" s="66" t="s">
        <v>466</v>
      </c>
      <c r="C407" s="66" t="s">
        <v>467</v>
      </c>
      <c r="D407" s="66" t="s">
        <v>468</v>
      </c>
    </row>
    <row r="408" spans="1:5" ht="15" customHeight="1" x14ac:dyDescent="0.25">
      <c r="A408" t="s">
        <v>469</v>
      </c>
      <c r="B408" s="68">
        <v>0</v>
      </c>
      <c r="C408" s="68">
        <v>0.25</v>
      </c>
      <c r="D408" s="35">
        <v>-0.1</v>
      </c>
    </row>
    <row r="409" spans="1:5" ht="15" customHeight="1" x14ac:dyDescent="0.25">
      <c r="A409" t="s">
        <v>470</v>
      </c>
      <c r="B409" s="68">
        <v>0.25</v>
      </c>
      <c r="C409" s="68">
        <v>0.5</v>
      </c>
      <c r="D409" s="35">
        <v>-7.4999999999999997E-2</v>
      </c>
    </row>
    <row r="410" spans="1:5" ht="15" customHeight="1" x14ac:dyDescent="0.25">
      <c r="B410" s="68">
        <v>0.5</v>
      </c>
      <c r="C410" s="68">
        <v>0.75</v>
      </c>
      <c r="D410" s="35">
        <v>-0.05</v>
      </c>
    </row>
    <row r="411" spans="1:5" ht="15" customHeight="1" x14ac:dyDescent="0.25">
      <c r="B411" s="68">
        <v>0.75</v>
      </c>
      <c r="C411" s="68">
        <v>1</v>
      </c>
      <c r="D411" s="35">
        <v>-2.5000000000000001E-2</v>
      </c>
    </row>
    <row r="412" spans="1:5" ht="15" customHeight="1" x14ac:dyDescent="0.25">
      <c r="B412" s="68">
        <v>1</v>
      </c>
      <c r="C412" s="68">
        <v>1</v>
      </c>
      <c r="D412" s="35">
        <v>0</v>
      </c>
    </row>
    <row r="417" spans="1:5" ht="60" customHeight="1" x14ac:dyDescent="0.25">
      <c r="B417" s="66" t="s">
        <v>441</v>
      </c>
      <c r="C417" s="66" t="s">
        <v>442</v>
      </c>
      <c r="D417" s="66" t="s">
        <v>443</v>
      </c>
      <c r="E417" s="66" t="s">
        <v>444</v>
      </c>
    </row>
    <row r="418" spans="1:5" ht="15" customHeight="1" x14ac:dyDescent="0.25">
      <c r="A418" t="s">
        <v>471</v>
      </c>
      <c r="B418" t="s">
        <v>472</v>
      </c>
      <c r="C418" s="35">
        <v>0</v>
      </c>
      <c r="D418" s="35">
        <v>0</v>
      </c>
      <c r="E418" s="35">
        <v>0</v>
      </c>
    </row>
    <row r="419" spans="1:5" ht="15" customHeight="1" x14ac:dyDescent="0.25">
      <c r="A419" t="s">
        <v>473</v>
      </c>
      <c r="B419" t="s">
        <v>474</v>
      </c>
      <c r="C419" s="35">
        <v>0.1</v>
      </c>
      <c r="D419" s="35">
        <v>0</v>
      </c>
      <c r="E419" s="35">
        <v>0.4</v>
      </c>
    </row>
    <row r="420" spans="1:5" ht="15" customHeight="1" x14ac:dyDescent="0.25">
      <c r="B420" t="s">
        <v>475</v>
      </c>
      <c r="C420" s="35">
        <v>-0.05</v>
      </c>
      <c r="D420" s="35">
        <v>-0.1</v>
      </c>
      <c r="E420" s="35">
        <v>0</v>
      </c>
    </row>
    <row r="423" spans="1:5" ht="60" customHeight="1" x14ac:dyDescent="0.25">
      <c r="B423" s="66" t="s">
        <v>466</v>
      </c>
      <c r="C423" s="66" t="s">
        <v>467</v>
      </c>
      <c r="D423" s="66" t="s">
        <v>468</v>
      </c>
    </row>
    <row r="424" spans="1:5" ht="15" customHeight="1" x14ac:dyDescent="0.25">
      <c r="A424" t="s">
        <v>476</v>
      </c>
      <c r="B424" s="68">
        <v>0</v>
      </c>
      <c r="C424" s="68">
        <v>0.25</v>
      </c>
      <c r="D424" s="35">
        <v>-0.1</v>
      </c>
    </row>
    <row r="425" spans="1:5" ht="15" customHeight="1" x14ac:dyDescent="0.25">
      <c r="A425" t="s">
        <v>477</v>
      </c>
      <c r="B425" s="68">
        <v>0.25</v>
      </c>
      <c r="C425" s="68">
        <v>0.5</v>
      </c>
      <c r="D425" s="35">
        <v>-7.4999999999999997E-2</v>
      </c>
    </row>
    <row r="426" spans="1:5" ht="15" customHeight="1" x14ac:dyDescent="0.25">
      <c r="B426" s="68">
        <v>0.5</v>
      </c>
      <c r="C426" s="68">
        <v>0.75</v>
      </c>
      <c r="D426" s="35">
        <v>-0.05</v>
      </c>
    </row>
    <row r="427" spans="1:5" ht="15" customHeight="1" x14ac:dyDescent="0.25">
      <c r="B427" s="68">
        <v>0.75</v>
      </c>
      <c r="C427" s="68">
        <v>1</v>
      </c>
      <c r="D427" s="35">
        <v>-2.5000000000000001E-2</v>
      </c>
    </row>
    <row r="428" spans="1:5" ht="15" customHeight="1" x14ac:dyDescent="0.25">
      <c r="B428" s="68">
        <v>1</v>
      </c>
      <c r="C428" s="68">
        <v>1</v>
      </c>
      <c r="D428" s="35">
        <v>0</v>
      </c>
    </row>
    <row r="431" spans="1:5" ht="60" customHeight="1" x14ac:dyDescent="0.25">
      <c r="B431" s="66" t="s">
        <v>441</v>
      </c>
      <c r="C431" s="66" t="s">
        <v>442</v>
      </c>
      <c r="D431" s="66" t="s">
        <v>443</v>
      </c>
      <c r="E431" s="66" t="s">
        <v>444</v>
      </c>
    </row>
    <row r="432" spans="1:5" ht="15" customHeight="1" x14ac:dyDescent="0.25">
      <c r="A432" t="s">
        <v>478</v>
      </c>
      <c r="B432" t="s">
        <v>29</v>
      </c>
      <c r="C432" s="35">
        <v>0</v>
      </c>
      <c r="D432" s="35">
        <v>0</v>
      </c>
      <c r="E432" s="35">
        <v>0</v>
      </c>
    </row>
    <row r="433" spans="1:5" ht="15" customHeight="1" x14ac:dyDescent="0.25">
      <c r="A433" t="s">
        <v>479</v>
      </c>
      <c r="B433" t="s">
        <v>22</v>
      </c>
      <c r="C433" s="35">
        <v>0.25</v>
      </c>
      <c r="D433" s="35">
        <v>0</v>
      </c>
      <c r="E433" s="35">
        <v>1</v>
      </c>
    </row>
    <row r="436" spans="1:5" ht="15" customHeight="1" x14ac:dyDescent="0.25">
      <c r="B436" s="66" t="s">
        <v>441</v>
      </c>
      <c r="C436" s="66" t="s">
        <v>480</v>
      </c>
    </row>
    <row r="437" spans="1:5" ht="15" customHeight="1" x14ac:dyDescent="0.25">
      <c r="A437" t="s">
        <v>481</v>
      </c>
      <c r="B437" s="31" t="s">
        <v>171</v>
      </c>
      <c r="C437" s="52">
        <v>1</v>
      </c>
    </row>
    <row r="438" spans="1:5" ht="15" customHeight="1" x14ac:dyDescent="0.25">
      <c r="A438" t="s">
        <v>482</v>
      </c>
      <c r="B438" s="31">
        <v>100000</v>
      </c>
      <c r="C438" s="52">
        <v>1.05</v>
      </c>
    </row>
    <row r="439" spans="1:5" ht="15" customHeight="1" x14ac:dyDescent="0.25">
      <c r="B439" s="31">
        <v>250000</v>
      </c>
      <c r="C439" s="52">
        <v>1.1000000000000001</v>
      </c>
    </row>
    <row r="440" spans="1:5" ht="15" customHeight="1" x14ac:dyDescent="0.25">
      <c r="B440" s="31">
        <v>500000</v>
      </c>
      <c r="C440" s="52">
        <v>1.1499999999999999</v>
      </c>
    </row>
    <row r="441" spans="1:5" ht="15" customHeight="1" x14ac:dyDescent="0.25">
      <c r="B441" s="31">
        <v>750000</v>
      </c>
      <c r="C441" s="52">
        <v>1.2</v>
      </c>
    </row>
    <row r="442" spans="1:5" ht="15" customHeight="1" x14ac:dyDescent="0.25">
      <c r="B442" s="31">
        <v>1000000</v>
      </c>
      <c r="C442" s="52">
        <v>1.25</v>
      </c>
    </row>
    <row r="445" spans="1:5" ht="15" customHeight="1" x14ac:dyDescent="0.25">
      <c r="B445" s="66" t="s">
        <v>441</v>
      </c>
    </row>
    <row r="446" spans="1:5" ht="15" customHeight="1" x14ac:dyDescent="0.25">
      <c r="A446" t="s">
        <v>483</v>
      </c>
      <c r="B446" t="s">
        <v>484</v>
      </c>
    </row>
    <row r="447" spans="1:5" ht="15" customHeight="1" x14ac:dyDescent="0.25">
      <c r="B447" t="s">
        <v>485</v>
      </c>
    </row>
    <row r="448" spans="1:5" ht="15" customHeight="1" x14ac:dyDescent="0.25">
      <c r="B448" t="s">
        <v>486</v>
      </c>
    </row>
    <row r="451" spans="1:9" ht="15" customHeight="1" x14ac:dyDescent="0.25">
      <c r="B451" s="66" t="s">
        <v>441</v>
      </c>
    </row>
    <row r="452" spans="1:9" ht="15" customHeight="1" x14ac:dyDescent="0.25">
      <c r="A452" t="s">
        <v>487</v>
      </c>
      <c r="B452" t="s">
        <v>484</v>
      </c>
    </row>
    <row r="453" spans="1:9" ht="15" customHeight="1" x14ac:dyDescent="0.25">
      <c r="B453" t="s">
        <v>488</v>
      </c>
    </row>
    <row r="454" spans="1:9" ht="15" customHeight="1" x14ac:dyDescent="0.25">
      <c r="B454" t="s">
        <v>489</v>
      </c>
    </row>
    <row r="457" spans="1:9" ht="30" customHeight="1" x14ac:dyDescent="0.25">
      <c r="B457" s="66" t="s">
        <v>490</v>
      </c>
      <c r="C457" s="66" t="s">
        <v>491</v>
      </c>
      <c r="D457" s="66" t="s">
        <v>492</v>
      </c>
      <c r="E457" s="66" t="s">
        <v>493</v>
      </c>
      <c r="F457" s="66" t="s">
        <v>494</v>
      </c>
      <c r="G457" s="66" t="s">
        <v>495</v>
      </c>
      <c r="H457" s="66" t="s">
        <v>496</v>
      </c>
      <c r="I457" s="66" t="s">
        <v>497</v>
      </c>
    </row>
    <row r="458" spans="1:9" ht="15" customHeight="1" x14ac:dyDescent="0.25">
      <c r="A458" t="s">
        <v>498</v>
      </c>
      <c r="B458" t="s">
        <v>499</v>
      </c>
      <c r="C458" t="b">
        <v>0</v>
      </c>
      <c r="D458" t="b">
        <v>0</v>
      </c>
      <c r="E458" t="b">
        <v>0</v>
      </c>
      <c r="F458" t="s">
        <v>484</v>
      </c>
      <c r="G458" t="s">
        <v>484</v>
      </c>
      <c r="H458" s="52">
        <v>1</v>
      </c>
      <c r="I458" s="52" t="s">
        <v>500</v>
      </c>
    </row>
    <row r="459" spans="1:9" ht="15" customHeight="1" x14ac:dyDescent="0.25">
      <c r="B459" t="s">
        <v>501</v>
      </c>
      <c r="C459" t="b">
        <v>1</v>
      </c>
      <c r="D459" t="b">
        <v>1</v>
      </c>
      <c r="E459" t="b">
        <v>0</v>
      </c>
      <c r="F459" t="s">
        <v>486</v>
      </c>
      <c r="G459" t="s">
        <v>488</v>
      </c>
      <c r="H459" s="52">
        <v>1.05</v>
      </c>
      <c r="I459" s="52" t="s">
        <v>502</v>
      </c>
    </row>
    <row r="460" spans="1:9" ht="15" customHeight="1" x14ac:dyDescent="0.25">
      <c r="B460" t="s">
        <v>503</v>
      </c>
      <c r="C460" t="b">
        <v>1</v>
      </c>
      <c r="D460" t="b">
        <v>0</v>
      </c>
      <c r="E460" t="b">
        <v>1</v>
      </c>
      <c r="F460" t="s">
        <v>486</v>
      </c>
      <c r="G460" t="s">
        <v>488</v>
      </c>
      <c r="H460" s="52">
        <v>1.05</v>
      </c>
      <c r="I460" s="52" t="s">
        <v>502</v>
      </c>
    </row>
    <row r="461" spans="1:9" ht="15" customHeight="1" x14ac:dyDescent="0.25">
      <c r="B461" t="s">
        <v>504</v>
      </c>
      <c r="C461" t="b">
        <v>1</v>
      </c>
      <c r="D461" t="b">
        <v>1</v>
      </c>
      <c r="E461" t="b">
        <v>0</v>
      </c>
      <c r="F461" t="s">
        <v>485</v>
      </c>
      <c r="G461" t="s">
        <v>489</v>
      </c>
      <c r="H461" s="52">
        <v>1.85</v>
      </c>
      <c r="I461" s="52" t="s">
        <v>500</v>
      </c>
    </row>
    <row r="462" spans="1:9" ht="15" customHeight="1" x14ac:dyDescent="0.25">
      <c r="B462" t="s">
        <v>505</v>
      </c>
      <c r="C462" t="b">
        <v>1</v>
      </c>
      <c r="D462" t="b">
        <v>1</v>
      </c>
      <c r="E462" t="b">
        <v>0</v>
      </c>
      <c r="F462" t="s">
        <v>486</v>
      </c>
      <c r="G462" t="s">
        <v>489</v>
      </c>
      <c r="H462" s="52">
        <v>1.9</v>
      </c>
      <c r="I462" s="52" t="s">
        <v>500</v>
      </c>
    </row>
    <row r="463" spans="1:9" ht="15" customHeight="1" x14ac:dyDescent="0.25">
      <c r="B463" t="s">
        <v>506</v>
      </c>
      <c r="C463" t="b">
        <v>1</v>
      </c>
      <c r="D463" t="b">
        <v>0</v>
      </c>
      <c r="E463" t="b">
        <v>1</v>
      </c>
      <c r="F463" t="s">
        <v>485</v>
      </c>
      <c r="G463" t="s">
        <v>489</v>
      </c>
      <c r="H463" s="52">
        <v>2.6</v>
      </c>
      <c r="I463" s="52" t="s">
        <v>500</v>
      </c>
    </row>
    <row r="464" spans="1:9" ht="15" customHeight="1" x14ac:dyDescent="0.25">
      <c r="B464" t="s">
        <v>507</v>
      </c>
      <c r="C464" t="b">
        <v>1</v>
      </c>
      <c r="D464" t="b">
        <v>0</v>
      </c>
      <c r="E464" t="b">
        <v>1</v>
      </c>
      <c r="F464" t="s">
        <v>486</v>
      </c>
      <c r="G464" t="s">
        <v>489</v>
      </c>
      <c r="H464" s="52">
        <v>2.85</v>
      </c>
      <c r="I464" s="52" t="s">
        <v>500</v>
      </c>
    </row>
    <row r="467" spans="1:7" ht="60" customHeight="1" x14ac:dyDescent="0.25">
      <c r="B467" s="66" t="s">
        <v>508</v>
      </c>
      <c r="C467" s="66" t="s">
        <v>509</v>
      </c>
      <c r="D467" s="66" t="s">
        <v>510</v>
      </c>
      <c r="E467" s="66" t="s">
        <v>511</v>
      </c>
    </row>
    <row r="468" spans="1:7" ht="15" customHeight="1" x14ac:dyDescent="0.25">
      <c r="A468" t="s">
        <v>512</v>
      </c>
      <c r="B468" s="31">
        <v>0</v>
      </c>
      <c r="C468" s="31">
        <v>8000</v>
      </c>
      <c r="D468" s="31">
        <v>99999</v>
      </c>
      <c r="E468" s="31">
        <v>99999</v>
      </c>
      <c r="G468" s="31"/>
    </row>
    <row r="469" spans="1:7" ht="15" customHeight="1" x14ac:dyDescent="0.25">
      <c r="B469" s="31">
        <v>8001</v>
      </c>
      <c r="C469" s="31">
        <v>25000</v>
      </c>
      <c r="D469" s="31">
        <v>99999</v>
      </c>
      <c r="E469" s="31">
        <v>99999</v>
      </c>
    </row>
    <row r="470" spans="1:7" ht="15" customHeight="1" x14ac:dyDescent="0.25">
      <c r="B470" s="31">
        <v>25001</v>
      </c>
      <c r="C470" s="31">
        <v>50000</v>
      </c>
      <c r="D470" s="31">
        <v>99999</v>
      </c>
      <c r="E470" s="31">
        <v>99999</v>
      </c>
    </row>
    <row r="471" spans="1:7" ht="15" customHeight="1" x14ac:dyDescent="0.25">
      <c r="B471" s="31">
        <v>50001</v>
      </c>
      <c r="C471" s="31">
        <v>100000</v>
      </c>
      <c r="D471" s="31">
        <v>99999</v>
      </c>
      <c r="E471" s="31">
        <v>99999</v>
      </c>
    </row>
    <row r="472" spans="1:7" ht="15" customHeight="1" x14ac:dyDescent="0.25">
      <c r="B472" s="31">
        <v>100001</v>
      </c>
      <c r="C472" s="31">
        <v>250000</v>
      </c>
      <c r="D472" s="31">
        <v>99999</v>
      </c>
      <c r="E472" s="31">
        <v>99999</v>
      </c>
    </row>
    <row r="473" spans="1:7" ht="15" customHeight="1" x14ac:dyDescent="0.25">
      <c r="B473" s="31">
        <v>250001</v>
      </c>
      <c r="C473" s="31">
        <v>500000</v>
      </c>
      <c r="D473" s="31">
        <v>99999</v>
      </c>
      <c r="E473" s="31">
        <v>99999</v>
      </c>
    </row>
    <row r="474" spans="1:7" ht="15" customHeight="1" x14ac:dyDescent="0.25">
      <c r="B474" s="31">
        <v>500001</v>
      </c>
      <c r="C474" s="31"/>
      <c r="D474" s="31">
        <v>99999</v>
      </c>
      <c r="E474" s="31">
        <v>99999</v>
      </c>
    </row>
    <row r="475" spans="1:7" ht="15" customHeight="1" x14ac:dyDescent="0.25">
      <c r="B475" s="31"/>
      <c r="C475" s="31"/>
      <c r="D475" s="31"/>
      <c r="E475" s="31"/>
    </row>
    <row r="478" spans="1:7" ht="30" customHeight="1" x14ac:dyDescent="0.25">
      <c r="B478" s="66" t="s">
        <v>513</v>
      </c>
    </row>
    <row r="479" spans="1:7" ht="15" customHeight="1" x14ac:dyDescent="0.25">
      <c r="A479" t="s">
        <v>514</v>
      </c>
      <c r="B479" t="s">
        <v>271</v>
      </c>
    </row>
    <row r="480" spans="1:7" ht="15" customHeight="1" x14ac:dyDescent="0.25">
      <c r="B480" t="s">
        <v>272</v>
      </c>
    </row>
    <row r="481" spans="1:4" ht="15" customHeight="1" x14ac:dyDescent="0.25">
      <c r="B481" t="s">
        <v>273</v>
      </c>
    </row>
    <row r="486" spans="1:4" ht="15" customHeight="1" x14ac:dyDescent="0.25">
      <c r="B486" s="66" t="s">
        <v>515</v>
      </c>
      <c r="C486" s="66" t="s">
        <v>516</v>
      </c>
      <c r="D486" s="66" t="s">
        <v>517</v>
      </c>
    </row>
    <row r="487" spans="1:4" ht="15" customHeight="1" x14ac:dyDescent="0.25">
      <c r="A487" t="s">
        <v>518</v>
      </c>
      <c r="B487" s="68">
        <v>0</v>
      </c>
      <c r="C487" s="68">
        <v>0.25</v>
      </c>
      <c r="D487" s="35">
        <v>-0.1</v>
      </c>
    </row>
    <row r="488" spans="1:4" ht="15" customHeight="1" x14ac:dyDescent="0.25">
      <c r="A488" t="s">
        <v>519</v>
      </c>
      <c r="B488" s="68">
        <v>0.25</v>
      </c>
      <c r="C488" s="68">
        <v>0.5</v>
      </c>
      <c r="D488" s="35">
        <v>-7.4999999999999997E-2</v>
      </c>
    </row>
    <row r="489" spans="1:4" ht="15" customHeight="1" x14ac:dyDescent="0.25">
      <c r="B489" s="68">
        <v>0.5</v>
      </c>
      <c r="C489" s="68">
        <v>0.75</v>
      </c>
      <c r="D489" s="35">
        <v>-0.05</v>
      </c>
    </row>
    <row r="490" spans="1:4" ht="15" customHeight="1" x14ac:dyDescent="0.25">
      <c r="B490" s="68">
        <v>0.75</v>
      </c>
      <c r="C490" s="68">
        <v>1</v>
      </c>
      <c r="D490" s="35">
        <v>-2.5000000000000001E-2</v>
      </c>
    </row>
    <row r="491" spans="1:4" ht="15" customHeight="1" x14ac:dyDescent="0.25">
      <c r="B491" s="68">
        <v>1</v>
      </c>
      <c r="C491" s="68">
        <v>1</v>
      </c>
      <c r="D491" s="35">
        <v>0</v>
      </c>
    </row>
    <row r="492" spans="1:4" ht="15" customHeight="1" x14ac:dyDescent="0.25">
      <c r="B492" s="76"/>
      <c r="C492" s="76"/>
      <c r="D492" s="68"/>
    </row>
    <row r="493" spans="1:4" ht="15" customHeight="1" x14ac:dyDescent="0.25">
      <c r="B493" s="76"/>
      <c r="C493" s="68"/>
    </row>
    <row r="497" spans="1:5" ht="15" customHeight="1" x14ac:dyDescent="0.25">
      <c r="B497" s="66" t="s">
        <v>520</v>
      </c>
      <c r="C497" s="66" t="s">
        <v>517</v>
      </c>
      <c r="D497" s="66" t="s">
        <v>521</v>
      </c>
      <c r="E497" s="66" t="s">
        <v>522</v>
      </c>
    </row>
    <row r="498" spans="1:5" ht="15" customHeight="1" x14ac:dyDescent="0.25">
      <c r="A498" t="s">
        <v>523</v>
      </c>
      <c r="B498" t="s">
        <v>152</v>
      </c>
      <c r="C498" s="68">
        <v>0</v>
      </c>
      <c r="D498" s="68">
        <v>0</v>
      </c>
      <c r="E498" s="68">
        <v>0</v>
      </c>
    </row>
    <row r="499" spans="1:5" ht="15" customHeight="1" x14ac:dyDescent="0.25">
      <c r="A499" t="s">
        <v>524</v>
      </c>
      <c r="B499" t="s">
        <v>525</v>
      </c>
      <c r="C499" s="68">
        <v>-0.1</v>
      </c>
      <c r="D499" s="68">
        <v>-0.25</v>
      </c>
      <c r="E499" s="68">
        <v>0</v>
      </c>
    </row>
    <row r="500" spans="1:5" ht="15" customHeight="1" x14ac:dyDescent="0.25">
      <c r="B500" t="s">
        <v>526</v>
      </c>
      <c r="C500" s="68">
        <v>-0.15</v>
      </c>
      <c r="D500" s="68">
        <v>-0.4</v>
      </c>
      <c r="E500" s="68">
        <v>0</v>
      </c>
    </row>
    <row r="503" spans="1:5" ht="15" customHeight="1" x14ac:dyDescent="0.25">
      <c r="B503" s="66" t="s">
        <v>520</v>
      </c>
      <c r="C503" s="66" t="s">
        <v>517</v>
      </c>
      <c r="D503" s="66" t="s">
        <v>521</v>
      </c>
      <c r="E503" s="66" t="s">
        <v>522</v>
      </c>
    </row>
    <row r="504" spans="1:5" ht="15" customHeight="1" x14ac:dyDescent="0.25">
      <c r="A504" t="s">
        <v>527</v>
      </c>
      <c r="B504" t="s">
        <v>161</v>
      </c>
      <c r="C504" s="68">
        <v>0</v>
      </c>
      <c r="D504" s="77">
        <v>0</v>
      </c>
      <c r="E504" s="68">
        <v>0</v>
      </c>
    </row>
    <row r="505" spans="1:5" ht="15" customHeight="1" x14ac:dyDescent="0.25">
      <c r="A505" t="s">
        <v>528</v>
      </c>
      <c r="B505" t="s">
        <v>529</v>
      </c>
      <c r="C505" s="77">
        <v>2.5000000000000001E-2</v>
      </c>
      <c r="D505" s="77">
        <v>2.5000000000000001E-2</v>
      </c>
      <c r="E505" s="77">
        <v>2.5000000000000001E-2</v>
      </c>
    </row>
    <row r="506" spans="1:5" ht="15" customHeight="1" x14ac:dyDescent="0.25">
      <c r="C506" s="68"/>
    </row>
    <row r="508" spans="1:5" ht="15" customHeight="1" x14ac:dyDescent="0.25">
      <c r="B508" s="66" t="s">
        <v>520</v>
      </c>
      <c r="C508" s="66" t="s">
        <v>517</v>
      </c>
      <c r="D508" s="66" t="s">
        <v>521</v>
      </c>
      <c r="E508" s="66" t="s">
        <v>522</v>
      </c>
    </row>
    <row r="509" spans="1:5" ht="15" customHeight="1" x14ac:dyDescent="0.25">
      <c r="A509" t="s">
        <v>530</v>
      </c>
      <c r="B509" t="s">
        <v>161</v>
      </c>
      <c r="C509" s="77">
        <v>0</v>
      </c>
      <c r="D509" s="77">
        <v>0</v>
      </c>
      <c r="E509" s="68">
        <v>0</v>
      </c>
    </row>
    <row r="510" spans="1:5" ht="15" customHeight="1" x14ac:dyDescent="0.25">
      <c r="A510" t="s">
        <v>531</v>
      </c>
      <c r="B510" t="s">
        <v>526</v>
      </c>
      <c r="C510" s="77">
        <v>-2.5000000000000001E-2</v>
      </c>
      <c r="D510" s="77">
        <v>-2.5000000000000001E-2</v>
      </c>
      <c r="E510" s="77">
        <v>-2.5000000000000001E-2</v>
      </c>
    </row>
    <row r="515" spans="1:5" ht="15" customHeight="1" x14ac:dyDescent="0.25">
      <c r="B515" s="66" t="s">
        <v>520</v>
      </c>
      <c r="C515" s="66" t="s">
        <v>517</v>
      </c>
      <c r="D515" s="66" t="s">
        <v>521</v>
      </c>
      <c r="E515" s="66" t="s">
        <v>522</v>
      </c>
    </row>
    <row r="516" spans="1:5" ht="15" customHeight="1" x14ac:dyDescent="0.25">
      <c r="A516" t="s">
        <v>532</v>
      </c>
      <c r="B516" t="s">
        <v>161</v>
      </c>
      <c r="C516" s="77">
        <v>0</v>
      </c>
      <c r="D516" s="77">
        <v>0</v>
      </c>
      <c r="E516" s="68">
        <v>0</v>
      </c>
    </row>
    <row r="517" spans="1:5" ht="15" customHeight="1" x14ac:dyDescent="0.25">
      <c r="A517" t="s">
        <v>533</v>
      </c>
      <c r="B517" t="s">
        <v>526</v>
      </c>
      <c r="C517" s="77">
        <v>-2.5000000000000001E-2</v>
      </c>
      <c r="D517" s="77">
        <v>-2.5000000000000001E-2</v>
      </c>
      <c r="E517" s="77">
        <v>-2.5000000000000001E-2</v>
      </c>
    </row>
    <row r="521" spans="1:5" ht="15" customHeight="1" x14ac:dyDescent="0.25">
      <c r="B521" s="66" t="s">
        <v>520</v>
      </c>
      <c r="C521" s="66" t="s">
        <v>517</v>
      </c>
      <c r="D521" s="66" t="s">
        <v>521</v>
      </c>
      <c r="E521" s="66" t="s">
        <v>522</v>
      </c>
    </row>
    <row r="522" spans="1:5" ht="15" customHeight="1" x14ac:dyDescent="0.25">
      <c r="A522" t="s">
        <v>534</v>
      </c>
      <c r="B522" t="s">
        <v>161</v>
      </c>
      <c r="C522" s="77">
        <v>0</v>
      </c>
      <c r="D522" s="77">
        <v>0</v>
      </c>
      <c r="E522" s="68">
        <v>0</v>
      </c>
    </row>
    <row r="523" spans="1:5" ht="15" customHeight="1" x14ac:dyDescent="0.25">
      <c r="A523" t="s">
        <v>535</v>
      </c>
      <c r="B523" t="s">
        <v>526</v>
      </c>
      <c r="C523" s="77">
        <v>-2.5000000000000001E-2</v>
      </c>
      <c r="D523" s="77">
        <v>-2.5000000000000001E-2</v>
      </c>
      <c r="E523" s="77">
        <v>-2.5000000000000001E-2</v>
      </c>
    </row>
    <row r="528" spans="1:5" ht="15" customHeight="1" x14ac:dyDescent="0.25">
      <c r="B528" s="66" t="s">
        <v>43</v>
      </c>
      <c r="C528" s="66" t="s">
        <v>44</v>
      </c>
      <c r="D528" s="66" t="s">
        <v>536</v>
      </c>
      <c r="E528" s="66" t="s">
        <v>657</v>
      </c>
    </row>
    <row r="529" spans="1:5" ht="15" customHeight="1" x14ac:dyDescent="0.25">
      <c r="A529" t="s">
        <v>537</v>
      </c>
      <c r="B529" t="s">
        <v>538</v>
      </c>
      <c r="C529" t="s">
        <v>348</v>
      </c>
      <c r="D529" t="s">
        <v>29</v>
      </c>
      <c r="E529">
        <v>2.6</v>
      </c>
    </row>
    <row r="530" spans="1:5" ht="15" customHeight="1" x14ac:dyDescent="0.25">
      <c r="A530" t="s">
        <v>539</v>
      </c>
      <c r="B530" t="s">
        <v>540</v>
      </c>
      <c r="C530" t="s">
        <v>350</v>
      </c>
      <c r="D530" t="s">
        <v>29</v>
      </c>
      <c r="E530">
        <v>1.5</v>
      </c>
    </row>
    <row r="531" spans="1:5" ht="15" customHeight="1" x14ac:dyDescent="0.25">
      <c r="B531" t="s">
        <v>541</v>
      </c>
      <c r="C531" t="s">
        <v>347</v>
      </c>
      <c r="D531" t="s">
        <v>29</v>
      </c>
      <c r="E531">
        <v>1.5</v>
      </c>
    </row>
    <row r="532" spans="1:5" ht="15" customHeight="1" x14ac:dyDescent="0.25">
      <c r="B532" t="s">
        <v>542</v>
      </c>
      <c r="C532" t="s">
        <v>346</v>
      </c>
      <c r="D532" t="s">
        <v>29</v>
      </c>
      <c r="E532">
        <v>2.9</v>
      </c>
    </row>
    <row r="533" spans="1:5" ht="15" customHeight="1" x14ac:dyDescent="0.25">
      <c r="B533" t="s">
        <v>543</v>
      </c>
      <c r="C533" t="s">
        <v>346</v>
      </c>
      <c r="D533" t="s">
        <v>29</v>
      </c>
      <c r="E533">
        <v>3.3</v>
      </c>
    </row>
    <row r="534" spans="1:5" ht="15" customHeight="1" x14ac:dyDescent="0.25">
      <c r="B534" t="s">
        <v>544</v>
      </c>
      <c r="C534" t="s">
        <v>346</v>
      </c>
      <c r="D534" t="s">
        <v>29</v>
      </c>
      <c r="E534">
        <v>1.4</v>
      </c>
    </row>
    <row r="535" spans="1:5" ht="15" customHeight="1" x14ac:dyDescent="0.25">
      <c r="B535" t="s">
        <v>545</v>
      </c>
      <c r="C535" t="s">
        <v>351</v>
      </c>
      <c r="D535" t="s">
        <v>22</v>
      </c>
      <c r="E535">
        <v>1.2</v>
      </c>
    </row>
    <row r="536" spans="1:5" ht="15" customHeight="1" x14ac:dyDescent="0.25">
      <c r="B536" t="s">
        <v>546</v>
      </c>
      <c r="C536" t="s">
        <v>346</v>
      </c>
      <c r="D536" t="s">
        <v>29</v>
      </c>
      <c r="E536">
        <v>1.2</v>
      </c>
    </row>
    <row r="537" spans="1:5" ht="15" customHeight="1" x14ac:dyDescent="0.25">
      <c r="B537" t="s">
        <v>547</v>
      </c>
      <c r="C537" t="s">
        <v>346</v>
      </c>
      <c r="D537" t="s">
        <v>29</v>
      </c>
      <c r="E537">
        <v>1.2</v>
      </c>
    </row>
    <row r="538" spans="1:5" ht="15" customHeight="1" x14ac:dyDescent="0.25">
      <c r="B538" t="s">
        <v>548</v>
      </c>
      <c r="C538" t="s">
        <v>347</v>
      </c>
      <c r="D538" t="s">
        <v>29</v>
      </c>
      <c r="E538">
        <v>1.2</v>
      </c>
    </row>
    <row r="539" spans="1:5" ht="15" customHeight="1" x14ac:dyDescent="0.25">
      <c r="B539" t="s">
        <v>549</v>
      </c>
      <c r="C539" t="s">
        <v>347</v>
      </c>
      <c r="D539" t="s">
        <v>29</v>
      </c>
      <c r="E539">
        <v>1.2</v>
      </c>
    </row>
    <row r="540" spans="1:5" ht="15" customHeight="1" x14ac:dyDescent="0.25">
      <c r="B540" t="s">
        <v>550</v>
      </c>
      <c r="C540" t="s">
        <v>349</v>
      </c>
      <c r="D540" t="s">
        <v>29</v>
      </c>
      <c r="E540">
        <v>1.2</v>
      </c>
    </row>
    <row r="541" spans="1:5" ht="15" customHeight="1" x14ac:dyDescent="0.25">
      <c r="B541" t="s">
        <v>551</v>
      </c>
      <c r="C541" t="s">
        <v>347</v>
      </c>
      <c r="D541" t="s">
        <v>22</v>
      </c>
      <c r="E541">
        <v>1.4</v>
      </c>
    </row>
    <row r="542" spans="1:5" ht="15" customHeight="1" x14ac:dyDescent="0.25">
      <c r="B542" t="s">
        <v>552</v>
      </c>
      <c r="C542" t="s">
        <v>349</v>
      </c>
      <c r="D542" t="s">
        <v>29</v>
      </c>
      <c r="E542">
        <v>1.8</v>
      </c>
    </row>
    <row r="543" spans="1:5" ht="15" customHeight="1" x14ac:dyDescent="0.25">
      <c r="B543" t="s">
        <v>553</v>
      </c>
      <c r="C543" t="s">
        <v>347</v>
      </c>
      <c r="D543" t="s">
        <v>29</v>
      </c>
      <c r="E543">
        <v>1.2</v>
      </c>
    </row>
    <row r="544" spans="1:5" ht="15" customHeight="1" x14ac:dyDescent="0.25">
      <c r="B544" t="s">
        <v>554</v>
      </c>
      <c r="C544" t="s">
        <v>349</v>
      </c>
      <c r="D544" t="s">
        <v>29</v>
      </c>
      <c r="E544">
        <v>2.2999999999999998</v>
      </c>
    </row>
    <row r="545" spans="2:5" ht="15" customHeight="1" x14ac:dyDescent="0.25">
      <c r="B545" t="s">
        <v>555</v>
      </c>
      <c r="C545" t="s">
        <v>351</v>
      </c>
      <c r="D545" t="s">
        <v>22</v>
      </c>
      <c r="E545">
        <v>1.2</v>
      </c>
    </row>
    <row r="546" spans="2:5" ht="15" customHeight="1" x14ac:dyDescent="0.25">
      <c r="B546" t="s">
        <v>556</v>
      </c>
      <c r="C546" t="s">
        <v>346</v>
      </c>
      <c r="D546" t="s">
        <v>29</v>
      </c>
      <c r="E546">
        <v>1.8</v>
      </c>
    </row>
    <row r="547" spans="2:5" ht="15" customHeight="1" x14ac:dyDescent="0.25">
      <c r="B547" t="s">
        <v>557</v>
      </c>
      <c r="C547" t="s">
        <v>351</v>
      </c>
      <c r="D547" t="s">
        <v>22</v>
      </c>
      <c r="E547">
        <v>1.2</v>
      </c>
    </row>
    <row r="548" spans="2:5" ht="15" customHeight="1" x14ac:dyDescent="0.25">
      <c r="B548" t="s">
        <v>558</v>
      </c>
      <c r="C548" t="s">
        <v>347</v>
      </c>
      <c r="D548" t="s">
        <v>29</v>
      </c>
      <c r="E548">
        <v>1.2</v>
      </c>
    </row>
    <row r="549" spans="2:5" ht="15" customHeight="1" x14ac:dyDescent="0.25">
      <c r="B549" t="s">
        <v>559</v>
      </c>
      <c r="C549" t="s">
        <v>350</v>
      </c>
      <c r="D549" t="s">
        <v>29</v>
      </c>
      <c r="E549">
        <v>1.6</v>
      </c>
    </row>
    <row r="550" spans="2:5" ht="15" customHeight="1" x14ac:dyDescent="0.25">
      <c r="B550" t="s">
        <v>560</v>
      </c>
      <c r="C550" t="s">
        <v>349</v>
      </c>
      <c r="D550" t="s">
        <v>29</v>
      </c>
      <c r="E550">
        <v>1.2</v>
      </c>
    </row>
    <row r="551" spans="2:5" ht="15" customHeight="1" x14ac:dyDescent="0.25">
      <c r="B551" t="s">
        <v>561</v>
      </c>
      <c r="C551" t="s">
        <v>350</v>
      </c>
      <c r="D551" t="s">
        <v>29</v>
      </c>
      <c r="E551">
        <v>1.2</v>
      </c>
    </row>
    <row r="552" spans="2:5" ht="15" customHeight="1" x14ac:dyDescent="0.25">
      <c r="B552" t="s">
        <v>562</v>
      </c>
      <c r="C552" t="s">
        <v>350</v>
      </c>
      <c r="D552" t="s">
        <v>29</v>
      </c>
      <c r="E552">
        <v>4</v>
      </c>
    </row>
    <row r="553" spans="2:5" ht="15" customHeight="1" x14ac:dyDescent="0.25">
      <c r="B553" t="s">
        <v>563</v>
      </c>
      <c r="C553" t="s">
        <v>348</v>
      </c>
      <c r="D553" t="s">
        <v>29</v>
      </c>
      <c r="E553">
        <v>1.2</v>
      </c>
    </row>
    <row r="554" spans="2:5" ht="15" customHeight="1" x14ac:dyDescent="0.25">
      <c r="B554" t="s">
        <v>564</v>
      </c>
      <c r="C554" t="s">
        <v>347</v>
      </c>
      <c r="D554" t="s">
        <v>29</v>
      </c>
      <c r="E554">
        <v>1.2</v>
      </c>
    </row>
    <row r="555" spans="2:5" ht="15" customHeight="1" x14ac:dyDescent="0.25">
      <c r="B555" t="s">
        <v>565</v>
      </c>
      <c r="C555" t="s">
        <v>347</v>
      </c>
      <c r="D555" t="s">
        <v>29</v>
      </c>
      <c r="E555">
        <v>1.3</v>
      </c>
    </row>
    <row r="556" spans="2:5" ht="15" customHeight="1" x14ac:dyDescent="0.25">
      <c r="B556" t="s">
        <v>566</v>
      </c>
      <c r="C556" t="s">
        <v>346</v>
      </c>
      <c r="D556" t="s">
        <v>29</v>
      </c>
      <c r="E556">
        <v>2</v>
      </c>
    </row>
    <row r="557" spans="2:5" ht="15" customHeight="1" x14ac:dyDescent="0.25">
      <c r="B557" t="s">
        <v>567</v>
      </c>
      <c r="C557" t="s">
        <v>348</v>
      </c>
      <c r="D557" t="s">
        <v>22</v>
      </c>
      <c r="E557">
        <v>1.4</v>
      </c>
    </row>
    <row r="558" spans="2:5" ht="15" customHeight="1" x14ac:dyDescent="0.25">
      <c r="B558" t="s">
        <v>568</v>
      </c>
      <c r="C558" t="s">
        <v>347</v>
      </c>
      <c r="D558" t="s">
        <v>29</v>
      </c>
      <c r="E558">
        <v>1.2</v>
      </c>
    </row>
    <row r="559" spans="2:5" ht="15" customHeight="1" x14ac:dyDescent="0.25">
      <c r="B559" t="s">
        <v>569</v>
      </c>
      <c r="C559" t="s">
        <v>346</v>
      </c>
      <c r="D559" t="s">
        <v>29</v>
      </c>
      <c r="E559">
        <v>1.2</v>
      </c>
    </row>
    <row r="560" spans="2:5" ht="15" customHeight="1" x14ac:dyDescent="0.25">
      <c r="B560" t="s">
        <v>570</v>
      </c>
      <c r="C560" t="s">
        <v>347</v>
      </c>
      <c r="D560" t="s">
        <v>29</v>
      </c>
      <c r="E560">
        <v>1.2</v>
      </c>
    </row>
    <row r="561" spans="2:5" ht="15" customHeight="1" x14ac:dyDescent="0.25">
      <c r="B561" t="s">
        <v>571</v>
      </c>
      <c r="C561" t="s">
        <v>346</v>
      </c>
      <c r="D561" t="s">
        <v>29</v>
      </c>
      <c r="E561">
        <v>2.8</v>
      </c>
    </row>
    <row r="562" spans="2:5" ht="15" customHeight="1" x14ac:dyDescent="0.25">
      <c r="B562" t="s">
        <v>572</v>
      </c>
      <c r="C562" t="s">
        <v>346</v>
      </c>
      <c r="D562" t="s">
        <v>29</v>
      </c>
      <c r="E562">
        <v>1.2</v>
      </c>
    </row>
    <row r="563" spans="2:5" ht="15" customHeight="1" x14ac:dyDescent="0.25">
      <c r="B563" t="s">
        <v>573</v>
      </c>
      <c r="C563" t="s">
        <v>347</v>
      </c>
      <c r="D563" t="s">
        <v>29</v>
      </c>
      <c r="E563">
        <v>1.2</v>
      </c>
    </row>
    <row r="564" spans="2:5" ht="15" customHeight="1" x14ac:dyDescent="0.25">
      <c r="B564" t="s">
        <v>574</v>
      </c>
      <c r="C564" t="s">
        <v>347</v>
      </c>
      <c r="D564" t="s">
        <v>29</v>
      </c>
      <c r="E564">
        <v>1.9</v>
      </c>
    </row>
    <row r="565" spans="2:5" ht="15" customHeight="1" x14ac:dyDescent="0.25">
      <c r="B565" t="s">
        <v>575</v>
      </c>
      <c r="C565" t="s">
        <v>347</v>
      </c>
      <c r="D565" t="s">
        <v>29</v>
      </c>
      <c r="E565">
        <v>1.2</v>
      </c>
    </row>
    <row r="566" spans="2:5" ht="15" customHeight="1" x14ac:dyDescent="0.25">
      <c r="B566" t="s">
        <v>576</v>
      </c>
      <c r="C566" t="s">
        <v>347</v>
      </c>
      <c r="D566" t="s">
        <v>29</v>
      </c>
      <c r="E566">
        <v>2.2999999999999998</v>
      </c>
    </row>
    <row r="567" spans="2:5" ht="15" customHeight="1" x14ac:dyDescent="0.25">
      <c r="B567" t="s">
        <v>577</v>
      </c>
      <c r="C567" t="s">
        <v>349</v>
      </c>
      <c r="D567" t="s">
        <v>29</v>
      </c>
      <c r="E567">
        <v>1.6</v>
      </c>
    </row>
    <row r="568" spans="2:5" ht="15" customHeight="1" x14ac:dyDescent="0.25">
      <c r="B568" t="s">
        <v>578</v>
      </c>
      <c r="C568" t="s">
        <v>350</v>
      </c>
      <c r="D568" t="s">
        <v>29</v>
      </c>
      <c r="E568">
        <v>1.2</v>
      </c>
    </row>
    <row r="569" spans="2:5" ht="15" customHeight="1" x14ac:dyDescent="0.25">
      <c r="B569" t="s">
        <v>579</v>
      </c>
      <c r="C569" t="s">
        <v>350</v>
      </c>
      <c r="D569" t="s">
        <v>29</v>
      </c>
      <c r="E569">
        <v>1.2</v>
      </c>
    </row>
    <row r="570" spans="2:5" ht="15" customHeight="1" x14ac:dyDescent="0.25">
      <c r="B570" t="s">
        <v>580</v>
      </c>
      <c r="C570" t="s">
        <v>348</v>
      </c>
      <c r="D570" t="s">
        <v>29</v>
      </c>
      <c r="E570">
        <v>1.3</v>
      </c>
    </row>
    <row r="571" spans="2:5" ht="15" customHeight="1" x14ac:dyDescent="0.25">
      <c r="B571" t="s">
        <v>581</v>
      </c>
      <c r="C571" t="s">
        <v>350</v>
      </c>
      <c r="D571" t="s">
        <v>29</v>
      </c>
      <c r="E571">
        <v>1.4</v>
      </c>
    </row>
    <row r="572" spans="2:5" ht="15" customHeight="1" x14ac:dyDescent="0.25">
      <c r="B572" t="s">
        <v>582</v>
      </c>
      <c r="C572" t="s">
        <v>347</v>
      </c>
      <c r="D572" t="s">
        <v>29</v>
      </c>
      <c r="E572">
        <v>1.2</v>
      </c>
    </row>
    <row r="573" spans="2:5" ht="15" customHeight="1" x14ac:dyDescent="0.25">
      <c r="B573" t="s">
        <v>583</v>
      </c>
      <c r="C573" t="s">
        <v>348</v>
      </c>
      <c r="D573" t="s">
        <v>29</v>
      </c>
      <c r="E573">
        <v>1.8</v>
      </c>
    </row>
    <row r="574" spans="2:5" ht="15" customHeight="1" x14ac:dyDescent="0.25">
      <c r="B574" t="s">
        <v>584</v>
      </c>
      <c r="C574" t="s">
        <v>347</v>
      </c>
      <c r="D574" t="s">
        <v>22</v>
      </c>
      <c r="E574">
        <v>2.1</v>
      </c>
    </row>
    <row r="575" spans="2:5" ht="15" customHeight="1" x14ac:dyDescent="0.25">
      <c r="B575" t="s">
        <v>585</v>
      </c>
      <c r="C575" t="s">
        <v>348</v>
      </c>
      <c r="D575" t="s">
        <v>29</v>
      </c>
      <c r="E575">
        <v>1.2</v>
      </c>
    </row>
    <row r="576" spans="2:5" ht="15" customHeight="1" x14ac:dyDescent="0.25">
      <c r="B576" t="s">
        <v>586</v>
      </c>
      <c r="C576" t="s">
        <v>349</v>
      </c>
      <c r="D576" t="s">
        <v>29</v>
      </c>
      <c r="E576">
        <v>1.2</v>
      </c>
    </row>
    <row r="577" spans="2:5" ht="15" customHeight="1" x14ac:dyDescent="0.25">
      <c r="B577" t="s">
        <v>587</v>
      </c>
      <c r="C577" t="s">
        <v>347</v>
      </c>
      <c r="D577" t="s">
        <v>22</v>
      </c>
      <c r="E577">
        <v>3.2</v>
      </c>
    </row>
    <row r="578" spans="2:5" ht="15" customHeight="1" x14ac:dyDescent="0.25">
      <c r="B578" t="s">
        <v>588</v>
      </c>
      <c r="C578" t="s">
        <v>351</v>
      </c>
      <c r="D578" t="s">
        <v>29</v>
      </c>
      <c r="E578">
        <v>1.2</v>
      </c>
    </row>
    <row r="579" spans="2:5" ht="15" customHeight="1" x14ac:dyDescent="0.25">
      <c r="B579" t="s">
        <v>589</v>
      </c>
      <c r="C579" t="s">
        <v>347</v>
      </c>
      <c r="D579" t="s">
        <v>29</v>
      </c>
      <c r="E579">
        <v>1.8</v>
      </c>
    </row>
    <row r="580" spans="2:5" ht="15" customHeight="1" x14ac:dyDescent="0.25">
      <c r="B580" t="s">
        <v>590</v>
      </c>
      <c r="C580" t="s">
        <v>346</v>
      </c>
      <c r="D580" t="s">
        <v>29</v>
      </c>
      <c r="E580">
        <v>2.2999999999999998</v>
      </c>
    </row>
    <row r="581" spans="2:5" ht="15" customHeight="1" x14ac:dyDescent="0.25">
      <c r="B581" t="s">
        <v>591</v>
      </c>
      <c r="C581" t="s">
        <v>346</v>
      </c>
      <c r="D581" t="s">
        <v>29</v>
      </c>
      <c r="E581">
        <v>3.1</v>
      </c>
    </row>
    <row r="582" spans="2:5" ht="15" customHeight="1" x14ac:dyDescent="0.25">
      <c r="B582" t="s">
        <v>592</v>
      </c>
      <c r="C582" t="s">
        <v>350</v>
      </c>
      <c r="D582" t="s">
        <v>29</v>
      </c>
      <c r="E582">
        <v>1.6</v>
      </c>
    </row>
    <row r="583" spans="2:5" ht="15" customHeight="1" x14ac:dyDescent="0.25">
      <c r="B583" t="s">
        <v>593</v>
      </c>
      <c r="C583" t="s">
        <v>350</v>
      </c>
      <c r="D583" t="s">
        <v>29</v>
      </c>
      <c r="E583">
        <v>2.1</v>
      </c>
    </row>
    <row r="584" spans="2:5" ht="15" customHeight="1" x14ac:dyDescent="0.25">
      <c r="B584" t="s">
        <v>594</v>
      </c>
      <c r="C584" t="s">
        <v>347</v>
      </c>
      <c r="D584" t="s">
        <v>29</v>
      </c>
      <c r="E584">
        <v>2.2999999999999998</v>
      </c>
    </row>
    <row r="585" spans="2:5" ht="15" customHeight="1" x14ac:dyDescent="0.25">
      <c r="B585" t="s">
        <v>595</v>
      </c>
      <c r="C585" t="s">
        <v>347</v>
      </c>
      <c r="D585" t="s">
        <v>29</v>
      </c>
      <c r="E585">
        <v>3.6</v>
      </c>
    </row>
    <row r="586" spans="2:5" ht="15" customHeight="1" x14ac:dyDescent="0.25">
      <c r="B586" t="s">
        <v>596</v>
      </c>
      <c r="C586" t="s">
        <v>346</v>
      </c>
      <c r="D586" t="s">
        <v>29</v>
      </c>
      <c r="E586">
        <v>5.2</v>
      </c>
    </row>
    <row r="587" spans="2:5" ht="15" customHeight="1" x14ac:dyDescent="0.25">
      <c r="B587" t="s">
        <v>597</v>
      </c>
      <c r="C587" t="s">
        <v>348</v>
      </c>
      <c r="D587" t="s">
        <v>29</v>
      </c>
      <c r="E587">
        <v>1.2</v>
      </c>
    </row>
    <row r="588" spans="2:5" ht="15" customHeight="1" x14ac:dyDescent="0.25">
      <c r="B588" t="s">
        <v>598</v>
      </c>
      <c r="C588" t="s">
        <v>347</v>
      </c>
      <c r="D588" t="s">
        <v>29</v>
      </c>
      <c r="E588">
        <v>1.2</v>
      </c>
    </row>
    <row r="589" spans="2:5" ht="15" customHeight="1" x14ac:dyDescent="0.25">
      <c r="B589" t="s">
        <v>599</v>
      </c>
      <c r="C589" t="s">
        <v>347</v>
      </c>
      <c r="D589" t="s">
        <v>29</v>
      </c>
      <c r="E589">
        <v>4.3</v>
      </c>
    </row>
    <row r="590" spans="2:5" ht="15" customHeight="1" x14ac:dyDescent="0.25">
      <c r="B590" t="s">
        <v>600</v>
      </c>
      <c r="C590" t="s">
        <v>347</v>
      </c>
      <c r="D590" t="s">
        <v>29</v>
      </c>
      <c r="E590">
        <v>2.4</v>
      </c>
    </row>
    <row r="591" spans="2:5" ht="15" customHeight="1" x14ac:dyDescent="0.25">
      <c r="B591" t="s">
        <v>601</v>
      </c>
      <c r="C591" t="s">
        <v>349</v>
      </c>
      <c r="D591" t="s">
        <v>29</v>
      </c>
      <c r="E591">
        <v>1.2</v>
      </c>
    </row>
    <row r="592" spans="2:5" ht="15" customHeight="1" x14ac:dyDescent="0.25">
      <c r="B592" t="s">
        <v>602</v>
      </c>
      <c r="C592" t="s">
        <v>347</v>
      </c>
      <c r="D592" t="s">
        <v>29</v>
      </c>
      <c r="E592">
        <v>1.8</v>
      </c>
    </row>
    <row r="593" spans="2:5" ht="15" customHeight="1" x14ac:dyDescent="0.25">
      <c r="B593" t="s">
        <v>603</v>
      </c>
      <c r="C593" t="s">
        <v>347</v>
      </c>
      <c r="D593" t="s">
        <v>29</v>
      </c>
      <c r="E593">
        <v>1.2</v>
      </c>
    </row>
    <row r="594" spans="2:5" ht="15" customHeight="1" x14ac:dyDescent="0.25">
      <c r="B594" t="s">
        <v>604</v>
      </c>
      <c r="C594" t="s">
        <v>348</v>
      </c>
      <c r="D594" t="s">
        <v>29</v>
      </c>
      <c r="E594">
        <v>1.2</v>
      </c>
    </row>
    <row r="595" spans="2:5" ht="15" customHeight="1" x14ac:dyDescent="0.25">
      <c r="B595" t="s">
        <v>605</v>
      </c>
      <c r="C595" t="s">
        <v>347</v>
      </c>
      <c r="D595" t="s">
        <v>29</v>
      </c>
      <c r="E595">
        <v>1.4</v>
      </c>
    </row>
    <row r="596" spans="2:5" ht="15" customHeight="1" x14ac:dyDescent="0.25">
      <c r="B596" t="s">
        <v>606</v>
      </c>
      <c r="C596" t="s">
        <v>348</v>
      </c>
      <c r="D596" t="s">
        <v>29</v>
      </c>
      <c r="E596">
        <v>1.2</v>
      </c>
    </row>
    <row r="597" spans="2:5" ht="15" customHeight="1" x14ac:dyDescent="0.25">
      <c r="B597" t="s">
        <v>607</v>
      </c>
      <c r="C597" t="s">
        <v>347</v>
      </c>
      <c r="D597" t="s">
        <v>29</v>
      </c>
      <c r="E597">
        <v>2.2000000000000002</v>
      </c>
    </row>
    <row r="598" spans="2:5" ht="15" customHeight="1" x14ac:dyDescent="0.25">
      <c r="B598" t="s">
        <v>608</v>
      </c>
      <c r="C598" t="s">
        <v>347</v>
      </c>
      <c r="D598" t="s">
        <v>29</v>
      </c>
      <c r="E598">
        <v>1.2</v>
      </c>
    </row>
    <row r="599" spans="2:5" ht="15" customHeight="1" x14ac:dyDescent="0.25">
      <c r="B599" t="s">
        <v>609</v>
      </c>
      <c r="C599" t="s">
        <v>350</v>
      </c>
      <c r="D599" t="s">
        <v>29</v>
      </c>
      <c r="E599">
        <v>1.8</v>
      </c>
    </row>
    <row r="600" spans="2:5" ht="15" customHeight="1" x14ac:dyDescent="0.25">
      <c r="B600" t="s">
        <v>610</v>
      </c>
      <c r="C600" t="s">
        <v>350</v>
      </c>
      <c r="D600" t="s">
        <v>29</v>
      </c>
      <c r="E600">
        <v>1.2</v>
      </c>
    </row>
    <row r="601" spans="2:5" ht="15" customHeight="1" x14ac:dyDescent="0.25">
      <c r="B601" t="s">
        <v>611</v>
      </c>
      <c r="C601" t="s">
        <v>347</v>
      </c>
      <c r="D601" t="s">
        <v>29</v>
      </c>
      <c r="E601">
        <v>1.2</v>
      </c>
    </row>
    <row r="602" spans="2:5" ht="15" customHeight="1" x14ac:dyDescent="0.25">
      <c r="B602" t="s">
        <v>612</v>
      </c>
      <c r="C602" t="s">
        <v>347</v>
      </c>
      <c r="D602" t="s">
        <v>29</v>
      </c>
      <c r="E602">
        <v>2.15</v>
      </c>
    </row>
    <row r="603" spans="2:5" ht="15" customHeight="1" x14ac:dyDescent="0.25">
      <c r="B603" t="s">
        <v>613</v>
      </c>
      <c r="C603" t="s">
        <v>347</v>
      </c>
      <c r="D603" t="s">
        <v>29</v>
      </c>
      <c r="E603">
        <v>1.7</v>
      </c>
    </row>
    <row r="604" spans="2:5" ht="15" customHeight="1" x14ac:dyDescent="0.25">
      <c r="B604" t="s">
        <v>614</v>
      </c>
      <c r="C604" t="s">
        <v>347</v>
      </c>
      <c r="D604" t="s">
        <v>29</v>
      </c>
      <c r="E604">
        <v>1.2</v>
      </c>
    </row>
    <row r="605" spans="2:5" ht="15" customHeight="1" x14ac:dyDescent="0.25">
      <c r="B605" t="s">
        <v>615</v>
      </c>
      <c r="C605" t="s">
        <v>347</v>
      </c>
      <c r="D605" t="s">
        <v>29</v>
      </c>
      <c r="E605">
        <v>3.4</v>
      </c>
    </row>
    <row r="606" spans="2:5" ht="15" customHeight="1" x14ac:dyDescent="0.25">
      <c r="B606" t="s">
        <v>616</v>
      </c>
      <c r="C606" t="s">
        <v>347</v>
      </c>
      <c r="D606" t="s">
        <v>29</v>
      </c>
      <c r="E606">
        <v>1.2</v>
      </c>
    </row>
    <row r="607" spans="2:5" ht="15" customHeight="1" x14ac:dyDescent="0.25">
      <c r="B607" t="s">
        <v>617</v>
      </c>
      <c r="C607" t="s">
        <v>347</v>
      </c>
      <c r="D607" t="s">
        <v>29</v>
      </c>
      <c r="E607">
        <v>1.2</v>
      </c>
    </row>
    <row r="608" spans="2:5" ht="15" customHeight="1" x14ac:dyDescent="0.25">
      <c r="B608" t="s">
        <v>618</v>
      </c>
      <c r="C608" t="s">
        <v>347</v>
      </c>
      <c r="D608" t="s">
        <v>29</v>
      </c>
      <c r="E608">
        <v>1.9</v>
      </c>
    </row>
    <row r="609" spans="2:5" ht="15" customHeight="1" x14ac:dyDescent="0.25">
      <c r="B609" t="s">
        <v>619</v>
      </c>
      <c r="C609" t="s">
        <v>347</v>
      </c>
      <c r="D609" t="s">
        <v>29</v>
      </c>
      <c r="E609">
        <v>1.5</v>
      </c>
    </row>
    <row r="610" spans="2:5" ht="15" customHeight="1" x14ac:dyDescent="0.25">
      <c r="B610" t="s">
        <v>620</v>
      </c>
      <c r="C610" t="s">
        <v>347</v>
      </c>
      <c r="D610" t="s">
        <v>29</v>
      </c>
      <c r="E610">
        <v>1.2</v>
      </c>
    </row>
    <row r="611" spans="2:5" ht="15" customHeight="1" x14ac:dyDescent="0.25">
      <c r="B611" t="s">
        <v>621</v>
      </c>
      <c r="C611" t="s">
        <v>347</v>
      </c>
      <c r="D611" t="s">
        <v>29</v>
      </c>
      <c r="E611">
        <v>1.2</v>
      </c>
    </row>
    <row r="612" spans="2:5" ht="15" customHeight="1" x14ac:dyDescent="0.25">
      <c r="B612" t="s">
        <v>622</v>
      </c>
      <c r="C612" t="s">
        <v>351</v>
      </c>
      <c r="D612" t="s">
        <v>29</v>
      </c>
      <c r="E612">
        <v>1.2</v>
      </c>
    </row>
    <row r="613" spans="2:5" ht="15" customHeight="1" x14ac:dyDescent="0.25">
      <c r="B613" t="s">
        <v>623</v>
      </c>
      <c r="C613" t="s">
        <v>347</v>
      </c>
      <c r="D613" t="s">
        <v>29</v>
      </c>
      <c r="E613">
        <v>1.6</v>
      </c>
    </row>
    <row r="614" spans="2:5" ht="15" customHeight="1" x14ac:dyDescent="0.25">
      <c r="B614" t="s">
        <v>624</v>
      </c>
      <c r="C614" t="s">
        <v>347</v>
      </c>
      <c r="D614" t="s">
        <v>29</v>
      </c>
      <c r="E614">
        <v>1.2</v>
      </c>
    </row>
    <row r="615" spans="2:5" ht="15" customHeight="1" x14ac:dyDescent="0.25">
      <c r="B615" t="s">
        <v>625</v>
      </c>
      <c r="C615" t="s">
        <v>347</v>
      </c>
      <c r="D615" t="s">
        <v>29</v>
      </c>
      <c r="E615">
        <v>1.2</v>
      </c>
    </row>
    <row r="616" spans="2:5" ht="15" customHeight="1" x14ac:dyDescent="0.25">
      <c r="B616" t="s">
        <v>626</v>
      </c>
      <c r="C616" t="s">
        <v>349</v>
      </c>
      <c r="D616" t="s">
        <v>29</v>
      </c>
      <c r="E616">
        <v>1.2</v>
      </c>
    </row>
    <row r="617" spans="2:5" ht="15" customHeight="1" x14ac:dyDescent="0.25">
      <c r="B617" t="s">
        <v>627</v>
      </c>
      <c r="C617" t="s">
        <v>346</v>
      </c>
      <c r="D617" t="s">
        <v>29</v>
      </c>
      <c r="E617">
        <v>1.2</v>
      </c>
    </row>
    <row r="618" spans="2:5" ht="15" customHeight="1" x14ac:dyDescent="0.25">
      <c r="B618" t="s">
        <v>628</v>
      </c>
      <c r="C618" t="s">
        <v>347</v>
      </c>
      <c r="D618" t="s">
        <v>22</v>
      </c>
      <c r="E618">
        <v>2</v>
      </c>
    </row>
    <row r="619" spans="2:5" ht="15" customHeight="1" x14ac:dyDescent="0.25">
      <c r="B619" t="s">
        <v>629</v>
      </c>
      <c r="C619" t="s">
        <v>347</v>
      </c>
      <c r="D619" t="s">
        <v>29</v>
      </c>
      <c r="E619">
        <v>1.3</v>
      </c>
    </row>
    <row r="620" spans="2:5" ht="15" customHeight="1" x14ac:dyDescent="0.25">
      <c r="B620" t="s">
        <v>630</v>
      </c>
      <c r="C620" t="s">
        <v>347</v>
      </c>
      <c r="D620" t="s">
        <v>29</v>
      </c>
      <c r="E620">
        <v>1.6</v>
      </c>
    </row>
    <row r="621" spans="2:5" ht="15" customHeight="1" x14ac:dyDescent="0.25">
      <c r="B621" t="s">
        <v>631</v>
      </c>
      <c r="C621" t="s">
        <v>348</v>
      </c>
      <c r="D621" t="s">
        <v>29</v>
      </c>
      <c r="E621">
        <v>1.2</v>
      </c>
    </row>
    <row r="622" spans="2:5" ht="15" customHeight="1" x14ac:dyDescent="0.25">
      <c r="B622" t="s">
        <v>632</v>
      </c>
      <c r="C622" t="s">
        <v>348</v>
      </c>
      <c r="D622" t="s">
        <v>29</v>
      </c>
      <c r="E622">
        <v>1.4</v>
      </c>
    </row>
    <row r="623" spans="2:5" ht="15" customHeight="1" x14ac:dyDescent="0.25">
      <c r="B623" t="s">
        <v>633</v>
      </c>
      <c r="C623" t="s">
        <v>346</v>
      </c>
      <c r="D623" t="s">
        <v>29</v>
      </c>
      <c r="E623">
        <v>1.4</v>
      </c>
    </row>
    <row r="624" spans="2:5" ht="15" customHeight="1" x14ac:dyDescent="0.25">
      <c r="B624" t="s">
        <v>634</v>
      </c>
      <c r="C624" t="s">
        <v>347</v>
      </c>
      <c r="D624" t="s">
        <v>29</v>
      </c>
      <c r="E624">
        <v>1.2</v>
      </c>
    </row>
    <row r="625" spans="1:5" ht="15" customHeight="1" x14ac:dyDescent="0.25">
      <c r="B625" t="s">
        <v>635</v>
      </c>
      <c r="C625" t="s">
        <v>349</v>
      </c>
      <c r="D625" t="s">
        <v>29</v>
      </c>
      <c r="E625">
        <v>1.2</v>
      </c>
    </row>
    <row r="626" spans="1:5" ht="15" customHeight="1" x14ac:dyDescent="0.25">
      <c r="B626" t="s">
        <v>636</v>
      </c>
      <c r="C626" t="s">
        <v>347</v>
      </c>
      <c r="D626" t="s">
        <v>29</v>
      </c>
      <c r="E626">
        <v>1.2</v>
      </c>
    </row>
    <row r="627" spans="1:5" ht="15" customHeight="1" x14ac:dyDescent="0.25">
      <c r="B627" t="s">
        <v>637</v>
      </c>
      <c r="C627" t="s">
        <v>346</v>
      </c>
      <c r="D627" t="s">
        <v>29</v>
      </c>
      <c r="E627">
        <v>2.1</v>
      </c>
    </row>
    <row r="628" spans="1:5" ht="15" customHeight="1" x14ac:dyDescent="0.25">
      <c r="B628" t="s">
        <v>638</v>
      </c>
      <c r="C628" t="s">
        <v>346</v>
      </c>
      <c r="D628" t="s">
        <v>29</v>
      </c>
      <c r="E628">
        <v>1.8</v>
      </c>
    </row>
    <row r="629" spans="1:5" ht="15" customHeight="1" x14ac:dyDescent="0.25">
      <c r="B629" t="s">
        <v>639</v>
      </c>
      <c r="C629" t="s">
        <v>347</v>
      </c>
      <c r="D629" t="s">
        <v>29</v>
      </c>
      <c r="E629">
        <v>1.8</v>
      </c>
    </row>
    <row r="630" spans="1:5" ht="15" customHeight="1" x14ac:dyDescent="0.25">
      <c r="B630" t="s">
        <v>640</v>
      </c>
      <c r="C630" t="s">
        <v>348</v>
      </c>
      <c r="D630" t="s">
        <v>29</v>
      </c>
      <c r="E630">
        <v>1.8</v>
      </c>
    </row>
    <row r="631" spans="1:5" ht="15" customHeight="1" x14ac:dyDescent="0.25">
      <c r="B631" t="s">
        <v>641</v>
      </c>
      <c r="C631" t="s">
        <v>349</v>
      </c>
      <c r="D631" t="s">
        <v>29</v>
      </c>
      <c r="E631">
        <v>1.8</v>
      </c>
    </row>
    <row r="632" spans="1:5" ht="15" customHeight="1" x14ac:dyDescent="0.25">
      <c r="B632" t="s">
        <v>642</v>
      </c>
      <c r="C632" t="s">
        <v>350</v>
      </c>
      <c r="D632" t="s">
        <v>29</v>
      </c>
      <c r="E632">
        <v>1.8</v>
      </c>
    </row>
    <row r="633" spans="1:5" ht="15" customHeight="1" x14ac:dyDescent="0.25">
      <c r="B633" t="s">
        <v>643</v>
      </c>
      <c r="C633" t="s">
        <v>351</v>
      </c>
      <c r="D633" t="s">
        <v>29</v>
      </c>
      <c r="E633">
        <v>1.8</v>
      </c>
    </row>
    <row r="636" spans="1:5" ht="15" customHeight="1" x14ac:dyDescent="0.25">
      <c r="B636" s="66" t="s">
        <v>520</v>
      </c>
      <c r="C636" s="66" t="s">
        <v>644</v>
      </c>
    </row>
    <row r="637" spans="1:5" ht="15" customHeight="1" x14ac:dyDescent="0.25">
      <c r="A637" t="s">
        <v>645</v>
      </c>
      <c r="B637" s="68" t="s">
        <v>22</v>
      </c>
      <c r="C637" s="35">
        <v>0.02</v>
      </c>
    </row>
    <row r="638" spans="1:5" ht="15" customHeight="1" x14ac:dyDescent="0.25">
      <c r="A638" t="s">
        <v>646</v>
      </c>
      <c r="B638" s="68" t="s">
        <v>29</v>
      </c>
      <c r="C638" s="35">
        <v>0</v>
      </c>
    </row>
    <row r="639" spans="1:5" ht="15" customHeight="1" x14ac:dyDescent="0.25">
      <c r="B639" s="68"/>
      <c r="C639" s="35"/>
    </row>
    <row r="640" spans="1:5" ht="15" customHeight="1" x14ac:dyDescent="0.25">
      <c r="B640" s="68"/>
      <c r="C640" s="35"/>
    </row>
    <row r="641" spans="1:5" ht="15" customHeight="1" x14ac:dyDescent="0.25">
      <c r="B641" s="66" t="s">
        <v>466</v>
      </c>
      <c r="C641" s="66" t="s">
        <v>467</v>
      </c>
      <c r="D641" s="66" t="s">
        <v>644</v>
      </c>
    </row>
    <row r="642" spans="1:5" ht="15" customHeight="1" x14ac:dyDescent="0.25">
      <c r="A642" t="s">
        <v>647</v>
      </c>
      <c r="B642" s="78">
        <v>1</v>
      </c>
      <c r="C642" s="78">
        <v>2.5</v>
      </c>
      <c r="D642" s="68">
        <v>0</v>
      </c>
    </row>
    <row r="643" spans="1:5" ht="15" customHeight="1" x14ac:dyDescent="0.25">
      <c r="B643" s="78">
        <v>2.5</v>
      </c>
      <c r="C643" s="78">
        <v>5</v>
      </c>
      <c r="D643" s="68">
        <v>0.05</v>
      </c>
    </row>
    <row r="644" spans="1:5" ht="15" customHeight="1" x14ac:dyDescent="0.25">
      <c r="B644" s="78">
        <v>5</v>
      </c>
      <c r="C644" s="78">
        <v>10</v>
      </c>
      <c r="D644" s="68">
        <v>0.1</v>
      </c>
    </row>
    <row r="645" spans="1:5" ht="15" customHeight="1" x14ac:dyDescent="0.25">
      <c r="B645" s="78">
        <v>10</v>
      </c>
      <c r="C645" s="78">
        <v>10</v>
      </c>
      <c r="D645" s="68">
        <v>0.15</v>
      </c>
    </row>
    <row r="648" spans="1:5" ht="15" customHeight="1" x14ac:dyDescent="0.25">
      <c r="A648" t="s">
        <v>650</v>
      </c>
      <c r="B648" s="66" t="s">
        <v>652</v>
      </c>
      <c r="C648" s="66" t="s">
        <v>44</v>
      </c>
      <c r="D648" s="66" t="s">
        <v>649</v>
      </c>
      <c r="E648" s="66" t="s">
        <v>45</v>
      </c>
    </row>
    <row r="649" spans="1:5" ht="15" customHeight="1" x14ac:dyDescent="0.25">
      <c r="B649" t="str">
        <f>C649&amp;D649</f>
        <v>11000</v>
      </c>
      <c r="C649">
        <v>1</v>
      </c>
      <c r="D649">
        <v>1000</v>
      </c>
      <c r="E649">
        <v>1928990</v>
      </c>
    </row>
    <row r="650" spans="1:5" ht="15" customHeight="1" x14ac:dyDescent="0.25">
      <c r="B650" t="str">
        <f t="shared" ref="B650:B672" si="9">C650&amp;D650</f>
        <v>12500</v>
      </c>
      <c r="C650">
        <v>1</v>
      </c>
      <c r="D650">
        <v>2500</v>
      </c>
      <c r="E650">
        <v>2137321</v>
      </c>
    </row>
    <row r="651" spans="1:5" ht="15" customHeight="1" x14ac:dyDescent="0.25">
      <c r="B651" t="str">
        <f t="shared" si="9"/>
        <v>15000</v>
      </c>
      <c r="C651">
        <v>1</v>
      </c>
      <c r="D651">
        <v>5000</v>
      </c>
      <c r="E651">
        <v>2284683</v>
      </c>
    </row>
    <row r="652" spans="1:5" ht="15" customHeight="1" x14ac:dyDescent="0.25">
      <c r="B652" t="str">
        <f t="shared" si="9"/>
        <v>110000</v>
      </c>
      <c r="C652">
        <v>1</v>
      </c>
      <c r="D652">
        <v>10000</v>
      </c>
      <c r="E652">
        <v>2453871</v>
      </c>
    </row>
    <row r="653" spans="1:5" ht="15" customHeight="1" x14ac:dyDescent="0.25">
      <c r="B653" t="str">
        <f t="shared" si="9"/>
        <v>21000</v>
      </c>
      <c r="C653">
        <v>2</v>
      </c>
      <c r="D653">
        <v>1000</v>
      </c>
      <c r="E653">
        <v>1543192</v>
      </c>
    </row>
    <row r="654" spans="1:5" ht="15" customHeight="1" x14ac:dyDescent="0.25">
      <c r="B654" t="str">
        <f t="shared" si="9"/>
        <v>22500</v>
      </c>
      <c r="C654">
        <v>2</v>
      </c>
      <c r="D654">
        <v>2500</v>
      </c>
      <c r="E654">
        <v>1709857</v>
      </c>
    </row>
    <row r="655" spans="1:5" ht="15" customHeight="1" x14ac:dyDescent="0.25">
      <c r="B655" t="str">
        <f t="shared" si="9"/>
        <v>25000</v>
      </c>
      <c r="C655">
        <v>2</v>
      </c>
      <c r="D655">
        <v>5000</v>
      </c>
      <c r="E655">
        <v>1827746</v>
      </c>
    </row>
    <row r="656" spans="1:5" ht="15" customHeight="1" x14ac:dyDescent="0.25">
      <c r="B656" t="str">
        <f t="shared" si="9"/>
        <v>210000</v>
      </c>
      <c r="C656">
        <v>2</v>
      </c>
      <c r="D656">
        <v>10000</v>
      </c>
      <c r="E656">
        <v>1963096</v>
      </c>
    </row>
    <row r="657" spans="2:5" ht="15" customHeight="1" x14ac:dyDescent="0.25">
      <c r="B657" t="str">
        <f t="shared" si="9"/>
        <v>31000</v>
      </c>
      <c r="C657">
        <v>3</v>
      </c>
      <c r="D657">
        <v>1000</v>
      </c>
      <c r="E657">
        <v>1357684</v>
      </c>
    </row>
    <row r="658" spans="2:5" ht="15" customHeight="1" x14ac:dyDescent="0.25">
      <c r="B658" t="str">
        <f t="shared" si="9"/>
        <v>32500</v>
      </c>
      <c r="C658">
        <v>3</v>
      </c>
      <c r="D658">
        <v>2500</v>
      </c>
      <c r="E658">
        <v>1504314</v>
      </c>
    </row>
    <row r="659" spans="2:5" ht="15" customHeight="1" x14ac:dyDescent="0.25">
      <c r="B659" t="str">
        <f t="shared" si="9"/>
        <v>35000</v>
      </c>
      <c r="C659">
        <v>3</v>
      </c>
      <c r="D659">
        <v>5000</v>
      </c>
      <c r="E659">
        <v>1608032</v>
      </c>
    </row>
    <row r="660" spans="2:5" ht="15" customHeight="1" x14ac:dyDescent="0.25">
      <c r="B660" t="str">
        <f t="shared" si="9"/>
        <v>310000</v>
      </c>
      <c r="C660">
        <v>3</v>
      </c>
      <c r="D660">
        <v>10000</v>
      </c>
      <c r="E660">
        <v>1727111</v>
      </c>
    </row>
    <row r="661" spans="2:5" ht="15" customHeight="1" x14ac:dyDescent="0.25">
      <c r="B661" t="str">
        <f t="shared" si="9"/>
        <v>41000</v>
      </c>
      <c r="C661">
        <v>4</v>
      </c>
      <c r="D661">
        <v>1000</v>
      </c>
      <c r="E661">
        <v>1194694</v>
      </c>
    </row>
    <row r="662" spans="2:5" ht="15" customHeight="1" x14ac:dyDescent="0.25">
      <c r="B662" t="str">
        <f t="shared" si="9"/>
        <v>42500</v>
      </c>
      <c r="C662">
        <v>4</v>
      </c>
      <c r="D662">
        <v>2500</v>
      </c>
      <c r="E662">
        <v>1323721</v>
      </c>
    </row>
    <row r="663" spans="2:5" ht="15" customHeight="1" x14ac:dyDescent="0.25">
      <c r="B663" t="str">
        <f t="shared" si="9"/>
        <v>45000</v>
      </c>
      <c r="C663">
        <v>4</v>
      </c>
      <c r="D663">
        <v>5000</v>
      </c>
      <c r="E663">
        <v>1414987</v>
      </c>
    </row>
    <row r="664" spans="2:5" ht="15" customHeight="1" x14ac:dyDescent="0.25">
      <c r="B664" t="str">
        <f t="shared" si="9"/>
        <v>410000</v>
      </c>
      <c r="C664">
        <v>4</v>
      </c>
      <c r="D664">
        <v>10000</v>
      </c>
      <c r="E664">
        <v>1519771</v>
      </c>
    </row>
    <row r="665" spans="2:5" ht="15" customHeight="1" x14ac:dyDescent="0.25">
      <c r="B665" t="str">
        <f t="shared" si="9"/>
        <v>51000</v>
      </c>
      <c r="C665">
        <v>5</v>
      </c>
      <c r="D665">
        <v>1000</v>
      </c>
      <c r="E665">
        <v>934224</v>
      </c>
    </row>
    <row r="666" spans="2:5" ht="15" customHeight="1" x14ac:dyDescent="0.25">
      <c r="B666" t="str">
        <f t="shared" si="9"/>
        <v>52500</v>
      </c>
      <c r="C666">
        <v>5</v>
      </c>
      <c r="D666">
        <v>2500</v>
      </c>
      <c r="E666">
        <v>1035120</v>
      </c>
    </row>
    <row r="667" spans="2:5" ht="15" customHeight="1" x14ac:dyDescent="0.25">
      <c r="B667" t="str">
        <f t="shared" si="9"/>
        <v>55000</v>
      </c>
      <c r="C667">
        <v>5</v>
      </c>
      <c r="D667">
        <v>5000</v>
      </c>
      <c r="E667">
        <v>1106489</v>
      </c>
    </row>
    <row r="668" spans="2:5" ht="15" customHeight="1" x14ac:dyDescent="0.25">
      <c r="B668" t="str">
        <f t="shared" si="9"/>
        <v>510000</v>
      </c>
      <c r="C668">
        <v>5</v>
      </c>
      <c r="D668">
        <v>10000</v>
      </c>
      <c r="E668">
        <v>1188429</v>
      </c>
    </row>
    <row r="669" spans="2:5" ht="15" customHeight="1" x14ac:dyDescent="0.25">
      <c r="B669" t="str">
        <f t="shared" si="9"/>
        <v>61000</v>
      </c>
      <c r="C669">
        <v>6</v>
      </c>
      <c r="D669">
        <v>1000</v>
      </c>
      <c r="E669">
        <v>821975</v>
      </c>
    </row>
    <row r="670" spans="2:5" ht="15" customHeight="1" x14ac:dyDescent="0.25">
      <c r="B670" t="str">
        <f t="shared" si="9"/>
        <v>62500</v>
      </c>
      <c r="C670">
        <v>6</v>
      </c>
      <c r="D670">
        <v>2500</v>
      </c>
      <c r="E670">
        <v>910748</v>
      </c>
    </row>
    <row r="671" spans="2:5" ht="15" customHeight="1" x14ac:dyDescent="0.25">
      <c r="B671" t="str">
        <f t="shared" si="9"/>
        <v>65000</v>
      </c>
      <c r="C671">
        <v>6</v>
      </c>
      <c r="D671">
        <v>5000</v>
      </c>
      <c r="E671">
        <v>973542</v>
      </c>
    </row>
    <row r="672" spans="2:5" ht="15" customHeight="1" x14ac:dyDescent="0.25">
      <c r="B672" t="str">
        <f t="shared" si="9"/>
        <v>610000</v>
      </c>
      <c r="C672">
        <v>6</v>
      </c>
      <c r="D672">
        <v>10000</v>
      </c>
      <c r="E672">
        <v>1045635</v>
      </c>
    </row>
    <row r="674" spans="1:2" ht="15" customHeight="1" x14ac:dyDescent="0.25">
      <c r="A674" t="s">
        <v>653</v>
      </c>
      <c r="B674">
        <v>1000</v>
      </c>
    </row>
    <row r="675" spans="1:2" ht="15" customHeight="1" x14ac:dyDescent="0.25">
      <c r="B675">
        <v>2500</v>
      </c>
    </row>
    <row r="676" spans="1:2" ht="15" customHeight="1" x14ac:dyDescent="0.25">
      <c r="B676">
        <v>5000</v>
      </c>
    </row>
    <row r="677" spans="1:2" ht="15" customHeight="1" x14ac:dyDescent="0.25">
      <c r="B677">
        <v>10000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238</vt:i4>
      </vt:variant>
    </vt:vector>
  </HeadingPairs>
  <TitlesOfParts>
    <vt:vector size="240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BBR.BBR.DeviationFactorSurplusOnly.Edit</vt:lpstr>
      <vt:lpstr>BBR.BBR.DeviationGreaterThanZero.Edit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BBR.BBR.SurplusLinesDeviationFactor.Comment</vt:lpstr>
      <vt:lpstr>BBR.BBR.SurplusLinesDeviationFactor.Input</vt:lpstr>
      <vt:lpstr>BBR.BBR.SurplusLinesDeviationFactor.Output</vt:lpstr>
      <vt:lpstr>BBR.BBR.SurplusLinesDeviationFactorModifier.Input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lstRetention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tblSLDFBase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Emiliano Duque</cp:lastModifiedBy>
  <dcterms:created xsi:type="dcterms:W3CDTF">2014-01-13T14:30:33Z</dcterms:created>
  <dcterms:modified xsi:type="dcterms:W3CDTF">2022-12-05T22:19:19Z</dcterms:modified>
</cp:coreProperties>
</file>