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atel\Documents\New folder\"/>
    </mc:Choice>
  </mc:AlternateContent>
  <bookViews>
    <workbookView xWindow="0" yWindow="0" windowWidth="19155" windowHeight="6030"/>
  </bookViews>
  <sheets>
    <sheet name="Main" sheetId="1" r:id="rId1"/>
    <sheet name="Reference" sheetId="2" r:id="rId2"/>
  </sheets>
  <definedNames>
    <definedName name="_xlnm._FilterDatabase" localSheetId="0" hidden="1">Main!$A$1:$G$534</definedName>
    <definedName name="_xlnm._FilterDatabase" localSheetId="1" hidden="1">Reference!$A$476:$C$582</definedName>
    <definedName name="BBR.BBR.ADLAnswer.Input">Main!$C$263</definedName>
    <definedName name="BBR.BBR.ADLFactor.Output">Main!$C$264</definedName>
    <definedName name="BBR.BBR.AggregateLimit.Input">Main!$C$83</definedName>
    <definedName name="BBR.BBR.BaseRate.Output">Main!$C$73</definedName>
    <definedName name="BBR.BBR.BPIPercent.Output">Main!$D$511</definedName>
    <definedName name="BBR.BBR.CommissionAdjustment.Output">Main!$C$449</definedName>
    <definedName name="BBR.BBR.CommissionAdjustmentCyberOnly.Output">Main!$D$393</definedName>
    <definedName name="BBR.BBR.CommissionAdjustmentFirstPartyOnly.Output">Main!$D$394</definedName>
    <definedName name="BBR.BBR.CommissionAdjustmentNoCyberNoFirstParty.Output">Main!$D$392</definedName>
    <definedName name="BBR.BBR.EffectiveDate.Input">Main!$C$30</definedName>
    <definedName name="BBR.BBR.ElectronicCrime.Input">Main!$C$251</definedName>
    <definedName name="BBR.BBR.ElectronicCrimeCredit.Output">Main!$C$252</definedName>
    <definedName name="BBR.BBR.ElectronicCrimeDebit.Output">Main!$D$534</definedName>
    <definedName name="BBR.BBR.ExpirationDate.Input">Main!$C$31</definedName>
    <definedName name="BBR.BBR.ExternalBrokerage.Input">Main!$C$379</definedName>
    <definedName name="BBR.BBR.FinalModelPremium.Output">Main!$C$448</definedName>
    <definedName name="BBR.BBR.FradulentInstructionCredit.Output">Main!$C$260</definedName>
    <definedName name="BBR.BBR.FraudulentInstruction.Input">Main!$C$259</definedName>
    <definedName name="BBR.BBR.GrossBenchmarkPrice.Output">Main!$D$510</definedName>
    <definedName name="BBR.BBR.GuidelineNotification.Output">Main!$C$113</definedName>
    <definedName name="BBR.BBR.GuidelineRetention.Output">Main!$C$139</definedName>
    <definedName name="BBR.BBR.HazardGroup.Output">Main!$C$58</definedName>
    <definedName name="BBR.BBR.ILF.Output">Main!$C$104</definedName>
    <definedName name="BBR.BBR.IndustryClass.Input">Main!$C$57</definedName>
    <definedName name="BBR.BBR.IPInfringementAnswer.Input">Main!$C$234</definedName>
    <definedName name="BBR.BBR.IPInfringementDebit.Output">Main!$C$240</definedName>
    <definedName name="BBR.BBR.IPInfringementMax.Output">Main!$C$238</definedName>
    <definedName name="BBR.BBR.IPInfringementMin.Output">Main!$C$237</definedName>
    <definedName name="BBR.BBR.LossRating.Output">Main!$C$182</definedName>
    <definedName name="BBR.BBR.LossRatingClaimCount.Input">Main!$C$166</definedName>
    <definedName name="BBR.BBR.LossRatingFactor.Output">Main!$C$189</definedName>
    <definedName name="BBR.BBR.LossRatingIncurredLoss.Input">Main!$C$167</definedName>
    <definedName name="BBR.BBR.LossRatingLossRatio.Input">Main!$C$168</definedName>
    <definedName name="BBR.BBR.LossRatingMax.Output">Main!$C$181</definedName>
    <definedName name="BBR.BBR.LossRatingMin.Output">Main!$C$180</definedName>
    <definedName name="BBR.BBR.MinimumPremium.Output">Main!$C$373</definedName>
    <definedName name="BBR.BBR.MultiyearProrataFactor.Output">Main!$C$346</definedName>
    <definedName name="BBR.BBR.NebraskaDeviationFactor.Input">Main!$C$364</definedName>
    <definedName name="BBR.BBR.NebraskaDeviationFactor.Output">Main!$C$365</definedName>
    <definedName name="BBR.BBR.NonServicesPremium.Output">Main!$D$518</definedName>
    <definedName name="BBR.BBR.NotificationFactor.Output">Main!$C$127</definedName>
    <definedName name="BBR.BBR.NotificationMax.Output">Main!$C$114</definedName>
    <definedName name="BBR.BBR.PCIFinesandCosts.Input">Main!$C$222</definedName>
    <definedName name="BBR.BBR.PCIFinesandCosts.Output">Main!$C$228</definedName>
    <definedName name="BBR.BBR.PCIFinesandCosts.Percentage">Main!$C$223</definedName>
    <definedName name="BBR.BBR.PrivacyBreachResponse.Output">Main!$C$204</definedName>
    <definedName name="BBR.BBR.PrivacyBreachResponseServices.Input">Main!$C$196</definedName>
    <definedName name="BBR.BBR.PrivacyBreachResponseServices.Percentage">Main!$C$197</definedName>
    <definedName name="BBR.BBR.ProfServicesAnswer.Input">Main!$C$247</definedName>
    <definedName name="BBR.BBR.ProfServicesCredit.Output">Main!$C$248</definedName>
    <definedName name="BBR.BBR.RaterName.Output">Main!$C$24</definedName>
    <definedName name="BBR.BBR.RegulatoryDefenseandPenalties.Input">Main!$C$210</definedName>
    <definedName name="BBR.BBR.RegulatoryDefenseandPenalties.Output">Main!$C$216</definedName>
    <definedName name="BBR.BBR.RegulatoryDefenseandPenalties.Percentage">Main!$C$211</definedName>
    <definedName name="BBR.BBR.RetentionFactor.Output">Main!$C$153</definedName>
    <definedName name="BBR.BBR.RetentionMax.Output">Main!$C$140</definedName>
    <definedName name="BBR.BBR.Revenue.Input">Main!$C$59</definedName>
    <definedName name="BBR.BBR.ScheduleRatingFactor.Output">Main!$C$331</definedName>
    <definedName name="BBR.BBR.SelectedNotification.Input">Main!$C$118</definedName>
    <definedName name="BBR.BBR.SelectedRetention.Input">Main!$C$144</definedName>
    <definedName name="BBR.BBR.ServicesPremium.Output">Main!$D$517</definedName>
    <definedName name="BBR.BBR.State.Input">Main!$C$26</definedName>
    <definedName name="BBR.BBR.SurplusLines.Input">Main!$C$28</definedName>
    <definedName name="BBR.BBR.SurplusLinesDeviationFactor.Input">Main!$C$352</definedName>
    <definedName name="BBR.BBR.SurplusLinesDeviationFactor.Output">Main!$C$353</definedName>
    <definedName name="BBR.BBR.TelephoneFraud.Input">Main!$C$255</definedName>
    <definedName name="BBR.BBR.TelephoneFraudCredit.Output">Main!$C$256</definedName>
    <definedName name="BBR.BBR.UnityPremium.Output">Main!$D$499</definedName>
    <definedName name="lstAdmittedADL">Reference!$B$385:$B$390</definedName>
    <definedName name="lstAdmittedCrisisManagement">Reference!$B$366:$B$368</definedName>
    <definedName name="lstAdmittedHazardGroup">Reference!$B$82:$B$88</definedName>
    <definedName name="lstAdmittedLimits">Reference!$B$91:$B$122</definedName>
    <definedName name="lstAdmittedLossRatingClaimCountPE">Reference!$B$326:$B$330</definedName>
    <definedName name="lstAdmittedLossRatingClaimIncurredMM">Reference!$B$344:$B$348</definedName>
    <definedName name="lstAdmittedLossRatingClaimIncurredPE">Reference!$B$334:$B$338</definedName>
    <definedName name="lstAdmittedLossRatingPE">Reference!$B$334:$B$339</definedName>
    <definedName name="lstAdmittedMultiyearLimitType">Reference!$B$394:$B$396</definedName>
    <definedName name="lstAdmittedMultiyearPaymentType">Reference!$B$400:$B$402</definedName>
    <definedName name="lstAdmittedPCIFinesAndCosts">Reference!$B$372:$B$376</definedName>
    <definedName name="lstAdmittedProfServices">Reference!$B$380:$B$381</definedName>
    <definedName name="lstAdmittedRegDefense">Reference!$B$356:$B$360</definedName>
    <definedName name="lstAdmittedStates">Reference!$B$126:$B$177</definedName>
    <definedName name="lstAdmittedSubOptions">Reference!$B$427:$B$429</definedName>
    <definedName name="lstAdmittedUnusualCharacteristics">Reference!$B$319:$B$321</definedName>
    <definedName name="lstBBRADL">Reference!$B$385:$B$390</definedName>
    <definedName name="lstBBRCrisisManagement">Reference!$B$366:$B$368</definedName>
    <definedName name="lstBBRHazardGroup">Reference!$B$82:$B$88</definedName>
    <definedName name="lstBBRLimits">Reference!$B$91:$B$122</definedName>
    <definedName name="lstBBRMultiyearLimitType">Reference!$B$394:$B$396</definedName>
    <definedName name="lstBBRMultiyearPaymentType">Reference!$B$400:$B$402</definedName>
    <definedName name="lstBBRPCIFinesAndCosts">Reference!$B$372:$B$376</definedName>
    <definedName name="lstBBRProfServices">Reference!$B$380:$B$381</definedName>
    <definedName name="lstBBRRegDefense">Reference!$B$356:$B$360</definedName>
    <definedName name="lstBBRStates">Reference!$B$126:$B$177</definedName>
    <definedName name="lstBBRSubOptions">Reference!$B$427:$B$429</definedName>
    <definedName name="lstBBRUnusualCharacteristics">Reference!$B$319:$B$321</definedName>
    <definedName name="lstElectronicCrime">Reference!$B$457:$B$458</definedName>
    <definedName name="lstFraudulentInstruction">Reference!$B$470:$B$471</definedName>
    <definedName name="lstFullMediaCoverage">Reference!$B$446:$B$448</definedName>
    <definedName name="lstIndustries">Reference!$B$477:$B$582</definedName>
    <definedName name="lstPrivacyBreachResponseServices">Reference!$B$435:$B$439</definedName>
    <definedName name="lstProfessionalServicesLiability">Reference!$B$452:$B$453</definedName>
    <definedName name="lstTelecommunicationsFraud">Reference!$B$464:$B$465</definedName>
    <definedName name="lstYesNo">Reference!$B$185:$B$186</definedName>
    <definedName name="RoundingLimit.Lower.Output">Main!$C$523</definedName>
    <definedName name="RoundingLimit.Upper.Output">Main!$C$524</definedName>
    <definedName name="tblAdmittedADL">Reference!$B$385:$C$390</definedName>
    <definedName name="tblAdmittedBaseRateAtStart">Reference!$B$45:$K$79</definedName>
    <definedName name="tblAdmittedBaseRatesInBand">Reference!$B$7:$K$41</definedName>
    <definedName name="tblAdmittedCrisisManagement">Reference!$B$366:$E$368</definedName>
    <definedName name="tblAdmittedGuidelineNotification">Reference!$B$190:$G$194</definedName>
    <definedName name="tblAdmittedGuidelineRetention">Reference!$B$211:$G$212</definedName>
    <definedName name="tblAdmittedHazardGroupColumn">Reference!$B$82:$C$88</definedName>
    <definedName name="tblAdmittedILFs">Reference!$B$91:$E$122</definedName>
    <definedName name="tblAdmittedLossRatingClaimCountPE">Reference!$B$326:$E$330</definedName>
    <definedName name="tblAdmittedLossRatingClaimIncurredMM">Reference!$B$344:$E$348</definedName>
    <definedName name="tblAdmittedLossRatingClaimIncurredPE">Reference!$B$334:$E$338</definedName>
    <definedName name="tblAdmittedLossRatingPE">Reference!$B$334:$E$339</definedName>
    <definedName name="tblAdmittedMultiyearFactor">Reference!$B$406:$I$412</definedName>
    <definedName name="tblAdmittedNotificationFactor">Reference!$B$198:$E$207</definedName>
    <definedName name="tblAdmittedPCIFinesAndCosts">Reference!$B$372:$D$376</definedName>
    <definedName name="tblAdmittedProfServices">Reference!$B$380:$E$381</definedName>
    <definedName name="tblAdmittedRegDefense">Reference!$B$356:$D$360</definedName>
    <definedName name="tblAdmittedRetentionFactor">Reference!$B$216:$E$315</definedName>
    <definedName name="tblAdmittedRounding">Reference!$B$416:$E$422</definedName>
    <definedName name="tblAdmittedStateApplicabilities">Reference!$B$181:$M$181</definedName>
    <definedName name="tblAdmittedStates">Reference!$B$126:$C$177</definedName>
    <definedName name="tblAdmittedUnusualCharacteristics">Reference!$B$319:$E$321</definedName>
    <definedName name="tblBBRADL">Reference!$B$385:$C$390</definedName>
    <definedName name="tblBBRBaseRateAtStart">Reference!$B$45:$K$79</definedName>
    <definedName name="tblBBRBaseRatesInBand">Reference!$B$7:$K$41</definedName>
    <definedName name="tblBBRCrisisManagement">Reference!$B$366:$E$368</definedName>
    <definedName name="tblBBRGuidelineNotification">Reference!$B$190:$G$194</definedName>
    <definedName name="tblBBRGuidelineRetention">Reference!$B$211:$G$212</definedName>
    <definedName name="tblBBRHazardGroupColumn">Reference!$B$82:$C$88</definedName>
    <definedName name="tblBBRILFs">Reference!$B$91:$E$122</definedName>
    <definedName name="tblBBRMultiyearFactor">Reference!$B$406:$I$412</definedName>
    <definedName name="tblBBRNotificationFactor">Reference!$B$198:$E$207</definedName>
    <definedName name="tblBBRPCIFinesAndCosts">Reference!$B$372:$D$376</definedName>
    <definedName name="tblBBRProfServices">Reference!$B$380:$E$381</definedName>
    <definedName name="tblBBRRegDefense">Reference!$B$356:$D$360</definedName>
    <definedName name="tblBBRRetentionFactor">Reference!$B$216:$E$315</definedName>
    <definedName name="tblBBRRounding">Reference!$B$416:$E$422</definedName>
    <definedName name="tblBBRStateApplicabilities">Reference!$B$181:$K$181</definedName>
    <definedName name="tblBBRStates">Reference!$B$126:$C$177</definedName>
    <definedName name="tblBBRUnusualCharacteristics">Reference!$B$319:$E$321</definedName>
    <definedName name="tblElectronicCrime">Reference!$B$457:$E$458</definedName>
    <definedName name="tblFraudulentInstruction">Reference!$B$470:$E$471</definedName>
    <definedName name="tblFullMediaCoverage">Reference!$B$446:$E$448</definedName>
    <definedName name="tblIndustries">Reference!$B$477:$D$582</definedName>
    <definedName name="tblPrivacyBreachResponseServices">Reference!$B$435:$D$439</definedName>
    <definedName name="tblProfessionalServicesLiability">Reference!$B$452:$E$453</definedName>
    <definedName name="tblTelecommunicationsFraud">Reference!$B$464:$E$465</definedName>
  </definedNames>
  <calcPr calcId="162913"/>
</workbook>
</file>

<file path=xl/calcChain.xml><?xml version="1.0" encoding="utf-8"?>
<calcChain xmlns="http://schemas.openxmlformats.org/spreadsheetml/2006/main">
  <c r="G27" i="1" l="1"/>
  <c r="C325" i="1" l="1"/>
  <c r="C308" i="1"/>
  <c r="C307" i="1"/>
  <c r="C302" i="1"/>
  <c r="C301" i="1"/>
  <c r="C300" i="1"/>
  <c r="C299" i="1"/>
  <c r="C298" i="1"/>
  <c r="C297" i="1"/>
  <c r="C296" i="1"/>
  <c r="C295" i="1"/>
  <c r="C294" i="1"/>
  <c r="C293" i="1"/>
  <c r="C265" i="1"/>
  <c r="C264" i="1"/>
  <c r="C412" i="1" s="1"/>
  <c r="C260" i="1"/>
  <c r="D477" i="1" s="1"/>
  <c r="C256" i="1"/>
  <c r="C252" i="1"/>
  <c r="C248" i="1"/>
  <c r="C241" i="1"/>
  <c r="C236" i="1"/>
  <c r="C240" i="1" s="1"/>
  <c r="C223" i="1"/>
  <c r="C225" i="1" s="1"/>
  <c r="C227" i="1" s="1"/>
  <c r="C211" i="1"/>
  <c r="C213" i="1" s="1"/>
  <c r="C215" i="1" s="1"/>
  <c r="C202" i="1"/>
  <c r="C178" i="1"/>
  <c r="C177" i="1"/>
  <c r="C176" i="1"/>
  <c r="C175" i="1"/>
  <c r="C174" i="1"/>
  <c r="C173" i="1"/>
  <c r="C172" i="1"/>
  <c r="C171" i="1"/>
  <c r="C170" i="1"/>
  <c r="C99" i="1"/>
  <c r="C90" i="1"/>
  <c r="C95" i="1" s="1"/>
  <c r="C89" i="1"/>
  <c r="C98" i="1" s="1"/>
  <c r="C64" i="1"/>
  <c r="C66" i="1" s="1"/>
  <c r="C60" i="1"/>
  <c r="C179" i="1" s="1"/>
  <c r="C182" i="1" s="1"/>
  <c r="C58" i="1"/>
  <c r="C68" i="1" s="1"/>
  <c r="C45" i="1"/>
  <c r="C27" i="1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E48" i="2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J47" i="2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G47" i="2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E47" i="2"/>
  <c r="K46" i="2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J46" i="2"/>
  <c r="I46" i="2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H46" i="2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G46" i="2"/>
  <c r="F46" i="2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E46" i="2"/>
  <c r="C509" i="1"/>
  <c r="C504" i="1"/>
  <c r="D476" i="1"/>
  <c r="D475" i="1"/>
  <c r="D474" i="1"/>
  <c r="C439" i="1"/>
  <c r="C421" i="1"/>
  <c r="C420" i="1"/>
  <c r="C419" i="1"/>
  <c r="C418" i="1"/>
  <c r="C382" i="1"/>
  <c r="C381" i="1"/>
  <c r="C367" i="1"/>
  <c r="C366" i="1"/>
  <c r="C365" i="1"/>
  <c r="C435" i="1" s="1"/>
  <c r="C355" i="1"/>
  <c r="C354" i="1"/>
  <c r="C353" i="1"/>
  <c r="C430" i="1" s="1"/>
  <c r="C318" i="1"/>
  <c r="C197" i="1"/>
  <c r="C198" i="1" s="1"/>
  <c r="C200" i="1" s="1"/>
  <c r="C134" i="1"/>
  <c r="C137" i="1" s="1"/>
  <c r="C108" i="1"/>
  <c r="C82" i="1"/>
  <c r="C102" i="1" s="1"/>
  <c r="C103" i="1" s="1"/>
  <c r="C76" i="1"/>
  <c r="C39" i="1"/>
  <c r="C38" i="1"/>
  <c r="C40" i="1" s="1"/>
  <c r="C29" i="1"/>
  <c r="C313" i="1" s="1"/>
  <c r="C212" i="1" l="1"/>
  <c r="C216" i="1" s="1"/>
  <c r="C91" i="1"/>
  <c r="C203" i="1"/>
  <c r="C204" i="1" s="1"/>
  <c r="C199" i="1"/>
  <c r="C201" i="1" s="1"/>
  <c r="C214" i="1"/>
  <c r="C65" i="1"/>
  <c r="C67" i="1" s="1"/>
  <c r="C136" i="1"/>
  <c r="C69" i="1"/>
  <c r="C339" i="1"/>
  <c r="C47" i="1"/>
  <c r="D470" i="1"/>
  <c r="C414" i="1"/>
  <c r="D471" i="1"/>
  <c r="C415" i="1"/>
  <c r="D473" i="1"/>
  <c r="C417" i="1"/>
  <c r="C100" i="1"/>
  <c r="C41" i="1"/>
  <c r="D468" i="1"/>
  <c r="C46" i="1"/>
  <c r="C315" i="1"/>
  <c r="C70" i="1"/>
  <c r="C71" i="1" s="1"/>
  <c r="C73" i="1" s="1"/>
  <c r="C109" i="1"/>
  <c r="C135" i="1"/>
  <c r="C306" i="1"/>
  <c r="C111" i="1"/>
  <c r="C92" i="1"/>
  <c r="C112" i="1"/>
  <c r="C138" i="1"/>
  <c r="C139" i="1" s="1"/>
  <c r="C309" i="1"/>
  <c r="C329" i="1"/>
  <c r="C94" i="1"/>
  <c r="C96" i="1" s="1"/>
  <c r="C310" i="1"/>
  <c r="C75" i="1"/>
  <c r="C110" i="1"/>
  <c r="C32" i="1"/>
  <c r="C224" i="1"/>
  <c r="C311" i="1"/>
  <c r="C33" i="1"/>
  <c r="C304" i="1"/>
  <c r="C312" i="1"/>
  <c r="C36" i="1"/>
  <c r="C85" i="1" s="1"/>
  <c r="C87" i="1" s="1"/>
  <c r="C104" i="1" s="1"/>
  <c r="C305" i="1"/>
  <c r="C113" i="1" l="1"/>
  <c r="C117" i="1"/>
  <c r="C119" i="1" s="1"/>
  <c r="C114" i="1"/>
  <c r="C399" i="1"/>
  <c r="D455" i="1"/>
  <c r="C48" i="1"/>
  <c r="C340" i="1"/>
  <c r="C347" i="1" s="1"/>
  <c r="C140" i="1"/>
  <c r="C143" i="1"/>
  <c r="C145" i="1" s="1"/>
  <c r="C226" i="1"/>
  <c r="C228" i="1"/>
  <c r="C181" i="1"/>
  <c r="C238" i="1"/>
  <c r="C180" i="1"/>
  <c r="C237" i="1"/>
  <c r="C317" i="1"/>
  <c r="C316" i="1"/>
  <c r="C400" i="1"/>
  <c r="D456" i="1"/>
  <c r="C342" i="1"/>
  <c r="C183" i="1" l="1"/>
  <c r="C151" i="1"/>
  <c r="C150" i="1"/>
  <c r="C149" i="1"/>
  <c r="C148" i="1"/>
  <c r="C155" i="1"/>
  <c r="C410" i="1"/>
  <c r="C403" i="1"/>
  <c r="C242" i="1"/>
  <c r="D466" i="1"/>
  <c r="D459" i="1"/>
  <c r="C416" i="1"/>
  <c r="D472" i="1"/>
  <c r="C319" i="1"/>
  <c r="C320" i="1" s="1"/>
  <c r="C344" i="1"/>
  <c r="C346" i="1" s="1"/>
  <c r="C125" i="1"/>
  <c r="C124" i="1"/>
  <c r="C123" i="1"/>
  <c r="C122" i="1"/>
  <c r="C129" i="1"/>
  <c r="C413" i="1" l="1"/>
  <c r="C422" i="1" s="1"/>
  <c r="C406" i="1"/>
  <c r="D485" i="1"/>
  <c r="C429" i="1"/>
  <c r="C126" i="1"/>
  <c r="C127" i="1" s="1"/>
  <c r="C130" i="1"/>
  <c r="D462" i="1"/>
  <c r="D464" i="1" s="1"/>
  <c r="D481" i="1" s="1"/>
  <c r="D469" i="1"/>
  <c r="D478" i="1" s="1"/>
  <c r="C156" i="1"/>
  <c r="C152" i="1"/>
  <c r="C153" i="1" s="1"/>
  <c r="D457" i="1" l="1"/>
  <c r="D467" i="1" s="1"/>
  <c r="D479" i="1" s="1"/>
  <c r="D482" i="1" s="1"/>
  <c r="C401" i="1"/>
  <c r="C411" i="1" s="1"/>
  <c r="C423" i="1" s="1"/>
  <c r="C426" i="1" s="1"/>
  <c r="D458" i="1"/>
  <c r="C402" i="1"/>
  <c r="C408" i="1"/>
  <c r="C425" i="1" s="1"/>
  <c r="C186" i="1"/>
  <c r="C188" i="1" s="1"/>
  <c r="C189" i="1" s="1"/>
  <c r="D487" i="1" l="1"/>
  <c r="D489" i="1" s="1"/>
  <c r="D491" i="1" s="1"/>
  <c r="D493" i="1" s="1"/>
  <c r="D495" i="1" s="1"/>
  <c r="D497" i="1" s="1"/>
  <c r="D499" i="1" s="1"/>
  <c r="D506" i="1" s="1"/>
  <c r="D508" i="1" s="1"/>
  <c r="D510" i="1" s="1"/>
  <c r="D511" i="1" s="1"/>
  <c r="C324" i="1"/>
  <c r="C407" i="1"/>
  <c r="D463" i="1"/>
  <c r="C326" i="1" l="1"/>
  <c r="C327" i="1" s="1"/>
  <c r="C328" i="1" s="1"/>
  <c r="C330" i="1" s="1"/>
  <c r="C331" i="1" s="1"/>
  <c r="C427" i="1" s="1"/>
  <c r="E463" i="1" l="1"/>
  <c r="D387" i="1"/>
  <c r="D392" i="1" s="1"/>
  <c r="E462" i="1"/>
  <c r="E461" i="1"/>
  <c r="D388" i="1"/>
  <c r="D393" i="1" s="1"/>
  <c r="C431" i="1"/>
  <c r="C433" i="1" s="1"/>
  <c r="C436" i="1" s="1"/>
  <c r="C438" i="1" s="1"/>
  <c r="C440" i="1" s="1"/>
  <c r="C442" i="1" s="1"/>
  <c r="C443" i="1" s="1"/>
  <c r="C448" i="1" s="1"/>
  <c r="D516" i="1" s="1"/>
  <c r="D389" i="1"/>
  <c r="D394" i="1" s="1"/>
  <c r="D517" i="1" l="1"/>
  <c r="D518" i="1" s="1"/>
</calcChain>
</file>

<file path=xl/comments1.xml><?xml version="1.0" encoding="utf-8"?>
<comments xmlns="http://schemas.openxmlformats.org/spreadsheetml/2006/main">
  <authors>
    <author>lawsb</author>
  </authors>
  <commentList>
    <comment ref="D498" authorId="0" shapeId="0">
      <text>
        <r>
          <rPr>
            <b/>
            <sz val="9"/>
            <color indexed="8"/>
            <rFont val="Tahoma"/>
            <family val="2"/>
          </rPr>
          <t>lawsb:</t>
        </r>
        <r>
          <rPr>
            <sz val="9"/>
            <color indexed="8"/>
            <rFont val="Tahoma"/>
            <family val="2"/>
          </rPr>
          <t xml:space="preserve">
Corrected</t>
        </r>
      </text>
    </comment>
    <comment ref="C504" authorId="0" shapeId="0">
      <text>
        <r>
          <rPr>
            <b/>
            <sz val="9"/>
            <color indexed="8"/>
            <rFont val="Tahoma"/>
            <family val="2"/>
          </rPr>
          <t>lawsb:</t>
        </r>
        <r>
          <rPr>
            <sz val="9"/>
            <color indexed="8"/>
            <rFont val="Tahoma"/>
            <family val="2"/>
          </rPr>
          <t xml:space="preserve">
Changed
</t>
        </r>
      </text>
    </comment>
  </commentList>
</comments>
</file>

<file path=xl/sharedStrings.xml><?xml version="1.0" encoding="utf-8"?>
<sst xmlns="http://schemas.openxmlformats.org/spreadsheetml/2006/main" count="1130" uniqueCount="627">
  <si>
    <t>Product=BBR Type=ADMITTED Instance=HI Effective=20180101 Renewal=20180101</t>
  </si>
  <si>
    <t>prompt</t>
  </si>
  <si>
    <t>input</t>
  </si>
  <si>
    <t>label</t>
  </si>
  <si>
    <t>output</t>
  </si>
  <si>
    <t>edit</t>
  </si>
  <si>
    <t>Beazley Insurance Company, Inc.</t>
  </si>
  <si>
    <t>BBR Select</t>
  </si>
  <si>
    <t>This rater will be used in the BBR MM workbook, the BBR Select Workbook (possibly) and in online platforms</t>
  </si>
  <si>
    <t>In the BBR MM rater it will need to support 10 options simultaneously</t>
  </si>
  <si>
    <t>Put all non-optionable stuff in column C</t>
  </si>
  <si>
    <t>Option 1 will be in column D, this will also be the only option for the true DRC format</t>
  </si>
  <si>
    <t>Options 2 through 10 in columns E:M</t>
  </si>
  <si>
    <t>Do not reference any named ranges of these sheet by name, only by cell</t>
  </si>
  <si>
    <t>Reference all names ranges of the "Reference" tab by name and never by address</t>
  </si>
  <si>
    <t>Since the rater will be made modular, i.e. some inputs may be linked as outputs to other "modules", error checking must be more explicit</t>
  </si>
  <si>
    <t>In other words, we cannot rely on DRC checking that inputs are within the selected validation range for a cell because said cell may be "turned off" as an input</t>
  </si>
  <si>
    <t>So, every cell that has a drop down list must have an associated edit cell to check that the selected value is in the desired domain</t>
  </si>
  <si>
    <t>All cells below highlighted in yellow need further work or checking</t>
  </si>
  <si>
    <t>Basic Inputs</t>
  </si>
  <si>
    <t>State</t>
  </si>
  <si>
    <t>HI</t>
  </si>
  <si>
    <t>Abbreviated State</t>
  </si>
  <si>
    <t>Surplus Lines?</t>
  </si>
  <si>
    <t>No</t>
  </si>
  <si>
    <t>State Decode</t>
  </si>
  <si>
    <t>Effective Date (Text)</t>
  </si>
  <si>
    <t/>
  </si>
  <si>
    <t>Expiration Date (Text)</t>
  </si>
  <si>
    <t>Range Rating Allowed?</t>
  </si>
  <si>
    <t>Refer to Company Rating Allowed?</t>
  </si>
  <si>
    <t>Do Commission Adjustment?</t>
  </si>
  <si>
    <t>Rounding Allowed?</t>
  </si>
  <si>
    <t>$1M Minimum Limit?</t>
  </si>
  <si>
    <t>Effective Date (Upper Text)</t>
  </si>
  <si>
    <t>Expiration Date (Upper Text)</t>
  </si>
  <si>
    <t>Effective Date (DateValue)</t>
  </si>
  <si>
    <t>Expiration Date (DateValue)</t>
  </si>
  <si>
    <t>Surplus lines "yes/no" is invalid</t>
  </si>
  <si>
    <t>If effective date or expiration date is TBD both must be TBD</t>
  </si>
  <si>
    <t>Effective date must be after Jan 30, 2014</t>
  </si>
  <si>
    <t>Expiration date must be after effective date</t>
  </si>
  <si>
    <t>Base Rate (Step 2.A.)</t>
  </si>
  <si>
    <t>Within this "module" HG is an input</t>
  </si>
  <si>
    <t>We will probably create an additional "module" to resolve NAICS code or industry to a hazard group</t>
  </si>
  <si>
    <t>Industry Class</t>
  </si>
  <si>
    <t>Hazard Group</t>
  </si>
  <si>
    <t>Revenue</t>
  </si>
  <si>
    <t>MM or PE?</t>
  </si>
  <si>
    <t>Effective Maximum Revenue</t>
  </si>
  <si>
    <t>Base Rate</t>
  </si>
  <si>
    <t>Start of Revenue Band</t>
  </si>
  <si>
    <t>End of Revenue Band</t>
  </si>
  <si>
    <t>Revenue in Band</t>
  </si>
  <si>
    <t>Hazard Group Column</t>
  </si>
  <si>
    <t>Base Rate at Start</t>
  </si>
  <si>
    <t>Rate in Band</t>
  </si>
  <si>
    <t>Hazard group selection is not valid</t>
  </si>
  <si>
    <t>Revenue is out of bounds</t>
  </si>
  <si>
    <t>Increased Limit Factor (Step 2.B.)</t>
  </si>
  <si>
    <t>Option 1</t>
  </si>
  <si>
    <t>Aggregate Limit</t>
  </si>
  <si>
    <t>Min Limit in Table</t>
  </si>
  <si>
    <t>Effective Maximum Limit</t>
  </si>
  <si>
    <t>Aggregate limit is not within bounds</t>
  </si>
  <si>
    <t>Limit Below</t>
  </si>
  <si>
    <t>Limit Above</t>
  </si>
  <si>
    <t>Limit in Band</t>
  </si>
  <si>
    <t>Ratio in Band</t>
  </si>
  <si>
    <t>$200m ILF Below</t>
  </si>
  <si>
    <t>$200m ILF Above</t>
  </si>
  <si>
    <t>$200m ILF at Limit</t>
  </si>
  <si>
    <t>$300m ILF Below</t>
  </si>
  <si>
    <t>$300m ILF Above</t>
  </si>
  <si>
    <t>$300m ILF at Limit</t>
  </si>
  <si>
    <t>Revenue Above $200m</t>
  </si>
  <si>
    <t>Column Weighting</t>
  </si>
  <si>
    <t>ILF at Revenue</t>
  </si>
  <si>
    <t>Notification Factor (Step 2.C.)</t>
  </si>
  <si>
    <t>Slope</t>
  </si>
  <si>
    <t>Intercept</t>
  </si>
  <si>
    <t>Min in Range</t>
  </si>
  <si>
    <t>Max in Range</t>
  </si>
  <si>
    <t>Guideline Notification</t>
  </si>
  <si>
    <t>Max Notifications for Company this Size</t>
  </si>
  <si>
    <t>Selected Notification</t>
  </si>
  <si>
    <t>Ratio</t>
  </si>
  <si>
    <t>Minimum Ratio</t>
  </si>
  <si>
    <t>Maximum Ratio</t>
  </si>
  <si>
    <t>Ratio of Quoted to Guideline (Lower Bound)</t>
  </si>
  <si>
    <t>Ratio of Quoted to Guideline (Upper Bound)</t>
  </si>
  <si>
    <t>Modifier (Lower Bound)</t>
  </si>
  <si>
    <t>Modifier (Upper Bound)</t>
  </si>
  <si>
    <t>Weight Between Lower and Upper</t>
  </si>
  <si>
    <t>Notification Factor</t>
  </si>
  <si>
    <t>Notification ratio is out of bounds</t>
  </si>
  <si>
    <t>Something is wrong with notification factor calculation</t>
  </si>
  <si>
    <t>Deductible Factor (Step 2.D.)</t>
  </si>
  <si>
    <t>Guideline Retention</t>
  </si>
  <si>
    <t>Max Retention for Company this Size</t>
  </si>
  <si>
    <t>Selected Retention</t>
  </si>
  <si>
    <t>Retention Factor</t>
  </si>
  <si>
    <t>Retention ratio is out of bounds</t>
  </si>
  <si>
    <t>Something is wrong with Retention factor calculation</t>
  </si>
  <si>
    <t>Loss Rating (Step 5)</t>
  </si>
  <si>
    <t>This is constant across all options</t>
  </si>
  <si>
    <t>Claim Count (Required if PE)</t>
  </si>
  <si>
    <t>Incurred Loss (Required if PE)</t>
  </si>
  <si>
    <t>$0</t>
  </si>
  <si>
    <t>Loss Ratio (Required if MM)</t>
  </si>
  <si>
    <t>Loss Rating Factor Input</t>
  </si>
  <si>
    <t>Count Factor Low</t>
  </si>
  <si>
    <t>Count Factor High</t>
  </si>
  <si>
    <t>Count Factor Default</t>
  </si>
  <si>
    <t>Incurred Low</t>
  </si>
  <si>
    <t>Incurred High</t>
  </si>
  <si>
    <t>Incurred Default</t>
  </si>
  <si>
    <t>Loss Ratio Low</t>
  </si>
  <si>
    <t>Loss Ratio High</t>
  </si>
  <si>
    <t>Loss Ratio Default</t>
  </si>
  <si>
    <t>Loss Rating Overall Default</t>
  </si>
  <si>
    <t>Loss Rating Min</t>
  </si>
  <si>
    <t>Loss Rating Max</t>
  </si>
  <si>
    <t>Loss Rating Output</t>
  </si>
  <si>
    <t>Loss Rating is out of range</t>
  </si>
  <si>
    <t>Check Loss Rating Eligibility in NYFTZ</t>
  </si>
  <si>
    <t>Premium before loss rating factor</t>
  </si>
  <si>
    <t>Min premium for eligibility in NYFTZ, per SEP</t>
  </si>
  <si>
    <t>Eligible?</t>
  </si>
  <si>
    <t>Loss rating to use for option</t>
  </si>
  <si>
    <t>Privacy Breach Response Services</t>
  </si>
  <si>
    <t>Selected Limit</t>
  </si>
  <si>
    <t xml:space="preserve">Limit as a Percentage of Standard </t>
  </si>
  <si>
    <t>Percentage Low</t>
  </si>
  <si>
    <t>Percentage High</t>
  </si>
  <si>
    <t>Credit/Debit Low</t>
  </si>
  <si>
    <t>Credit/Debit High</t>
  </si>
  <si>
    <t>Standard Sublimit</t>
  </si>
  <si>
    <t>Credit/Debit</t>
  </si>
  <si>
    <t>Privacy Breach Response Services Output</t>
  </si>
  <si>
    <t>Regulatory Defense and Penalties</t>
  </si>
  <si>
    <t xml:space="preserve">Credit Low </t>
  </si>
  <si>
    <t>Credit High</t>
  </si>
  <si>
    <t>Regulatory Defense and Penalties Output</t>
  </si>
  <si>
    <t>PCI Fines and Costs</t>
  </si>
  <si>
    <t>PCI Fines and Costs Output</t>
  </si>
  <si>
    <t>Media Coverage</t>
  </si>
  <si>
    <t>Change in coverage?</t>
  </si>
  <si>
    <t>No Change in Coverage (Full Media)</t>
  </si>
  <si>
    <t>Media Coverage Input</t>
  </si>
  <si>
    <t>Media Default</t>
  </si>
  <si>
    <t>Media Min</t>
  </si>
  <si>
    <t>Media Max</t>
  </si>
  <si>
    <t>Media Output</t>
  </si>
  <si>
    <t>Media answer is not valid</t>
  </si>
  <si>
    <t>Media Input is out of range</t>
  </si>
  <si>
    <t>Professsional Services Liability</t>
  </si>
  <si>
    <t>No Change in Coverage</t>
  </si>
  <si>
    <t>Professional Services Liability Output</t>
  </si>
  <si>
    <t>Electronic Crime</t>
  </si>
  <si>
    <t>Electronic Crime Output</t>
  </si>
  <si>
    <t>Telephone Fraud</t>
  </si>
  <si>
    <t>Telephone Fraud Output</t>
  </si>
  <si>
    <t>Fraudulent Instruction</t>
  </si>
  <si>
    <t>Fraudulent Instruction Output</t>
  </si>
  <si>
    <t>ADL</t>
  </si>
  <si>
    <t>Additional Defense Limit</t>
  </si>
  <si>
    <t>None</t>
  </si>
  <si>
    <t>ADL Output</t>
  </si>
  <si>
    <t>ADL answer is not valid</t>
  </si>
  <si>
    <t>Schedule Rating (Step 7)</t>
  </si>
  <si>
    <t>These inputs do not vary by option</t>
  </si>
  <si>
    <t>Financial Condition</t>
  </si>
  <si>
    <t>Maturity of Business</t>
  </si>
  <si>
    <t>Quality of Management</t>
  </si>
  <si>
    <t>Volume of Information Stored or Managed</t>
  </si>
  <si>
    <t>Territory of Operations</t>
  </si>
  <si>
    <t>Nature of Content Disseminated</t>
  </si>
  <si>
    <t>Nature of Reputational Risk Exposure</t>
  </si>
  <si>
    <t>Nature of Payment Card Processing Exposure</t>
  </si>
  <si>
    <t>Privacy and Security Controls Procedures</t>
  </si>
  <si>
    <t>Participation in a Risk Control Program</t>
  </si>
  <si>
    <t>Financial Condition Note</t>
  </si>
  <si>
    <t>Maturity of Business Note</t>
  </si>
  <si>
    <t>Quality of Management Note</t>
  </si>
  <si>
    <t>Volume of Information Stored or Managed Note</t>
  </si>
  <si>
    <t>Territory of Operations Note</t>
  </si>
  <si>
    <t>Nature of Content Disseminated Note</t>
  </si>
  <si>
    <t>Nature of Reputational Risk Exposure Note</t>
  </si>
  <si>
    <t>Nature of Payment Card Processing Exposure Note</t>
  </si>
  <si>
    <t>Privacy and Security Controls Procedures Note</t>
  </si>
  <si>
    <t>Participation in a Risk Control Program Note</t>
  </si>
  <si>
    <t>Financial Condition Note is Missing</t>
  </si>
  <si>
    <t>Maturity of Business Note is Missing</t>
  </si>
  <si>
    <t>Quality of Management Note is Missing</t>
  </si>
  <si>
    <t>Volume of Information Stored or Managed Note is Missing</t>
  </si>
  <si>
    <t>Territory of Operations Note is Missing</t>
  </si>
  <si>
    <t>Nature of Content Disseminated Note is Missing</t>
  </si>
  <si>
    <t>Nature of Reputational Risk Exposure Note is Missing</t>
  </si>
  <si>
    <t>Nature of Payment Card Processing Exposure Note is Missing</t>
  </si>
  <si>
    <t>Privacy and Security Controls Procedures Note is Missing</t>
  </si>
  <si>
    <t>Participation in a Risk Control Program Note is Missing</t>
  </si>
  <si>
    <t>Financial Condition Selection is invalid</t>
  </si>
  <si>
    <t>Maturity of Business Selection is invalid</t>
  </si>
  <si>
    <t>Quality of Management Selection is invalid</t>
  </si>
  <si>
    <t>Volume of Information Stored or Managed Selection is invalid</t>
  </si>
  <si>
    <t>Territory of Operations Selection is invalid</t>
  </si>
  <si>
    <t>Nature of Content Disseminated Selection is invalid</t>
  </si>
  <si>
    <t>Nature of Reputational Risk Exposure Selection is invalid</t>
  </si>
  <si>
    <t>Nature of Payment Card Processing Exposure Selection is invalid</t>
  </si>
  <si>
    <t>Privacy and Security Controls Procedures Selection is invalid</t>
  </si>
  <si>
    <t>Participation in a Risk Control Program Selection is invalid</t>
  </si>
  <si>
    <t>Schedule Rating Min for State</t>
  </si>
  <si>
    <t>Schedule Rating Max for State</t>
  </si>
  <si>
    <t>Total Schedule Rating (Unbounded)</t>
  </si>
  <si>
    <t>Total Schedule Rating (Bounded)</t>
  </si>
  <si>
    <t>Schedule Rating Factor</t>
  </si>
  <si>
    <t>Check basic eligibility for NYFTZ and Florida</t>
  </si>
  <si>
    <t>Premium before schedule rating</t>
  </si>
  <si>
    <t>State "before" eligibility requirement</t>
  </si>
  <si>
    <t>Meets before requirement?</t>
  </si>
  <si>
    <t>Proposed schedule rating factor</t>
  </si>
  <si>
    <t>Proposed premium after schedule rating</t>
  </si>
  <si>
    <t>State "after" eligibility requirement</t>
  </si>
  <si>
    <t>Meets "after" requirement?</t>
  </si>
  <si>
    <t>Factor to use</t>
  </si>
  <si>
    <t>MultiYear Factor (Step 10)</t>
  </si>
  <si>
    <t>A policy up to 18 months is considered an annual policy</t>
  </si>
  <si>
    <t>A policy that is greater than 18 months must have either 2 or 3 year term</t>
  </si>
  <si>
    <t>Effective Date</t>
  </si>
  <si>
    <t>Expiration Date</t>
  </si>
  <si>
    <t>Year One Expiration</t>
  </si>
  <si>
    <t>Pro rata premium factor, for non-multyear policies</t>
  </si>
  <si>
    <t>Composite multiyear/prorata premium factor</t>
  </si>
  <si>
    <t>Policy Term Cannot Exceed 18 Months</t>
  </si>
  <si>
    <t>Surplus Lines Deviation Factor</t>
  </si>
  <si>
    <t>Only applicable to surplus lines</t>
  </si>
  <si>
    <t>Surplus Lines deviation factor</t>
  </si>
  <si>
    <t>*Not used for admitted</t>
  </si>
  <si>
    <t>Surplus Lines deviation factor to use</t>
  </si>
  <si>
    <t>Surplus lines deviation factor only allowed when writing surplus lines</t>
  </si>
  <si>
    <t>Surplus lines deviation factor must be greater than zero</t>
  </si>
  <si>
    <t>Nebraska Deviation Factor</t>
  </si>
  <si>
    <t>Only applicable to Nebraska</t>
  </si>
  <si>
    <t>Nebraska deviation factor</t>
  </si>
  <si>
    <t>*Not used ouside of NE</t>
  </si>
  <si>
    <t>Nebraska deviation factor to use</t>
  </si>
  <si>
    <t>Nebraska deviation factor only allowed when writing in Nebraska</t>
  </si>
  <si>
    <t>Nebraska only allows deviation of +/-40%</t>
  </si>
  <si>
    <t>Minimum Premium</t>
  </si>
  <si>
    <t>Minimum premium</t>
  </si>
  <si>
    <t>Commission Adjustment (Step 12)</t>
  </si>
  <si>
    <t>External brokerage percent</t>
  </si>
  <si>
    <t>Standard brokerage</t>
  </si>
  <si>
    <t>Commission adjustment allowed in this state?</t>
  </si>
  <si>
    <t>Brokerage to use in pricing</t>
  </si>
  <si>
    <t>After Minimum Premium for Option</t>
  </si>
  <si>
    <t>No Cyber No First Party</t>
  </si>
  <si>
    <t>Cyber Only</t>
  </si>
  <si>
    <t>First Party Only</t>
  </si>
  <si>
    <t>Commission adjustment [ALR Mar 21, 2016: Changed so that it CANNOT be positive]</t>
  </si>
  <si>
    <t>Final Premium</t>
  </si>
  <si>
    <t>BaseRate</t>
  </si>
  <si>
    <t>IncreasedLimitFactor</t>
  </si>
  <si>
    <t>NotificationFactor</t>
  </si>
  <si>
    <t>DeductibleFactor</t>
  </si>
  <si>
    <t>BasePremium</t>
  </si>
  <si>
    <t>LossRatingFactor</t>
  </si>
  <si>
    <t>PreAdditionalCoveragePremium</t>
  </si>
  <si>
    <t>ADLFactor</t>
  </si>
  <si>
    <t>Base Premium</t>
  </si>
  <si>
    <t>PrivacyBreachResponseServicesCredit</t>
  </si>
  <si>
    <t>RegDefensePenaltiesCredit</t>
  </si>
  <si>
    <t>PCIFinesCostsCredit</t>
  </si>
  <si>
    <t>FullMediaCoverageCredit</t>
  </si>
  <si>
    <t>ProfessionalServicesLiabilityCredit</t>
  </si>
  <si>
    <t>ElectronicCrimeCredit</t>
  </si>
  <si>
    <t>TelephoneFraudCredit</t>
  </si>
  <si>
    <t>FradulentInstructionCredit</t>
  </si>
  <si>
    <t>Additional Coverage Premium</t>
  </si>
  <si>
    <t>ADL Premium</t>
  </si>
  <si>
    <t>AdditionalCoveragePremium + ADL Premium</t>
  </si>
  <si>
    <t>ScheduleRatingFactor</t>
  </si>
  <si>
    <t>ExpenseModificationFactor (not supported in this rater)</t>
  </si>
  <si>
    <t>MultiYearFactor</t>
  </si>
  <si>
    <t>SurplusDeviationFactor</t>
  </si>
  <si>
    <t>BeforeRoundingPremium</t>
  </si>
  <si>
    <t>RoundingAdjustmentPremium</t>
  </si>
  <si>
    <t>NEDeviationFactor</t>
  </si>
  <si>
    <t>AfterRoundingPremium</t>
  </si>
  <si>
    <t>MinimumPremium</t>
  </si>
  <si>
    <t>AfterMinimumPremium</t>
  </si>
  <si>
    <t>FinalModelPremium (for base sub-option)</t>
  </si>
  <si>
    <t>Final Model Premium</t>
  </si>
  <si>
    <t>Final Model Commission Adjustment</t>
  </si>
  <si>
    <t>Unity Premium Calculation</t>
  </si>
  <si>
    <t>Classification</t>
  </si>
  <si>
    <t>Objective</t>
  </si>
  <si>
    <t>Before Rounding Premium</t>
  </si>
  <si>
    <t>Subjective</t>
  </si>
  <si>
    <t>AdditionalCoveragePremium + ADL</t>
  </si>
  <si>
    <t>After NE Deviation Factor Premium</t>
  </si>
  <si>
    <t>AfterNEDeviationFactorPremium</t>
  </si>
  <si>
    <t>CommissionAdjustment</t>
  </si>
  <si>
    <t>Unity Premium (for selected sub-option)</t>
  </si>
  <si>
    <t>Benchmark Price and BPI</t>
  </si>
  <si>
    <t>Actual brokerage</t>
  </si>
  <si>
    <t>Priced to loss ratio (net of brokerage)</t>
  </si>
  <si>
    <t>Expected loss cost</t>
  </si>
  <si>
    <t>Benchmark loss ratio</t>
  </si>
  <si>
    <t>Net benchmark price</t>
  </si>
  <si>
    <t>Gross benchmark price</t>
  </si>
  <si>
    <t>Benchmark Price Index (as a percentage)</t>
  </si>
  <si>
    <t>Premium Split</t>
  </si>
  <si>
    <t>Total Premium</t>
  </si>
  <si>
    <t>BBR Services Premium</t>
  </si>
  <si>
    <t>BBR non-Services Premium</t>
  </si>
  <si>
    <t>Rounding Lower Limit</t>
  </si>
  <si>
    <t>Rounding Upper Limit</t>
  </si>
  <si>
    <t>Countrywide Rating Plan Reference Tables</t>
  </si>
  <si>
    <t>Revenue Start</t>
  </si>
  <si>
    <t>Revenue End</t>
  </si>
  <si>
    <t>Size of Band</t>
  </si>
  <si>
    <t>HG 0</t>
  </si>
  <si>
    <t>HG 1</t>
  </si>
  <si>
    <t>HG 2</t>
  </si>
  <si>
    <t>HG 3</t>
  </si>
  <si>
    <t>HG 4</t>
  </si>
  <si>
    <t>HG 5</t>
  </si>
  <si>
    <t>HG 6</t>
  </si>
  <si>
    <t>tblAdmittedBaseRatesInBand</t>
  </si>
  <si>
    <t>tblAdmittedBaseRateAtStart</t>
  </si>
  <si>
    <t>tblAdmittedHazardGroupColumn</t>
  </si>
  <si>
    <t>lstAdmittedHazardGroup</t>
  </si>
  <si>
    <t>Limit</t>
  </si>
  <si>
    <t>Next Limit</t>
  </si>
  <si>
    <t>ILF to $200m</t>
  </si>
  <si>
    <t>ILF from $300m</t>
  </si>
  <si>
    <t>tblAdmittedILFs</t>
  </si>
  <si>
    <t>lstAdmittedLimits</t>
  </si>
  <si>
    <t>State Abbreviated</t>
  </si>
  <si>
    <t>tblAdmittedStates</t>
  </si>
  <si>
    <t>AL</t>
  </si>
  <si>
    <t>lstAdmittedStates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</si>
  <si>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</si>
  <si>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</si>
  <si>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</si>
  <si>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</si>
  <si>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</si>
  <si>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</si>
  <si>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</si>
  <si>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</si>
  <si>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</si>
  <si>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</si>
  <si>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</si>
  <si>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</si>
  <si>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</si>
  <si>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</si>
  <si>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</si>
  <si>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</si>
  <si>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</si>
  <si>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</si>
  <si>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</si>
  <si>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</si>
  <si>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</si>
  <si>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</si>
  <si>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</si>
  <si>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</si>
  <si>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</si>
  <si>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</si>
  <si>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</si>
  <si>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</si>
  <si>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</si>
  <si>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</si>
  <si>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</si>
  <si>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NYFTZ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</si>
  <si>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</si>
  <si>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</si>
  <si>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</si>
  <si>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</si>
  <si>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</si>
  <si>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</si>
  <si>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</si>
  <si>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</si>
  <si>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</si>
  <si>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</si>
  <si>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</si>
  <si>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</si>
  <si>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</si>
  <si>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</si>
  <si>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</si>
  <si>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</si>
  <si>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</si>
  <si>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</si>
  <si>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Abbreviated + Surplus</t>
  </si>
  <si>
    <t>Approved</t>
  </si>
  <si>
    <t>Allow Range Rating</t>
  </si>
  <si>
    <t>Allow Refer to Company Rating</t>
  </si>
  <si>
    <t>Allow Commission Adjustment</t>
  </si>
  <si>
    <t>Schedule Rating Min</t>
  </si>
  <si>
    <t>Schedule Rating Max</t>
  </si>
  <si>
    <t>Individual Schedule Factor Min</t>
  </si>
  <si>
    <t>Individual Schedule Factor Max</t>
  </si>
  <si>
    <t>$1M Minimum Limit of Liability</t>
  </si>
  <si>
    <t>Schedule Rating Before</t>
  </si>
  <si>
    <t>Schedule Rating After</t>
  </si>
  <si>
    <t>tblAdmittedStateApplicabilities</t>
  </si>
  <si>
    <t>Yes</t>
  </si>
  <si>
    <t>Yes No</t>
  </si>
  <si>
    <t>lstYesNo</t>
  </si>
  <si>
    <t>Revenue Lower Bound</t>
  </si>
  <si>
    <t>Revenue Upper Bound</t>
  </si>
  <si>
    <t>Minimum in Range</t>
  </si>
  <si>
    <t>Maximum in Range</t>
  </si>
  <si>
    <t>tblAdmittedGuidelineNotification</t>
  </si>
  <si>
    <t>tblAdmittedNotificationFactor</t>
  </si>
  <si>
    <t>tblAdmittedGuidelineRetention</t>
  </si>
  <si>
    <t>tblAdmittedRetentionFactor</t>
  </si>
  <si>
    <t>Answer</t>
  </si>
  <si>
    <t>No Range State Value (Also Default and Unity value)</t>
  </si>
  <si>
    <t>Range State Lower Bound</t>
  </si>
  <si>
    <t>Range State Upper Bound</t>
  </si>
  <si>
    <t>lstAdmittedUnusualCharacteristics</t>
  </si>
  <si>
    <t>No unusual characteristics</t>
  </si>
  <si>
    <t>tblAdmittedUnusualCharacteristics</t>
  </si>
  <si>
    <t>Unusual characteristics which moderately increase exposure</t>
  </si>
  <si>
    <t>Unusual characteristics which greatly increase exposure</t>
  </si>
  <si>
    <t>lstAdmittedLossRatingClaimCountPE</t>
  </si>
  <si>
    <t>tblAdmittedLossRatingClaimCountPE</t>
  </si>
  <si>
    <t>lstAdmittedLossRatingClaimIncurredPE</t>
  </si>
  <si>
    <t>tblAdmittedLossRatingClaimIncurredPE</t>
  </si>
  <si>
    <t>$1 - $9,999</t>
  </si>
  <si>
    <t>$10,000 - $24,999</t>
  </si>
  <si>
    <t>$25,000 - $50,000</t>
  </si>
  <si>
    <t>Greater than $50,000</t>
  </si>
  <si>
    <t>Loss Ratio</t>
  </si>
  <si>
    <t>lstAdmittedLossRatingClaimIncurredMM</t>
  </si>
  <si>
    <t>tblAdmittedLossRatingClaimIncurredMM</t>
  </si>
  <si>
    <t>1% - 30%</t>
  </si>
  <si>
    <t>31% - 70%</t>
  </si>
  <si>
    <t>71% - 200%</t>
  </si>
  <si>
    <t>Greater than 200%</t>
  </si>
  <si>
    <t>Answer Low</t>
  </si>
  <si>
    <t>Answer High</t>
  </si>
  <si>
    <t>Credit</t>
  </si>
  <si>
    <t>lstAdmittedRegDefense</t>
  </si>
  <si>
    <t>tblAdmittedRegDefense</t>
  </si>
  <si>
    <t>lstAdmittedCrisisManagement</t>
  </si>
  <si>
    <t>No change in coverage</t>
  </si>
  <si>
    <t>tblAdmittedCrisisManagement</t>
  </si>
  <si>
    <t>Increase in coverage</t>
  </si>
  <si>
    <t>Decrease in coverage</t>
  </si>
  <si>
    <t>lstAdmittedPCIFinesAndCosts</t>
  </si>
  <si>
    <t>tblAdmittedPCIFinesAndCosts</t>
  </si>
  <si>
    <t>lstAdmittedProfServices</t>
  </si>
  <si>
    <t>tblAdmittedProfServices</t>
  </si>
  <si>
    <t>Factor</t>
  </si>
  <si>
    <t>lstAdmittedADL</t>
  </si>
  <si>
    <t>tblAdmittedADL</t>
  </si>
  <si>
    <t>lstAdmittedMultiyearLimitType</t>
  </si>
  <si>
    <t>Not Applicable</t>
  </si>
  <si>
    <t>Single Aggregate Limit</t>
  </si>
  <si>
    <t>Multiple Annual Aggregate Limit</t>
  </si>
  <si>
    <t>lstAdmittedMultiyearPaymentType</t>
  </si>
  <si>
    <t>Annual installments</t>
  </si>
  <si>
    <t>Prepaid</t>
  </si>
  <si>
    <t>Key</t>
  </si>
  <si>
    <t>Multiyear</t>
  </si>
  <si>
    <t>Two Year</t>
  </si>
  <si>
    <t>Three Year</t>
  </si>
  <si>
    <t>Type of Limit</t>
  </si>
  <si>
    <t>Type of Payment</t>
  </si>
  <si>
    <t>Total Premium Factor</t>
  </si>
  <si>
    <t>Premium Type</t>
  </si>
  <si>
    <t>tblAdmittedMultiyearFactor</t>
  </si>
  <si>
    <t>FALSE|FALSE|FALSE|Not Applicable|Not Applicable</t>
  </si>
  <si>
    <t>Full Term</t>
  </si>
  <si>
    <t>TRUE|TRUE|FALSE|Multiple Annual Aggregate Limit|Annual installments</t>
  </si>
  <si>
    <t>Annual Installment</t>
  </si>
  <si>
    <t>TRUE|FALSE|TRUE|Multiple Annual Aggregate Limit|Annual installments</t>
  </si>
  <si>
    <t>TRUE|TRUE|FALSE|Single Aggregate Limit|Prepaid</t>
  </si>
  <si>
    <t>TRUE|TRUE|FALSE|Multiple Annual Aggregate Limit|Prepaid</t>
  </si>
  <si>
    <t>TRUE|FALSE|TRUE|Single Aggregate Limit|Prepaid</t>
  </si>
  <si>
    <t>TRUE|FALSE|TRUE|Multiple Annual Aggregate Limit|Prepaid</t>
  </si>
  <si>
    <t>Before Rounding Premium (Lower Bound)</t>
  </si>
  <si>
    <t>Before Rounding Premium (Upper Bound)</t>
  </si>
  <si>
    <t>Maximum Round Up</t>
  </si>
  <si>
    <t>Maximum Round Down</t>
  </si>
  <si>
    <t>tblAdmittedRounding</t>
  </si>
  <si>
    <t>Selected Sub-Option</t>
  </si>
  <si>
    <t>lstAdmittedSubOptions</t>
  </si>
  <si>
    <t>Option Low</t>
  </si>
  <si>
    <t>Option High</t>
  </si>
  <si>
    <t>Default</t>
  </si>
  <si>
    <t>lstPrivacyBreachResponseServices</t>
  </si>
  <si>
    <t>tblPrivacyBreachResponseServices</t>
  </si>
  <si>
    <t>Option</t>
  </si>
  <si>
    <t>Min</t>
  </si>
  <si>
    <t>Max</t>
  </si>
  <si>
    <t>lstFullMediaCoverage</t>
  </si>
  <si>
    <t>tblFullMediaCoverage</t>
  </si>
  <si>
    <t>Website Liability Coverage Only</t>
  </si>
  <si>
    <t>Delete Coverage</t>
  </si>
  <si>
    <t>lstProfessionalServicesLiability</t>
  </si>
  <si>
    <t>tblProfessionalServicesLiability</t>
  </si>
  <si>
    <t>Add Coverage</t>
  </si>
  <si>
    <t>lstElectronicCrime</t>
  </si>
  <si>
    <t>tblElectronicCrime</t>
  </si>
  <si>
    <t>lstTelecommunicationsFraud</t>
  </si>
  <si>
    <t>tblTelecommunicationsFraud</t>
  </si>
  <si>
    <t>lstFraudulentInstruction</t>
  </si>
  <si>
    <t>tblFraudulentInstruction</t>
  </si>
  <si>
    <t>Is "Financial Institution or Similar, charitable org, law firm, insurance agent or broker, or title agent?</t>
  </si>
  <si>
    <t>tblIndustries</t>
  </si>
  <si>
    <t>Accountants / CPAs / Tax Preparers</t>
  </si>
  <si>
    <t>lstIndustries</t>
  </si>
  <si>
    <t>Ambulatory Health Care Services</t>
  </si>
  <si>
    <t>Amusement Parks and Arcades</t>
  </si>
  <si>
    <t>Apparel Manufacturing</t>
  </si>
  <si>
    <t>Architectural Services</t>
  </si>
  <si>
    <t>Auto Dealership</t>
  </si>
  <si>
    <t>Bank Holding Companies</t>
  </si>
  <si>
    <t>Beverage and Tobacco Products Manufacturing</t>
  </si>
  <si>
    <t>Book Publishing</t>
  </si>
  <si>
    <t>Building Material and Garden Dealers</t>
  </si>
  <si>
    <t>Bus taxi and transit systems</t>
  </si>
  <si>
    <t>Business Schools</t>
  </si>
  <si>
    <t>Charitable Organizations</t>
  </si>
  <si>
    <t>Child and Adult Day Care Services</t>
  </si>
  <si>
    <t>Clothing and Accessory Stores</t>
  </si>
  <si>
    <t>Colleges and Universities</t>
  </si>
  <si>
    <t>Commercial Banks</t>
  </si>
  <si>
    <t>Construction contractors and related services</t>
  </si>
  <si>
    <t>Credit Unions</t>
  </si>
  <si>
    <t>Dating Service</t>
  </si>
  <si>
    <t>Dental Offices</t>
  </si>
  <si>
    <t>Developmental Disability Facilities</t>
  </si>
  <si>
    <t>Direct Health and Medical Insurance Carriers</t>
  </si>
  <si>
    <t>Drug and Alcohol Rehabilitation Services</t>
  </si>
  <si>
    <t>Education Support Services</t>
  </si>
  <si>
    <t>Electronics and Appliance Stores</t>
  </si>
  <si>
    <t>Elementary and Secondary Schools</t>
  </si>
  <si>
    <t>Engineering Services</t>
  </si>
  <si>
    <t>Financial planners/investment advisors/wealth management companies</t>
  </si>
  <si>
    <t>Food and Beverage Stores</t>
  </si>
  <si>
    <t>Food Manufacturing</t>
  </si>
  <si>
    <t>Food Services and Drinking Places</t>
  </si>
  <si>
    <t>Footwear and Leather Manufacturing</t>
  </si>
  <si>
    <t>Funeral Homes</t>
  </si>
  <si>
    <t>Furniture and Home Furnishings Stores</t>
  </si>
  <si>
    <t>Gasoline Stations</t>
  </si>
  <si>
    <t>General Merchandise Stores</t>
  </si>
  <si>
    <t>Health and Personal Care Stores</t>
  </si>
  <si>
    <t>Health and Welfare funds</t>
  </si>
  <si>
    <t>Healthcare</t>
  </si>
  <si>
    <t>Home Health Care Services</t>
  </si>
  <si>
    <t>Hospice</t>
  </si>
  <si>
    <t>Hospitals</t>
  </si>
  <si>
    <t>Hotels/Motels</t>
  </si>
  <si>
    <t>Independent and Assisted Living Facilities</t>
  </si>
  <si>
    <t>Insurance Agents / Brokers</t>
  </si>
  <si>
    <t>Insurance Companies</t>
  </si>
  <si>
    <t>Junior Colleges</t>
  </si>
  <si>
    <t>Law Firms</t>
  </si>
  <si>
    <t>Lending Services / Check Cashing</t>
  </si>
  <si>
    <t>Management Consultant - High Records</t>
  </si>
  <si>
    <t>Management Consultant - Low Records</t>
  </si>
  <si>
    <t>Manufacturing</t>
  </si>
  <si>
    <t>Medical Clinics</t>
  </si>
  <si>
    <t>Mental Health Care Practitioner Offices</t>
  </si>
  <si>
    <t>Misc Retail Stores</t>
  </si>
  <si>
    <t>Motion Picture Theaters</t>
  </si>
  <si>
    <t>Motor Vehicle and Parts Dealers</t>
  </si>
  <si>
    <t>Municipality</t>
  </si>
  <si>
    <t>Museums Historical Sites and Similar Institutions</t>
  </si>
  <si>
    <t>Newspapers</t>
  </si>
  <si>
    <t>Nonstore Retailers</t>
  </si>
  <si>
    <t>Nursing Care Facilities</t>
  </si>
  <si>
    <t>Other Amusement and Recreation Industries</t>
  </si>
  <si>
    <t>Other Real Estate Services</t>
  </si>
  <si>
    <t>Other Schools</t>
  </si>
  <si>
    <t>Other Traveler Accommodations</t>
  </si>
  <si>
    <t>Pension funds</t>
  </si>
  <si>
    <t>Periodical Publishing</t>
  </si>
  <si>
    <t>Personal and Laundry Services</t>
  </si>
  <si>
    <t>Pharmacies</t>
  </si>
  <si>
    <t>Physicians Offices</t>
  </si>
  <si>
    <t>Professions Associations and Organizations</t>
  </si>
  <si>
    <t>Property Manager/Owner</t>
  </si>
  <si>
    <t>Property Managers</t>
  </si>
  <si>
    <t>Real Estate Agent/Broker</t>
  </si>
  <si>
    <t>Real Estate lessors</t>
  </si>
  <si>
    <t>Religious Organizations</t>
  </si>
  <si>
    <t>Rental and Leasing Services</t>
  </si>
  <si>
    <t>Repair and Maintenance</t>
  </si>
  <si>
    <t>Retail Business</t>
  </si>
  <si>
    <t>Rooming and Boarding</t>
  </si>
  <si>
    <t>RV (Recreational Vehicle) Parks</t>
  </si>
  <si>
    <t>Savings Institutions</t>
  </si>
  <si>
    <t>Social Advocacy Groups and Services</t>
  </si>
  <si>
    <t>Sporting Goods Hobby Book and Music Stores</t>
  </si>
  <si>
    <t>Staffing / Employment Agencies</t>
  </si>
  <si>
    <t>Technical Schools</t>
  </si>
  <si>
    <t>Textile Manufacturing</t>
  </si>
  <si>
    <t>Title Agent</t>
  </si>
  <si>
    <t>Travel Agency Services</t>
  </si>
  <si>
    <t>Union Organization</t>
  </si>
  <si>
    <t>Utilities</t>
  </si>
  <si>
    <t>Various Family and Individual Services Shelters and Relief Services</t>
  </si>
  <si>
    <t>Various Manufacturing</t>
  </si>
  <si>
    <t>Veterinary Services</t>
  </si>
  <si>
    <t>Vocational and Physical Rehabilitation Services</t>
  </si>
  <si>
    <t>Waste management services</t>
  </si>
  <si>
    <t>Wholesale</t>
  </si>
  <si>
    <t>All Other (Hazard Group 0)</t>
  </si>
  <si>
    <t>All Other (Hazard Group 1)</t>
  </si>
  <si>
    <t>All Other (Hazard Group 2)</t>
  </si>
  <si>
    <t>All Other (Hazard Group 3)</t>
  </si>
  <si>
    <t>All Other (Hazard Group 4)</t>
  </si>
  <si>
    <t>All Other (Hazard Group 5)</t>
  </si>
  <si>
    <t>All Other (Hazard Group 6)</t>
  </si>
  <si>
    <t>Ratebook</t>
  </si>
  <si>
    <t>BBR.BBR.RaterName.Output</t>
  </si>
  <si>
    <t>BBR_ADMITTED_HI_20180101_20180101.xml</t>
  </si>
  <si>
    <t>Each Claim Retention</t>
  </si>
  <si>
    <t>Notified Individuals</t>
  </si>
  <si>
    <t>Premium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</si>
</sst>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3" formatCode="_(* #,##0.00_);_(* \(#,##0.00\);_(* &quot;-&quot;??_);_(@_)"/>
    <numFmt numFmtId="164" formatCode="#,##0.0000_);\(#,##0.0000\)"/>
    <numFmt numFmtId="165" formatCode="0.0000%"/>
    <numFmt numFmtId="166" formatCode="0.0%"/>
    <numFmt numFmtId="167" formatCode="&quot;$&quot;#,##0"/>
    <numFmt numFmtId="168" formatCode="#,##0.000_);\(#,##0.000\)"/>
    <numFmt numFmtId="169" formatCode="#,##0.0_);\(#,##0.0\)"/>
    <numFmt numFmtId="170" formatCode="_(* #,##0.000_);_(* \(#,##0.000\);_(* &quot;-&quot;??_);_(@_)"/>
    <numFmt numFmtId="171" formatCode="_(* #,##0_);_(* \(#,##0\);_(* &quot;-&quot;??_);_(@_)"/>
  </numFmts>
  <fonts count="3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20"/>
      <color indexed="8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5">
    <xf numFmtId="0" fontId="0" fillId="0" borderId="0" xfId="0"/>
    <xf numFmtId="0" fontId="19" fillId="0" borderId="0" xfId="0" applyFont="1" applyAlignment="1"/>
    <xf numFmtId="0" fontId="19" fillId="0" borderId="0" xfId="0" applyFont="1"/>
    <xf numFmtId="0" fontId="19" fillId="33" borderId="0" xfId="44" applyFont="1" applyFill="1" applyBorder="1" applyAlignment="1"/>
    <xf numFmtId="0" fontId="19" fillId="35" borderId="0" xfId="44" applyFont="1" applyFill="1" applyBorder="1" applyAlignment="1"/>
    <xf numFmtId="0" fontId="19" fillId="36" borderId="0" xfId="44" applyFont="1" applyFill="1" applyBorder="1" applyAlignment="1"/>
    <xf numFmtId="0" fontId="19" fillId="37" borderId="0" xfId="44" applyFont="1" applyFill="1" applyBorder="1" applyAlignment="1"/>
    <xf numFmtId="0" fontId="20" fillId="0" borderId="0" xfId="0" applyFont="1" applyAlignment="1"/>
    <xf numFmtId="0" fontId="21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3" borderId="0" xfId="0" applyFill="1"/>
    <xf numFmtId="14" fontId="0" fillId="0" borderId="0" xfId="0" applyNumberFormat="1" applyAlignment="1">
      <alignment horizontal="center"/>
    </xf>
    <xf numFmtId="0" fontId="22" fillId="0" borderId="0" xfId="44" applyFont="1" applyFill="1" applyBorder="1" applyAlignment="1">
      <alignment horizontal="center"/>
    </xf>
    <xf numFmtId="0" fontId="22" fillId="37" borderId="0" xfId="44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37" fontId="0" fillId="0" borderId="0" xfId="0" applyNumberFormat="1"/>
    <xf numFmtId="0" fontId="0" fillId="0" borderId="0" xfId="0" applyAlignment="1">
      <alignment horizontal="left" indent="1"/>
    </xf>
    <xf numFmtId="3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7" fontId="19" fillId="36" borderId="0" xfId="44" applyNumberFormat="1" applyFont="1" applyFill="1" applyBorder="1" applyAlignment="1">
      <alignment horizontal="center"/>
    </xf>
    <xf numFmtId="0" fontId="23" fillId="0" borderId="0" xfId="0" applyFont="1"/>
    <xf numFmtId="0" fontId="21" fillId="0" borderId="10" xfId="0" applyFont="1" applyBorder="1" applyAlignment="1">
      <alignment horizontal="center"/>
    </xf>
    <xf numFmtId="164" fontId="19" fillId="36" borderId="0" xfId="44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37" fontId="0" fillId="0" borderId="0" xfId="0" applyNumberFormat="1" applyFont="1" applyBorder="1" applyAlignment="1">
      <alignment horizontal="center"/>
    </xf>
    <xf numFmtId="37" fontId="0" fillId="36" borderId="0" xfId="0" applyNumberFormat="1" applyFill="1" applyAlignment="1">
      <alignment horizontal="center"/>
    </xf>
    <xf numFmtId="37" fontId="0" fillId="0" borderId="0" xfId="1" applyNumberFormat="1" applyFont="1" applyAlignment="1">
      <alignment horizontal="center"/>
    </xf>
    <xf numFmtId="164" fontId="0" fillId="36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37" fontId="18" fillId="34" borderId="0" xfId="1" applyNumberFormat="1" applyFont="1" applyFill="1" applyAlignment="1">
      <alignment horizontal="center"/>
    </xf>
    <xf numFmtId="9" fontId="18" fillId="34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36" borderId="0" xfId="0" applyNumberFormat="1" applyFill="1"/>
    <xf numFmtId="166" fontId="0" fillId="36" borderId="0" xfId="0" applyNumberFormat="1" applyFill="1"/>
    <xf numFmtId="166" fontId="0" fillId="0" borderId="0" xfId="0" applyNumberFormat="1" applyFill="1"/>
    <xf numFmtId="0" fontId="0" fillId="0" borderId="0" xfId="0" applyNumberFormat="1" applyFont="1" applyFill="1" applyBorder="1" applyAlignment="1" applyProtection="1"/>
    <xf numFmtId="10" fontId="0" fillId="0" borderId="0" xfId="2" applyNumberFormat="1" applyFont="1" applyFill="1"/>
    <xf numFmtId="167" fontId="0" fillId="0" borderId="0" xfId="0" applyNumberFormat="1" applyFill="1"/>
    <xf numFmtId="10" fontId="0" fillId="0" borderId="0" xfId="0" applyNumberFormat="1"/>
    <xf numFmtId="166" fontId="0" fillId="0" borderId="0" xfId="0" applyNumberFormat="1" applyFill="1" applyAlignment="1">
      <alignment horizontal="center"/>
    </xf>
    <xf numFmtId="166" fontId="0" fillId="36" borderId="0" xfId="2" applyNumberFormat="1" applyFont="1" applyFill="1" applyAlignment="1">
      <alignment horizontal="center"/>
    </xf>
    <xf numFmtId="0" fontId="0" fillId="34" borderId="0" xfId="0" applyFill="1"/>
    <xf numFmtId="166" fontId="0" fillId="0" borderId="0" xfId="0" applyNumberFormat="1"/>
    <xf numFmtId="0" fontId="22" fillId="37" borderId="0" xfId="44" applyFont="1" applyFill="1" applyBorder="1" applyAlignment="1"/>
    <xf numFmtId="0" fontId="22" fillId="0" borderId="0" xfId="44" applyFont="1" applyFill="1" applyBorder="1" applyAlignment="1"/>
    <xf numFmtId="37" fontId="0" fillId="34" borderId="0" xfId="0" applyNumberFormat="1" applyFill="1"/>
    <xf numFmtId="0" fontId="23" fillId="0" borderId="0" xfId="0" applyFont="1" applyFill="1"/>
    <xf numFmtId="0" fontId="21" fillId="0" borderId="0" xfId="0" applyFont="1" applyFill="1"/>
    <xf numFmtId="0" fontId="0" fillId="0" borderId="0" xfId="0" applyNumberFormat="1" applyFill="1"/>
    <xf numFmtId="166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24" fillId="0" borderId="10" xfId="0" applyFont="1" applyFill="1" applyBorder="1" applyAlignment="1"/>
    <xf numFmtId="37" fontId="0" fillId="36" borderId="0" xfId="0" applyNumberFormat="1" applyFill="1"/>
    <xf numFmtId="166" fontId="0" fillId="34" borderId="0" xfId="0" applyNumberFormat="1" applyFill="1"/>
    <xf numFmtId="0" fontId="21" fillId="0" borderId="0" xfId="0" applyFont="1" applyAlignment="1">
      <alignment horizontal="left" indent="1"/>
    </xf>
    <xf numFmtId="37" fontId="0" fillId="0" borderId="0" xfId="0" applyNumberFormat="1" applyFill="1"/>
    <xf numFmtId="0" fontId="0" fillId="0" borderId="0" xfId="0" applyNumberFormat="1" applyFont="1" applyFill="1" applyBorder="1" applyAlignment="1" applyProtection="1">
      <alignment horizontal="left"/>
    </xf>
    <xf numFmtId="37" fontId="19" fillId="0" borderId="0" xfId="0" applyNumberFormat="1" applyFont="1" applyFill="1"/>
    <xf numFmtId="168" fontId="19" fillId="0" borderId="0" xfId="0" applyNumberFormat="1" applyFont="1" applyFill="1"/>
    <xf numFmtId="0" fontId="21" fillId="0" borderId="0" xfId="0" applyNumberFormat="1" applyFont="1" applyFill="1" applyBorder="1" applyAlignment="1" applyProtection="1">
      <alignment horizontal="left" indent="2"/>
    </xf>
    <xf numFmtId="37" fontId="19" fillId="0" borderId="0" xfId="0" applyNumberFormat="1" applyFont="1"/>
    <xf numFmtId="168" fontId="19" fillId="0" borderId="0" xfId="0" applyNumberFormat="1" applyFont="1"/>
    <xf numFmtId="0" fontId="0" fillId="38" borderId="0" xfId="0" applyNumberFormat="1" applyFont="1" applyFill="1" applyBorder="1" applyAlignment="1" applyProtection="1">
      <alignment horizontal="left"/>
    </xf>
    <xf numFmtId="166" fontId="19" fillId="0" borderId="0" xfId="0" applyNumberFormat="1" applyFont="1" applyFill="1"/>
    <xf numFmtId="0" fontId="0" fillId="0" borderId="0" xfId="0" applyNumberFormat="1" applyFill="1" applyBorder="1" applyAlignment="1" applyProtection="1">
      <alignment horizontal="left"/>
    </xf>
    <xf numFmtId="169" fontId="0" fillId="36" borderId="0" xfId="0" applyNumberFormat="1" applyFill="1"/>
    <xf numFmtId="169" fontId="19" fillId="0" borderId="0" xfId="0" applyNumberFormat="1" applyFont="1"/>
    <xf numFmtId="37" fontId="19" fillId="36" borderId="0" xfId="0" applyNumberFormat="1" applyFont="1" applyFill="1"/>
    <xf numFmtId="0" fontId="23" fillId="39" borderId="11" xfId="0" applyFont="1" applyFill="1" applyBorder="1" applyAlignment="1">
      <alignment horizontal="center" wrapText="1"/>
    </xf>
    <xf numFmtId="37" fontId="0" fillId="0" borderId="0" xfId="0" applyNumberFormat="1" applyFill="1" applyBorder="1"/>
    <xf numFmtId="164" fontId="0" fillId="0" borderId="0" xfId="0" applyNumberFormat="1" applyFill="1" applyBorder="1"/>
    <xf numFmtId="0" fontId="0" fillId="38" borderId="0" xfId="0" applyFill="1"/>
    <xf numFmtId="9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0" applyNumberFormat="1" applyFill="1" applyBorder="1"/>
    <xf numFmtId="164" fontId="0" fillId="0" borderId="0" xfId="0" applyNumberFormat="1" applyAlignment="1">
      <alignment horizontal="right"/>
    </xf>
    <xf numFmtId="170" fontId="18" fillId="0" borderId="0" xfId="1" applyNumberFormat="1" applyFont="1"/>
    <xf numFmtId="3" fontId="0" fillId="0" borderId="0" xfId="0" applyNumberFormat="1"/>
    <xf numFmtId="171" fontId="18" fillId="0" borderId="0" xfId="1" applyNumberFormat="1" applyFont="1"/>
    <xf numFmtId="6" fontId="0" fillId="0" borderId="0" xfId="0" applyNumberFormat="1"/>
    <xf numFmtId="166" fontId="18" fillId="0" borderId="0" xfId="2" applyNumberFormat="1" applyFont="1"/>
    <xf numFmtId="0" fontId="23" fillId="39" borderId="12" xfId="0" applyFont="1" applyFill="1" applyBorder="1" applyAlignment="1">
      <alignment horizontal="center" wrapText="1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49" fontId="19" fillId="40" borderId="0" xfId="44" applyNumberFormat="1" applyFont="1" applyFill="1" applyBorder="1" applyAlignment="1">
      <alignment horizontal="center"/>
    </xf>
    <xf numFmtId="0" fontId="29" fillId="0" borderId="0" xfId="0" applyFont="1"/>
    <xf numFmtId="0" fontId="0" fillId="41" borderId="0" xfId="0" applyFill="1"/>
    <xf numFmtId="0" fontId="19" fillId="40" borderId="0" xfId="44" applyFont="1" applyFill="1" applyBorder="1" applyAlignmen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 customBuiltin="1"/>
    <cellStyle name="Normal 6" xfId="44"/>
    <cellStyle name="Note" xfId="17" builtinId="10" customBuiltin="1"/>
    <cellStyle name="Output" xfId="12" builtinId="21" customBuiltin="1"/>
    <cellStyle name="Percent" xfId="2" builtinId="5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4"/>
  <sheetViews>
    <sheetView tabSelected="1" zoomScale="85" workbookViewId="0">
      <selection activeCell="D1" sqref="D1"/>
    </sheetView>
  </sheetViews>
  <sheetFormatPr defaultRowHeight="15" customHeight="1" x14ac:dyDescent="0.25"/>
  <cols>
    <col min="1" max="1" width="2.7109375" customWidth="1"/>
    <col min="2" max="2" width="77.7109375" customWidth="1"/>
    <col min="3" max="3" width="21" customWidth="1"/>
    <col min="4" max="5" width="15.28515625" customWidth="1"/>
    <col min="6" max="6" width="25.85546875" bestFit="1" customWidth="1"/>
    <col min="7" max="7" width="15.28515625" customWidth="1"/>
  </cols>
  <sheetData>
    <row r="1" spans="1:7" ht="15" customHeight="1" x14ac:dyDescent="0.25">
      <c r="A1" s="1" t="s">
        <v>0</v>
      </c>
      <c r="B1" s="2" t="s">
        <v>621</v>
      </c>
      <c r="C1" s="3" t="s">
        <v>1</v>
      </c>
      <c r="D1" s="94" t="s">
        <v>2</v>
      </c>
      <c r="E1" s="4" t="s">
        <v>3</v>
      </c>
      <c r="F1" s="5" t="s">
        <v>4</v>
      </c>
      <c r="G1" s="6" t="s">
        <v>5</v>
      </c>
    </row>
    <row r="2" spans="1:7" ht="15" customHeight="1" x14ac:dyDescent="0.25">
      <c r="A2" s="1"/>
      <c r="B2" s="1"/>
    </row>
    <row r="3" spans="1:7" ht="15" customHeight="1" x14ac:dyDescent="0.25">
      <c r="A3" s="7" t="s">
        <v>6</v>
      </c>
      <c r="B3" s="1"/>
      <c r="C3" s="2"/>
      <c r="D3" s="2"/>
    </row>
    <row r="4" spans="1:7" ht="15" customHeight="1" x14ac:dyDescent="0.25">
      <c r="A4" s="7" t="s">
        <v>7</v>
      </c>
      <c r="B4" s="1"/>
      <c r="C4" s="2"/>
      <c r="D4" s="2"/>
    </row>
    <row r="5" spans="1:7" ht="15" customHeight="1" x14ac:dyDescent="0.25">
      <c r="A5" s="1"/>
      <c r="B5" s="1"/>
      <c r="C5" s="2"/>
      <c r="D5" s="2"/>
    </row>
    <row r="7" spans="1:7" ht="15" customHeight="1" x14ac:dyDescent="0.25">
      <c r="B7" s="8"/>
    </row>
    <row r="8" spans="1:7" ht="15" customHeight="1" x14ac:dyDescent="0.25">
      <c r="B8" s="8" t="s">
        <v>8</v>
      </c>
    </row>
    <row r="9" spans="1:7" ht="15" customHeight="1" x14ac:dyDescent="0.25">
      <c r="B9" s="8" t="s">
        <v>9</v>
      </c>
    </row>
    <row r="10" spans="1:7" ht="15" customHeight="1" x14ac:dyDescent="0.25">
      <c r="B10" s="8"/>
    </row>
    <row r="11" spans="1:7" ht="15" customHeight="1" x14ac:dyDescent="0.25">
      <c r="B11" s="8" t="s">
        <v>10</v>
      </c>
    </row>
    <row r="12" spans="1:7" ht="15" customHeight="1" x14ac:dyDescent="0.25">
      <c r="B12" s="8" t="s">
        <v>11</v>
      </c>
    </row>
    <row r="13" spans="1:7" ht="15" customHeight="1" x14ac:dyDescent="0.25">
      <c r="B13" s="8" t="s">
        <v>12</v>
      </c>
    </row>
    <row r="14" spans="1:7" ht="15" customHeight="1" x14ac:dyDescent="0.25">
      <c r="B14" s="8"/>
    </row>
    <row r="15" spans="1:7" ht="15" customHeight="1" x14ac:dyDescent="0.25">
      <c r="B15" s="8" t="s">
        <v>13</v>
      </c>
    </row>
    <row r="16" spans="1:7" ht="15" customHeight="1" x14ac:dyDescent="0.25">
      <c r="B16" s="8" t="s">
        <v>14</v>
      </c>
    </row>
    <row r="17" spans="1:7" ht="15" customHeight="1" x14ac:dyDescent="0.25">
      <c r="B17" s="8"/>
    </row>
    <row r="18" spans="1:7" ht="15" customHeight="1" x14ac:dyDescent="0.25">
      <c r="B18" s="8" t="s">
        <v>15</v>
      </c>
    </row>
    <row r="19" spans="1:7" ht="15" customHeight="1" x14ac:dyDescent="0.25">
      <c r="B19" s="8" t="s">
        <v>16</v>
      </c>
    </row>
    <row r="20" spans="1:7" ht="15" customHeight="1" x14ac:dyDescent="0.25">
      <c r="B20" s="8" t="s">
        <v>17</v>
      </c>
    </row>
    <row r="21" spans="1:7" ht="15" customHeight="1" x14ac:dyDescent="0.25">
      <c r="B21" s="8"/>
    </row>
    <row r="22" spans="1:7" ht="15" customHeight="1" x14ac:dyDescent="0.25">
      <c r="B22" s="8" t="s">
        <v>18</v>
      </c>
    </row>
    <row r="24" spans="1:7" ht="15" customHeight="1" x14ac:dyDescent="0.25">
      <c r="C24" s="5" t="s">
        <v>623</v>
      </c>
      <c r="D24" t="s">
        <v>622</v>
      </c>
    </row>
    <row r="25" spans="1:7" ht="15" customHeight="1" x14ac:dyDescent="0.25">
      <c r="A25" s="9" t="s">
        <v>19</v>
      </c>
      <c r="C25" s="10"/>
      <c r="D25" s="10"/>
    </row>
    <row r="26" spans="1:7" ht="15" customHeight="1" x14ac:dyDescent="0.25">
      <c r="B26" s="11" t="s">
        <v>20</v>
      </c>
      <c r="C26" s="12" t="s">
        <v>21</v>
      </c>
      <c r="D26" s="10"/>
    </row>
    <row r="27" spans="1:7" ht="26.25" x14ac:dyDescent="0.4">
      <c r="B27" t="s">
        <v>22</v>
      </c>
      <c r="C27" s="10" t="str">
        <f>VLOOKUP(C26,tblBBRStates,2,0)</f>
        <v>HI</v>
      </c>
      <c r="D27" s="10"/>
      <c r="F27" s="92" t="s">
        <v>626</v>
      </c>
      <c r="G27" s="93" t="e">
        <f>BBR.BBR.FinalModelPremium.Output</f>
        <v>#REF!</v>
      </c>
    </row>
    <row r="28" spans="1:7" ht="15" customHeight="1" x14ac:dyDescent="0.25">
      <c r="B28" t="s">
        <v>23</v>
      </c>
      <c r="C28" s="10" t="s">
        <v>24</v>
      </c>
      <c r="D28" s="10"/>
    </row>
    <row r="29" spans="1:7" ht="15" customHeight="1" x14ac:dyDescent="0.25">
      <c r="B29" t="s">
        <v>25</v>
      </c>
      <c r="C29" s="10" t="str">
        <f>IF(C28="Yes","Surplus",C27)</f>
        <v>HI</v>
      </c>
      <c r="D29" s="10"/>
    </row>
    <row r="30" spans="1:7" ht="15" customHeight="1" x14ac:dyDescent="0.25">
      <c r="B30" s="13" t="s">
        <v>26</v>
      </c>
      <c r="C30" s="91" t="s">
        <v>27</v>
      </c>
      <c r="D30" s="10"/>
    </row>
    <row r="31" spans="1:7" ht="15" customHeight="1" x14ac:dyDescent="0.25">
      <c r="B31" s="13" t="s">
        <v>28</v>
      </c>
      <c r="C31" s="91" t="s">
        <v>27</v>
      </c>
      <c r="D31" s="10"/>
    </row>
    <row r="32" spans="1:7" ht="15" customHeight="1" x14ac:dyDescent="0.25">
      <c r="B32" t="s">
        <v>29</v>
      </c>
      <c r="C32" s="10" t="str">
        <f>VLOOKUP(C29,tblBBRStateApplicabilities,3,0)</f>
        <v>No</v>
      </c>
      <c r="D32" s="10"/>
    </row>
    <row r="33" spans="2:4" ht="15" customHeight="1" x14ac:dyDescent="0.25">
      <c r="B33" t="s">
        <v>30</v>
      </c>
      <c r="C33" s="10" t="str">
        <f>VLOOKUP(C29,tblBBRStateApplicabilities,4,0)</f>
        <v>No</v>
      </c>
      <c r="D33" s="10"/>
    </row>
    <row r="34" spans="2:4" ht="15" customHeight="1" x14ac:dyDescent="0.25">
      <c r="B34" t="s">
        <v>31</v>
      </c>
      <c r="C34" s="10" t="s">
        <v>24</v>
      </c>
      <c r="D34" s="10"/>
    </row>
    <row r="35" spans="2:4" ht="15" customHeight="1" x14ac:dyDescent="0.25">
      <c r="B35" t="s">
        <v>32</v>
      </c>
      <c r="C35" s="10" t="s">
        <v>24</v>
      </c>
      <c r="D35" s="10"/>
    </row>
    <row r="36" spans="2:4" ht="15" customHeight="1" x14ac:dyDescent="0.25">
      <c r="B36" t="s">
        <v>33</v>
      </c>
      <c r="C36" s="14" t="str">
        <f>VLOOKUP(C29,tblBBRStateApplicabilities,10,FALSE)</f>
        <v>No</v>
      </c>
      <c r="D36" s="10"/>
    </row>
    <row r="37" spans="2:4" ht="15" customHeight="1" x14ac:dyDescent="0.25">
      <c r="C37" s="14"/>
      <c r="D37" s="10"/>
    </row>
    <row r="38" spans="2:4" ht="15" customHeight="1" x14ac:dyDescent="0.25">
      <c r="B38" t="s">
        <v>34</v>
      </c>
      <c r="C38" s="14" t="str">
        <f>UPPER(""&amp;C30)</f>
        <v/>
      </c>
      <c r="D38" s="10"/>
    </row>
    <row r="39" spans="2:4" ht="15" customHeight="1" x14ac:dyDescent="0.25">
      <c r="B39" t="s">
        <v>35</v>
      </c>
      <c r="C39" s="14" t="str">
        <f>UPPER(""&amp;C31)</f>
        <v/>
      </c>
      <c r="D39" s="10"/>
    </row>
    <row r="40" spans="2:4" ht="15" customHeight="1" x14ac:dyDescent="0.25">
      <c r="B40" t="s">
        <v>36</v>
      </c>
      <c r="C40" s="14" t="e">
        <f ca="1">IF(C38="TBD",TODAY(),DATEVALUE(C38))</f>
        <v>#VALUE!</v>
      </c>
      <c r="D40" s="10"/>
    </row>
    <row r="41" spans="2:4" ht="15" customHeight="1" x14ac:dyDescent="0.25">
      <c r="B41" t="s">
        <v>37</v>
      </c>
      <c r="C41" s="14" t="e">
        <f>IF(C38="TBD",DATE(YEAR(C40)+1,MONTH(C40),DAY(C40)),DATEVALUE(C39))</f>
        <v>#VALUE!</v>
      </c>
      <c r="D41" s="10"/>
    </row>
    <row r="42" spans="2:4" ht="15" customHeight="1" x14ac:dyDescent="0.25">
      <c r="C42" s="14"/>
      <c r="D42" s="10"/>
    </row>
    <row r="43" spans="2:4" ht="15" customHeight="1" x14ac:dyDescent="0.25">
      <c r="C43" s="14"/>
      <c r="D43" s="10"/>
    </row>
    <row r="44" spans="2:4" ht="15" customHeight="1" x14ac:dyDescent="0.25">
      <c r="C44" s="15"/>
      <c r="D44" s="10"/>
    </row>
    <row r="45" spans="2:4" ht="15" customHeight="1" x14ac:dyDescent="0.25">
      <c r="B45" t="s">
        <v>38</v>
      </c>
      <c r="C45" s="16">
        <f>IF(ISNA(VLOOKUP(C28,lstYesNo,1,0)),1,0)</f>
        <v>0</v>
      </c>
      <c r="D45" s="10"/>
    </row>
    <row r="46" spans="2:4" ht="15" customHeight="1" x14ac:dyDescent="0.25">
      <c r="B46" t="s">
        <v>39</v>
      </c>
      <c r="C46" s="16">
        <f>IF(OR(AND(C38="TBD",C39&lt;&gt;"TBD"),AND(C38&lt;&gt;"TBD",C39="TBD")),1,0)</f>
        <v>0</v>
      </c>
      <c r="D46" s="10"/>
    </row>
    <row r="47" spans="2:4" ht="15" customHeight="1" x14ac:dyDescent="0.25">
      <c r="B47" t="s">
        <v>40</v>
      </c>
      <c r="C47" s="15" t="e">
        <f ca="1">IF(C40&lt;DATE(2014,1,30),1,0)</f>
        <v>#VALUE!</v>
      </c>
      <c r="D47" s="10"/>
    </row>
    <row r="48" spans="2:4" ht="15" customHeight="1" x14ac:dyDescent="0.25">
      <c r="B48" t="s">
        <v>41</v>
      </c>
      <c r="C48" s="16" t="e">
        <f ca="1">IF(C41&lt;=C40,1,0)</f>
        <v>#VALUE!</v>
      </c>
      <c r="D48" s="10"/>
    </row>
    <row r="49" spans="1:4" ht="15" customHeight="1" x14ac:dyDescent="0.25">
      <c r="C49" s="10"/>
      <c r="D49" s="10"/>
    </row>
    <row r="50" spans="1:4" ht="15" customHeight="1" x14ac:dyDescent="0.25">
      <c r="C50" s="10"/>
      <c r="D50" s="10"/>
    </row>
    <row r="51" spans="1:4" ht="15" customHeight="1" x14ac:dyDescent="0.25">
      <c r="C51" s="10"/>
      <c r="D51" s="10"/>
    </row>
    <row r="52" spans="1:4" ht="15" customHeight="1" x14ac:dyDescent="0.25">
      <c r="C52" s="10"/>
      <c r="D52" s="10"/>
    </row>
    <row r="53" spans="1:4" ht="15" customHeight="1" x14ac:dyDescent="0.25">
      <c r="A53" s="9" t="s">
        <v>42</v>
      </c>
      <c r="C53" s="10"/>
      <c r="D53" s="10"/>
    </row>
    <row r="54" spans="1:4" ht="15" customHeight="1" x14ac:dyDescent="0.25">
      <c r="A54" s="9"/>
      <c r="B54" s="8" t="s">
        <v>43</v>
      </c>
      <c r="C54" s="10"/>
      <c r="D54" s="10"/>
    </row>
    <row r="55" spans="1:4" ht="15" customHeight="1" x14ac:dyDescent="0.25">
      <c r="A55" s="9"/>
      <c r="B55" s="8" t="s">
        <v>44</v>
      </c>
      <c r="C55" s="10"/>
      <c r="D55" s="10"/>
    </row>
    <row r="56" spans="1:4" ht="15" customHeight="1" x14ac:dyDescent="0.25">
      <c r="A56" s="9"/>
      <c r="C56" s="10"/>
      <c r="D56" s="10"/>
    </row>
    <row r="57" spans="1:4" ht="15" customHeight="1" x14ac:dyDescent="0.25">
      <c r="A57" s="9"/>
      <c r="B57" s="13" t="s">
        <v>45</v>
      </c>
      <c r="C57" s="91"/>
      <c r="D57" s="10"/>
    </row>
    <row r="58" spans="1:4" ht="15" customHeight="1" x14ac:dyDescent="0.25">
      <c r="B58" s="13" t="s">
        <v>46</v>
      </c>
      <c r="C58" s="17" t="e">
        <f>VLOOKUP(BBR.BBR.IndustryClass.Input,tblIndustries,2,0)</f>
        <v>#N/A</v>
      </c>
      <c r="D58" s="10"/>
    </row>
    <row r="59" spans="1:4" ht="15" customHeight="1" x14ac:dyDescent="0.25">
      <c r="B59" s="13" t="s">
        <v>47</v>
      </c>
      <c r="C59" s="91"/>
      <c r="D59" s="10"/>
    </row>
    <row r="60" spans="1:4" ht="15" customHeight="1" x14ac:dyDescent="0.25">
      <c r="B60" s="11" t="s">
        <v>48</v>
      </c>
      <c r="C60" s="10" t="str">
        <f>IF(BBR.BBR.Revenue.Input&gt;35000000,"MM","PE")</f>
        <v>PE</v>
      </c>
      <c r="D60" s="10"/>
    </row>
    <row r="61" spans="1:4" ht="15" customHeight="1" x14ac:dyDescent="0.25">
      <c r="B61" t="s">
        <v>49</v>
      </c>
      <c r="C61" s="18">
        <v>1000000000</v>
      </c>
      <c r="D61" s="10"/>
    </row>
    <row r="62" spans="1:4" ht="15" customHeight="1" x14ac:dyDescent="0.25">
      <c r="C62" s="10"/>
      <c r="D62" s="10"/>
    </row>
    <row r="63" spans="1:4" ht="15" customHeight="1" x14ac:dyDescent="0.25">
      <c r="B63" s="8" t="s">
        <v>50</v>
      </c>
      <c r="C63" s="10"/>
      <c r="D63" s="10"/>
    </row>
    <row r="64" spans="1:4" ht="15" customHeight="1" x14ac:dyDescent="0.25">
      <c r="B64" s="19" t="s">
        <v>47</v>
      </c>
      <c r="C64" s="20">
        <f>BBR.BBR.Revenue.Input</f>
        <v>0</v>
      </c>
      <c r="D64" s="10"/>
    </row>
    <row r="65" spans="1:4" ht="15" customHeight="1" x14ac:dyDescent="0.25">
      <c r="B65" s="19" t="s">
        <v>51</v>
      </c>
      <c r="C65" s="20">
        <f>VLOOKUP(C64,tblBBRBaseRatesInBand,1,1)</f>
        <v>0</v>
      </c>
      <c r="D65" s="10"/>
    </row>
    <row r="66" spans="1:4" ht="15" customHeight="1" x14ac:dyDescent="0.25">
      <c r="B66" s="19" t="s">
        <v>52</v>
      </c>
      <c r="C66" s="20">
        <f>VLOOKUP(C64,tblBBRBaseRatesInBand,2,1)</f>
        <v>2500000</v>
      </c>
      <c r="D66" s="10"/>
    </row>
    <row r="67" spans="1:4" ht="15" customHeight="1" x14ac:dyDescent="0.25">
      <c r="B67" s="19" t="s">
        <v>53</v>
      </c>
      <c r="C67" s="20">
        <f>C64-C65</f>
        <v>0</v>
      </c>
      <c r="D67" s="10"/>
    </row>
    <row r="68" spans="1:4" ht="15" customHeight="1" x14ac:dyDescent="0.25">
      <c r="B68" s="19" t="s">
        <v>54</v>
      </c>
      <c r="C68" s="20" t="e">
        <f>VLOOKUP(C58,tblBBRHazardGroupColumn,2,0)</f>
        <v>#N/A</v>
      </c>
      <c r="D68" s="10"/>
    </row>
    <row r="69" spans="1:4" ht="15" customHeight="1" x14ac:dyDescent="0.25">
      <c r="B69" s="19" t="s">
        <v>55</v>
      </c>
      <c r="C69" s="20" t="e">
        <f>VLOOKUP(C64,tblBBRBaseRateAtStart,C68,1)</f>
        <v>#REF!</v>
      </c>
      <c r="D69" s="10"/>
    </row>
    <row r="70" spans="1:4" ht="15" customHeight="1" x14ac:dyDescent="0.25">
      <c r="B70" s="19" t="s">
        <v>56</v>
      </c>
      <c r="C70" s="21" t="e">
        <f>VLOOKUP(C64,tblBBRBaseRatesInBand,C68,1)</f>
        <v>#REF!</v>
      </c>
      <c r="D70" s="10"/>
    </row>
    <row r="71" spans="1:4" ht="15" customHeight="1" x14ac:dyDescent="0.25">
      <c r="B71" s="19" t="s">
        <v>50</v>
      </c>
      <c r="C71" s="20" t="e">
        <f>C69+C67*C70/1000</f>
        <v>#REF!</v>
      </c>
      <c r="D71" s="10"/>
    </row>
    <row r="72" spans="1:4" ht="15" customHeight="1" x14ac:dyDescent="0.25">
      <c r="C72" s="10"/>
      <c r="D72" s="10"/>
    </row>
    <row r="73" spans="1:4" ht="15" customHeight="1" x14ac:dyDescent="0.25">
      <c r="B73" t="s">
        <v>50</v>
      </c>
      <c r="C73" s="22" t="e">
        <f>C71</f>
        <v>#REF!</v>
      </c>
      <c r="D73" s="10"/>
    </row>
    <row r="74" spans="1:4" ht="15" customHeight="1" x14ac:dyDescent="0.25">
      <c r="C74" s="10"/>
      <c r="D74" s="10"/>
    </row>
    <row r="75" spans="1:4" ht="15" customHeight="1" x14ac:dyDescent="0.25">
      <c r="B75" t="s">
        <v>57</v>
      </c>
      <c r="C75" s="16">
        <f>IF(ISNA(VLOOKUP(C58,lstBBRHazardGroup,1,0)),1,0)</f>
        <v>1</v>
      </c>
      <c r="D75" s="10"/>
    </row>
    <row r="76" spans="1:4" ht="15" customHeight="1" x14ac:dyDescent="0.25">
      <c r="B76" t="s">
        <v>58</v>
      </c>
      <c r="C76" s="16">
        <f>IF(AND(C59&gt;0,C59&lt;=C61),0,1)</f>
        <v>1</v>
      </c>
      <c r="D76" s="10"/>
    </row>
    <row r="77" spans="1:4" ht="15" customHeight="1" x14ac:dyDescent="0.25">
      <c r="C77" s="10"/>
      <c r="D77" s="10"/>
    </row>
    <row r="78" spans="1:4" ht="15" customHeight="1" x14ac:dyDescent="0.25">
      <c r="C78" s="10"/>
      <c r="D78" s="10"/>
    </row>
    <row r="79" spans="1:4" ht="15" customHeight="1" x14ac:dyDescent="0.25">
      <c r="A79" s="23" t="s">
        <v>59</v>
      </c>
      <c r="C79" s="10"/>
      <c r="D79" s="10"/>
    </row>
    <row r="80" spans="1:4" ht="15" customHeight="1" x14ac:dyDescent="0.25">
      <c r="C80" s="10"/>
    </row>
    <row r="81" spans="2:3" ht="15" customHeight="1" x14ac:dyDescent="0.25">
      <c r="C81" s="24" t="s">
        <v>60</v>
      </c>
    </row>
    <row r="82" spans="2:3" ht="15" customHeight="1" x14ac:dyDescent="0.25">
      <c r="B82" t="s">
        <v>47</v>
      </c>
      <c r="C82" s="20">
        <f>$C$59</f>
        <v>0</v>
      </c>
    </row>
    <row r="83" spans="2:3" ht="15" customHeight="1" x14ac:dyDescent="0.25">
      <c r="B83" s="13" t="s">
        <v>61</v>
      </c>
      <c r="C83" s="91"/>
    </row>
    <row r="84" spans="2:3" ht="15" customHeight="1" x14ac:dyDescent="0.25">
      <c r="C84" s="10"/>
    </row>
    <row r="85" spans="2:3" ht="15" customHeight="1" x14ac:dyDescent="0.25">
      <c r="B85" t="s">
        <v>62</v>
      </c>
      <c r="C85" s="20">
        <f>IF(C36="Yes",1000000,100000)</f>
        <v>100000</v>
      </c>
    </row>
    <row r="86" spans="2:3" ht="15" customHeight="1" x14ac:dyDescent="0.25">
      <c r="B86" t="s">
        <v>63</v>
      </c>
      <c r="C86" s="20">
        <v>10000000</v>
      </c>
    </row>
    <row r="87" spans="2:3" ht="15" customHeight="1" x14ac:dyDescent="0.25">
      <c r="B87" t="s">
        <v>64</v>
      </c>
      <c r="C87" s="16">
        <f>IF(AND(C83&gt;=C85,C83&lt;=C86),0,1)</f>
        <v>1</v>
      </c>
    </row>
    <row r="88" spans="2:3" ht="15" customHeight="1" x14ac:dyDescent="0.25">
      <c r="C88" s="10"/>
    </row>
    <row r="89" spans="2:3" ht="15" customHeight="1" x14ac:dyDescent="0.25">
      <c r="B89" t="s">
        <v>65</v>
      </c>
      <c r="C89" s="20" t="e">
        <f>VLOOKUP(C83,tblBBRILFs,1,1)</f>
        <v>#N/A</v>
      </c>
    </row>
    <row r="90" spans="2:3" ht="15" customHeight="1" x14ac:dyDescent="0.25">
      <c r="B90" t="s">
        <v>66</v>
      </c>
      <c r="C90" s="20" t="e">
        <f>VLOOKUP(C83,tblBBRILFs,2,1)</f>
        <v>#N/A</v>
      </c>
    </row>
    <row r="91" spans="2:3" ht="15" customHeight="1" x14ac:dyDescent="0.25">
      <c r="B91" t="s">
        <v>67</v>
      </c>
      <c r="C91" s="20" t="e">
        <f>C83-C89</f>
        <v>#N/A</v>
      </c>
    </row>
    <row r="92" spans="2:3" ht="15" customHeight="1" x14ac:dyDescent="0.25">
      <c r="B92" t="s">
        <v>68</v>
      </c>
      <c r="C92" s="21" t="e">
        <f>IF(C90=C89,0,C91/(C90-C89))</f>
        <v>#N/A</v>
      </c>
    </row>
    <row r="93" spans="2:3" ht="15" customHeight="1" x14ac:dyDescent="0.25">
      <c r="C93" s="10"/>
    </row>
    <row r="94" spans="2:3" ht="15" customHeight="1" x14ac:dyDescent="0.25">
      <c r="B94" t="s">
        <v>69</v>
      </c>
      <c r="C94" s="21" t="e">
        <f>VLOOKUP(C89,tblBBRILFs,3,0)</f>
        <v>#N/A</v>
      </c>
    </row>
    <row r="95" spans="2:3" ht="15" customHeight="1" x14ac:dyDescent="0.25">
      <c r="B95" t="s">
        <v>70</v>
      </c>
      <c r="C95" s="21" t="e">
        <f>VLOOKUP(C90,tblBBRILFs,3,0)</f>
        <v>#N/A</v>
      </c>
    </row>
    <row r="96" spans="2:3" ht="15" customHeight="1" x14ac:dyDescent="0.25">
      <c r="B96" t="s">
        <v>71</v>
      </c>
      <c r="C96" s="21" t="e">
        <f>(C95-C94)*C92+C94</f>
        <v>#N/A</v>
      </c>
    </row>
    <row r="97" spans="1:4" ht="15" customHeight="1" x14ac:dyDescent="0.25">
      <c r="C97" s="10"/>
    </row>
    <row r="98" spans="1:4" ht="15" customHeight="1" x14ac:dyDescent="0.25">
      <c r="B98" t="s">
        <v>72</v>
      </c>
      <c r="C98" s="21" t="e">
        <f>VLOOKUP(C89,tblBBRILFs,4,0)</f>
        <v>#N/A</v>
      </c>
    </row>
    <row r="99" spans="1:4" ht="15" customHeight="1" x14ac:dyDescent="0.25">
      <c r="B99" t="s">
        <v>73</v>
      </c>
      <c r="C99" s="21" t="e">
        <f>VLOOKUP(C90,tblBBRILFs,4,0)</f>
        <v>#N/A</v>
      </c>
    </row>
    <row r="100" spans="1:4" ht="15" customHeight="1" x14ac:dyDescent="0.25">
      <c r="B100" t="s">
        <v>74</v>
      </c>
      <c r="C100" s="21" t="e">
        <f>(C99-C98)*C92+C98</f>
        <v>#N/A</v>
      </c>
    </row>
    <row r="101" spans="1:4" ht="15" customHeight="1" x14ac:dyDescent="0.25">
      <c r="C101" s="10"/>
    </row>
    <row r="102" spans="1:4" ht="15" customHeight="1" x14ac:dyDescent="0.25">
      <c r="B102" t="s">
        <v>75</v>
      </c>
      <c r="C102" s="20">
        <f>MIN(MAX(C82-200000000,0),100000000)</f>
        <v>0</v>
      </c>
    </row>
    <row r="103" spans="1:4" ht="15" customHeight="1" x14ac:dyDescent="0.25">
      <c r="B103" t="s">
        <v>76</v>
      </c>
      <c r="C103" s="21">
        <f>C102/100000000</f>
        <v>0</v>
      </c>
    </row>
    <row r="104" spans="1:4" ht="15" customHeight="1" x14ac:dyDescent="0.25">
      <c r="B104" t="s">
        <v>77</v>
      </c>
      <c r="C104" s="25" t="e">
        <f>IF(C87=0,(C100-C96)*C103+C96,NA())</f>
        <v>#N/A</v>
      </c>
    </row>
    <row r="105" spans="1:4" ht="15" customHeight="1" x14ac:dyDescent="0.25">
      <c r="C105" s="10"/>
      <c r="D105" s="10"/>
    </row>
    <row r="106" spans="1:4" ht="15" customHeight="1" x14ac:dyDescent="0.25">
      <c r="C106" s="10"/>
      <c r="D106" s="10"/>
    </row>
    <row r="107" spans="1:4" ht="15" customHeight="1" x14ac:dyDescent="0.25">
      <c r="A107" s="23" t="s">
        <v>78</v>
      </c>
      <c r="C107" s="10"/>
      <c r="D107" s="10"/>
    </row>
    <row r="108" spans="1:4" ht="15" customHeight="1" x14ac:dyDescent="0.25">
      <c r="B108" t="s">
        <v>47</v>
      </c>
      <c r="C108" s="20">
        <f>$C$59</f>
        <v>0</v>
      </c>
      <c r="D108" s="10"/>
    </row>
    <row r="109" spans="1:4" ht="15" customHeight="1" x14ac:dyDescent="0.25">
      <c r="B109" t="s">
        <v>79</v>
      </c>
      <c r="C109" s="26">
        <f>VLOOKUP(C108,tblBBRGuidelineNotification,3,1)</f>
        <v>0.01</v>
      </c>
      <c r="D109" s="27"/>
    </row>
    <row r="110" spans="1:4" ht="15" customHeight="1" x14ac:dyDescent="0.25">
      <c r="B110" t="s">
        <v>80</v>
      </c>
      <c r="C110" s="20">
        <f>VLOOKUP(C108,tblBBRGuidelineNotification,4,1)</f>
        <v>0</v>
      </c>
      <c r="D110" s="10"/>
    </row>
    <row r="111" spans="1:4" ht="15" customHeight="1" x14ac:dyDescent="0.25">
      <c r="B111" t="s">
        <v>81</v>
      </c>
      <c r="C111" s="20">
        <f>VLOOKUP(C108,tblBBRGuidelineNotification,5,1)</f>
        <v>25000</v>
      </c>
      <c r="D111" s="10"/>
    </row>
    <row r="112" spans="1:4" ht="15" customHeight="1" x14ac:dyDescent="0.25">
      <c r="B112" t="s">
        <v>82</v>
      </c>
      <c r="C112" s="20">
        <f>VLOOKUP(C108,tblBBRGuidelineNotification,6,1)</f>
        <v>100000</v>
      </c>
      <c r="D112" s="10"/>
    </row>
    <row r="113" spans="2:4" ht="15" customHeight="1" x14ac:dyDescent="0.25">
      <c r="B113" t="s">
        <v>83</v>
      </c>
      <c r="C113" s="28">
        <f>MAX(MIN(C108*C109+C110,C112),C111)</f>
        <v>25000</v>
      </c>
      <c r="D113" s="10"/>
    </row>
    <row r="114" spans="2:4" ht="15" customHeight="1" x14ac:dyDescent="0.25">
      <c r="B114" t="s">
        <v>84</v>
      </c>
      <c r="C114" s="28">
        <f>C121*C113</f>
        <v>250000000</v>
      </c>
      <c r="D114" s="10"/>
    </row>
    <row r="115" spans="2:4" ht="15" customHeight="1" x14ac:dyDescent="0.25">
      <c r="C115" s="10"/>
    </row>
    <row r="116" spans="2:4" ht="15" customHeight="1" x14ac:dyDescent="0.25">
      <c r="C116" s="24" t="s">
        <v>60</v>
      </c>
    </row>
    <row r="117" spans="2:4" ht="15" customHeight="1" x14ac:dyDescent="0.25">
      <c r="B117" t="s">
        <v>83</v>
      </c>
      <c r="C117" s="20">
        <f>$C$113</f>
        <v>25000</v>
      </c>
    </row>
    <row r="118" spans="2:4" ht="15" customHeight="1" x14ac:dyDescent="0.25">
      <c r="B118" s="13" t="s">
        <v>85</v>
      </c>
      <c r="C118" s="91"/>
      <c r="D118" s="23" t="s">
        <v>625</v>
      </c>
    </row>
    <row r="119" spans="2:4" ht="15" customHeight="1" x14ac:dyDescent="0.25">
      <c r="B119" t="s">
        <v>86</v>
      </c>
      <c r="C119" s="21">
        <f>C118/C117</f>
        <v>0</v>
      </c>
    </row>
    <row r="120" spans="2:4" ht="15" customHeight="1" x14ac:dyDescent="0.25">
      <c r="B120" t="s">
        <v>87</v>
      </c>
      <c r="C120" s="21">
        <v>0</v>
      </c>
    </row>
    <row r="121" spans="2:4" ht="15" customHeight="1" x14ac:dyDescent="0.25">
      <c r="B121" t="s">
        <v>88</v>
      </c>
      <c r="C121" s="29">
        <v>10000</v>
      </c>
    </row>
    <row r="122" spans="2:4" ht="15" customHeight="1" x14ac:dyDescent="0.25">
      <c r="B122" t="s">
        <v>89</v>
      </c>
      <c r="C122" s="21">
        <f>VLOOKUP(C119,tblBBRNotificationFactor,1,1)</f>
        <v>0</v>
      </c>
    </row>
    <row r="123" spans="2:4" ht="15" customHeight="1" x14ac:dyDescent="0.25">
      <c r="B123" t="s">
        <v>90</v>
      </c>
      <c r="C123" s="21">
        <f>VLOOKUP(C119,tblBBRNotificationFactor,2,1)</f>
        <v>0.25</v>
      </c>
    </row>
    <row r="124" spans="2:4" ht="15" customHeight="1" x14ac:dyDescent="0.25">
      <c r="B124" t="s">
        <v>91</v>
      </c>
      <c r="C124" s="21">
        <f>VLOOKUP(C119,tblBBRNotificationFactor,3,1)</f>
        <v>0.7</v>
      </c>
    </row>
    <row r="125" spans="2:4" ht="15" customHeight="1" x14ac:dyDescent="0.25">
      <c r="B125" t="s">
        <v>92</v>
      </c>
      <c r="C125" s="21">
        <f>VLOOKUP(C119,tblBBRNotificationFactor,4,1)</f>
        <v>0.82499999999999996</v>
      </c>
    </row>
    <row r="126" spans="2:4" ht="15" customHeight="1" x14ac:dyDescent="0.25">
      <c r="B126" t="s">
        <v>93</v>
      </c>
      <c r="C126" s="21">
        <f>IF(C123=C122,0,(C119-C122)/(C123-C122))</f>
        <v>0</v>
      </c>
    </row>
    <row r="127" spans="2:4" ht="15" customHeight="1" x14ac:dyDescent="0.25">
      <c r="B127" t="s">
        <v>94</v>
      </c>
      <c r="C127" s="30">
        <f>IF(C119&lt;=10,(C125-C124)*C126+C124,(C119-10)*0.0005+1.41)</f>
        <v>0.7</v>
      </c>
    </row>
    <row r="128" spans="2:4" ht="15" customHeight="1" x14ac:dyDescent="0.25">
      <c r="C128" s="10"/>
    </row>
    <row r="129" spans="1:4" ht="15" customHeight="1" x14ac:dyDescent="0.25">
      <c r="B129" t="s">
        <v>95</v>
      </c>
      <c r="C129" s="16">
        <f>IF(AND(C119&lt;=C121,C119&gt;=C120,C118&lt;&gt;""),0,1)</f>
        <v>1</v>
      </c>
    </row>
    <row r="130" spans="1:4" ht="15" customHeight="1" x14ac:dyDescent="0.25">
      <c r="B130" t="s">
        <v>96</v>
      </c>
      <c r="C130" s="16">
        <f>IF(AND(C123=C122,C119&lt;&gt;C122),1,0)</f>
        <v>0</v>
      </c>
    </row>
    <row r="131" spans="1:4" ht="15" customHeight="1" x14ac:dyDescent="0.25">
      <c r="C131" s="10"/>
    </row>
    <row r="132" spans="1:4" ht="15" customHeight="1" x14ac:dyDescent="0.25">
      <c r="C132" s="10"/>
    </row>
    <row r="133" spans="1:4" ht="15" customHeight="1" x14ac:dyDescent="0.25">
      <c r="A133" s="23" t="s">
        <v>97</v>
      </c>
      <c r="C133" s="10"/>
      <c r="D133" s="10"/>
    </row>
    <row r="134" spans="1:4" ht="15" customHeight="1" x14ac:dyDescent="0.25">
      <c r="B134" t="s">
        <v>47</v>
      </c>
      <c r="C134" s="20">
        <f>$C$59</f>
        <v>0</v>
      </c>
      <c r="D134" s="10"/>
    </row>
    <row r="135" spans="1:4" ht="15" customHeight="1" x14ac:dyDescent="0.25">
      <c r="B135" t="s">
        <v>79</v>
      </c>
      <c r="C135" s="31">
        <f>VLOOKUP(C134,tblBBRGuidelineRetention,3,1)</f>
        <v>5.0000000000000001E-4</v>
      </c>
      <c r="D135" s="27"/>
    </row>
    <row r="136" spans="1:4" ht="15" customHeight="1" x14ac:dyDescent="0.25">
      <c r="B136" t="s">
        <v>80</v>
      </c>
      <c r="C136" s="20">
        <f>VLOOKUP(C134,tblBBRGuidelineRetention,4,1)</f>
        <v>0</v>
      </c>
      <c r="D136" s="10"/>
    </row>
    <row r="137" spans="1:4" ht="15" customHeight="1" x14ac:dyDescent="0.25">
      <c r="B137" t="s">
        <v>81</v>
      </c>
      <c r="C137" s="20">
        <f>VLOOKUP(C134,tblBBRGuidelineRetention,5,1)</f>
        <v>2500</v>
      </c>
      <c r="D137" s="10"/>
    </row>
    <row r="138" spans="1:4" ht="15" customHeight="1" x14ac:dyDescent="0.25">
      <c r="B138" t="s">
        <v>82</v>
      </c>
      <c r="C138" s="20">
        <f>VLOOKUP(C134,tblBBRGuidelineRetention,6,1)</f>
        <v>50000</v>
      </c>
      <c r="D138" s="10"/>
    </row>
    <row r="139" spans="1:4" ht="15" customHeight="1" x14ac:dyDescent="0.25">
      <c r="B139" t="s">
        <v>98</v>
      </c>
      <c r="C139" s="28">
        <f>MAX(MIN(C134*C135+C136,C138),C137)</f>
        <v>2500</v>
      </c>
      <c r="D139" s="10"/>
    </row>
    <row r="140" spans="1:4" ht="15" customHeight="1" x14ac:dyDescent="0.25">
      <c r="B140" t="s">
        <v>99</v>
      </c>
      <c r="C140" s="28">
        <f>C147*C139</f>
        <v>25000000</v>
      </c>
      <c r="D140" s="10"/>
    </row>
    <row r="141" spans="1:4" ht="15" customHeight="1" x14ac:dyDescent="0.25">
      <c r="C141" s="10"/>
    </row>
    <row r="142" spans="1:4" ht="15" customHeight="1" x14ac:dyDescent="0.25">
      <c r="C142" s="24" t="s">
        <v>60</v>
      </c>
    </row>
    <row r="143" spans="1:4" ht="15" customHeight="1" x14ac:dyDescent="0.25">
      <c r="B143" t="s">
        <v>98</v>
      </c>
      <c r="C143" s="20">
        <f>$C$139</f>
        <v>2500</v>
      </c>
    </row>
    <row r="144" spans="1:4" ht="15" customHeight="1" x14ac:dyDescent="0.25">
      <c r="B144" s="13" t="s">
        <v>100</v>
      </c>
      <c r="C144" s="91"/>
      <c r="D144" s="23" t="s">
        <v>624</v>
      </c>
    </row>
    <row r="145" spans="2:3" ht="15" customHeight="1" x14ac:dyDescent="0.25">
      <c r="B145" t="s">
        <v>86</v>
      </c>
      <c r="C145" s="21">
        <f>C144/C143</f>
        <v>0</v>
      </c>
    </row>
    <row r="146" spans="2:3" ht="15" customHeight="1" x14ac:dyDescent="0.25">
      <c r="B146" t="s">
        <v>87</v>
      </c>
      <c r="C146" s="21">
        <v>0</v>
      </c>
    </row>
    <row r="147" spans="2:3" ht="15" customHeight="1" x14ac:dyDescent="0.25">
      <c r="B147" t="s">
        <v>88</v>
      </c>
      <c r="C147" s="20">
        <v>10000</v>
      </c>
    </row>
    <row r="148" spans="2:3" ht="15" customHeight="1" x14ac:dyDescent="0.25">
      <c r="B148" t="s">
        <v>89</v>
      </c>
      <c r="C148" s="21">
        <f>VLOOKUP(C145,tblBBRRetentionFactor,1,1)</f>
        <v>0</v>
      </c>
    </row>
    <row r="149" spans="2:3" ht="15" customHeight="1" x14ac:dyDescent="0.25">
      <c r="B149" t="s">
        <v>90</v>
      </c>
      <c r="C149" s="21">
        <f>VLOOKUP(C145,tblBBRRetentionFactor,2,1)</f>
        <v>0.1</v>
      </c>
    </row>
    <row r="150" spans="2:3" ht="15" customHeight="1" x14ac:dyDescent="0.25">
      <c r="B150" t="s">
        <v>91</v>
      </c>
      <c r="C150" s="21">
        <f>VLOOKUP(C145,tblBBRRetentionFactor,3,1)</f>
        <v>1.3</v>
      </c>
    </row>
    <row r="151" spans="2:3" ht="15" customHeight="1" x14ac:dyDescent="0.25">
      <c r="B151" t="s">
        <v>92</v>
      </c>
      <c r="C151" s="21">
        <f>VLOOKUP(C145,tblBBRRetentionFactor,4,1)</f>
        <v>1.252</v>
      </c>
    </row>
    <row r="152" spans="2:3" ht="15" customHeight="1" x14ac:dyDescent="0.25">
      <c r="B152" t="s">
        <v>93</v>
      </c>
      <c r="C152" s="21">
        <f>IF(C149=C148,0,(C145-C148)/(C149-C148))</f>
        <v>0</v>
      </c>
    </row>
    <row r="153" spans="2:3" ht="15" customHeight="1" x14ac:dyDescent="0.25">
      <c r="B153" t="s">
        <v>101</v>
      </c>
      <c r="C153" s="30">
        <f>IF(C145&lt;=10,(C151-C150)*C152+C150,(10-C145)*0.001 +0.7919)</f>
        <v>1.3</v>
      </c>
    </row>
    <row r="154" spans="2:3" ht="15" customHeight="1" x14ac:dyDescent="0.25">
      <c r="C154" s="10"/>
    </row>
    <row r="155" spans="2:3" ht="15" customHeight="1" x14ac:dyDescent="0.25">
      <c r="B155" t="s">
        <v>102</v>
      </c>
      <c r="C155" s="16">
        <f>IF(AND(C145&lt;=C147,C145&gt;=C146,C144&lt;&gt;""),0,1)</f>
        <v>1</v>
      </c>
    </row>
    <row r="156" spans="2:3" ht="15" customHeight="1" x14ac:dyDescent="0.25">
      <c r="B156" t="s">
        <v>103</v>
      </c>
      <c r="C156" s="16">
        <f>IF(AND(C149=C148,C145&lt;&gt;C148),1,0)</f>
        <v>0</v>
      </c>
    </row>
    <row r="157" spans="2:3" ht="15" customHeight="1" x14ac:dyDescent="0.25">
      <c r="C157" s="10"/>
    </row>
    <row r="163" spans="1:3" ht="15" customHeight="1" x14ac:dyDescent="0.25">
      <c r="A163" s="23" t="s">
        <v>104</v>
      </c>
    </row>
    <row r="164" spans="1:3" ht="15" customHeight="1" x14ac:dyDescent="0.25">
      <c r="B164" s="8" t="s">
        <v>105</v>
      </c>
    </row>
    <row r="165" spans="1:3" ht="15" customHeight="1" x14ac:dyDescent="0.25">
      <c r="C165" s="10"/>
    </row>
    <row r="166" spans="1:3" ht="15" customHeight="1" x14ac:dyDescent="0.25">
      <c r="B166" s="13" t="s">
        <v>106</v>
      </c>
      <c r="C166" s="32">
        <v>0</v>
      </c>
    </row>
    <row r="167" spans="1:3" ht="15" customHeight="1" x14ac:dyDescent="0.25">
      <c r="B167" s="13" t="s">
        <v>107</v>
      </c>
      <c r="C167" s="32" t="s">
        <v>108</v>
      </c>
    </row>
    <row r="168" spans="1:3" ht="15" customHeight="1" x14ac:dyDescent="0.25">
      <c r="B168" s="13" t="s">
        <v>109</v>
      </c>
      <c r="C168" s="33">
        <v>0</v>
      </c>
    </row>
    <row r="169" spans="1:3" ht="15" customHeight="1" x14ac:dyDescent="0.25">
      <c r="B169" s="11" t="s">
        <v>110</v>
      </c>
      <c r="C169" s="34"/>
    </row>
    <row r="170" spans="1:3" s="35" customFormat="1" ht="15" customHeight="1" x14ac:dyDescent="0.25">
      <c r="B170" s="35" t="s">
        <v>111</v>
      </c>
      <c r="C170" s="36">
        <f>VLOOKUP($C$166,tblAdmittedLossRatingClaimCountPE,3,TRUE)</f>
        <v>0.7</v>
      </c>
    </row>
    <row r="171" spans="1:3" s="35" customFormat="1" ht="15" customHeight="1" x14ac:dyDescent="0.25">
      <c r="B171" s="35" t="s">
        <v>112</v>
      </c>
      <c r="C171" s="36">
        <f>VLOOKUP($C$166,tblAdmittedLossRatingClaimCountPE,4,TRUE)</f>
        <v>1</v>
      </c>
    </row>
    <row r="172" spans="1:3" s="35" customFormat="1" ht="15" customHeight="1" x14ac:dyDescent="0.25">
      <c r="B172" s="35" t="s">
        <v>113</v>
      </c>
      <c r="C172" s="36">
        <f>VLOOKUP($C$166,tblAdmittedLossRatingClaimCountPE,2,TRUE)</f>
        <v>1</v>
      </c>
    </row>
    <row r="173" spans="1:3" s="35" customFormat="1" ht="15" customHeight="1" x14ac:dyDescent="0.25">
      <c r="B173" s="35" t="s">
        <v>114</v>
      </c>
      <c r="C173" s="36">
        <f>VLOOKUP($C$167,tblAdmittedLossRatingClaimIncurredPE,3,TRUE)</f>
        <v>0.7</v>
      </c>
    </row>
    <row r="174" spans="1:3" s="35" customFormat="1" ht="15" customHeight="1" x14ac:dyDescent="0.25">
      <c r="B174" s="35" t="s">
        <v>115</v>
      </c>
      <c r="C174" s="36">
        <f>VLOOKUP($C$167,tblAdmittedLossRatingClaimIncurredPE,4,TRUE)</f>
        <v>1</v>
      </c>
    </row>
    <row r="175" spans="1:3" s="35" customFormat="1" ht="15" customHeight="1" x14ac:dyDescent="0.25">
      <c r="B175" s="35" t="s">
        <v>116</v>
      </c>
      <c r="C175" s="36">
        <f>VLOOKUP($C$167,tblAdmittedLossRatingClaimIncurredPE,2,TRUE)</f>
        <v>1</v>
      </c>
    </row>
    <row r="176" spans="1:3" s="35" customFormat="1" ht="15" customHeight="1" x14ac:dyDescent="0.25">
      <c r="B176" s="35" t="s">
        <v>117</v>
      </c>
      <c r="C176" s="36">
        <f>VLOOKUP(C168,tblAdmittedLossRatingClaimIncurredMM,3,FALSE)</f>
        <v>0.7</v>
      </c>
    </row>
    <row r="177" spans="2:3" s="35" customFormat="1" ht="15" customHeight="1" x14ac:dyDescent="0.25">
      <c r="B177" s="35" t="s">
        <v>118</v>
      </c>
      <c r="C177" s="36">
        <f>VLOOKUP(C168,tblAdmittedLossRatingClaimIncurredMM,4,FALSE)</f>
        <v>1</v>
      </c>
    </row>
    <row r="178" spans="2:3" s="35" customFormat="1" ht="15" customHeight="1" x14ac:dyDescent="0.25">
      <c r="B178" s="35" t="s">
        <v>119</v>
      </c>
      <c r="C178" s="36">
        <f>VLOOKUP(C168,tblAdmittedLossRatingClaimIncurredMM,2,FALSE)</f>
        <v>0.75</v>
      </c>
    </row>
    <row r="179" spans="2:3" s="35" customFormat="1" ht="15" customHeight="1" x14ac:dyDescent="0.25">
      <c r="B179" s="35" t="s">
        <v>120</v>
      </c>
      <c r="C179" s="36">
        <f>IF(C60="PE",MAX(C175,C172),C178)</f>
        <v>1</v>
      </c>
    </row>
    <row r="180" spans="2:3" ht="15" customHeight="1" x14ac:dyDescent="0.25">
      <c r="B180" t="s">
        <v>121</v>
      </c>
      <c r="C180" s="30">
        <f>IF(C32="Yes", IF(C60="PE",MAX(C170,C173),C176),IF(C60="PE",MAX(C172,C175),C178))</f>
        <v>1</v>
      </c>
    </row>
    <row r="181" spans="2:3" ht="15" customHeight="1" x14ac:dyDescent="0.25">
      <c r="B181" t="s">
        <v>122</v>
      </c>
      <c r="C181" s="30">
        <f>IF(C32="Yes", IF(C60="PE",MAX(C171,C174),C177),IF(C60="PE",MAX(C172,C175),C178))</f>
        <v>1</v>
      </c>
    </row>
    <row r="182" spans="2:3" ht="15" customHeight="1" x14ac:dyDescent="0.25">
      <c r="B182" t="s">
        <v>123</v>
      </c>
      <c r="C182" s="30">
        <f>IF(C169="",C179,C169)</f>
        <v>1</v>
      </c>
    </row>
    <row r="183" spans="2:3" ht="15" customHeight="1" x14ac:dyDescent="0.25">
      <c r="B183" t="s">
        <v>124</v>
      </c>
      <c r="C183" s="16">
        <f>IF(AND(C182&gt;=C180,C182&lt;=C181),0,1)</f>
        <v>0</v>
      </c>
    </row>
    <row r="185" spans="2:3" ht="15" customHeight="1" x14ac:dyDescent="0.25">
      <c r="B185" s="8" t="s">
        <v>125</v>
      </c>
    </row>
    <row r="186" spans="2:3" ht="15" customHeight="1" x14ac:dyDescent="0.25">
      <c r="B186" s="19" t="s">
        <v>126</v>
      </c>
      <c r="C186" s="18" t="e">
        <f>C406</f>
        <v>#REF!</v>
      </c>
    </row>
    <row r="187" spans="2:3" ht="15" customHeight="1" x14ac:dyDescent="0.25">
      <c r="B187" s="19" t="s">
        <v>127</v>
      </c>
      <c r="C187" s="18">
        <v>2500</v>
      </c>
    </row>
    <row r="188" spans="2:3" ht="15" customHeight="1" x14ac:dyDescent="0.25">
      <c r="B188" s="19" t="s">
        <v>128</v>
      </c>
      <c r="C188" t="e">
        <f>C186&gt;=C187</f>
        <v>#REF!</v>
      </c>
    </row>
    <row r="189" spans="2:3" ht="15" customHeight="1" x14ac:dyDescent="0.25">
      <c r="B189" s="19" t="s">
        <v>129</v>
      </c>
      <c r="C189" s="37" t="e">
        <f>IF(AND(C29="NYFTZ",C188=FALSE),1,$C$182)</f>
        <v>#REF!</v>
      </c>
    </row>
    <row r="194" spans="1:4" ht="15" customHeight="1" x14ac:dyDescent="0.25">
      <c r="A194" s="23" t="s">
        <v>130</v>
      </c>
      <c r="C194" s="11"/>
    </row>
    <row r="196" spans="1:4" ht="15" customHeight="1" x14ac:dyDescent="0.25">
      <c r="B196" s="13" t="s">
        <v>131</v>
      </c>
      <c r="C196" s="91"/>
      <c r="D196" s="23" t="s">
        <v>130</v>
      </c>
    </row>
    <row r="197" spans="1:4" ht="15" customHeight="1" x14ac:dyDescent="0.25">
      <c r="B197" s="13" t="s">
        <v>132</v>
      </c>
      <c r="C197" s="38" t="e">
        <f>C196/C202</f>
        <v>#DIV/0!</v>
      </c>
    </row>
    <row r="198" spans="1:4" s="11" customFormat="1" ht="15" customHeight="1" x14ac:dyDescent="0.25">
      <c r="B198" s="11" t="s">
        <v>133</v>
      </c>
      <c r="C198" s="39" t="e">
        <f>VLOOKUP($C$197,tblAdmittedRegDefense,1,TRUE)</f>
        <v>#DIV/0!</v>
      </c>
    </row>
    <row r="199" spans="1:4" s="11" customFormat="1" ht="15" customHeight="1" x14ac:dyDescent="0.25">
      <c r="B199" s="11" t="s">
        <v>134</v>
      </c>
      <c r="C199" s="39" t="e">
        <f>VLOOKUP($C$197,tblAdmittedRegDefense,2,TRUE)</f>
        <v>#DIV/0!</v>
      </c>
    </row>
    <row r="200" spans="1:4" s="11" customFormat="1" ht="15" customHeight="1" x14ac:dyDescent="0.25">
      <c r="B200" s="40" t="s">
        <v>135</v>
      </c>
      <c r="C200" s="41" t="e">
        <f>VLOOKUP(C198,tblPrivacyBreachResponseServices,3,TRUE)</f>
        <v>#DIV/0!</v>
      </c>
    </row>
    <row r="201" spans="1:4" s="11" customFormat="1" ht="15" customHeight="1" x14ac:dyDescent="0.25">
      <c r="B201" s="40" t="s">
        <v>136</v>
      </c>
      <c r="C201" s="41" t="e">
        <f>VLOOKUP(C199,tblPrivacyBreachResponseServices,3,TRUE)</f>
        <v>#DIV/0!</v>
      </c>
    </row>
    <row r="202" spans="1:4" ht="15" customHeight="1" x14ac:dyDescent="0.25">
      <c r="B202" s="11" t="s">
        <v>137</v>
      </c>
      <c r="C202" s="42">
        <f>IF(BBR.BBR.AggregateLimit.Input&lt;2500000,BBR.BBR.AggregateLimit.Input,2500000)</f>
        <v>0</v>
      </c>
    </row>
    <row r="203" spans="1:4" ht="15" customHeight="1" x14ac:dyDescent="0.25">
      <c r="B203" t="s">
        <v>138</v>
      </c>
      <c r="C203" s="43" t="e">
        <f>IF($C$197=1,0,(C201-C200)*($C$197-C198)/(C199-C198)+C200)</f>
        <v>#DIV/0!</v>
      </c>
    </row>
    <row r="204" spans="1:4" ht="15" customHeight="1" x14ac:dyDescent="0.25">
      <c r="B204" t="s">
        <v>139</v>
      </c>
      <c r="C204" s="38" t="e">
        <f>C203</f>
        <v>#DIV/0!</v>
      </c>
    </row>
    <row r="205" spans="1:4" ht="15" customHeight="1" x14ac:dyDescent="0.25">
      <c r="C205" s="42"/>
    </row>
    <row r="206" spans="1:4" ht="15" customHeight="1" x14ac:dyDescent="0.25">
      <c r="C206" s="42"/>
    </row>
    <row r="207" spans="1:4" ht="15" customHeight="1" x14ac:dyDescent="0.25">
      <c r="C207" s="42"/>
    </row>
    <row r="208" spans="1:4" ht="15" customHeight="1" x14ac:dyDescent="0.25">
      <c r="C208" s="10"/>
    </row>
    <row r="209" spans="1:4" ht="15" customHeight="1" x14ac:dyDescent="0.25">
      <c r="A209" s="23" t="s">
        <v>140</v>
      </c>
      <c r="C209" s="10"/>
    </row>
    <row r="210" spans="1:4" ht="15" customHeight="1" x14ac:dyDescent="0.25">
      <c r="B210" s="13" t="s">
        <v>131</v>
      </c>
      <c r="C210" s="91"/>
      <c r="D210" s="23" t="s">
        <v>140</v>
      </c>
    </row>
    <row r="211" spans="1:4" ht="15" customHeight="1" x14ac:dyDescent="0.25">
      <c r="B211" s="13" t="s">
        <v>132</v>
      </c>
      <c r="C211" s="38" t="e">
        <f>BBR.BBR.RegulatoryDefenseandPenalties.Input/BBR.BBR.AggregateLimit.Input</f>
        <v>#DIV/0!</v>
      </c>
    </row>
    <row r="212" spans="1:4" s="11" customFormat="1" ht="15" customHeight="1" x14ac:dyDescent="0.25">
      <c r="B212" s="11" t="s">
        <v>133</v>
      </c>
      <c r="C212" s="44" t="e">
        <f>VLOOKUP(BBR.BBR.RegulatoryDefenseandPenalties.Percentage,tblAdmittedRegDefense,1,TRUE)</f>
        <v>#DIV/0!</v>
      </c>
    </row>
    <row r="213" spans="1:4" s="11" customFormat="1" ht="15" customHeight="1" x14ac:dyDescent="0.25">
      <c r="B213" s="11" t="s">
        <v>134</v>
      </c>
      <c r="C213" s="44" t="e">
        <f>VLOOKUP(BBR.BBR.RegulatoryDefenseandPenalties.Percentage,tblAdmittedRegDefense,2,TRUE)</f>
        <v>#DIV/0!</v>
      </c>
    </row>
    <row r="214" spans="1:4" s="11" customFormat="1" ht="15" customHeight="1" x14ac:dyDescent="0.25">
      <c r="B214" s="11" t="s">
        <v>141</v>
      </c>
      <c r="C214" s="44" t="e">
        <f>VLOOKUP(C212,tblAdmittedRegDefense,3,TRUE)</f>
        <v>#DIV/0!</v>
      </c>
    </row>
    <row r="215" spans="1:4" s="11" customFormat="1" ht="15" customHeight="1" x14ac:dyDescent="0.25">
      <c r="B215" s="11" t="s">
        <v>142</v>
      </c>
      <c r="C215" s="44" t="e">
        <f>VLOOKUP(C213,tblAdmittedRegDefense,3,TRUE)</f>
        <v>#DIV/0!</v>
      </c>
    </row>
    <row r="216" spans="1:4" ht="15" customHeight="1" x14ac:dyDescent="0.25">
      <c r="B216" t="s">
        <v>143</v>
      </c>
      <c r="C216" s="45" t="e">
        <f>IF(C212=C213,0,(C215-C214)*(BBR.BBR.RegulatoryDefenseandPenalties.Percentage-C212)/(C213-C212)+C214)</f>
        <v>#DIV/0!</v>
      </c>
    </row>
    <row r="217" spans="1:4" ht="15" customHeight="1" x14ac:dyDescent="0.25">
      <c r="C217" s="10"/>
    </row>
    <row r="218" spans="1:4" ht="15" customHeight="1" x14ac:dyDescent="0.25">
      <c r="C218" s="10"/>
    </row>
    <row r="219" spans="1:4" ht="15" customHeight="1" x14ac:dyDescent="0.25">
      <c r="C219" s="10"/>
    </row>
    <row r="220" spans="1:4" ht="15" customHeight="1" x14ac:dyDescent="0.25">
      <c r="C220" s="10"/>
    </row>
    <row r="221" spans="1:4" ht="15" customHeight="1" x14ac:dyDescent="0.25">
      <c r="A221" s="23" t="s">
        <v>144</v>
      </c>
      <c r="C221" s="10"/>
    </row>
    <row r="222" spans="1:4" ht="15" customHeight="1" x14ac:dyDescent="0.25">
      <c r="B222" s="13" t="s">
        <v>131</v>
      </c>
      <c r="C222" s="91"/>
      <c r="D222" s="23" t="s">
        <v>144</v>
      </c>
    </row>
    <row r="223" spans="1:4" ht="15" customHeight="1" x14ac:dyDescent="0.25">
      <c r="B223" s="13" t="s">
        <v>132</v>
      </c>
      <c r="C223" s="38" t="e">
        <f>BBR.BBR.PCIFinesandCosts.Input/BBR.BBR.AggregateLimit.Input</f>
        <v>#DIV/0!</v>
      </c>
    </row>
    <row r="224" spans="1:4" s="11" customFormat="1" ht="15" customHeight="1" x14ac:dyDescent="0.25">
      <c r="B224" s="11" t="s">
        <v>133</v>
      </c>
      <c r="C224" s="44" t="e">
        <f>VLOOKUP(BBR.BBR.PCIFinesandCosts.Percentage,tblAdmittedPCIFinesAndCosts,1,TRUE)</f>
        <v>#DIV/0!</v>
      </c>
    </row>
    <row r="225" spans="1:3" s="11" customFormat="1" ht="15" customHeight="1" x14ac:dyDescent="0.25">
      <c r="B225" s="11" t="s">
        <v>134</v>
      </c>
      <c r="C225" s="44" t="e">
        <f>VLOOKUP(BBR.BBR.PCIFinesandCosts.Percentage,tblAdmittedPCIFinesAndCosts,2,TRUE)</f>
        <v>#DIV/0!</v>
      </c>
    </row>
    <row r="226" spans="1:3" s="11" customFormat="1" ht="15" customHeight="1" x14ac:dyDescent="0.25">
      <c r="B226" s="11" t="s">
        <v>141</v>
      </c>
      <c r="C226" s="44" t="e">
        <f>VLOOKUP(C224,tblAdmittedPCIFinesAndCosts,3,TRUE)</f>
        <v>#DIV/0!</v>
      </c>
    </row>
    <row r="227" spans="1:3" s="11" customFormat="1" ht="15" customHeight="1" x14ac:dyDescent="0.25">
      <c r="B227" s="11" t="s">
        <v>142</v>
      </c>
      <c r="C227" s="44" t="e">
        <f>VLOOKUP(C225,tblAdmittedPCIFinesAndCosts,3,TRUE)</f>
        <v>#DIV/0!</v>
      </c>
    </row>
    <row r="228" spans="1:3" ht="15" customHeight="1" x14ac:dyDescent="0.25">
      <c r="B228" t="s">
        <v>145</v>
      </c>
      <c r="C228" s="45" t="e">
        <f>IF(C224=C225,0,(C227-C226)*(BBR.BBR.PCIFinesandCosts.Percentage-C224)/(C225-C224)+C226)</f>
        <v>#DIV/0!</v>
      </c>
    </row>
    <row r="229" spans="1:3" ht="15" customHeight="1" x14ac:dyDescent="0.25">
      <c r="C229" s="10"/>
    </row>
    <row r="230" spans="1:3" ht="15" customHeight="1" x14ac:dyDescent="0.25">
      <c r="C230" s="10"/>
    </row>
    <row r="233" spans="1:3" ht="15" customHeight="1" x14ac:dyDescent="0.25">
      <c r="A233" s="23" t="s">
        <v>146</v>
      </c>
      <c r="B233" s="8"/>
    </row>
    <row r="234" spans="1:3" ht="15" customHeight="1" x14ac:dyDescent="0.25">
      <c r="B234" s="13" t="s">
        <v>147</v>
      </c>
      <c r="C234" s="46" t="s">
        <v>148</v>
      </c>
    </row>
    <row r="235" spans="1:3" s="11" customFormat="1" ht="15" customHeight="1" x14ac:dyDescent="0.25">
      <c r="B235" s="11" t="s">
        <v>149</v>
      </c>
      <c r="C235" s="39"/>
    </row>
    <row r="236" spans="1:3" ht="15" customHeight="1" x14ac:dyDescent="0.25">
      <c r="B236" t="s">
        <v>150</v>
      </c>
      <c r="C236" s="47">
        <f>VLOOKUP(C234,tblFullMediaCoverage,2,0)</f>
        <v>0</v>
      </c>
    </row>
    <row r="237" spans="1:3" ht="15" customHeight="1" x14ac:dyDescent="0.25">
      <c r="B237" t="s">
        <v>151</v>
      </c>
      <c r="C237" s="38">
        <f>VLOOKUP(C234,tblFullMediaCoverage,IF($C$32="Yes",3,2),0)</f>
        <v>0</v>
      </c>
    </row>
    <row r="238" spans="1:3" ht="15" customHeight="1" x14ac:dyDescent="0.25">
      <c r="B238" t="s">
        <v>152</v>
      </c>
      <c r="C238" s="38">
        <f>VLOOKUP(C234,tblFullMediaCoverage,IF($C$32="Yes",4,2),0)</f>
        <v>0</v>
      </c>
    </row>
    <row r="239" spans="1:3" ht="15" customHeight="1" x14ac:dyDescent="0.25">
      <c r="A239" s="11"/>
      <c r="B239" s="11"/>
      <c r="C239" s="39"/>
    </row>
    <row r="240" spans="1:3" ht="15" customHeight="1" x14ac:dyDescent="0.25">
      <c r="B240" t="s">
        <v>153</v>
      </c>
      <c r="C240" s="38">
        <f>IF(C235="",C236,C235)</f>
        <v>0</v>
      </c>
    </row>
    <row r="241" spans="1:3" ht="15" customHeight="1" x14ac:dyDescent="0.25">
      <c r="B241" t="s">
        <v>154</v>
      </c>
      <c r="C241" s="48">
        <f>IF(ISNA(VLOOKUP(C234,lstFullMediaCoverage,1,0)),1,0)</f>
        <v>0</v>
      </c>
    </row>
    <row r="242" spans="1:3" s="11" customFormat="1" ht="15" customHeight="1" x14ac:dyDescent="0.25">
      <c r="A242" s="40"/>
      <c r="B242" s="40" t="s">
        <v>155</v>
      </c>
      <c r="C242" s="48">
        <f>IF(AND(C240&gt;=C237,C240&lt;=C238),0,1)</f>
        <v>0</v>
      </c>
    </row>
    <row r="246" spans="1:3" ht="15" customHeight="1" x14ac:dyDescent="0.25">
      <c r="A246" s="23" t="s">
        <v>156</v>
      </c>
      <c r="C246" s="11"/>
    </row>
    <row r="247" spans="1:3" ht="15" customHeight="1" x14ac:dyDescent="0.25">
      <c r="B247" s="13" t="s">
        <v>147</v>
      </c>
      <c r="C247" s="46" t="s">
        <v>157</v>
      </c>
    </row>
    <row r="248" spans="1:3" ht="15" customHeight="1" x14ac:dyDescent="0.25">
      <c r="B248" t="s">
        <v>158</v>
      </c>
      <c r="C248" s="38">
        <f>VLOOKUP(C247,tblProfessionalServicesLiability,2,0)</f>
        <v>0</v>
      </c>
    </row>
    <row r="249" spans="1:3" s="11" customFormat="1" ht="15" customHeight="1" x14ac:dyDescent="0.25">
      <c r="C249" s="39"/>
    </row>
    <row r="250" spans="1:3" ht="15" customHeight="1" x14ac:dyDescent="0.25">
      <c r="A250" s="23" t="s">
        <v>159</v>
      </c>
    </row>
    <row r="251" spans="1:3" ht="15" customHeight="1" x14ac:dyDescent="0.25">
      <c r="B251" s="13" t="s">
        <v>147</v>
      </c>
      <c r="C251" s="46" t="s">
        <v>157</v>
      </c>
    </row>
    <row r="252" spans="1:3" ht="15" customHeight="1" x14ac:dyDescent="0.25">
      <c r="B252" t="s">
        <v>160</v>
      </c>
      <c r="C252" s="38">
        <f>VLOOKUP(C251,tblElectronicCrime,2,0)</f>
        <v>0</v>
      </c>
    </row>
    <row r="253" spans="1:3" ht="15" customHeight="1" x14ac:dyDescent="0.25">
      <c r="A253" s="11"/>
      <c r="B253" s="11"/>
      <c r="C253" s="49"/>
    </row>
    <row r="254" spans="1:3" ht="15" customHeight="1" x14ac:dyDescent="0.25">
      <c r="A254" s="23" t="s">
        <v>161</v>
      </c>
    </row>
    <row r="255" spans="1:3" ht="15" customHeight="1" x14ac:dyDescent="0.25">
      <c r="B255" s="13" t="s">
        <v>147</v>
      </c>
      <c r="C255" s="46" t="s">
        <v>157</v>
      </c>
    </row>
    <row r="256" spans="1:3" ht="15" customHeight="1" x14ac:dyDescent="0.25">
      <c r="B256" t="s">
        <v>162</v>
      </c>
      <c r="C256" s="38">
        <f>VLOOKUP(C255,tblTelecommunicationsFraud,2,0)</f>
        <v>0</v>
      </c>
    </row>
    <row r="257" spans="1:4" ht="15" customHeight="1" x14ac:dyDescent="0.25">
      <c r="A257" s="11"/>
      <c r="B257" s="11"/>
      <c r="C257" s="49"/>
    </row>
    <row r="258" spans="1:4" ht="15" customHeight="1" x14ac:dyDescent="0.25">
      <c r="A258" s="23" t="s">
        <v>163</v>
      </c>
    </row>
    <row r="259" spans="1:4" ht="15" customHeight="1" x14ac:dyDescent="0.25">
      <c r="B259" s="13" t="s">
        <v>147</v>
      </c>
      <c r="C259" s="46" t="s">
        <v>157</v>
      </c>
    </row>
    <row r="260" spans="1:4" ht="15" customHeight="1" x14ac:dyDescent="0.25">
      <c r="B260" t="s">
        <v>164</v>
      </c>
      <c r="C260" s="38">
        <f>VLOOKUP(C259,tblFraudulentInstruction,2,0)</f>
        <v>0</v>
      </c>
    </row>
    <row r="261" spans="1:4" ht="15" customHeight="1" x14ac:dyDescent="0.25">
      <c r="A261" s="11"/>
      <c r="B261" s="11"/>
      <c r="C261" s="49"/>
    </row>
    <row r="262" spans="1:4" ht="15" customHeight="1" x14ac:dyDescent="0.25">
      <c r="A262" s="23" t="s">
        <v>165</v>
      </c>
    </row>
    <row r="263" spans="1:4" ht="15" customHeight="1" x14ac:dyDescent="0.25">
      <c r="B263" s="13" t="s">
        <v>166</v>
      </c>
      <c r="C263" s="50" t="s">
        <v>167</v>
      </c>
    </row>
    <row r="264" spans="1:4" ht="15" customHeight="1" x14ac:dyDescent="0.25">
      <c r="B264" t="s">
        <v>168</v>
      </c>
      <c r="C264" s="37">
        <f>VLOOKUP(C263,tblBBRADL,2,0)</f>
        <v>1</v>
      </c>
    </row>
    <row r="265" spans="1:4" ht="15" customHeight="1" x14ac:dyDescent="0.25">
      <c r="B265" t="s">
        <v>169</v>
      </c>
      <c r="C265" s="48">
        <f>IF(ISNA(VLOOKUP(C263,lstBBRADL,1,0)),1,0)</f>
        <v>0</v>
      </c>
    </row>
    <row r="266" spans="1:4" s="11" customFormat="1" ht="15" customHeight="1" x14ac:dyDescent="0.25">
      <c r="A266" s="40"/>
      <c r="B266" s="40"/>
      <c r="C266" s="40"/>
      <c r="D266" s="40"/>
    </row>
    <row r="267" spans="1:4" s="11" customFormat="1" ht="15" customHeight="1" x14ac:dyDescent="0.25">
      <c r="A267" s="40"/>
      <c r="B267" s="40"/>
      <c r="C267" s="40"/>
      <c r="D267" s="40"/>
    </row>
    <row r="268" spans="1:4" s="11" customFormat="1" ht="15" customHeight="1" x14ac:dyDescent="0.25">
      <c r="A268" s="51" t="s">
        <v>170</v>
      </c>
      <c r="B268" s="40"/>
      <c r="C268" s="40"/>
      <c r="D268" s="40"/>
    </row>
    <row r="269" spans="1:4" s="11" customFormat="1" ht="15" customHeight="1" x14ac:dyDescent="0.25">
      <c r="A269" s="40"/>
      <c r="B269" s="52" t="s">
        <v>171</v>
      </c>
      <c r="C269" s="40"/>
      <c r="D269" s="40"/>
    </row>
    <row r="270" spans="1:4" s="11" customFormat="1" ht="15" customHeight="1" x14ac:dyDescent="0.25">
      <c r="A270" s="40"/>
      <c r="B270" s="40"/>
      <c r="C270" s="40"/>
      <c r="D270" s="40"/>
    </row>
    <row r="271" spans="1:4" s="11" customFormat="1" ht="15" customHeight="1" x14ac:dyDescent="0.25">
      <c r="A271" s="40"/>
      <c r="B271" s="11" t="s">
        <v>172</v>
      </c>
      <c r="C271" s="44"/>
      <c r="D271" s="40"/>
    </row>
    <row r="272" spans="1:4" s="11" customFormat="1" ht="15" customHeight="1" x14ac:dyDescent="0.25">
      <c r="A272" s="40"/>
      <c r="B272" s="11" t="s">
        <v>173</v>
      </c>
      <c r="C272" s="44"/>
      <c r="D272" s="40"/>
    </row>
    <row r="273" spans="1:4" s="11" customFormat="1" ht="15" customHeight="1" x14ac:dyDescent="0.25">
      <c r="A273" s="40"/>
      <c r="B273" s="11" t="s">
        <v>174</v>
      </c>
      <c r="C273" s="44"/>
      <c r="D273" s="40"/>
    </row>
    <row r="274" spans="1:4" s="11" customFormat="1" ht="15" customHeight="1" x14ac:dyDescent="0.25">
      <c r="A274" s="40"/>
      <c r="B274" s="11" t="s">
        <v>175</v>
      </c>
      <c r="C274" s="44"/>
      <c r="D274" s="40"/>
    </row>
    <row r="275" spans="1:4" s="11" customFormat="1" ht="15" customHeight="1" x14ac:dyDescent="0.25">
      <c r="A275" s="40"/>
      <c r="B275" s="11" t="s">
        <v>176</v>
      </c>
      <c r="C275" s="44"/>
      <c r="D275" s="40"/>
    </row>
    <row r="276" spans="1:4" s="11" customFormat="1" ht="15" customHeight="1" x14ac:dyDescent="0.25">
      <c r="A276" s="40"/>
      <c r="B276" s="11" t="s">
        <v>177</v>
      </c>
      <c r="C276" s="44"/>
      <c r="D276" s="40"/>
    </row>
    <row r="277" spans="1:4" s="11" customFormat="1" ht="15" customHeight="1" x14ac:dyDescent="0.25">
      <c r="A277" s="40"/>
      <c r="B277" s="11" t="s">
        <v>178</v>
      </c>
      <c r="C277" s="44"/>
      <c r="D277" s="40"/>
    </row>
    <row r="278" spans="1:4" s="11" customFormat="1" ht="15" customHeight="1" x14ac:dyDescent="0.25">
      <c r="A278" s="40"/>
      <c r="B278" s="11" t="s">
        <v>179</v>
      </c>
      <c r="C278" s="44"/>
      <c r="D278" s="40"/>
    </row>
    <row r="279" spans="1:4" s="11" customFormat="1" ht="15" customHeight="1" x14ac:dyDescent="0.25">
      <c r="A279" s="40"/>
      <c r="B279" s="11" t="s">
        <v>180</v>
      </c>
      <c r="C279" s="44"/>
      <c r="D279" s="40"/>
    </row>
    <row r="280" spans="1:4" s="11" customFormat="1" ht="15" customHeight="1" x14ac:dyDescent="0.25">
      <c r="A280" s="40"/>
      <c r="B280" s="11" t="s">
        <v>181</v>
      </c>
      <c r="C280" s="44"/>
      <c r="D280" s="40"/>
    </row>
    <row r="281" spans="1:4" s="11" customFormat="1" ht="15" customHeight="1" x14ac:dyDescent="0.25">
      <c r="A281" s="40"/>
      <c r="B281" s="40"/>
      <c r="C281" s="40"/>
      <c r="D281" s="40"/>
    </row>
    <row r="282" spans="1:4" s="11" customFormat="1" ht="15" customHeight="1" x14ac:dyDescent="0.25">
      <c r="A282" s="40"/>
      <c r="B282" s="11" t="s">
        <v>182</v>
      </c>
      <c r="C282" s="53"/>
      <c r="D282" s="40"/>
    </row>
    <row r="283" spans="1:4" s="11" customFormat="1" ht="15" customHeight="1" x14ac:dyDescent="0.25">
      <c r="A283" s="40"/>
      <c r="B283" s="11" t="s">
        <v>183</v>
      </c>
      <c r="C283" s="53"/>
      <c r="D283" s="40"/>
    </row>
    <row r="284" spans="1:4" s="11" customFormat="1" ht="15" customHeight="1" x14ac:dyDescent="0.25">
      <c r="B284" s="11" t="s">
        <v>184</v>
      </c>
      <c r="C284" s="53"/>
    </row>
    <row r="285" spans="1:4" s="11" customFormat="1" ht="15" customHeight="1" x14ac:dyDescent="0.25">
      <c r="B285" s="11" t="s">
        <v>185</v>
      </c>
      <c r="C285" s="53"/>
    </row>
    <row r="286" spans="1:4" s="11" customFormat="1" ht="15" customHeight="1" x14ac:dyDescent="0.25">
      <c r="B286" s="11" t="s">
        <v>186</v>
      </c>
      <c r="C286" s="53"/>
    </row>
    <row r="287" spans="1:4" s="11" customFormat="1" ht="15" customHeight="1" x14ac:dyDescent="0.25">
      <c r="B287" s="11" t="s">
        <v>187</v>
      </c>
      <c r="C287" s="53"/>
    </row>
    <row r="288" spans="1:4" s="11" customFormat="1" ht="15" customHeight="1" x14ac:dyDescent="0.25">
      <c r="B288" s="11" t="s">
        <v>188</v>
      </c>
      <c r="C288" s="53"/>
    </row>
    <row r="289" spans="2:3" s="11" customFormat="1" ht="15" customHeight="1" x14ac:dyDescent="0.25">
      <c r="B289" s="11" t="s">
        <v>189</v>
      </c>
      <c r="C289" s="53"/>
    </row>
    <row r="290" spans="2:3" s="11" customFormat="1" ht="15" customHeight="1" x14ac:dyDescent="0.25">
      <c r="B290" s="11" t="s">
        <v>190</v>
      </c>
      <c r="C290" s="53"/>
    </row>
    <row r="291" spans="2:3" s="11" customFormat="1" ht="15" customHeight="1" x14ac:dyDescent="0.25">
      <c r="B291" s="11" t="s">
        <v>191</v>
      </c>
      <c r="C291" s="53"/>
    </row>
    <row r="292" spans="2:3" s="11" customFormat="1" ht="15" customHeight="1" x14ac:dyDescent="0.25"/>
    <row r="293" spans="2:3" s="11" customFormat="1" ht="15" customHeight="1" x14ac:dyDescent="0.25">
      <c r="B293" s="11" t="s">
        <v>192</v>
      </c>
      <c r="C293" s="49">
        <f>IF(Main!C271=0,0,IF(Main!C282="",1,0))</f>
        <v>0</v>
      </c>
    </row>
    <row r="294" spans="2:3" s="11" customFormat="1" ht="15" customHeight="1" x14ac:dyDescent="0.25">
      <c r="B294" s="11" t="s">
        <v>193</v>
      </c>
      <c r="C294" s="49">
        <f>IF(Main!C272=0,0,IF(Main!C283="",1,0))</f>
        <v>0</v>
      </c>
    </row>
    <row r="295" spans="2:3" s="11" customFormat="1" ht="15" customHeight="1" x14ac:dyDescent="0.25">
      <c r="B295" s="11" t="s">
        <v>194</v>
      </c>
      <c r="C295" s="49">
        <f>IF(Main!C273=0,0,IF(Main!C284="",1,0))</f>
        <v>0</v>
      </c>
    </row>
    <row r="296" spans="2:3" s="11" customFormat="1" ht="15" customHeight="1" x14ac:dyDescent="0.25">
      <c r="B296" s="11" t="s">
        <v>195</v>
      </c>
      <c r="C296" s="49">
        <f>IF(Main!C274=0,0,IF(Main!C285="",1,0))</f>
        <v>0</v>
      </c>
    </row>
    <row r="297" spans="2:3" s="11" customFormat="1" ht="15" customHeight="1" x14ac:dyDescent="0.25">
      <c r="B297" s="11" t="s">
        <v>196</v>
      </c>
      <c r="C297" s="49">
        <f>IF(Main!C275=0,0,IF(Main!C286="",1,0))</f>
        <v>0</v>
      </c>
    </row>
    <row r="298" spans="2:3" s="11" customFormat="1" ht="15" customHeight="1" x14ac:dyDescent="0.25">
      <c r="B298" s="11" t="s">
        <v>197</v>
      </c>
      <c r="C298" s="49">
        <f>IF(Main!C276=0,0,IF(Main!C287="",1,0))</f>
        <v>0</v>
      </c>
    </row>
    <row r="299" spans="2:3" s="11" customFormat="1" ht="15" customHeight="1" x14ac:dyDescent="0.25">
      <c r="B299" s="11" t="s">
        <v>198</v>
      </c>
      <c r="C299" s="49">
        <f>IF(Main!C277=0,0,IF(Main!C288="",1,0))</f>
        <v>0</v>
      </c>
    </row>
    <row r="300" spans="2:3" s="11" customFormat="1" ht="15" customHeight="1" x14ac:dyDescent="0.25">
      <c r="B300" s="11" t="s">
        <v>199</v>
      </c>
      <c r="C300" s="49">
        <f>IF(Main!C278=0,0,IF(Main!C289="",1,0))</f>
        <v>0</v>
      </c>
    </row>
    <row r="301" spans="2:3" s="11" customFormat="1" ht="15" customHeight="1" x14ac:dyDescent="0.25">
      <c r="B301" s="11" t="s">
        <v>200</v>
      </c>
      <c r="C301" s="49">
        <f>IF(Main!C279=0,0,IF(Main!C290="",1,0))</f>
        <v>0</v>
      </c>
    </row>
    <row r="302" spans="2:3" s="11" customFormat="1" ht="15" customHeight="1" x14ac:dyDescent="0.25">
      <c r="B302" s="11" t="s">
        <v>201</v>
      </c>
      <c r="C302" s="49">
        <f>IF(Main!C280=0,0,IF(Main!C291="",1,0))</f>
        <v>0</v>
      </c>
    </row>
    <row r="303" spans="2:3" s="11" customFormat="1" ht="15" customHeight="1" x14ac:dyDescent="0.25"/>
    <row r="304" spans="2:3" s="11" customFormat="1" ht="15" customHeight="1" x14ac:dyDescent="0.25">
      <c r="B304" s="11" t="s">
        <v>202</v>
      </c>
      <c r="C304" s="49">
        <f>IF(AND(Main!C271&lt;=VLOOKUP(Main!$C$29,tblBBRStateApplicabilities,9,FALSE),Main!C271&gt;=VLOOKUP(Main!$C$29,tblBBRStateApplicabilities,8,FALSE)),0,1)</f>
        <v>0</v>
      </c>
    </row>
    <row r="305" spans="2:3" s="11" customFormat="1" ht="15" customHeight="1" x14ac:dyDescent="0.25">
      <c r="B305" s="11" t="s">
        <v>203</v>
      </c>
      <c r="C305" s="49">
        <f>IF(AND(Main!C272&lt;=VLOOKUP(Main!$C$29,tblBBRStateApplicabilities,9,FALSE),Main!C272&gt;=VLOOKUP(Main!$C$29,tblBBRStateApplicabilities,8,FALSE)),0,1)</f>
        <v>0</v>
      </c>
    </row>
    <row r="306" spans="2:3" s="11" customFormat="1" ht="15" customHeight="1" x14ac:dyDescent="0.25">
      <c r="B306" s="11" t="s">
        <v>204</v>
      </c>
      <c r="C306" s="49">
        <f>IF(AND(Main!C273&lt;=VLOOKUP(Main!$C$29,tblBBRStateApplicabilities,9,FALSE),Main!C273&gt;=VLOOKUP(Main!$C$29,tblBBRStateApplicabilities,8,FALSE)),0,1)</f>
        <v>0</v>
      </c>
    </row>
    <row r="307" spans="2:3" s="11" customFormat="1" ht="15" customHeight="1" x14ac:dyDescent="0.25">
      <c r="B307" s="11" t="s">
        <v>205</v>
      </c>
      <c r="C307" s="49">
        <f>IF(AND(Main!C274&lt;=VLOOKUP(Main!$C$29,tblBBRStateApplicabilities,9,FALSE),Main!C274&gt;=VLOOKUP(Main!$C$29,tblBBRStateApplicabilities,8,FALSE)),0,1)</f>
        <v>0</v>
      </c>
    </row>
    <row r="308" spans="2:3" s="11" customFormat="1" ht="15" customHeight="1" x14ac:dyDescent="0.25">
      <c r="B308" s="11" t="s">
        <v>206</v>
      </c>
      <c r="C308" s="49">
        <f>IF(AND(Main!C275&lt;=VLOOKUP(Main!$C$29,tblBBRStateApplicabilities,9,FALSE),Main!C275&gt;=VLOOKUP(Main!$C$29,tblBBRStateApplicabilities,8,FALSE)),0,1)</f>
        <v>0</v>
      </c>
    </row>
    <row r="309" spans="2:3" s="11" customFormat="1" ht="15" customHeight="1" x14ac:dyDescent="0.25">
      <c r="B309" s="11" t="s">
        <v>207</v>
      </c>
      <c r="C309" s="49">
        <f>IF(AND(Main!C276&lt;=VLOOKUP(Main!$C$29,tblBBRStateApplicabilities,9,FALSE),Main!C276&gt;=VLOOKUP(Main!$C$29,tblBBRStateApplicabilities,8,FALSE)),0,1)</f>
        <v>0</v>
      </c>
    </row>
    <row r="310" spans="2:3" s="11" customFormat="1" ht="15" customHeight="1" x14ac:dyDescent="0.25">
      <c r="B310" s="11" t="s">
        <v>208</v>
      </c>
      <c r="C310" s="49">
        <f>IF(AND(Main!C277&lt;=VLOOKUP(Main!$C$29,tblBBRStateApplicabilities,9,FALSE),Main!C277&gt;=VLOOKUP(Main!$C$29,tblBBRStateApplicabilities,8,FALSE)),0,1)</f>
        <v>0</v>
      </c>
    </row>
    <row r="311" spans="2:3" s="11" customFormat="1" ht="15" customHeight="1" x14ac:dyDescent="0.25">
      <c r="B311" s="11" t="s">
        <v>209</v>
      </c>
      <c r="C311" s="49">
        <f>IF(AND(Main!C278&lt;=VLOOKUP(Main!$C$29,tblBBRStateApplicabilities,9,FALSE),Main!C278&gt;=VLOOKUP(Main!$C$29,tblBBRStateApplicabilities,8,FALSE)),0,1)</f>
        <v>0</v>
      </c>
    </row>
    <row r="312" spans="2:3" s="11" customFormat="1" ht="15" customHeight="1" x14ac:dyDescent="0.25">
      <c r="B312" s="11" t="s">
        <v>210</v>
      </c>
      <c r="C312" s="49">
        <f>IF(AND(Main!C279&lt;=VLOOKUP(Main!$C$29,tblBBRStateApplicabilities,9,FALSE),Main!C279&gt;=VLOOKUP(Main!$C$29,tblBBRStateApplicabilities,8,FALSE)),0,1)</f>
        <v>0</v>
      </c>
    </row>
    <row r="313" spans="2:3" s="11" customFormat="1" ht="15" customHeight="1" x14ac:dyDescent="0.25">
      <c r="B313" s="11" t="s">
        <v>211</v>
      </c>
      <c r="C313" s="49">
        <f>IF(AND(Main!C280&lt;=VLOOKUP(Main!$C$29,tblBBRStateApplicabilities,9,FALSE),Main!C280&gt;=VLOOKUP(Main!$C$29,tblBBRStateApplicabilities,8,FALSE)),0,1)</f>
        <v>0</v>
      </c>
    </row>
    <row r="315" spans="2:3" ht="15" customHeight="1" x14ac:dyDescent="0.25">
      <c r="B315" t="s">
        <v>20</v>
      </c>
      <c r="C315" s="10" t="str">
        <f>$C$29</f>
        <v>HI</v>
      </c>
    </row>
    <row r="316" spans="2:3" ht="15" customHeight="1" x14ac:dyDescent="0.25">
      <c r="B316" t="s">
        <v>212</v>
      </c>
      <c r="C316" s="54">
        <f>VLOOKUP(C315,tblBBRStateApplicabilities,6,0)</f>
        <v>0</v>
      </c>
    </row>
    <row r="317" spans="2:3" ht="15" customHeight="1" x14ac:dyDescent="0.25">
      <c r="B317" t="s">
        <v>213</v>
      </c>
      <c r="C317" s="54">
        <f>VLOOKUP(C315,tblBBRStateApplicabilities,7,0)</f>
        <v>0</v>
      </c>
    </row>
    <row r="318" spans="2:3" ht="15" customHeight="1" x14ac:dyDescent="0.25">
      <c r="B318" t="s">
        <v>214</v>
      </c>
      <c r="C318" s="54">
        <f>SUM(C271:C280)</f>
        <v>0</v>
      </c>
    </row>
    <row r="319" spans="2:3" ht="15" customHeight="1" x14ac:dyDescent="0.25">
      <c r="B319" t="s">
        <v>215</v>
      </c>
      <c r="C319" s="54">
        <f>MAX(MIN(C317,C318),C316)</f>
        <v>0</v>
      </c>
    </row>
    <row r="320" spans="2:3" ht="15" customHeight="1" x14ac:dyDescent="0.25">
      <c r="B320" t="s">
        <v>216</v>
      </c>
      <c r="C320" s="34">
        <f>C319+1</f>
        <v>1</v>
      </c>
    </row>
    <row r="323" spans="1:4" ht="15" customHeight="1" x14ac:dyDescent="0.25">
      <c r="B323" s="8" t="s">
        <v>217</v>
      </c>
      <c r="C323" s="10"/>
    </row>
    <row r="324" spans="1:4" ht="15" customHeight="1" x14ac:dyDescent="0.25">
      <c r="B324" s="19" t="s">
        <v>218</v>
      </c>
      <c r="C324" s="20" t="e">
        <f>D481+D482</f>
        <v>#REF!</v>
      </c>
    </row>
    <row r="325" spans="1:4" ht="15" customHeight="1" x14ac:dyDescent="0.25">
      <c r="B325" s="19" t="s">
        <v>219</v>
      </c>
      <c r="C325" s="20">
        <f>VLOOKUP(C29,tblAdmittedStateApplicabilities,11,FALSE)</f>
        <v>0</v>
      </c>
    </row>
    <row r="326" spans="1:4" ht="15" customHeight="1" x14ac:dyDescent="0.25">
      <c r="B326" s="19" t="s">
        <v>220</v>
      </c>
      <c r="C326" s="20" t="e">
        <f>C324&gt;=C325</f>
        <v>#REF!</v>
      </c>
    </row>
    <row r="327" spans="1:4" ht="15" customHeight="1" x14ac:dyDescent="0.25">
      <c r="B327" s="19" t="s">
        <v>221</v>
      </c>
      <c r="C327" s="21" t="e">
        <f>IF(C326,$C$320,1)</f>
        <v>#REF!</v>
      </c>
    </row>
    <row r="328" spans="1:4" ht="15" customHeight="1" x14ac:dyDescent="0.25">
      <c r="B328" s="19" t="s">
        <v>222</v>
      </c>
      <c r="C328" s="20" t="e">
        <f>C324*C327</f>
        <v>#REF!</v>
      </c>
    </row>
    <row r="329" spans="1:4" ht="15" customHeight="1" x14ac:dyDescent="0.25">
      <c r="B329" s="19" t="s">
        <v>223</v>
      </c>
      <c r="C329" s="20">
        <f>VLOOKUP(C29,tblAdmittedStateApplicabilities,12,FALSE)</f>
        <v>0</v>
      </c>
    </row>
    <row r="330" spans="1:4" ht="15" customHeight="1" x14ac:dyDescent="0.25">
      <c r="B330" s="19" t="s">
        <v>224</v>
      </c>
      <c r="C330" s="10" t="e">
        <f>C328&gt;=C329</f>
        <v>#REF!</v>
      </c>
    </row>
    <row r="331" spans="1:4" ht="15" customHeight="1" x14ac:dyDescent="0.25">
      <c r="B331" s="19" t="s">
        <v>225</v>
      </c>
      <c r="C331" s="30" t="e">
        <f>IF(AND(C330,C326),C327,1)</f>
        <v>#REF!</v>
      </c>
    </row>
    <row r="332" spans="1:4" ht="15" customHeight="1" x14ac:dyDescent="0.25">
      <c r="D332" s="10"/>
    </row>
    <row r="333" spans="1:4" ht="15" customHeight="1" x14ac:dyDescent="0.25">
      <c r="D333" s="10"/>
    </row>
    <row r="334" spans="1:4" ht="15" customHeight="1" x14ac:dyDescent="0.25">
      <c r="A334" s="23" t="s">
        <v>226</v>
      </c>
    </row>
    <row r="335" spans="1:4" ht="15" customHeight="1" x14ac:dyDescent="0.25">
      <c r="B335" s="8" t="s">
        <v>105</v>
      </c>
    </row>
    <row r="336" spans="1:4" ht="15" customHeight="1" x14ac:dyDescent="0.25">
      <c r="B336" s="8" t="s">
        <v>227</v>
      </c>
    </row>
    <row r="337" spans="1:4" ht="15" customHeight="1" x14ac:dyDescent="0.25">
      <c r="B337" s="8" t="s">
        <v>228</v>
      </c>
    </row>
    <row r="338" spans="1:4" ht="15" customHeight="1" x14ac:dyDescent="0.25">
      <c r="B338" s="8"/>
    </row>
    <row r="339" spans="1:4" ht="15" customHeight="1" x14ac:dyDescent="0.25">
      <c r="B339" t="s">
        <v>229</v>
      </c>
      <c r="C339" s="55" t="e">
        <f ca="1">$C$40</f>
        <v>#VALUE!</v>
      </c>
    </row>
    <row r="340" spans="1:4" ht="15" customHeight="1" x14ac:dyDescent="0.25">
      <c r="B340" t="s">
        <v>230</v>
      </c>
      <c r="C340" s="55" t="e">
        <f>$C$41</f>
        <v>#VALUE!</v>
      </c>
    </row>
    <row r="342" spans="1:4" ht="15" customHeight="1" x14ac:dyDescent="0.25">
      <c r="B342" t="s">
        <v>231</v>
      </c>
      <c r="C342" s="55" t="e">
        <f ca="1">DATE(YEAR(C339)+1,MONTH(C339),DAY(C339))</f>
        <v>#VALUE!</v>
      </c>
    </row>
    <row r="344" spans="1:4" ht="15" customHeight="1" x14ac:dyDescent="0.25">
      <c r="B344" t="s">
        <v>232</v>
      </c>
      <c r="C344" s="56" t="e">
        <f ca="1">(C340-C342)/365 + 1</f>
        <v>#VALUE!</v>
      </c>
    </row>
    <row r="346" spans="1:4" ht="15" customHeight="1" x14ac:dyDescent="0.25">
      <c r="B346" t="s">
        <v>233</v>
      </c>
      <c r="C346" s="37" t="e">
        <f ca="1">C344</f>
        <v>#VALUE!</v>
      </c>
    </row>
    <row r="347" spans="1:4" ht="15" customHeight="1" x14ac:dyDescent="0.25">
      <c r="B347" t="s">
        <v>234</v>
      </c>
      <c r="C347" s="48" t="e">
        <f ca="1">IF(DATE(YEAR(C339),MONTH(C339)+18,DAY(C339))&lt;C340,1,0)</f>
        <v>#VALUE!</v>
      </c>
    </row>
    <row r="349" spans="1:4" ht="15" customHeight="1" x14ac:dyDescent="0.25">
      <c r="A349" s="23" t="s">
        <v>235</v>
      </c>
    </row>
    <row r="350" spans="1:4" ht="15" customHeight="1" x14ac:dyDescent="0.25">
      <c r="B350" s="8" t="s">
        <v>236</v>
      </c>
    </row>
    <row r="352" spans="1:4" ht="15" customHeight="1" x14ac:dyDescent="0.25">
      <c r="B352" t="s">
        <v>237</v>
      </c>
      <c r="C352">
        <v>1</v>
      </c>
      <c r="D352" s="8" t="s">
        <v>238</v>
      </c>
    </row>
    <row r="353" spans="1:4" ht="15" customHeight="1" x14ac:dyDescent="0.25">
      <c r="B353" t="s">
        <v>239</v>
      </c>
      <c r="C353" s="11">
        <f>IF(C352="",1,C352)</f>
        <v>1</v>
      </c>
    </row>
    <row r="354" spans="1:4" ht="15" customHeight="1" x14ac:dyDescent="0.25">
      <c r="B354" t="s">
        <v>240</v>
      </c>
      <c r="C354">
        <f>IF(AND(C353&lt;&gt;1,C29&lt;&gt;"Surplus"),1,0)</f>
        <v>0</v>
      </c>
    </row>
    <row r="355" spans="1:4" ht="15" customHeight="1" x14ac:dyDescent="0.25">
      <c r="B355" t="s">
        <v>241</v>
      </c>
      <c r="C355">
        <f>IF(C353&lt;=0,1,0)</f>
        <v>0</v>
      </c>
    </row>
    <row r="361" spans="1:4" ht="15" customHeight="1" x14ac:dyDescent="0.25">
      <c r="A361" s="23" t="s">
        <v>242</v>
      </c>
    </row>
    <row r="362" spans="1:4" ht="15" customHeight="1" x14ac:dyDescent="0.25">
      <c r="B362" s="8" t="s">
        <v>243</v>
      </c>
    </row>
    <row r="364" spans="1:4" ht="15" customHeight="1" x14ac:dyDescent="0.25">
      <c r="B364" t="s">
        <v>244</v>
      </c>
      <c r="C364">
        <v>1</v>
      </c>
      <c r="D364" s="8" t="s">
        <v>245</v>
      </c>
    </row>
    <row r="365" spans="1:4" ht="15" customHeight="1" x14ac:dyDescent="0.25">
      <c r="B365" t="s">
        <v>246</v>
      </c>
      <c r="C365">
        <f>IF(C364="",1,C364)</f>
        <v>1</v>
      </c>
    </row>
    <row r="366" spans="1:4" ht="15" customHeight="1" x14ac:dyDescent="0.25">
      <c r="B366" t="s">
        <v>247</v>
      </c>
      <c r="C366">
        <f>IF(AND(C365&lt;&gt;1,C29&lt;&gt;"NE"),1,0)</f>
        <v>0</v>
      </c>
    </row>
    <row r="367" spans="1:4" ht="15" customHeight="1" x14ac:dyDescent="0.25">
      <c r="B367" t="s">
        <v>248</v>
      </c>
      <c r="C367">
        <f>IF(AND(C365&lt;=1.4,C365&gt;=0.6),0,1)</f>
        <v>0</v>
      </c>
    </row>
    <row r="370" spans="1:3" ht="15" customHeight="1" x14ac:dyDescent="0.25">
      <c r="A370" s="23" t="s">
        <v>249</v>
      </c>
    </row>
    <row r="371" spans="1:3" ht="15" customHeight="1" x14ac:dyDescent="0.25">
      <c r="A371" s="23"/>
    </row>
    <row r="372" spans="1:3" ht="15" customHeight="1" x14ac:dyDescent="0.25">
      <c r="C372" s="57" t="s">
        <v>60</v>
      </c>
    </row>
    <row r="373" spans="1:3" ht="15" customHeight="1" x14ac:dyDescent="0.25">
      <c r="B373" t="s">
        <v>250</v>
      </c>
      <c r="C373" s="58">
        <v>1000</v>
      </c>
    </row>
    <row r="376" spans="1:3" ht="15" customHeight="1" x14ac:dyDescent="0.25">
      <c r="A376" s="23" t="s">
        <v>251</v>
      </c>
    </row>
    <row r="377" spans="1:3" ht="15" customHeight="1" x14ac:dyDescent="0.25">
      <c r="A377" s="23"/>
    </row>
    <row r="379" spans="1:3" ht="15" customHeight="1" x14ac:dyDescent="0.25">
      <c r="B379" s="13" t="s">
        <v>252</v>
      </c>
      <c r="C379" s="59">
        <v>0.2</v>
      </c>
    </row>
    <row r="380" spans="1:3" ht="15" customHeight="1" x14ac:dyDescent="0.25">
      <c r="B380" t="s">
        <v>253</v>
      </c>
      <c r="C380" s="39">
        <v>0.2</v>
      </c>
    </row>
    <row r="381" spans="1:3" ht="15" customHeight="1" x14ac:dyDescent="0.25">
      <c r="B381" t="s">
        <v>254</v>
      </c>
      <c r="C381" t="str">
        <f>$C$34</f>
        <v>No</v>
      </c>
    </row>
    <row r="382" spans="1:3" ht="15" customHeight="1" x14ac:dyDescent="0.25">
      <c r="B382" t="s">
        <v>255</v>
      </c>
      <c r="C382" s="39">
        <f>IF(C381="Yes",C379,C380)</f>
        <v>0.2</v>
      </c>
    </row>
    <row r="385" spans="1:4" ht="15" customHeight="1" x14ac:dyDescent="0.25">
      <c r="D385" s="57" t="s">
        <v>60</v>
      </c>
    </row>
    <row r="386" spans="1:4" ht="15" customHeight="1" x14ac:dyDescent="0.25">
      <c r="B386" t="s">
        <v>256</v>
      </c>
    </row>
    <row r="387" spans="1:4" ht="15" customHeight="1" x14ac:dyDescent="0.25">
      <c r="B387" s="60" t="s">
        <v>257</v>
      </c>
      <c r="D387" s="18" t="e">
        <f>MAX(SUM((C425+C410*C411*(C412-1)+C413*SUM(C414:C421))*PRODUCT(C427:C430),C434)*C435,C439)</f>
        <v>#REF!</v>
      </c>
    </row>
    <row r="388" spans="1:4" ht="15" customHeight="1" x14ac:dyDescent="0.25">
      <c r="B388" s="60" t="s">
        <v>258</v>
      </c>
      <c r="D388" s="18" t="e">
        <f>MAX(SUM((C425+C410*C411*(C412-1)+C413*SUM(C414:C421))*PRODUCT(C427:C430),C434)*C435,C439)</f>
        <v>#REF!</v>
      </c>
    </row>
    <row r="389" spans="1:4" ht="15" customHeight="1" x14ac:dyDescent="0.25">
      <c r="B389" s="60" t="s">
        <v>259</v>
      </c>
      <c r="D389" s="18" t="e">
        <f>MAX(SUM((C425+C410*C411*(C412-1)+C413*SUM(C414:C421))*PRODUCT(C427:C430),C434)*C435,C439)</f>
        <v>#REF!</v>
      </c>
    </row>
    <row r="390" spans="1:4" ht="15" customHeight="1" x14ac:dyDescent="0.25">
      <c r="D390" s="18"/>
    </row>
    <row r="391" spans="1:4" ht="15.75" customHeight="1" x14ac:dyDescent="0.25">
      <c r="B391" t="s">
        <v>260</v>
      </c>
    </row>
    <row r="392" spans="1:4" ht="15" customHeight="1" x14ac:dyDescent="0.25">
      <c r="B392" s="60" t="s">
        <v>257</v>
      </c>
      <c r="D392" s="61" t="e">
        <f>MIN(0,($C$382-$C$380)*D387)</f>
        <v>#REF!</v>
      </c>
    </row>
    <row r="393" spans="1:4" ht="15" customHeight="1" x14ac:dyDescent="0.25">
      <c r="B393" s="60" t="s">
        <v>258</v>
      </c>
      <c r="D393" s="61" t="e">
        <f>MIN(0,($C$382-$C$380)*D388)</f>
        <v>#REF!</v>
      </c>
    </row>
    <row r="394" spans="1:4" ht="15" customHeight="1" x14ac:dyDescent="0.25">
      <c r="B394" s="60" t="s">
        <v>259</v>
      </c>
      <c r="D394" s="61" t="e">
        <f>MIN(0,($C$382-$C$380)*D389)</f>
        <v>#REF!</v>
      </c>
    </row>
    <row r="396" spans="1:4" ht="15" customHeight="1" x14ac:dyDescent="0.25">
      <c r="A396" s="9" t="s">
        <v>261</v>
      </c>
      <c r="B396" s="2"/>
      <c r="C396" s="2"/>
      <c r="D396" s="2"/>
    </row>
    <row r="397" spans="1:4" ht="15" customHeight="1" x14ac:dyDescent="0.25">
      <c r="A397" s="9"/>
      <c r="B397" s="2"/>
      <c r="C397" s="2"/>
    </row>
    <row r="398" spans="1:4" ht="15" customHeight="1" x14ac:dyDescent="0.25">
      <c r="A398" s="9"/>
      <c r="B398" s="2"/>
      <c r="C398" s="57" t="s">
        <v>60</v>
      </c>
    </row>
    <row r="399" spans="1:4" ht="15" customHeight="1" x14ac:dyDescent="0.25">
      <c r="A399" s="2"/>
      <c r="B399" s="62" t="s">
        <v>262</v>
      </c>
      <c r="C399" s="63" t="e">
        <f>$C$73</f>
        <v>#REF!</v>
      </c>
    </row>
    <row r="400" spans="1:4" ht="15" customHeight="1" x14ac:dyDescent="0.25">
      <c r="A400" s="2"/>
      <c r="B400" s="62" t="s">
        <v>263</v>
      </c>
      <c r="C400" s="64" t="e">
        <f>C$104</f>
        <v>#N/A</v>
      </c>
    </row>
    <row r="401" spans="1:3" ht="15" customHeight="1" x14ac:dyDescent="0.25">
      <c r="A401" s="2"/>
      <c r="B401" s="62" t="s">
        <v>264</v>
      </c>
      <c r="C401" s="64">
        <f>C$127</f>
        <v>0.7</v>
      </c>
    </row>
    <row r="402" spans="1:3" ht="15" customHeight="1" x14ac:dyDescent="0.25">
      <c r="A402" s="2"/>
      <c r="B402" s="62" t="s">
        <v>265</v>
      </c>
      <c r="C402" s="64">
        <f>C$153</f>
        <v>1.3</v>
      </c>
    </row>
    <row r="403" spans="1:3" ht="15" customHeight="1" x14ac:dyDescent="0.25">
      <c r="A403" s="2"/>
      <c r="B403" s="65" t="s">
        <v>266</v>
      </c>
      <c r="C403" s="66" t="e">
        <f>PRODUCT(C399:C402)</f>
        <v>#REF!</v>
      </c>
    </row>
    <row r="404" spans="1:3" ht="15" customHeight="1" x14ac:dyDescent="0.25">
      <c r="A404" s="2"/>
      <c r="B404" s="62"/>
      <c r="C404" s="67"/>
    </row>
    <row r="405" spans="1:3" ht="15" customHeight="1" x14ac:dyDescent="0.25">
      <c r="A405" s="2"/>
      <c r="B405" s="62"/>
      <c r="C405" s="67"/>
    </row>
    <row r="406" spans="1:3" ht="15" customHeight="1" x14ac:dyDescent="0.25">
      <c r="A406" s="2"/>
      <c r="B406" s="62" t="s">
        <v>266</v>
      </c>
      <c r="C406" s="66" t="e">
        <f>C403</f>
        <v>#REF!</v>
      </c>
    </row>
    <row r="407" spans="1:3" ht="15" customHeight="1" x14ac:dyDescent="0.25">
      <c r="A407" s="2"/>
      <c r="B407" s="62" t="s">
        <v>267</v>
      </c>
      <c r="C407" s="64" t="e">
        <f>+C189</f>
        <v>#REF!</v>
      </c>
    </row>
    <row r="408" spans="1:3" ht="15" customHeight="1" x14ac:dyDescent="0.25">
      <c r="A408" s="2"/>
      <c r="B408" s="65" t="s">
        <v>268</v>
      </c>
      <c r="C408" s="66" t="e">
        <f>PRODUCT(C406:C407)</f>
        <v>#REF!</v>
      </c>
    </row>
    <row r="409" spans="1:3" ht="15" customHeight="1" x14ac:dyDescent="0.25">
      <c r="A409" s="2"/>
      <c r="B409" s="62"/>
      <c r="C409" s="67"/>
    </row>
    <row r="410" spans="1:3" ht="15" customHeight="1" x14ac:dyDescent="0.25">
      <c r="A410" s="2"/>
      <c r="B410" s="62" t="s">
        <v>50</v>
      </c>
      <c r="C410" s="66" t="e">
        <f>C399</f>
        <v>#REF!</v>
      </c>
    </row>
    <row r="411" spans="1:3" ht="15" customHeight="1" x14ac:dyDescent="0.25">
      <c r="A411" s="2"/>
      <c r="B411" s="62" t="s">
        <v>94</v>
      </c>
      <c r="C411" s="67">
        <f>C401</f>
        <v>0.7</v>
      </c>
    </row>
    <row r="412" spans="1:3" ht="15" customHeight="1" x14ac:dyDescent="0.25">
      <c r="A412" s="2"/>
      <c r="B412" s="62" t="s">
        <v>269</v>
      </c>
      <c r="C412" s="64">
        <f>C$264</f>
        <v>1</v>
      </c>
    </row>
    <row r="413" spans="1:3" ht="15" customHeight="1" x14ac:dyDescent="0.25">
      <c r="A413" s="2"/>
      <c r="B413" s="62" t="s">
        <v>270</v>
      </c>
      <c r="C413" s="63" t="e">
        <f>C403</f>
        <v>#REF!</v>
      </c>
    </row>
    <row r="414" spans="1:3" ht="15" customHeight="1" x14ac:dyDescent="0.25">
      <c r="A414" s="2"/>
      <c r="B414" s="68" t="s">
        <v>271</v>
      </c>
      <c r="C414" s="69" t="e">
        <f>C$204</f>
        <v>#DIV/0!</v>
      </c>
    </row>
    <row r="415" spans="1:3" ht="15" customHeight="1" x14ac:dyDescent="0.25">
      <c r="A415" s="2"/>
      <c r="B415" s="68" t="s">
        <v>272</v>
      </c>
      <c r="C415" s="69" t="e">
        <f>C$216</f>
        <v>#DIV/0!</v>
      </c>
    </row>
    <row r="416" spans="1:3" ht="15" customHeight="1" x14ac:dyDescent="0.25">
      <c r="A416" s="2"/>
      <c r="B416" s="68" t="s">
        <v>273</v>
      </c>
      <c r="C416" s="69" t="e">
        <f>C$228</f>
        <v>#DIV/0!</v>
      </c>
    </row>
    <row r="417" spans="2:3" s="2" customFormat="1" ht="15" customHeight="1" x14ac:dyDescent="0.25">
      <c r="B417" s="68" t="s">
        <v>274</v>
      </c>
      <c r="C417" s="69">
        <f>C$240</f>
        <v>0</v>
      </c>
    </row>
    <row r="418" spans="2:3" s="2" customFormat="1" ht="15" customHeight="1" x14ac:dyDescent="0.25">
      <c r="B418" s="68" t="s">
        <v>275</v>
      </c>
      <c r="C418" s="69">
        <f>C$248</f>
        <v>0</v>
      </c>
    </row>
    <row r="419" spans="2:3" s="2" customFormat="1" ht="15" customHeight="1" x14ac:dyDescent="0.25">
      <c r="B419" s="68" t="s">
        <v>276</v>
      </c>
      <c r="C419" s="69">
        <f>C$252</f>
        <v>0</v>
      </c>
    </row>
    <row r="420" spans="2:3" s="2" customFormat="1" ht="15" customHeight="1" x14ac:dyDescent="0.25">
      <c r="B420" s="68" t="s">
        <v>277</v>
      </c>
      <c r="C420" s="69">
        <f>C$256</f>
        <v>0</v>
      </c>
    </row>
    <row r="421" spans="2:3" s="2" customFormat="1" ht="15" customHeight="1" x14ac:dyDescent="0.25">
      <c r="B421" s="68" t="s">
        <v>278</v>
      </c>
      <c r="C421" s="69">
        <f>C$260</f>
        <v>0</v>
      </c>
    </row>
    <row r="422" spans="2:3" s="2" customFormat="1" ht="15" customHeight="1" x14ac:dyDescent="0.25">
      <c r="B422" s="65" t="s">
        <v>279</v>
      </c>
      <c r="C422" s="66" t="e">
        <f>C413*SUM(C414:C421)</f>
        <v>#REF!</v>
      </c>
    </row>
    <row r="423" spans="2:3" s="2" customFormat="1" ht="15" customHeight="1" x14ac:dyDescent="0.25">
      <c r="B423" s="62" t="s">
        <v>280</v>
      </c>
      <c r="C423" s="67" t="e">
        <f>C410*C411*(C412-1)</f>
        <v>#REF!</v>
      </c>
    </row>
    <row r="424" spans="2:3" s="2" customFormat="1" ht="15" customHeight="1" x14ac:dyDescent="0.25">
      <c r="B424" s="62"/>
      <c r="C424" s="67"/>
    </row>
    <row r="425" spans="2:3" s="2" customFormat="1" ht="15" customHeight="1" x14ac:dyDescent="0.25">
      <c r="B425" s="62" t="s">
        <v>268</v>
      </c>
      <c r="C425" s="66" t="e">
        <f>C408</f>
        <v>#REF!</v>
      </c>
    </row>
    <row r="426" spans="2:3" s="2" customFormat="1" ht="15" customHeight="1" x14ac:dyDescent="0.25">
      <c r="B426" s="62" t="s">
        <v>281</v>
      </c>
      <c r="C426" s="66" t="e">
        <f>C422+C423</f>
        <v>#REF!</v>
      </c>
    </row>
    <row r="427" spans="2:3" s="2" customFormat="1" ht="15" customHeight="1" x14ac:dyDescent="0.25">
      <c r="B427" s="62" t="s">
        <v>282</v>
      </c>
      <c r="C427" s="64" t="e">
        <f>C331</f>
        <v>#REF!</v>
      </c>
    </row>
    <row r="428" spans="2:3" s="2" customFormat="1" ht="15" customHeight="1" x14ac:dyDescent="0.25">
      <c r="B428" s="70" t="s">
        <v>283</v>
      </c>
      <c r="C428" s="64">
        <v>1</v>
      </c>
    </row>
    <row r="429" spans="2:3" s="2" customFormat="1" ht="15" customHeight="1" x14ac:dyDescent="0.25">
      <c r="B429" s="62" t="s">
        <v>284</v>
      </c>
      <c r="C429" s="64" t="e">
        <f ca="1">$C$346</f>
        <v>#VALUE!</v>
      </c>
    </row>
    <row r="430" spans="2:3" s="2" customFormat="1" ht="15" customHeight="1" x14ac:dyDescent="0.25">
      <c r="B430" s="62" t="s">
        <v>285</v>
      </c>
      <c r="C430" s="64">
        <f>$C$353</f>
        <v>1</v>
      </c>
    </row>
    <row r="431" spans="2:3" s="2" customFormat="1" ht="15" customHeight="1" x14ac:dyDescent="0.25">
      <c r="B431" s="65" t="s">
        <v>286</v>
      </c>
      <c r="C431" s="66" t="e">
        <f>(C425+C426)*PRODUCT(C427:C430)</f>
        <v>#REF!</v>
      </c>
    </row>
    <row r="432" spans="2:3" s="2" customFormat="1" ht="15" customHeight="1" x14ac:dyDescent="0.25">
      <c r="B432" s="62"/>
      <c r="C432" s="67"/>
    </row>
    <row r="433" spans="1:3" s="2" customFormat="1" ht="15" customHeight="1" x14ac:dyDescent="0.25">
      <c r="B433" s="62" t="s">
        <v>286</v>
      </c>
      <c r="C433" s="66" t="e">
        <f>C431</f>
        <v>#REF!</v>
      </c>
    </row>
    <row r="434" spans="1:3" s="2" customFormat="1" ht="15" customHeight="1" x14ac:dyDescent="0.25">
      <c r="B434" s="62" t="s">
        <v>287</v>
      </c>
      <c r="C434" s="66">
        <v>0</v>
      </c>
    </row>
    <row r="435" spans="1:3" s="2" customFormat="1" ht="15" customHeight="1" x14ac:dyDescent="0.25">
      <c r="B435" s="62" t="s">
        <v>288</v>
      </c>
      <c r="C435" s="64">
        <f>$C$365</f>
        <v>1</v>
      </c>
    </row>
    <row r="436" spans="1:3" s="2" customFormat="1" ht="15" customHeight="1" x14ac:dyDescent="0.25">
      <c r="B436" s="65" t="s">
        <v>289</v>
      </c>
      <c r="C436" s="66" t="e">
        <f>C433*C435</f>
        <v>#REF!</v>
      </c>
    </row>
    <row r="437" spans="1:3" s="2" customFormat="1" ht="15" customHeight="1" x14ac:dyDescent="0.25">
      <c r="B437" s="62"/>
      <c r="C437" s="67"/>
    </row>
    <row r="438" spans="1:3" s="2" customFormat="1" ht="15" customHeight="1" x14ac:dyDescent="0.25">
      <c r="B438" s="62" t="s">
        <v>289</v>
      </c>
      <c r="C438" s="66" t="e">
        <f>C436</f>
        <v>#REF!</v>
      </c>
    </row>
    <row r="439" spans="1:3" s="2" customFormat="1" ht="15" customHeight="1" x14ac:dyDescent="0.25">
      <c r="B439" s="62" t="s">
        <v>290</v>
      </c>
      <c r="C439" s="66">
        <f>C$373</f>
        <v>1000</v>
      </c>
    </row>
    <row r="440" spans="1:3" s="2" customFormat="1" ht="15" customHeight="1" x14ac:dyDescent="0.25">
      <c r="B440" s="65" t="s">
        <v>291</v>
      </c>
      <c r="C440" s="66" t="e">
        <f>MAX(C438:C439)</f>
        <v>#REF!</v>
      </c>
    </row>
    <row r="441" spans="1:3" s="2" customFormat="1" ht="15" customHeight="1" x14ac:dyDescent="0.25">
      <c r="B441" s="62"/>
      <c r="C441" s="67"/>
    </row>
    <row r="442" spans="1:3" s="2" customFormat="1" ht="15" customHeight="1" x14ac:dyDescent="0.25">
      <c r="B442" s="62" t="s">
        <v>291</v>
      </c>
      <c r="C442" s="66" t="e">
        <f>C440</f>
        <v>#REF!</v>
      </c>
    </row>
    <row r="443" spans="1:3" s="2" customFormat="1" ht="15" customHeight="1" x14ac:dyDescent="0.25">
      <c r="B443" s="65" t="s">
        <v>292</v>
      </c>
      <c r="C443" s="66" t="e">
        <f>ROUND(C442/100,1)*100</f>
        <v>#REF!</v>
      </c>
    </row>
    <row r="444" spans="1:3" s="2" customFormat="1" ht="15" customHeight="1" x14ac:dyDescent="0.25">
      <c r="A444" s="40"/>
      <c r="B444" s="40"/>
      <c r="C444" s="40"/>
    </row>
    <row r="445" spans="1:3" s="2" customFormat="1" ht="15" customHeight="1" x14ac:dyDescent="0.25">
      <c r="A445" s="40"/>
      <c r="B445" s="40"/>
      <c r="C445" s="40"/>
    </row>
    <row r="446" spans="1:3" s="2" customFormat="1" ht="15" customHeight="1" x14ac:dyDescent="0.25">
      <c r="A446" s="40"/>
      <c r="B446" s="40"/>
      <c r="C446" s="40"/>
    </row>
    <row r="447" spans="1:3" s="2" customFormat="1" ht="15" customHeight="1" x14ac:dyDescent="0.25">
      <c r="A447" s="40"/>
      <c r="B447" s="40"/>
      <c r="C447" s="40"/>
    </row>
    <row r="448" spans="1:3" s="2" customFormat="1" ht="15" customHeight="1" x14ac:dyDescent="0.25">
      <c r="A448" s="40"/>
      <c r="B448" s="40" t="s">
        <v>293</v>
      </c>
      <c r="C448" s="71" t="e">
        <f>C443</f>
        <v>#REF!</v>
      </c>
    </row>
    <row r="449" spans="1:5" s="2" customFormat="1" ht="15" customHeight="1" x14ac:dyDescent="0.25">
      <c r="A449" s="40"/>
      <c r="B449" s="40" t="s">
        <v>294</v>
      </c>
      <c r="C449" s="61">
        <v>0</v>
      </c>
    </row>
    <row r="450" spans="1:5" s="2" customFormat="1" ht="15" customHeight="1" x14ac:dyDescent="0.25">
      <c r="A450" s="40"/>
      <c r="B450" s="40"/>
      <c r="C450" s="40"/>
      <c r="D450" s="40"/>
    </row>
    <row r="451" spans="1:5" s="2" customFormat="1" ht="15" customHeight="1" x14ac:dyDescent="0.25">
      <c r="A451" s="40"/>
      <c r="B451" s="40"/>
      <c r="C451" s="40"/>
      <c r="D451" s="40"/>
    </row>
    <row r="452" spans="1:5" s="2" customFormat="1" ht="15" customHeight="1" x14ac:dyDescent="0.25">
      <c r="A452" s="9" t="s">
        <v>295</v>
      </c>
    </row>
    <row r="453" spans="1:5" s="2" customFormat="1" ht="15" customHeight="1" x14ac:dyDescent="0.25">
      <c r="A453" s="9"/>
    </row>
    <row r="454" spans="1:5" s="2" customFormat="1" ht="15" customHeight="1" x14ac:dyDescent="0.25">
      <c r="A454" s="9"/>
      <c r="C454" s="57" t="s">
        <v>296</v>
      </c>
      <c r="D454" s="57" t="s">
        <v>60</v>
      </c>
    </row>
    <row r="455" spans="1:5" s="2" customFormat="1" ht="15" customHeight="1" x14ac:dyDescent="0.25">
      <c r="B455" s="62" t="s">
        <v>262</v>
      </c>
      <c r="C455" s="2" t="s">
        <v>297</v>
      </c>
      <c r="D455" s="63" t="e">
        <f>$C$73</f>
        <v>#REF!</v>
      </c>
    </row>
    <row r="456" spans="1:5" s="2" customFormat="1" ht="15" customHeight="1" x14ac:dyDescent="0.25">
      <c r="B456" s="62" t="s">
        <v>263</v>
      </c>
      <c r="C456" s="2" t="s">
        <v>297</v>
      </c>
      <c r="D456" s="64" t="e">
        <f>C$104</f>
        <v>#N/A</v>
      </c>
    </row>
    <row r="457" spans="1:5" s="2" customFormat="1" ht="15" customHeight="1" x14ac:dyDescent="0.25">
      <c r="B457" s="62" t="s">
        <v>264</v>
      </c>
      <c r="C457" s="2" t="s">
        <v>297</v>
      </c>
      <c r="D457" s="64">
        <f>C$127</f>
        <v>0.7</v>
      </c>
    </row>
    <row r="458" spans="1:5" ht="15" customHeight="1" x14ac:dyDescent="0.25">
      <c r="A458" s="2"/>
      <c r="B458" s="62" t="s">
        <v>265</v>
      </c>
      <c r="C458" s="2" t="s">
        <v>297</v>
      </c>
      <c r="D458" s="64">
        <f>C$153</f>
        <v>1.3</v>
      </c>
      <c r="E458" s="2"/>
    </row>
    <row r="459" spans="1:5" ht="15" customHeight="1" x14ac:dyDescent="0.25">
      <c r="A459" s="2"/>
      <c r="B459" s="65" t="s">
        <v>266</v>
      </c>
      <c r="C459" s="2"/>
      <c r="D459" s="66" t="e">
        <f>PRODUCT(D455:D458)</f>
        <v>#REF!</v>
      </c>
      <c r="E459" s="2"/>
    </row>
    <row r="460" spans="1:5" ht="15" customHeight="1" x14ac:dyDescent="0.25">
      <c r="A460" s="2"/>
      <c r="B460" s="62"/>
      <c r="C460" s="2"/>
      <c r="D460" s="67"/>
      <c r="E460" t="s">
        <v>298</v>
      </c>
    </row>
    <row r="461" spans="1:5" ht="15" customHeight="1" x14ac:dyDescent="0.25">
      <c r="A461" s="2"/>
      <c r="B461" s="62"/>
      <c r="C461" s="2"/>
      <c r="D461" s="67"/>
      <c r="E461" s="18" t="e">
        <f>SUM((C425+C410*C411*(C412-1)+C413*SUM(C414:C421))*PRODUCT(C427:C430))</f>
        <v>#REF!</v>
      </c>
    </row>
    <row r="462" spans="1:5" ht="15" customHeight="1" x14ac:dyDescent="0.25">
      <c r="A462" s="2"/>
      <c r="B462" s="62" t="s">
        <v>266</v>
      </c>
      <c r="C462" s="2"/>
      <c r="D462" s="66" t="e">
        <f>D459</f>
        <v>#REF!</v>
      </c>
      <c r="E462" s="66" t="e">
        <f>SUM((C425+C410*C411*(C412-1)+C413*SUM(C414:C421))*PRODUCT(C427:C430))</f>
        <v>#REF!</v>
      </c>
    </row>
    <row r="463" spans="1:5" ht="15" customHeight="1" x14ac:dyDescent="0.25">
      <c r="A463" s="2"/>
      <c r="B463" s="62" t="s">
        <v>267</v>
      </c>
      <c r="C463" s="2" t="s">
        <v>299</v>
      </c>
      <c r="D463" s="64" t="e">
        <f>BBR.BBR.LossRatingFactor.Output</f>
        <v>#REF!</v>
      </c>
      <c r="E463" s="66" t="e">
        <f>SUM((C425+C410*C411*(C412-1)+C413*SUM(C414:C421))*PRODUCT(C427:C430))</f>
        <v>#REF!</v>
      </c>
    </row>
    <row r="464" spans="1:5" ht="15" customHeight="1" x14ac:dyDescent="0.25">
      <c r="A464" s="2"/>
      <c r="B464" s="65" t="s">
        <v>268</v>
      </c>
      <c r="C464" s="2"/>
      <c r="D464" s="66" t="e">
        <f>PRODUCT(D462:D463)</f>
        <v>#REF!</v>
      </c>
    </row>
    <row r="465" spans="1:4" ht="15" customHeight="1" x14ac:dyDescent="0.25">
      <c r="A465" s="2"/>
      <c r="B465" s="62"/>
      <c r="C465" s="2"/>
      <c r="D465" s="67"/>
    </row>
    <row r="466" spans="1:4" ht="15" customHeight="1" x14ac:dyDescent="0.25">
      <c r="A466" s="2"/>
      <c r="B466" s="62" t="s">
        <v>50</v>
      </c>
      <c r="C466" s="2"/>
      <c r="D466" s="66" t="e">
        <f>D455</f>
        <v>#REF!</v>
      </c>
    </row>
    <row r="467" spans="1:4" ht="15" customHeight="1" x14ac:dyDescent="0.25">
      <c r="A467" s="2"/>
      <c r="B467" s="62" t="s">
        <v>94</v>
      </c>
      <c r="C467" s="2"/>
      <c r="D467" s="67">
        <f>D457</f>
        <v>0.7</v>
      </c>
    </row>
    <row r="468" spans="1:4" ht="15" customHeight="1" x14ac:dyDescent="0.25">
      <c r="A468" s="2"/>
      <c r="B468" s="62" t="s">
        <v>269</v>
      </c>
      <c r="C468" s="2" t="s">
        <v>297</v>
      </c>
      <c r="D468" s="64">
        <f>C$264</f>
        <v>1</v>
      </c>
    </row>
    <row r="469" spans="1:4" ht="15" customHeight="1" x14ac:dyDescent="0.25">
      <c r="A469" s="2"/>
      <c r="B469" s="62" t="s">
        <v>270</v>
      </c>
      <c r="C469" s="2"/>
      <c r="D469" s="63" t="e">
        <f>D459</f>
        <v>#REF!</v>
      </c>
    </row>
    <row r="470" spans="1:4" ht="15" customHeight="1" x14ac:dyDescent="0.25">
      <c r="A470" s="2"/>
      <c r="B470" s="62" t="s">
        <v>271</v>
      </c>
      <c r="C470" s="2" t="s">
        <v>297</v>
      </c>
      <c r="D470" s="69" t="e">
        <f>C$204</f>
        <v>#DIV/0!</v>
      </c>
    </row>
    <row r="471" spans="1:4" ht="15" customHeight="1" x14ac:dyDescent="0.25">
      <c r="A471" s="2"/>
      <c r="B471" s="62" t="s">
        <v>272</v>
      </c>
      <c r="C471" s="2" t="s">
        <v>297</v>
      </c>
      <c r="D471" s="69" t="e">
        <f>C$216</f>
        <v>#DIV/0!</v>
      </c>
    </row>
    <row r="472" spans="1:4" ht="15" customHeight="1" x14ac:dyDescent="0.25">
      <c r="A472" s="2"/>
      <c r="B472" s="62" t="s">
        <v>273</v>
      </c>
      <c r="C472" s="2" t="s">
        <v>297</v>
      </c>
      <c r="D472" s="69" t="e">
        <f>$C228</f>
        <v>#DIV/0!</v>
      </c>
    </row>
    <row r="473" spans="1:4" ht="15" customHeight="1" x14ac:dyDescent="0.25">
      <c r="A473" s="2"/>
      <c r="B473" s="62" t="s">
        <v>274</v>
      </c>
      <c r="C473" s="2" t="s">
        <v>299</v>
      </c>
      <c r="D473" s="69">
        <f>BBR.BBR.IPInfringementDebit.Output</f>
        <v>0</v>
      </c>
    </row>
    <row r="474" spans="1:4" ht="15" customHeight="1" x14ac:dyDescent="0.25">
      <c r="A474" s="2"/>
      <c r="B474" s="62" t="s">
        <v>275</v>
      </c>
      <c r="C474" s="2" t="s">
        <v>297</v>
      </c>
      <c r="D474" s="69">
        <f>C$248</f>
        <v>0</v>
      </c>
    </row>
    <row r="475" spans="1:4" s="2" customFormat="1" ht="15" customHeight="1" x14ac:dyDescent="0.25">
      <c r="B475" s="62" t="s">
        <v>276</v>
      </c>
      <c r="C475" s="2" t="s">
        <v>297</v>
      </c>
      <c r="D475" s="69">
        <f>C$252</f>
        <v>0</v>
      </c>
    </row>
    <row r="476" spans="1:4" s="2" customFormat="1" ht="15" customHeight="1" x14ac:dyDescent="0.25">
      <c r="B476" s="62" t="s">
        <v>277</v>
      </c>
      <c r="C476" s="2" t="s">
        <v>297</v>
      </c>
      <c r="D476" s="69">
        <f>C$256</f>
        <v>0</v>
      </c>
    </row>
    <row r="477" spans="1:4" s="2" customFormat="1" ht="15" customHeight="1" x14ac:dyDescent="0.25">
      <c r="B477" s="62" t="s">
        <v>278</v>
      </c>
      <c r="C477" s="2" t="s">
        <v>297</v>
      </c>
      <c r="D477" s="69">
        <f>C$260</f>
        <v>0</v>
      </c>
    </row>
    <row r="478" spans="1:4" s="2" customFormat="1" ht="15" customHeight="1" x14ac:dyDescent="0.25">
      <c r="B478" s="65" t="s">
        <v>279</v>
      </c>
      <c r="D478" s="66" t="e">
        <f>D469*SUM(D470:D477)</f>
        <v>#REF!</v>
      </c>
    </row>
    <row r="479" spans="1:4" s="2" customFormat="1" ht="15" customHeight="1" x14ac:dyDescent="0.25">
      <c r="B479" s="65" t="s">
        <v>280</v>
      </c>
      <c r="D479" s="66" t="e">
        <f>D466*D467*(D468-1)</f>
        <v>#REF!</v>
      </c>
    </row>
    <row r="480" spans="1:4" s="2" customFormat="1" ht="15" customHeight="1" x14ac:dyDescent="0.25">
      <c r="B480" s="62"/>
      <c r="D480" s="67"/>
    </row>
    <row r="481" spans="2:4" s="2" customFormat="1" ht="15" customHeight="1" x14ac:dyDescent="0.25">
      <c r="B481" s="62" t="s">
        <v>268</v>
      </c>
      <c r="D481" s="66" t="e">
        <f>D464</f>
        <v>#REF!</v>
      </c>
    </row>
    <row r="482" spans="2:4" s="2" customFormat="1" ht="15" customHeight="1" x14ac:dyDescent="0.25">
      <c r="B482" s="62" t="s">
        <v>300</v>
      </c>
      <c r="D482" s="66" t="e">
        <f>D478+D479</f>
        <v>#REF!</v>
      </c>
    </row>
    <row r="483" spans="2:4" s="2" customFormat="1" ht="15" customHeight="1" x14ac:dyDescent="0.25">
      <c r="B483" s="62" t="s">
        <v>282</v>
      </c>
      <c r="C483" s="2" t="s">
        <v>299</v>
      </c>
      <c r="D483" s="64">
        <v>1</v>
      </c>
    </row>
    <row r="484" spans="2:4" s="2" customFormat="1" ht="15" customHeight="1" x14ac:dyDescent="0.25">
      <c r="B484" s="70" t="s">
        <v>283</v>
      </c>
      <c r="C484" s="2" t="s">
        <v>297</v>
      </c>
      <c r="D484" s="64">
        <v>1</v>
      </c>
    </row>
    <row r="485" spans="2:4" s="2" customFormat="1" ht="15" customHeight="1" x14ac:dyDescent="0.25">
      <c r="B485" s="62" t="s">
        <v>284</v>
      </c>
      <c r="C485" s="2" t="s">
        <v>297</v>
      </c>
      <c r="D485" s="64" t="e">
        <f ca="1">$C$346</f>
        <v>#VALUE!</v>
      </c>
    </row>
    <row r="486" spans="2:4" s="2" customFormat="1" ht="15" customHeight="1" x14ac:dyDescent="0.25">
      <c r="B486" s="62" t="s">
        <v>285</v>
      </c>
      <c r="C486" s="2" t="s">
        <v>299</v>
      </c>
      <c r="D486" s="64">
        <v>1</v>
      </c>
    </row>
    <row r="487" spans="2:4" s="2" customFormat="1" ht="15" customHeight="1" x14ac:dyDescent="0.25">
      <c r="B487" s="65" t="s">
        <v>286</v>
      </c>
      <c r="D487" s="66" t="e">
        <f ca="1">(D481+D482)*PRODUCT(D483:D486)</f>
        <v>#REF!</v>
      </c>
    </row>
    <row r="488" spans="2:4" s="2" customFormat="1" ht="15" customHeight="1" x14ac:dyDescent="0.25">
      <c r="B488" s="62"/>
      <c r="D488" s="67"/>
    </row>
    <row r="489" spans="2:4" s="2" customFormat="1" ht="15" customHeight="1" x14ac:dyDescent="0.25">
      <c r="B489" s="62" t="s">
        <v>286</v>
      </c>
      <c r="D489" s="66" t="e">
        <f ca="1">D487</f>
        <v>#REF!</v>
      </c>
    </row>
    <row r="490" spans="2:4" s="2" customFormat="1" ht="15" customHeight="1" x14ac:dyDescent="0.25">
      <c r="B490" s="62" t="s">
        <v>288</v>
      </c>
      <c r="C490" s="2" t="s">
        <v>299</v>
      </c>
      <c r="D490" s="64">
        <v>1</v>
      </c>
    </row>
    <row r="491" spans="2:4" s="2" customFormat="1" ht="15" customHeight="1" x14ac:dyDescent="0.25">
      <c r="B491" s="65" t="s">
        <v>301</v>
      </c>
      <c r="D491" s="66" t="e">
        <f ca="1">D489*D490</f>
        <v>#REF!</v>
      </c>
    </row>
    <row r="492" spans="2:4" s="2" customFormat="1" ht="15" customHeight="1" x14ac:dyDescent="0.25">
      <c r="B492" s="62"/>
      <c r="D492" s="67"/>
    </row>
    <row r="493" spans="2:4" s="2" customFormat="1" ht="15" customHeight="1" x14ac:dyDescent="0.25">
      <c r="B493" s="62" t="s">
        <v>302</v>
      </c>
      <c r="D493" s="66" t="e">
        <f ca="1">D491</f>
        <v>#REF!</v>
      </c>
    </row>
    <row r="494" spans="2:4" s="2" customFormat="1" ht="15" customHeight="1" x14ac:dyDescent="0.25">
      <c r="B494" s="62" t="s">
        <v>290</v>
      </c>
      <c r="C494" s="2" t="s">
        <v>299</v>
      </c>
      <c r="D494" s="66">
        <v>0</v>
      </c>
    </row>
    <row r="495" spans="2:4" s="2" customFormat="1" ht="15" customHeight="1" x14ac:dyDescent="0.25">
      <c r="B495" s="65" t="s">
        <v>291</v>
      </c>
      <c r="D495" s="66" t="e">
        <f ca="1">MAX(D493:D494)</f>
        <v>#REF!</v>
      </c>
    </row>
    <row r="496" spans="2:4" s="2" customFormat="1" ht="15" customHeight="1" x14ac:dyDescent="0.25">
      <c r="B496" s="62"/>
      <c r="D496" s="67"/>
    </row>
    <row r="497" spans="1:4" s="2" customFormat="1" ht="15" customHeight="1" x14ac:dyDescent="0.25">
      <c r="B497" s="62" t="s">
        <v>291</v>
      </c>
      <c r="D497" s="66" t="e">
        <f ca="1">D495</f>
        <v>#REF!</v>
      </c>
    </row>
    <row r="498" spans="1:4" s="2" customFormat="1" ht="15" customHeight="1" x14ac:dyDescent="0.25">
      <c r="B498" s="62" t="s">
        <v>303</v>
      </c>
      <c r="C498" s="2" t="s">
        <v>297</v>
      </c>
      <c r="D498" s="72">
        <v>0</v>
      </c>
    </row>
    <row r="499" spans="1:4" s="2" customFormat="1" ht="15" customHeight="1" x14ac:dyDescent="0.25">
      <c r="B499" s="65" t="s">
        <v>304</v>
      </c>
      <c r="D499" s="73" t="e">
        <f ca="1">ROUND((D497+D498)/100,1)*100</f>
        <v>#REF!</v>
      </c>
    </row>
    <row r="500" spans="1:4" s="2" customFormat="1" ht="15" customHeight="1" x14ac:dyDescent="0.25">
      <c r="A500" s="40"/>
      <c r="B500" s="40"/>
      <c r="C500" s="40"/>
      <c r="D500" s="40"/>
    </row>
    <row r="501" spans="1:4" s="2" customFormat="1" ht="15" customHeight="1" x14ac:dyDescent="0.25">
      <c r="A501" s="40"/>
      <c r="B501" s="40"/>
      <c r="C501" s="40"/>
      <c r="D501" s="40"/>
    </row>
    <row r="502" spans="1:4" s="2" customFormat="1" ht="15" customHeight="1" x14ac:dyDescent="0.25">
      <c r="A502" s="23" t="s">
        <v>305</v>
      </c>
      <c r="B502" s="40"/>
      <c r="C502" s="40"/>
      <c r="D502" s="40"/>
    </row>
    <row r="503" spans="1:4" s="2" customFormat="1" ht="15" customHeight="1" x14ac:dyDescent="0.25">
      <c r="A503" s="40"/>
      <c r="B503" s="40"/>
      <c r="C503" s="40"/>
      <c r="D503" s="40"/>
    </row>
    <row r="504" spans="1:4" s="2" customFormat="1" ht="15" customHeight="1" x14ac:dyDescent="0.25">
      <c r="A504" s="40"/>
      <c r="B504" s="40" t="s">
        <v>306</v>
      </c>
      <c r="C504" s="47">
        <f>$C$379</f>
        <v>0.2</v>
      </c>
      <c r="D504" s="40"/>
    </row>
    <row r="505" spans="1:4" s="2" customFormat="1" ht="15" customHeight="1" x14ac:dyDescent="0.25">
      <c r="A505" s="40"/>
      <c r="B505" s="40" t="s">
        <v>307</v>
      </c>
      <c r="C505" s="47">
        <v>0.5</v>
      </c>
      <c r="D505" s="40"/>
    </row>
    <row r="506" spans="1:4" s="2" customFormat="1" ht="15" customHeight="1" x14ac:dyDescent="0.25">
      <c r="A506" s="40"/>
      <c r="B506" s="40" t="s">
        <v>308</v>
      </c>
      <c r="C506" s="40"/>
      <c r="D506" s="18" t="e">
        <f ca="1">D499*(1-MIN(0.2,$C$504))*$C$505</f>
        <v>#REF!</v>
      </c>
    </row>
    <row r="507" spans="1:4" s="2" customFormat="1" ht="15" customHeight="1" x14ac:dyDescent="0.25">
      <c r="A507" s="40"/>
      <c r="B507" s="40" t="s">
        <v>309</v>
      </c>
      <c r="C507" s="47">
        <v>0.7</v>
      </c>
      <c r="D507" s="40"/>
    </row>
    <row r="508" spans="1:4" s="2" customFormat="1" ht="15" customHeight="1" x14ac:dyDescent="0.25">
      <c r="A508" s="40"/>
      <c r="B508" s="40" t="s">
        <v>310</v>
      </c>
      <c r="C508" s="40"/>
      <c r="D508" s="18" t="e">
        <f ca="1">D506/$C$507</f>
        <v>#REF!</v>
      </c>
    </row>
    <row r="509" spans="1:4" s="2" customFormat="1" ht="15" customHeight="1" x14ac:dyDescent="0.25">
      <c r="A509" s="40"/>
      <c r="B509" s="40" t="s">
        <v>306</v>
      </c>
      <c r="C509" s="47">
        <f>$C$379</f>
        <v>0.2</v>
      </c>
      <c r="D509" s="40"/>
    </row>
    <row r="510" spans="1:4" s="2" customFormat="1" ht="15" customHeight="1" x14ac:dyDescent="0.25">
      <c r="A510" s="40"/>
      <c r="B510" s="40" t="s">
        <v>311</v>
      </c>
      <c r="C510" s="40"/>
      <c r="D510" s="58" t="e">
        <f ca="1">D508/(1-$C$509)</f>
        <v>#REF!</v>
      </c>
    </row>
    <row r="511" spans="1:4" s="2" customFormat="1" ht="15" customHeight="1" x14ac:dyDescent="0.25">
      <c r="A511" s="40"/>
      <c r="B511" s="40" t="s">
        <v>312</v>
      </c>
      <c r="C511" s="40"/>
      <c r="D511" s="37" t="e">
        <f ca="1">IF(BBR.BBR.GrossBenchmarkPrice.Output=0,0,C448/D510)</f>
        <v>#REF!</v>
      </c>
    </row>
    <row r="512" spans="1:4" s="2" customFormat="1" ht="15" customHeight="1" x14ac:dyDescent="0.25">
      <c r="A512" s="40"/>
      <c r="B512" s="40"/>
      <c r="C512" s="40"/>
      <c r="D512" s="40"/>
    </row>
    <row r="513" spans="1:4" s="2" customFormat="1" ht="15" customHeight="1" x14ac:dyDescent="0.25">
      <c r="A513" s="40"/>
      <c r="B513" s="40"/>
      <c r="C513" s="40"/>
      <c r="D513" s="40"/>
    </row>
    <row r="515" spans="1:4" s="2" customFormat="1" ht="15" customHeight="1" x14ac:dyDescent="0.25">
      <c r="A515" s="23" t="s">
        <v>313</v>
      </c>
      <c r="B515" s="40"/>
      <c r="C515" s="40"/>
      <c r="D515" s="40"/>
    </row>
    <row r="516" spans="1:4" s="2" customFormat="1" ht="15" customHeight="1" x14ac:dyDescent="0.25">
      <c r="A516" s="40"/>
      <c r="B516" s="40" t="s">
        <v>314</v>
      </c>
      <c r="C516" s="40"/>
      <c r="D516" s="18" t="e">
        <f>BBR.BBR.FinalModelPremium.Output</f>
        <v>#REF!</v>
      </c>
    </row>
    <row r="517" spans="1:4" s="2" customFormat="1" ht="15" customHeight="1" x14ac:dyDescent="0.25">
      <c r="A517" s="40"/>
      <c r="B517" s="40" t="s">
        <v>315</v>
      </c>
      <c r="C517" s="40"/>
      <c r="D517" s="58" t="e">
        <f>ROUND(D516*0.275,0)</f>
        <v>#REF!</v>
      </c>
    </row>
    <row r="518" spans="1:4" s="2" customFormat="1" ht="15" customHeight="1" x14ac:dyDescent="0.25">
      <c r="A518" s="40"/>
      <c r="B518" s="40" t="s">
        <v>316</v>
      </c>
      <c r="C518" s="40"/>
      <c r="D518" s="58" t="e">
        <f>D516-D517</f>
        <v>#REF!</v>
      </c>
    </row>
    <row r="519" spans="1:4" s="2" customFormat="1" ht="15" customHeight="1" x14ac:dyDescent="0.25">
      <c r="A519" s="40"/>
      <c r="B519" s="40"/>
      <c r="C519" s="40"/>
      <c r="D519" s="40"/>
    </row>
    <row r="520" spans="1:4" s="2" customFormat="1" ht="15" customHeight="1" x14ac:dyDescent="0.25">
      <c r="A520" s="40"/>
      <c r="B520" s="40"/>
      <c r="C520" s="40"/>
      <c r="D520" s="40"/>
    </row>
    <row r="521" spans="1:4" s="2" customFormat="1" ht="15" customHeight="1" x14ac:dyDescent="0.25">
      <c r="A521" s="40"/>
      <c r="B521" s="40"/>
      <c r="C521" s="40"/>
      <c r="D521" s="40"/>
    </row>
    <row r="522" spans="1:4" s="2" customFormat="1" ht="15" customHeight="1" x14ac:dyDescent="0.25">
      <c r="A522" s="40"/>
      <c r="B522" s="40"/>
      <c r="C522" s="40"/>
      <c r="D522" s="40"/>
    </row>
    <row r="523" spans="1:4" ht="15" customHeight="1" x14ac:dyDescent="0.25">
      <c r="B523" t="s">
        <v>317</v>
      </c>
      <c r="C523" s="28">
        <v>0</v>
      </c>
    </row>
    <row r="524" spans="1:4" ht="15" customHeight="1" x14ac:dyDescent="0.25">
      <c r="B524" t="s">
        <v>318</v>
      </c>
      <c r="C524" s="28">
        <v>0</v>
      </c>
    </row>
  </sheetData>
  <dataValidations count="54">
    <dataValidation type="list" allowBlank="1" showInputMessage="1" showErrorMessage="1" sqref="C28">
      <formula1>lstYesNo</formula1>
    </dataValidation>
    <dataValidation allowBlank="1" showInputMessage="1" showErrorMessage="1" sqref="C257 C47 C253 C261 C44"/>
    <dataValidation allowBlank="1" showInputMessage="1" showErrorMessage="1" error="Effective date or expiration date is malformed" sqref="C49"/>
    <dataValidation allowBlank="1" showInputMessage="1" showErrorMessage="1" error="Surplus lines deviation factor only allowed when writing surplus lines" sqref="C354"/>
    <dataValidation allowBlank="1" showInputMessage="1" showErrorMessage="1" error="Surplus lines deviation factor must be greater than zero" sqref="C355"/>
    <dataValidation allowBlank="1" showInputMessage="1" showErrorMessage="1" error="Rounding adjustment out of bounds" sqref="C358"/>
    <dataValidation allowBlank="1" showInputMessage="1" showErrorMessage="1" error="Nebraska deviation factor only allowed when writing in Nebraska" sqref="C366"/>
    <dataValidation allowBlank="1" showInputMessage="1" showErrorMessage="1" error="Nebraska only allows deviation of +/-40%" sqref="C367"/>
    <dataValidation type="list" allowBlank="1" showInputMessage="1" showErrorMessage="1" sqref="C263">
      <formula1>lstBBRADL</formula1>
    </dataValidation>
    <dataValidation type="list" allowBlank="1" showInputMessage="1" showErrorMessage="1" sqref="C234">
      <formula1>lstFullMediaCoverage</formula1>
    </dataValidation>
    <dataValidation type="list" allowBlank="1" showInputMessage="1" showErrorMessage="1" sqref="C57">
      <formula1>lstIndustries</formula1>
    </dataValidation>
    <dataValidation type="list" allowBlank="1" showInputMessage="1" showErrorMessage="1" sqref="C251">
      <formula1>lstElectronicCrime</formula1>
    </dataValidation>
    <dataValidation type="list" allowBlank="1" showInputMessage="1" showErrorMessage="1" sqref="C255">
      <formula1>lstTelecommunicationsFraud</formula1>
    </dataValidation>
    <dataValidation type="list" allowBlank="1" showInputMessage="1" showErrorMessage="1" sqref="C259">
      <formula1>lstFraudulentInstruction</formula1>
    </dataValidation>
    <dataValidation type="list" allowBlank="1" sqref="C247">
      <formula1>lstProfessionalServicesLiability</formula1>
    </dataValidation>
    <dataValidation type="list" allowBlank="1" showInputMessage="1" showErrorMessage="1" sqref="C168">
      <formula1>lstAdmittedLossRatingClaimIncurredMM</formula1>
    </dataValidation>
    <dataValidation allowBlank="1" sqref="C205:C207 C200:C202"/>
    <dataValidation allowBlank="1" showInputMessage="1" showErrorMessage="1" error="output" sqref="G1"/>
    <dataValidation allowBlank="1" showInputMessage="1" showErrorMessage="1" error="Surplus lines &quot;yes/no&quot; is invalid" sqref="C45"/>
    <dataValidation allowBlank="1" showInputMessage="1" showErrorMessage="1" error="If effective date or expiration date is TBD both must be TBD" sqref="C46"/>
    <dataValidation allowBlank="1" showInputMessage="1" showErrorMessage="1" error="Expiration date must be after effective date" sqref="C48"/>
    <dataValidation allowBlank="1" showInputMessage="1" showErrorMessage="1" error="Hazard group selection is not valid" sqref="C75"/>
    <dataValidation allowBlank="1" showInputMessage="1" showErrorMessage="1" error="Revenue is out of bounds" sqref="C76"/>
    <dataValidation allowBlank="1" showInputMessage="1" showErrorMessage="1" error="Aggregate limit is not within bounds" sqref="C87"/>
    <dataValidation allowBlank="1" showInputMessage="1" showErrorMessage="1" error="Notification ratio is out of bounds" sqref="C129"/>
    <dataValidation allowBlank="1" showInputMessage="1" showErrorMessage="1" error="Something is wrong with notification factor calculation" sqref="C130"/>
    <dataValidation allowBlank="1" showInputMessage="1" showErrorMessage="1" error="Retention ratio is out of bounds" sqref="C155"/>
    <dataValidation allowBlank="1" showInputMessage="1" showErrorMessage="1" error="Something is wrong with Retention factor calculation" sqref="C156"/>
    <dataValidation allowBlank="1" showInputMessage="1" showErrorMessage="1" error="Loss Rating is out of range" sqref="C183"/>
    <dataValidation allowBlank="1" showInputMessage="1" showErrorMessage="1" error="Media answer is not valid" sqref="C241"/>
    <dataValidation allowBlank="1" showInputMessage="1" showErrorMessage="1" error="Media Input is out of range" sqref="C242"/>
    <dataValidation allowBlank="1" showInputMessage="1" showErrorMessage="1" error="ADL answer is not valid" sqref="C265"/>
    <dataValidation allowBlank="1" showInputMessage="1" showErrorMessage="1" error="Financial Condition Note is Missing" sqref="C293"/>
    <dataValidation allowBlank="1" showInputMessage="1" showErrorMessage="1" error="Maturity of Business Note is Missing" sqref="C294"/>
    <dataValidation allowBlank="1" showInputMessage="1" showErrorMessage="1" error="Quality of Management Note is Missing" sqref="C295"/>
    <dataValidation allowBlank="1" showInputMessage="1" showErrorMessage="1" error="Volume of Information Stored or Managed Note is Missing" sqref="C296"/>
    <dataValidation allowBlank="1" showInputMessage="1" showErrorMessage="1" error="Territory of Operations Note is Missing" sqref="C297"/>
    <dataValidation allowBlank="1" showInputMessage="1" showErrorMessage="1" error="Nature of Content Disseminated Note is Missing" sqref="C298"/>
    <dataValidation allowBlank="1" showInputMessage="1" showErrorMessage="1" error="Nature of Reputational Risk Exposure Note is Missing" sqref="C299"/>
    <dataValidation allowBlank="1" showInputMessage="1" showErrorMessage="1" error="Nature of Payment Card Processing Exposure Note is Missing" sqref="C300"/>
    <dataValidation allowBlank="1" showInputMessage="1" showErrorMessage="1" error="Privacy and Security Controls Procedures Note is Missing" sqref="C301"/>
    <dataValidation allowBlank="1" showInputMessage="1" showErrorMessage="1" error="Participation in a Risk Control Program Note is Missing" sqref="C302"/>
    <dataValidation allowBlank="1" showInputMessage="1" showErrorMessage="1" error="Financial Condition Selection is invalid" sqref="C304"/>
    <dataValidation allowBlank="1" showInputMessage="1" showErrorMessage="1" error="Maturity of Business Selection is invalid" sqref="C305"/>
    <dataValidation allowBlank="1" showInputMessage="1" showErrorMessage="1" error="Quality of Management Selection is invalid" sqref="C306"/>
    <dataValidation allowBlank="1" showInputMessage="1" showErrorMessage="1" error="Volume of Information Stored or Managed Selection is invalid" sqref="C307"/>
    <dataValidation allowBlank="1" showInputMessage="1" showErrorMessage="1" error="Territory of Operations Selection is invalid" sqref="C308"/>
    <dataValidation allowBlank="1" showInputMessage="1" showErrorMessage="1" error="Nature of Content Disseminated Selection is invalid" sqref="C309"/>
    <dataValidation allowBlank="1" showInputMessage="1" showErrorMessage="1" error="Nature of Reputational Risk Exposure Selection is invalid" sqref="C310"/>
    <dataValidation allowBlank="1" showInputMessage="1" showErrorMessage="1" error="Nature of Payment Card Processing Exposure Selection is invalid" sqref="C311"/>
    <dataValidation allowBlank="1" showInputMessage="1" showErrorMessage="1" error="Privacy and Security Controls Procedures Selection is invalid" sqref="C312"/>
    <dataValidation allowBlank="1" showInputMessage="1" showErrorMessage="1" error="Participation in a Risk Control Program Selection is invalid" sqref="C313"/>
    <dataValidation allowBlank="1" showInputMessage="1" showErrorMessage="1" error="Policy Term Cannot Exceed 18 Months" sqref="C347"/>
    <dataValidation type="list" allowBlank="1" showInputMessage="1" showErrorMessage="1" sqref="C167">
      <formula1>lstAdmittedLossRatingClaimIncurredPE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"/>
  <sheetViews>
    <sheetView zoomScale="85" workbookViewId="0"/>
  </sheetViews>
  <sheetFormatPr defaultRowHeight="15" customHeight="1" x14ac:dyDescent="0.25"/>
  <cols>
    <col min="1" max="1" width="39.85546875" bestFit="1" customWidth="1"/>
    <col min="2" max="2" width="65.42578125" bestFit="1" customWidth="1"/>
    <col min="3" max="19" width="15.28515625" customWidth="1"/>
  </cols>
  <sheetData>
    <row r="1" spans="1:11" ht="15" customHeight="1" x14ac:dyDescent="0.25">
      <c r="A1" s="7" t="s">
        <v>6</v>
      </c>
      <c r="B1" s="1"/>
      <c r="C1" s="2"/>
      <c r="D1" s="1"/>
      <c r="E1" s="2"/>
      <c r="F1" s="2"/>
      <c r="G1" s="2"/>
      <c r="H1" s="2"/>
      <c r="I1" s="2"/>
    </row>
    <row r="2" spans="1:11" ht="15" customHeight="1" x14ac:dyDescent="0.25">
      <c r="A2" s="7" t="s">
        <v>7</v>
      </c>
      <c r="B2" s="1"/>
      <c r="C2" s="2"/>
      <c r="D2" s="1"/>
      <c r="E2" s="2"/>
      <c r="F2" s="2"/>
      <c r="G2" s="2"/>
      <c r="H2" s="2"/>
      <c r="I2" s="2"/>
    </row>
    <row r="3" spans="1:11" ht="15" customHeight="1" x14ac:dyDescent="0.25">
      <c r="A3" s="1" t="s">
        <v>319</v>
      </c>
      <c r="B3" s="1"/>
      <c r="C3" s="2"/>
      <c r="D3" s="1"/>
      <c r="E3" s="2"/>
      <c r="F3" s="2"/>
      <c r="G3" s="2"/>
      <c r="H3" s="2"/>
      <c r="I3" s="2"/>
    </row>
    <row r="6" spans="1:11" ht="15" customHeight="1" x14ac:dyDescent="0.25">
      <c r="B6" s="74" t="s">
        <v>320</v>
      </c>
      <c r="C6" s="74" t="s">
        <v>321</v>
      </c>
      <c r="D6" s="74" t="s">
        <v>322</v>
      </c>
      <c r="E6" s="74" t="s">
        <v>323</v>
      </c>
      <c r="F6" s="74" t="s">
        <v>324</v>
      </c>
      <c r="G6" s="74" t="s">
        <v>325</v>
      </c>
      <c r="H6" s="74" t="s">
        <v>326</v>
      </c>
      <c r="I6" s="74" t="s">
        <v>327</v>
      </c>
      <c r="J6" s="74" t="s">
        <v>328</v>
      </c>
      <c r="K6" s="74" t="s">
        <v>329</v>
      </c>
    </row>
    <row r="7" spans="1:11" ht="15" customHeight="1" x14ac:dyDescent="0.25">
      <c r="A7" t="s">
        <v>330</v>
      </c>
      <c r="B7" s="18">
        <v>0</v>
      </c>
      <c r="C7" s="18">
        <v>2500000</v>
      </c>
      <c r="D7" s="18">
        <v>2500000</v>
      </c>
      <c r="E7" s="56">
        <v>0.27779999999999999</v>
      </c>
      <c r="F7" s="56">
        <v>0.34720000000000001</v>
      </c>
      <c r="G7" s="56">
        <v>0.434</v>
      </c>
      <c r="H7" s="56">
        <v>0.49330000000000002</v>
      </c>
      <c r="I7" s="56">
        <v>0.56059999999999999</v>
      </c>
      <c r="J7" s="56">
        <v>0.71689999999999998</v>
      </c>
      <c r="K7" s="56">
        <v>0.81479999999999997</v>
      </c>
    </row>
    <row r="8" spans="1:11" ht="15" customHeight="1" x14ac:dyDescent="0.25">
      <c r="B8" s="18">
        <v>2500000</v>
      </c>
      <c r="C8" s="18">
        <v>5000000</v>
      </c>
      <c r="D8" s="18">
        <v>2500000</v>
      </c>
      <c r="E8" s="56">
        <v>0.21909999999999999</v>
      </c>
      <c r="F8" s="56">
        <v>0.27389999999999998</v>
      </c>
      <c r="G8" s="56">
        <v>0.34239999999999998</v>
      </c>
      <c r="H8" s="56">
        <v>0.37169999999999997</v>
      </c>
      <c r="I8" s="56">
        <v>0.40300000000000002</v>
      </c>
      <c r="J8" s="56">
        <v>0.49099999999999999</v>
      </c>
      <c r="K8" s="56">
        <v>0.53080000000000005</v>
      </c>
    </row>
    <row r="9" spans="1:11" ht="15" customHeight="1" x14ac:dyDescent="0.25">
      <c r="B9" s="18">
        <v>5000000</v>
      </c>
      <c r="C9" s="18">
        <v>7500000</v>
      </c>
      <c r="D9" s="18">
        <v>2500000</v>
      </c>
      <c r="E9" s="56">
        <v>0.20119999999999999</v>
      </c>
      <c r="F9" s="56">
        <v>0.2515</v>
      </c>
      <c r="G9" s="56">
        <v>0.31440000000000001</v>
      </c>
      <c r="H9" s="56">
        <v>0.3362</v>
      </c>
      <c r="I9" s="56">
        <v>0.35920000000000002</v>
      </c>
      <c r="J9" s="56">
        <v>0.43109999999999998</v>
      </c>
      <c r="K9" s="56">
        <v>0.45929999999999999</v>
      </c>
    </row>
    <row r="10" spans="1:11" ht="15" customHeight="1" x14ac:dyDescent="0.25">
      <c r="B10" s="18">
        <v>7500000</v>
      </c>
      <c r="C10" s="18">
        <v>10000000</v>
      </c>
      <c r="D10" s="18">
        <v>2500000</v>
      </c>
      <c r="E10" s="56">
        <v>0.1905</v>
      </c>
      <c r="F10" s="56">
        <v>0.23810000000000001</v>
      </c>
      <c r="G10" s="56">
        <v>0.29759999999999998</v>
      </c>
      <c r="H10" s="56">
        <v>0.31530000000000002</v>
      </c>
      <c r="I10" s="56">
        <v>0.33350000000000002</v>
      </c>
      <c r="J10" s="56">
        <v>0.39650000000000002</v>
      </c>
      <c r="K10" s="56">
        <v>0.41830000000000001</v>
      </c>
    </row>
    <row r="11" spans="1:11" ht="15" customHeight="1" x14ac:dyDescent="0.25">
      <c r="B11" s="18">
        <v>10000000</v>
      </c>
      <c r="C11" s="18">
        <v>12500000</v>
      </c>
      <c r="D11" s="18">
        <v>2500000</v>
      </c>
      <c r="E11" s="56">
        <v>0.183</v>
      </c>
      <c r="F11" s="56">
        <v>0.2288</v>
      </c>
      <c r="G11" s="56">
        <v>0.28599999999999998</v>
      </c>
      <c r="H11" s="56">
        <v>0.30070000000000002</v>
      </c>
      <c r="I11" s="56">
        <v>0.31580000000000003</v>
      </c>
      <c r="J11" s="56">
        <v>0.37259999999999999</v>
      </c>
      <c r="K11" s="56">
        <v>0.39019999999999999</v>
      </c>
    </row>
    <row r="12" spans="1:11" ht="15" customHeight="1" x14ac:dyDescent="0.25">
      <c r="B12" s="18">
        <v>12500000</v>
      </c>
      <c r="C12" s="18">
        <v>15000000</v>
      </c>
      <c r="D12" s="18">
        <v>2500000</v>
      </c>
      <c r="E12" s="56">
        <v>0.1769</v>
      </c>
      <c r="F12" s="56">
        <v>0.22109999999999999</v>
      </c>
      <c r="G12" s="56">
        <v>0.27639999999999998</v>
      </c>
      <c r="H12" s="56">
        <v>0.28910000000000002</v>
      </c>
      <c r="I12" s="56">
        <v>0.30209999999999998</v>
      </c>
      <c r="J12" s="56">
        <v>0.35460000000000003</v>
      </c>
      <c r="K12" s="56">
        <v>0.3695</v>
      </c>
    </row>
    <row r="13" spans="1:11" ht="15" customHeight="1" x14ac:dyDescent="0.25">
      <c r="B13" s="18">
        <v>15000000</v>
      </c>
      <c r="C13" s="18">
        <v>20000000</v>
      </c>
      <c r="D13" s="18">
        <v>5000000</v>
      </c>
      <c r="E13" s="56">
        <v>0.17019999999999999</v>
      </c>
      <c r="F13" s="56">
        <v>0.21279999999999999</v>
      </c>
      <c r="G13" s="56">
        <v>0.26600000000000001</v>
      </c>
      <c r="H13" s="56">
        <v>0.27639999999999998</v>
      </c>
      <c r="I13" s="56">
        <v>0.2868</v>
      </c>
      <c r="J13" s="56">
        <v>0.33439999999999998</v>
      </c>
      <c r="K13" s="56">
        <v>0.34610000000000002</v>
      </c>
    </row>
    <row r="14" spans="1:11" ht="15" customHeight="1" x14ac:dyDescent="0.25">
      <c r="B14" s="18">
        <v>20000000</v>
      </c>
      <c r="C14" s="18">
        <v>25000000</v>
      </c>
      <c r="D14" s="18">
        <v>5000000</v>
      </c>
      <c r="E14" s="56">
        <v>0.1636</v>
      </c>
      <c r="F14" s="56">
        <v>0.20449999999999999</v>
      </c>
      <c r="G14" s="56">
        <v>0.25559999999999999</v>
      </c>
      <c r="H14" s="56">
        <v>0.26379999999999998</v>
      </c>
      <c r="I14" s="56">
        <v>0.27189999999999998</v>
      </c>
      <c r="J14" s="56">
        <v>0.315</v>
      </c>
      <c r="K14" s="56">
        <v>0.32390000000000002</v>
      </c>
    </row>
    <row r="15" spans="1:11" ht="15" customHeight="1" x14ac:dyDescent="0.25">
      <c r="B15" s="18">
        <v>25000000</v>
      </c>
      <c r="C15" s="18">
        <v>35000000</v>
      </c>
      <c r="D15" s="18">
        <v>10000000</v>
      </c>
      <c r="E15" s="56">
        <v>6.4199999999999993E-2</v>
      </c>
      <c r="F15" s="56">
        <v>8.0299999999999996E-2</v>
      </c>
      <c r="G15" s="56">
        <v>0.1004</v>
      </c>
      <c r="H15" s="56">
        <v>0.1174</v>
      </c>
      <c r="I15" s="56">
        <v>0.13619999999999999</v>
      </c>
      <c r="J15" s="56">
        <v>0.1769</v>
      </c>
      <c r="K15" s="56">
        <v>0.20300000000000001</v>
      </c>
    </row>
    <row r="16" spans="1:11" ht="15" customHeight="1" x14ac:dyDescent="0.25">
      <c r="B16" s="18">
        <v>35000000</v>
      </c>
      <c r="C16" s="18">
        <v>45000000</v>
      </c>
      <c r="D16" s="18">
        <v>10000000</v>
      </c>
      <c r="E16" s="56">
        <v>5.3800000000000001E-2</v>
      </c>
      <c r="F16" s="56">
        <v>6.7199999999999996E-2</v>
      </c>
      <c r="G16" s="56">
        <v>8.4000000000000005E-2</v>
      </c>
      <c r="H16" s="56">
        <v>8.9800000000000005E-2</v>
      </c>
      <c r="I16" s="56">
        <v>9.5799999999999996E-2</v>
      </c>
      <c r="J16" s="56">
        <v>0.1152</v>
      </c>
      <c r="K16" s="56">
        <v>0.123</v>
      </c>
    </row>
    <row r="17" spans="2:11" ht="15" customHeight="1" x14ac:dyDescent="0.25">
      <c r="B17" s="18">
        <v>45000000</v>
      </c>
      <c r="C17" s="18">
        <v>55000000</v>
      </c>
      <c r="D17" s="18">
        <v>10000000</v>
      </c>
      <c r="E17" s="56">
        <v>4.6899999999999997E-2</v>
      </c>
      <c r="F17" s="56">
        <v>5.8599999999999999E-2</v>
      </c>
      <c r="G17" s="56">
        <v>7.3200000000000001E-2</v>
      </c>
      <c r="H17" s="56">
        <v>7.8200000000000006E-2</v>
      </c>
      <c r="I17" s="56">
        <v>8.3500000000000005E-2</v>
      </c>
      <c r="J17" s="56">
        <v>0.1004</v>
      </c>
      <c r="K17" s="56">
        <v>0.1072</v>
      </c>
    </row>
    <row r="18" spans="2:11" ht="15" customHeight="1" x14ac:dyDescent="0.25">
      <c r="B18" s="18">
        <v>55000000</v>
      </c>
      <c r="C18" s="18">
        <v>65000000</v>
      </c>
      <c r="D18" s="18">
        <v>10000000</v>
      </c>
      <c r="E18" s="56">
        <v>4.1799999999999997E-2</v>
      </c>
      <c r="F18" s="56">
        <v>5.2200000000000003E-2</v>
      </c>
      <c r="G18" s="56">
        <v>6.5199999999999994E-2</v>
      </c>
      <c r="H18" s="56">
        <v>6.9699999999999998E-2</v>
      </c>
      <c r="I18" s="56">
        <v>7.4499999999999997E-2</v>
      </c>
      <c r="J18" s="56">
        <v>8.9599999999999999E-2</v>
      </c>
      <c r="K18" s="56">
        <v>9.5699999999999993E-2</v>
      </c>
    </row>
    <row r="19" spans="2:11" ht="15" customHeight="1" x14ac:dyDescent="0.25">
      <c r="B19" s="18">
        <v>65000000</v>
      </c>
      <c r="C19" s="18">
        <v>75000000</v>
      </c>
      <c r="D19" s="18">
        <v>10000000</v>
      </c>
      <c r="E19" s="56">
        <v>3.7900000000000003E-2</v>
      </c>
      <c r="F19" s="56">
        <v>4.7399999999999998E-2</v>
      </c>
      <c r="G19" s="56">
        <v>5.9200000000000003E-2</v>
      </c>
      <c r="H19" s="56">
        <v>6.3200000000000006E-2</v>
      </c>
      <c r="I19" s="56">
        <v>6.7400000000000002E-2</v>
      </c>
      <c r="J19" s="56">
        <v>8.1000000000000003E-2</v>
      </c>
      <c r="K19" s="56">
        <v>8.6499999999999994E-2</v>
      </c>
    </row>
    <row r="20" spans="2:11" ht="15" customHeight="1" x14ac:dyDescent="0.25">
      <c r="B20" s="18">
        <v>75000000</v>
      </c>
      <c r="C20" s="18">
        <v>100000000</v>
      </c>
      <c r="D20" s="18">
        <v>25000000</v>
      </c>
      <c r="E20" s="56">
        <v>3.3000000000000002E-2</v>
      </c>
      <c r="F20" s="56">
        <v>4.1300000000000003E-2</v>
      </c>
      <c r="G20" s="56">
        <v>5.16E-2</v>
      </c>
      <c r="H20" s="56">
        <v>5.5E-2</v>
      </c>
      <c r="I20" s="56">
        <v>5.8599999999999999E-2</v>
      </c>
      <c r="J20" s="56">
        <v>7.0199999999999999E-2</v>
      </c>
      <c r="K20" s="56">
        <v>7.4800000000000005E-2</v>
      </c>
    </row>
    <row r="21" spans="2:11" ht="15" customHeight="1" x14ac:dyDescent="0.25">
      <c r="B21" s="18">
        <v>100000000</v>
      </c>
      <c r="C21" s="18">
        <v>125000000</v>
      </c>
      <c r="D21" s="18">
        <v>25000000</v>
      </c>
      <c r="E21" s="56">
        <v>2.8199999999999999E-2</v>
      </c>
      <c r="F21" s="56">
        <v>3.5200000000000002E-2</v>
      </c>
      <c r="G21" s="56">
        <v>4.3999999999999997E-2</v>
      </c>
      <c r="H21" s="56">
        <v>4.7E-2</v>
      </c>
      <c r="I21" s="56">
        <v>5.0200000000000002E-2</v>
      </c>
      <c r="J21" s="56">
        <v>6.0299999999999999E-2</v>
      </c>
      <c r="K21" s="56">
        <v>6.4399999999999999E-2</v>
      </c>
    </row>
    <row r="22" spans="2:11" ht="15" customHeight="1" x14ac:dyDescent="0.25">
      <c r="B22" s="18">
        <v>125000000</v>
      </c>
      <c r="C22" s="18">
        <v>150000000</v>
      </c>
      <c r="D22" s="18">
        <v>25000000</v>
      </c>
      <c r="E22" s="56">
        <v>2.46E-2</v>
      </c>
      <c r="F22" s="56">
        <v>3.0700000000000002E-2</v>
      </c>
      <c r="G22" s="56">
        <v>3.8399999999999997E-2</v>
      </c>
      <c r="H22" s="56">
        <v>4.1099999999999998E-2</v>
      </c>
      <c r="I22" s="56">
        <v>4.41E-2</v>
      </c>
      <c r="J22" s="56">
        <v>5.3100000000000001E-2</v>
      </c>
      <c r="K22" s="56">
        <v>5.6899999999999999E-2</v>
      </c>
    </row>
    <row r="23" spans="2:11" ht="15" customHeight="1" x14ac:dyDescent="0.25">
      <c r="B23" s="18">
        <v>150000000</v>
      </c>
      <c r="C23" s="18">
        <v>175000000</v>
      </c>
      <c r="D23" s="18">
        <v>25000000</v>
      </c>
      <c r="E23" s="56">
        <v>2.2599999999999999E-2</v>
      </c>
      <c r="F23" s="56">
        <v>2.8199999999999999E-2</v>
      </c>
      <c r="G23" s="56">
        <v>3.5200000000000002E-2</v>
      </c>
      <c r="H23" s="56">
        <v>3.7400000000000003E-2</v>
      </c>
      <c r="I23" s="56">
        <v>3.9800000000000002E-2</v>
      </c>
      <c r="J23" s="56">
        <v>4.7699999999999999E-2</v>
      </c>
      <c r="K23" s="56">
        <v>5.0799999999999998E-2</v>
      </c>
    </row>
    <row r="24" spans="2:11" ht="15" customHeight="1" x14ac:dyDescent="0.25">
      <c r="B24" s="18">
        <v>175000000</v>
      </c>
      <c r="C24" s="18">
        <v>200000000</v>
      </c>
      <c r="D24" s="18">
        <v>25000000</v>
      </c>
      <c r="E24" s="56">
        <v>2.1499999999999998E-2</v>
      </c>
      <c r="F24" s="56">
        <v>2.69E-2</v>
      </c>
      <c r="G24" s="56">
        <v>3.3599999999999998E-2</v>
      </c>
      <c r="H24" s="56">
        <v>3.5099999999999999E-2</v>
      </c>
      <c r="I24" s="56">
        <v>3.6700000000000003E-2</v>
      </c>
      <c r="J24" s="56">
        <v>4.3200000000000002E-2</v>
      </c>
      <c r="K24" s="56">
        <v>4.5100000000000001E-2</v>
      </c>
    </row>
    <row r="25" spans="2:11" ht="15" customHeight="1" x14ac:dyDescent="0.25">
      <c r="B25" s="18">
        <v>200000000</v>
      </c>
      <c r="C25" s="18">
        <v>225000000</v>
      </c>
      <c r="D25" s="18">
        <v>25000000</v>
      </c>
      <c r="E25" s="56">
        <v>2.07E-2</v>
      </c>
      <c r="F25" s="56">
        <v>2.5899999999999999E-2</v>
      </c>
      <c r="G25" s="56">
        <v>3.2399999999999998E-2</v>
      </c>
      <c r="H25" s="56">
        <v>3.3000000000000002E-2</v>
      </c>
      <c r="I25" s="56">
        <v>3.3500000000000002E-2</v>
      </c>
      <c r="J25" s="56">
        <v>3.8300000000000001E-2</v>
      </c>
      <c r="K25" s="56">
        <v>3.8600000000000002E-2</v>
      </c>
    </row>
    <row r="26" spans="2:11" ht="15" customHeight="1" x14ac:dyDescent="0.25">
      <c r="B26" s="18">
        <v>225000000</v>
      </c>
      <c r="C26" s="18">
        <v>250000000</v>
      </c>
      <c r="D26" s="18">
        <v>25000000</v>
      </c>
      <c r="E26" s="56">
        <v>2.0500000000000001E-2</v>
      </c>
      <c r="F26" s="56">
        <v>2.5600000000000001E-2</v>
      </c>
      <c r="G26" s="56">
        <v>3.2000000000000001E-2</v>
      </c>
      <c r="H26" s="56">
        <v>3.2199999999999999E-2</v>
      </c>
      <c r="I26" s="56">
        <v>3.2199999999999999E-2</v>
      </c>
      <c r="J26" s="56">
        <v>3.5999999999999997E-2</v>
      </c>
      <c r="K26" s="56">
        <v>3.56E-2</v>
      </c>
    </row>
    <row r="27" spans="2:11" ht="15" customHeight="1" x14ac:dyDescent="0.25">
      <c r="B27" s="18">
        <v>250000000</v>
      </c>
      <c r="C27" s="18">
        <v>300000000</v>
      </c>
      <c r="D27" s="18">
        <v>50000000</v>
      </c>
      <c r="E27" s="56">
        <v>1.9E-2</v>
      </c>
      <c r="F27" s="56">
        <v>2.3699999999999999E-2</v>
      </c>
      <c r="G27" s="56">
        <v>2.9600000000000001E-2</v>
      </c>
      <c r="H27" s="56">
        <v>2.9600000000000001E-2</v>
      </c>
      <c r="I27" s="56">
        <v>2.9399999999999999E-2</v>
      </c>
      <c r="J27" s="56">
        <v>3.2899999999999999E-2</v>
      </c>
      <c r="K27" s="56">
        <v>3.2399999999999998E-2</v>
      </c>
    </row>
    <row r="28" spans="2:11" ht="15" customHeight="1" x14ac:dyDescent="0.25">
      <c r="B28" s="18">
        <v>300000000</v>
      </c>
      <c r="C28" s="18">
        <v>350000000</v>
      </c>
      <c r="D28" s="18">
        <v>50000000</v>
      </c>
      <c r="E28" s="56">
        <v>1.7399999999999999E-2</v>
      </c>
      <c r="F28" s="56">
        <v>2.18E-2</v>
      </c>
      <c r="G28" s="56">
        <v>2.7199999999999998E-2</v>
      </c>
      <c r="H28" s="56">
        <v>2.7E-2</v>
      </c>
      <c r="I28" s="56">
        <v>2.6599999999999999E-2</v>
      </c>
      <c r="J28" s="56">
        <v>2.93E-2</v>
      </c>
      <c r="K28" s="56">
        <v>2.8400000000000002E-2</v>
      </c>
    </row>
    <row r="29" spans="2:11" ht="15" customHeight="1" x14ac:dyDescent="0.25">
      <c r="B29" s="18">
        <v>350000000</v>
      </c>
      <c r="C29" s="18">
        <v>400000000</v>
      </c>
      <c r="D29" s="18">
        <v>50000000</v>
      </c>
      <c r="E29" s="56">
        <v>1.6199999999999999E-2</v>
      </c>
      <c r="F29" s="56">
        <v>2.0199999999999999E-2</v>
      </c>
      <c r="G29" s="56">
        <v>2.52E-2</v>
      </c>
      <c r="H29" s="56">
        <v>2.4799999999999999E-2</v>
      </c>
      <c r="I29" s="56">
        <v>2.4199999999999999E-2</v>
      </c>
      <c r="J29" s="56">
        <v>2.6599999999999999E-2</v>
      </c>
      <c r="K29" s="56">
        <v>2.5700000000000001E-2</v>
      </c>
    </row>
    <row r="30" spans="2:11" ht="15" customHeight="1" x14ac:dyDescent="0.25">
      <c r="B30" s="18">
        <v>400000000</v>
      </c>
      <c r="C30" s="18">
        <v>450000000</v>
      </c>
      <c r="D30" s="18">
        <v>50000000</v>
      </c>
      <c r="E30" s="56">
        <v>1.49E-2</v>
      </c>
      <c r="F30" s="56">
        <v>1.8599999999999998E-2</v>
      </c>
      <c r="G30" s="56">
        <v>2.3199999999999998E-2</v>
      </c>
      <c r="H30" s="56">
        <v>2.29E-2</v>
      </c>
      <c r="I30" s="56">
        <v>2.2499999999999999E-2</v>
      </c>
      <c r="J30" s="56">
        <v>2.4799999999999999E-2</v>
      </c>
      <c r="K30" s="56">
        <v>2.4E-2</v>
      </c>
    </row>
    <row r="31" spans="2:11" ht="15" customHeight="1" x14ac:dyDescent="0.25">
      <c r="B31" s="18">
        <v>450000000</v>
      </c>
      <c r="C31" s="18">
        <v>500000000</v>
      </c>
      <c r="D31" s="18">
        <v>50000000</v>
      </c>
      <c r="E31" s="56">
        <v>1.41E-2</v>
      </c>
      <c r="F31" s="56">
        <v>1.7600000000000001E-2</v>
      </c>
      <c r="G31" s="56">
        <v>2.1999999999999999E-2</v>
      </c>
      <c r="H31" s="56">
        <v>2.1499999999999998E-2</v>
      </c>
      <c r="I31" s="56">
        <v>2.1000000000000001E-2</v>
      </c>
      <c r="J31" s="56">
        <v>2.3E-2</v>
      </c>
      <c r="K31" s="56">
        <v>2.2100000000000002E-2</v>
      </c>
    </row>
    <row r="32" spans="2:11" ht="15" customHeight="1" x14ac:dyDescent="0.25">
      <c r="B32" s="18">
        <v>500000000</v>
      </c>
      <c r="C32" s="18">
        <v>550000000</v>
      </c>
      <c r="D32" s="18">
        <v>50000000</v>
      </c>
      <c r="E32" s="56">
        <v>1.06E-2</v>
      </c>
      <c r="F32" s="56">
        <v>1.3299999999999999E-2</v>
      </c>
      <c r="G32" s="56">
        <v>1.66E-2</v>
      </c>
      <c r="H32" s="56">
        <v>1.7600000000000001E-2</v>
      </c>
      <c r="I32" s="56">
        <v>1.6799999999999999E-2</v>
      </c>
      <c r="J32" s="56">
        <v>0.02</v>
      </c>
      <c r="K32" s="56">
        <v>2.0899999999999998E-2</v>
      </c>
    </row>
    <row r="33" spans="1:11" ht="15" customHeight="1" x14ac:dyDescent="0.25">
      <c r="B33" s="18">
        <v>550000000</v>
      </c>
      <c r="C33" s="18">
        <v>600000000</v>
      </c>
      <c r="D33" s="18">
        <v>50000000</v>
      </c>
      <c r="E33" s="56">
        <v>1.01E-2</v>
      </c>
      <c r="F33" s="56">
        <v>1.26E-2</v>
      </c>
      <c r="G33" s="56">
        <v>1.5800000000000002E-2</v>
      </c>
      <c r="H33" s="56">
        <v>1.6799999999999999E-2</v>
      </c>
      <c r="I33" s="56">
        <v>1.5900000000000001E-2</v>
      </c>
      <c r="J33" s="56">
        <v>1.89E-2</v>
      </c>
      <c r="K33" s="56">
        <v>1.9800000000000002E-2</v>
      </c>
    </row>
    <row r="34" spans="1:11" ht="15" customHeight="1" x14ac:dyDescent="0.25">
      <c r="B34" s="18">
        <v>600000000</v>
      </c>
      <c r="C34" s="18">
        <v>650000000</v>
      </c>
      <c r="D34" s="18">
        <v>50000000</v>
      </c>
      <c r="E34" s="56">
        <v>9.7000000000000003E-3</v>
      </c>
      <c r="F34" s="56">
        <v>1.21E-2</v>
      </c>
      <c r="G34" s="56">
        <v>1.5100000000000001E-2</v>
      </c>
      <c r="H34" s="56">
        <v>1.6E-2</v>
      </c>
      <c r="I34" s="56">
        <v>1.5100000000000001E-2</v>
      </c>
      <c r="J34" s="56">
        <v>1.7999999999999999E-2</v>
      </c>
      <c r="K34" s="56">
        <v>1.8800000000000001E-2</v>
      </c>
    </row>
    <row r="35" spans="1:11" ht="15" customHeight="1" x14ac:dyDescent="0.25">
      <c r="B35" s="18">
        <v>650000000</v>
      </c>
      <c r="C35" s="18">
        <v>700000000</v>
      </c>
      <c r="D35" s="18">
        <v>50000000</v>
      </c>
      <c r="E35" s="56">
        <v>9.2999999999999992E-3</v>
      </c>
      <c r="F35" s="56">
        <v>1.1599999999999999E-2</v>
      </c>
      <c r="G35" s="56">
        <v>1.44E-2</v>
      </c>
      <c r="H35" s="56">
        <v>1.5299999999999999E-2</v>
      </c>
      <c r="I35" s="56">
        <v>1.4500000000000001E-2</v>
      </c>
      <c r="J35" s="56">
        <v>1.72E-2</v>
      </c>
      <c r="K35" s="56">
        <v>1.7999999999999999E-2</v>
      </c>
    </row>
    <row r="36" spans="1:11" ht="15" customHeight="1" x14ac:dyDescent="0.25">
      <c r="B36" s="18">
        <v>700000000</v>
      </c>
      <c r="C36" s="18">
        <v>750000000</v>
      </c>
      <c r="D36" s="18">
        <v>50000000</v>
      </c>
      <c r="E36" s="56">
        <v>8.8999999999999999E-3</v>
      </c>
      <c r="F36" s="56">
        <v>1.11E-2</v>
      </c>
      <c r="G36" s="56">
        <v>1.3899999999999999E-2</v>
      </c>
      <c r="H36" s="56">
        <v>1.4800000000000001E-2</v>
      </c>
      <c r="I36" s="56">
        <v>1.3899999999999999E-2</v>
      </c>
      <c r="J36" s="56">
        <v>1.6500000000000001E-2</v>
      </c>
      <c r="K36" s="56">
        <v>1.72E-2</v>
      </c>
    </row>
    <row r="37" spans="1:11" ht="15" customHeight="1" x14ac:dyDescent="0.25">
      <c r="B37" s="18">
        <v>750000000</v>
      </c>
      <c r="C37" s="18">
        <v>800000000</v>
      </c>
      <c r="D37" s="18">
        <v>50000000</v>
      </c>
      <c r="E37" s="56">
        <v>8.6E-3</v>
      </c>
      <c r="F37" s="56">
        <v>1.0699999999999999E-2</v>
      </c>
      <c r="G37" s="56">
        <v>1.34E-2</v>
      </c>
      <c r="H37" s="56">
        <v>1.4200000000000001E-2</v>
      </c>
      <c r="I37" s="56">
        <v>1.3299999999999999E-2</v>
      </c>
      <c r="J37" s="56">
        <v>1.5900000000000001E-2</v>
      </c>
      <c r="K37" s="56">
        <v>1.66E-2</v>
      </c>
    </row>
    <row r="38" spans="1:11" ht="15" customHeight="1" x14ac:dyDescent="0.25">
      <c r="B38" s="18">
        <v>800000000</v>
      </c>
      <c r="C38" s="18">
        <v>850000000</v>
      </c>
      <c r="D38" s="18">
        <v>50000000</v>
      </c>
      <c r="E38" s="56">
        <v>8.2000000000000007E-3</v>
      </c>
      <c r="F38" s="56">
        <v>1.03E-2</v>
      </c>
      <c r="G38" s="56">
        <v>1.29E-2</v>
      </c>
      <c r="H38" s="56">
        <v>1.37E-2</v>
      </c>
      <c r="I38" s="56">
        <v>1.2800000000000001E-2</v>
      </c>
      <c r="J38" s="56">
        <v>1.5299999999999999E-2</v>
      </c>
      <c r="K38" s="56">
        <v>1.6E-2</v>
      </c>
    </row>
    <row r="39" spans="1:11" ht="15" customHeight="1" x14ac:dyDescent="0.25">
      <c r="B39" s="18">
        <v>850000000</v>
      </c>
      <c r="C39" s="18">
        <v>900000000</v>
      </c>
      <c r="D39" s="18">
        <v>50000000</v>
      </c>
      <c r="E39" s="56">
        <v>8.0000000000000002E-3</v>
      </c>
      <c r="F39" s="56">
        <v>0.01</v>
      </c>
      <c r="G39" s="56">
        <v>1.2500000000000001E-2</v>
      </c>
      <c r="H39" s="56">
        <v>1.3299999999999999E-2</v>
      </c>
      <c r="I39" s="56">
        <v>1.24E-2</v>
      </c>
      <c r="J39" s="56">
        <v>1.4800000000000001E-2</v>
      </c>
      <c r="K39" s="56">
        <v>1.54E-2</v>
      </c>
    </row>
    <row r="40" spans="1:11" ht="15" customHeight="1" x14ac:dyDescent="0.25">
      <c r="B40" s="18">
        <v>900000000</v>
      </c>
      <c r="C40" s="18">
        <v>950000000</v>
      </c>
      <c r="D40" s="18">
        <v>50000000</v>
      </c>
      <c r="E40" s="56">
        <v>7.7999999999999996E-3</v>
      </c>
      <c r="F40" s="56">
        <v>9.7000000000000003E-3</v>
      </c>
      <c r="G40" s="56">
        <v>1.21E-2</v>
      </c>
      <c r="H40" s="56">
        <v>1.29E-2</v>
      </c>
      <c r="I40" s="56">
        <v>1.2E-2</v>
      </c>
      <c r="J40" s="56">
        <v>1.43E-2</v>
      </c>
      <c r="K40" s="56">
        <v>1.49E-2</v>
      </c>
    </row>
    <row r="41" spans="1:11" ht="15" customHeight="1" x14ac:dyDescent="0.25">
      <c r="B41" s="18">
        <v>950000000</v>
      </c>
      <c r="C41" s="18">
        <v>1000000000</v>
      </c>
      <c r="D41" s="18">
        <v>50000000</v>
      </c>
      <c r="E41" s="56">
        <v>7.4999999999999997E-3</v>
      </c>
      <c r="F41" s="56">
        <v>9.4000000000000004E-3</v>
      </c>
      <c r="G41" s="56">
        <v>1.17E-2</v>
      </c>
      <c r="H41" s="56">
        <v>1.2500000000000001E-2</v>
      </c>
      <c r="I41" s="56">
        <v>1.1599999999999999E-2</v>
      </c>
      <c r="J41" s="56">
        <v>1.38E-2</v>
      </c>
      <c r="K41" s="56">
        <v>1.4500000000000001E-2</v>
      </c>
    </row>
    <row r="43" spans="1:11" ht="15" customHeight="1" x14ac:dyDescent="0.25">
      <c r="E43" s="56"/>
    </row>
    <row r="44" spans="1:11" ht="15" customHeight="1" x14ac:dyDescent="0.25">
      <c r="B44" s="74" t="s">
        <v>320</v>
      </c>
      <c r="C44" s="74" t="s">
        <v>321</v>
      </c>
      <c r="D44" s="74" t="s">
        <v>322</v>
      </c>
      <c r="E44" s="74" t="s">
        <v>323</v>
      </c>
      <c r="F44" s="74" t="s">
        <v>324</v>
      </c>
      <c r="G44" s="74" t="s">
        <v>325</v>
      </c>
      <c r="H44" s="74" t="s">
        <v>326</v>
      </c>
      <c r="I44" s="74" t="s">
        <v>327</v>
      </c>
      <c r="J44" s="74" t="s">
        <v>328</v>
      </c>
      <c r="K44" s="74" t="s">
        <v>329</v>
      </c>
    </row>
    <row r="45" spans="1:11" ht="15" customHeight="1" x14ac:dyDescent="0.25">
      <c r="A45" t="s">
        <v>331</v>
      </c>
      <c r="B45" s="18">
        <v>0</v>
      </c>
      <c r="C45" s="18">
        <v>2500000</v>
      </c>
      <c r="D45" s="18">
        <v>2500000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 spans="1:11" ht="15" customHeight="1" x14ac:dyDescent="0.25">
      <c r="B46" s="18">
        <v>2500000</v>
      </c>
      <c r="C46" s="18">
        <v>5000000</v>
      </c>
      <c r="D46" s="18">
        <v>2500000</v>
      </c>
      <c r="E46" s="18">
        <f t="shared" ref="E46:E79" si="0">$D45*E7/1000+E45</f>
        <v>694.5</v>
      </c>
      <c r="F46" s="18">
        <f t="shared" ref="F46:F79" si="1">$D45*F7/1000+F45</f>
        <v>868</v>
      </c>
      <c r="G46" s="18">
        <f t="shared" ref="G46:G79" si="2">$D45*G7/1000+G45</f>
        <v>1085</v>
      </c>
      <c r="H46" s="18">
        <f t="shared" ref="H46:H79" si="3">$D45*H7/1000+H45</f>
        <v>1233.25</v>
      </c>
      <c r="I46" s="18">
        <f t="shared" ref="I46:I79" si="4">$D45*I7/1000+I45</f>
        <v>1401.5</v>
      </c>
      <c r="J46" s="18">
        <f t="shared" ref="J46:J79" si="5">$D45*J7/1000+J45</f>
        <v>1792.25</v>
      </c>
      <c r="K46" s="18">
        <f t="shared" ref="K46:K79" si="6">$D45*K7/1000+K45</f>
        <v>2037</v>
      </c>
    </row>
    <row r="47" spans="1:11" ht="15" customHeight="1" x14ac:dyDescent="0.25">
      <c r="B47" s="18">
        <v>5000000</v>
      </c>
      <c r="C47" s="18">
        <v>7500000</v>
      </c>
      <c r="D47" s="18">
        <v>2500000</v>
      </c>
      <c r="E47" s="18">
        <f t="shared" si="0"/>
        <v>1242.25</v>
      </c>
      <c r="F47" s="18">
        <f t="shared" si="1"/>
        <v>1552.75</v>
      </c>
      <c r="G47" s="18">
        <f t="shared" si="2"/>
        <v>1941</v>
      </c>
      <c r="H47" s="18">
        <f t="shared" si="3"/>
        <v>2162.5</v>
      </c>
      <c r="I47" s="18">
        <f t="shared" si="4"/>
        <v>2409</v>
      </c>
      <c r="J47" s="18">
        <f t="shared" si="5"/>
        <v>3019.75</v>
      </c>
      <c r="K47" s="18">
        <f t="shared" si="6"/>
        <v>3364</v>
      </c>
    </row>
    <row r="48" spans="1:11" ht="15" customHeight="1" x14ac:dyDescent="0.25">
      <c r="B48" s="18">
        <v>7500000</v>
      </c>
      <c r="C48" s="18">
        <v>10000000</v>
      </c>
      <c r="D48" s="18">
        <v>2500000</v>
      </c>
      <c r="E48" s="18">
        <f t="shared" si="0"/>
        <v>1745.25</v>
      </c>
      <c r="F48" s="18">
        <f t="shared" si="1"/>
        <v>2181.5</v>
      </c>
      <c r="G48" s="18">
        <f t="shared" si="2"/>
        <v>2727</v>
      </c>
      <c r="H48" s="18">
        <f t="shared" si="3"/>
        <v>3003</v>
      </c>
      <c r="I48" s="18">
        <f t="shared" si="4"/>
        <v>3307</v>
      </c>
      <c r="J48" s="18">
        <f t="shared" si="5"/>
        <v>4097.5</v>
      </c>
      <c r="K48" s="18">
        <f t="shared" si="6"/>
        <v>4512.25</v>
      </c>
    </row>
    <row r="49" spans="2:11" ht="15" customHeight="1" x14ac:dyDescent="0.25">
      <c r="B49" s="18">
        <v>10000000</v>
      </c>
      <c r="C49" s="18">
        <v>12500000</v>
      </c>
      <c r="D49" s="18">
        <v>2500000</v>
      </c>
      <c r="E49" s="18">
        <f t="shared" si="0"/>
        <v>2221.5</v>
      </c>
      <c r="F49" s="18">
        <f t="shared" si="1"/>
        <v>2776.75</v>
      </c>
      <c r="G49" s="18">
        <f t="shared" si="2"/>
        <v>3471</v>
      </c>
      <c r="H49" s="18">
        <f t="shared" si="3"/>
        <v>3791.25</v>
      </c>
      <c r="I49" s="18">
        <f t="shared" si="4"/>
        <v>4140.75</v>
      </c>
      <c r="J49" s="18">
        <f t="shared" si="5"/>
        <v>5088.75</v>
      </c>
      <c r="K49" s="18">
        <f t="shared" si="6"/>
        <v>5558</v>
      </c>
    </row>
    <row r="50" spans="2:11" ht="15" customHeight="1" x14ac:dyDescent="0.25">
      <c r="B50" s="18">
        <v>12500000</v>
      </c>
      <c r="C50" s="18">
        <v>15000000</v>
      </c>
      <c r="D50" s="18">
        <v>2500000</v>
      </c>
      <c r="E50" s="18">
        <f t="shared" si="0"/>
        <v>2679</v>
      </c>
      <c r="F50" s="18">
        <f t="shared" si="1"/>
        <v>3348.75</v>
      </c>
      <c r="G50" s="18">
        <f t="shared" si="2"/>
        <v>4186</v>
      </c>
      <c r="H50" s="18">
        <f t="shared" si="3"/>
        <v>4543</v>
      </c>
      <c r="I50" s="18">
        <f t="shared" si="4"/>
        <v>4930.25</v>
      </c>
      <c r="J50" s="18">
        <f t="shared" si="5"/>
        <v>6020.25</v>
      </c>
      <c r="K50" s="18">
        <f t="shared" si="6"/>
        <v>6533.5</v>
      </c>
    </row>
    <row r="51" spans="2:11" ht="15" customHeight="1" x14ac:dyDescent="0.25">
      <c r="B51" s="18">
        <v>15000000</v>
      </c>
      <c r="C51" s="18">
        <v>20000000</v>
      </c>
      <c r="D51" s="18">
        <v>5000000</v>
      </c>
      <c r="E51" s="18">
        <f t="shared" si="0"/>
        <v>3121.25</v>
      </c>
      <c r="F51" s="18">
        <f t="shared" si="1"/>
        <v>3901.5</v>
      </c>
      <c r="G51" s="18">
        <f t="shared" si="2"/>
        <v>4877</v>
      </c>
      <c r="H51" s="18">
        <f t="shared" si="3"/>
        <v>5265.75</v>
      </c>
      <c r="I51" s="18">
        <f t="shared" si="4"/>
        <v>5685.5</v>
      </c>
      <c r="J51" s="18">
        <f t="shared" si="5"/>
        <v>6906.75</v>
      </c>
      <c r="K51" s="18">
        <f t="shared" si="6"/>
        <v>7457.25</v>
      </c>
    </row>
    <row r="52" spans="2:11" ht="15" customHeight="1" x14ac:dyDescent="0.25">
      <c r="B52" s="18">
        <v>20000000</v>
      </c>
      <c r="C52" s="18">
        <v>25000000</v>
      </c>
      <c r="D52" s="18">
        <v>5000000</v>
      </c>
      <c r="E52" s="18">
        <f t="shared" si="0"/>
        <v>3972.25</v>
      </c>
      <c r="F52" s="18">
        <f t="shared" si="1"/>
        <v>4965.5</v>
      </c>
      <c r="G52" s="18">
        <f t="shared" si="2"/>
        <v>6207</v>
      </c>
      <c r="H52" s="18">
        <f t="shared" si="3"/>
        <v>6647.75</v>
      </c>
      <c r="I52" s="18">
        <f t="shared" si="4"/>
        <v>7119.5</v>
      </c>
      <c r="J52" s="18">
        <f t="shared" si="5"/>
        <v>8578.75</v>
      </c>
      <c r="K52" s="18">
        <f t="shared" si="6"/>
        <v>9187.75</v>
      </c>
    </row>
    <row r="53" spans="2:11" ht="15" customHeight="1" x14ac:dyDescent="0.25">
      <c r="B53" s="18">
        <v>25000000</v>
      </c>
      <c r="C53" s="18">
        <v>35000000</v>
      </c>
      <c r="D53" s="18">
        <v>10000000</v>
      </c>
      <c r="E53" s="18">
        <f t="shared" si="0"/>
        <v>4790.25</v>
      </c>
      <c r="F53" s="18">
        <f t="shared" si="1"/>
        <v>5988</v>
      </c>
      <c r="G53" s="18">
        <f t="shared" si="2"/>
        <v>7485</v>
      </c>
      <c r="H53" s="18">
        <f t="shared" si="3"/>
        <v>7966.75</v>
      </c>
      <c r="I53" s="18">
        <f t="shared" si="4"/>
        <v>8479</v>
      </c>
      <c r="J53" s="18">
        <f t="shared" si="5"/>
        <v>10153.75</v>
      </c>
      <c r="K53" s="18">
        <f t="shared" si="6"/>
        <v>10807.25</v>
      </c>
    </row>
    <row r="54" spans="2:11" ht="15" customHeight="1" x14ac:dyDescent="0.25">
      <c r="B54" s="18">
        <v>35000000</v>
      </c>
      <c r="C54" s="18">
        <v>45000000</v>
      </c>
      <c r="D54" s="18">
        <v>10000000</v>
      </c>
      <c r="E54" s="18">
        <f t="shared" si="0"/>
        <v>5432.25</v>
      </c>
      <c r="F54" s="18">
        <f t="shared" si="1"/>
        <v>6791</v>
      </c>
      <c r="G54" s="18">
        <f t="shared" si="2"/>
        <v>8489</v>
      </c>
      <c r="H54" s="18">
        <f t="shared" si="3"/>
        <v>9140.75</v>
      </c>
      <c r="I54" s="18">
        <f t="shared" si="4"/>
        <v>9841</v>
      </c>
      <c r="J54" s="18">
        <f t="shared" si="5"/>
        <v>11922.75</v>
      </c>
      <c r="K54" s="18">
        <f t="shared" si="6"/>
        <v>12837.25</v>
      </c>
    </row>
    <row r="55" spans="2:11" ht="15" customHeight="1" x14ac:dyDescent="0.25">
      <c r="B55" s="18">
        <v>45000000</v>
      </c>
      <c r="C55" s="18">
        <v>55000000</v>
      </c>
      <c r="D55" s="18">
        <v>10000000</v>
      </c>
      <c r="E55" s="18">
        <f t="shared" si="0"/>
        <v>5970.25</v>
      </c>
      <c r="F55" s="18">
        <f t="shared" si="1"/>
        <v>7463</v>
      </c>
      <c r="G55" s="18">
        <f t="shared" si="2"/>
        <v>9329</v>
      </c>
      <c r="H55" s="18">
        <f t="shared" si="3"/>
        <v>10038.75</v>
      </c>
      <c r="I55" s="18">
        <f t="shared" si="4"/>
        <v>10799</v>
      </c>
      <c r="J55" s="18">
        <f t="shared" si="5"/>
        <v>13074.75</v>
      </c>
      <c r="K55" s="18">
        <f t="shared" si="6"/>
        <v>14067.25</v>
      </c>
    </row>
    <row r="56" spans="2:11" ht="15" customHeight="1" x14ac:dyDescent="0.25">
      <c r="B56" s="18">
        <v>55000000</v>
      </c>
      <c r="C56" s="18">
        <v>65000000</v>
      </c>
      <c r="D56" s="18">
        <v>10000000</v>
      </c>
      <c r="E56" s="18">
        <f t="shared" si="0"/>
        <v>6439.25</v>
      </c>
      <c r="F56" s="18">
        <f t="shared" si="1"/>
        <v>8049</v>
      </c>
      <c r="G56" s="18">
        <f t="shared" si="2"/>
        <v>10061</v>
      </c>
      <c r="H56" s="18">
        <f t="shared" si="3"/>
        <v>10820.75</v>
      </c>
      <c r="I56" s="18">
        <f t="shared" si="4"/>
        <v>11634</v>
      </c>
      <c r="J56" s="18">
        <f t="shared" si="5"/>
        <v>14078.75</v>
      </c>
      <c r="K56" s="18">
        <f t="shared" si="6"/>
        <v>15139.25</v>
      </c>
    </row>
    <row r="57" spans="2:11" ht="15" customHeight="1" x14ac:dyDescent="0.25">
      <c r="B57" s="18">
        <v>65000000</v>
      </c>
      <c r="C57" s="18">
        <v>75000000</v>
      </c>
      <c r="D57" s="18">
        <v>10000000</v>
      </c>
      <c r="E57" s="18">
        <f t="shared" si="0"/>
        <v>6857.25</v>
      </c>
      <c r="F57" s="18">
        <f t="shared" si="1"/>
        <v>8571</v>
      </c>
      <c r="G57" s="18">
        <f t="shared" si="2"/>
        <v>10713</v>
      </c>
      <c r="H57" s="18">
        <f t="shared" si="3"/>
        <v>11517.75</v>
      </c>
      <c r="I57" s="18">
        <f t="shared" si="4"/>
        <v>12379</v>
      </c>
      <c r="J57" s="18">
        <f t="shared" si="5"/>
        <v>14974.75</v>
      </c>
      <c r="K57" s="18">
        <f t="shared" si="6"/>
        <v>16096.25</v>
      </c>
    </row>
    <row r="58" spans="2:11" ht="15" customHeight="1" x14ac:dyDescent="0.25">
      <c r="B58" s="18">
        <v>75000000</v>
      </c>
      <c r="C58" s="18">
        <v>100000000</v>
      </c>
      <c r="D58" s="18">
        <v>25000000</v>
      </c>
      <c r="E58" s="18">
        <f t="shared" si="0"/>
        <v>7236.25</v>
      </c>
      <c r="F58" s="18">
        <f t="shared" si="1"/>
        <v>9045</v>
      </c>
      <c r="G58" s="18">
        <f t="shared" si="2"/>
        <v>11305</v>
      </c>
      <c r="H58" s="18">
        <f t="shared" si="3"/>
        <v>12149.75</v>
      </c>
      <c r="I58" s="18">
        <f t="shared" si="4"/>
        <v>13053</v>
      </c>
      <c r="J58" s="18">
        <f t="shared" si="5"/>
        <v>15784.75</v>
      </c>
      <c r="K58" s="18">
        <f t="shared" si="6"/>
        <v>16961.25</v>
      </c>
    </row>
    <row r="59" spans="2:11" ht="15" customHeight="1" x14ac:dyDescent="0.25">
      <c r="B59" s="18">
        <v>100000000</v>
      </c>
      <c r="C59" s="18">
        <v>125000000</v>
      </c>
      <c r="D59" s="18">
        <v>25000000</v>
      </c>
      <c r="E59" s="18">
        <f t="shared" si="0"/>
        <v>8061.25</v>
      </c>
      <c r="F59" s="18">
        <f t="shared" si="1"/>
        <v>10077.5</v>
      </c>
      <c r="G59" s="18">
        <f t="shared" si="2"/>
        <v>12595</v>
      </c>
      <c r="H59" s="18">
        <f t="shared" si="3"/>
        <v>13524.75</v>
      </c>
      <c r="I59" s="18">
        <f t="shared" si="4"/>
        <v>14518</v>
      </c>
      <c r="J59" s="18">
        <f t="shared" si="5"/>
        <v>17539.75</v>
      </c>
      <c r="K59" s="18">
        <f t="shared" si="6"/>
        <v>18831.25</v>
      </c>
    </row>
    <row r="60" spans="2:11" ht="15" customHeight="1" x14ac:dyDescent="0.25">
      <c r="B60" s="18">
        <v>125000000</v>
      </c>
      <c r="C60" s="18">
        <v>150000000</v>
      </c>
      <c r="D60" s="18">
        <v>25000000</v>
      </c>
      <c r="E60" s="18">
        <f t="shared" si="0"/>
        <v>8766.25</v>
      </c>
      <c r="F60" s="18">
        <f t="shared" si="1"/>
        <v>10957.5</v>
      </c>
      <c r="G60" s="18">
        <f t="shared" si="2"/>
        <v>13695</v>
      </c>
      <c r="H60" s="18">
        <f t="shared" si="3"/>
        <v>14699.75</v>
      </c>
      <c r="I60" s="18">
        <f t="shared" si="4"/>
        <v>15773</v>
      </c>
      <c r="J60" s="18">
        <f t="shared" si="5"/>
        <v>19047.25</v>
      </c>
      <c r="K60" s="18">
        <f t="shared" si="6"/>
        <v>20441.25</v>
      </c>
    </row>
    <row r="61" spans="2:11" ht="15" customHeight="1" x14ac:dyDescent="0.25">
      <c r="B61" s="18">
        <v>150000000</v>
      </c>
      <c r="C61" s="18">
        <v>175000000</v>
      </c>
      <c r="D61" s="18">
        <v>25000000</v>
      </c>
      <c r="E61" s="18">
        <f t="shared" si="0"/>
        <v>9381.25</v>
      </c>
      <c r="F61" s="18">
        <f t="shared" si="1"/>
        <v>11725</v>
      </c>
      <c r="G61" s="18">
        <f t="shared" si="2"/>
        <v>14655</v>
      </c>
      <c r="H61" s="18">
        <f t="shared" si="3"/>
        <v>15727.25</v>
      </c>
      <c r="I61" s="18">
        <f t="shared" si="4"/>
        <v>16875.5</v>
      </c>
      <c r="J61" s="18">
        <f t="shared" si="5"/>
        <v>20374.75</v>
      </c>
      <c r="K61" s="18">
        <f t="shared" si="6"/>
        <v>21863.75</v>
      </c>
    </row>
    <row r="62" spans="2:11" ht="15" customHeight="1" x14ac:dyDescent="0.25">
      <c r="B62" s="18">
        <v>175000000</v>
      </c>
      <c r="C62" s="18">
        <v>200000000</v>
      </c>
      <c r="D62" s="18">
        <v>25000000</v>
      </c>
      <c r="E62" s="18">
        <f t="shared" si="0"/>
        <v>9946.25</v>
      </c>
      <c r="F62" s="18">
        <f t="shared" si="1"/>
        <v>12430</v>
      </c>
      <c r="G62" s="18">
        <f t="shared" si="2"/>
        <v>15535</v>
      </c>
      <c r="H62" s="18">
        <f t="shared" si="3"/>
        <v>16662.25</v>
      </c>
      <c r="I62" s="18">
        <f t="shared" si="4"/>
        <v>17870.5</v>
      </c>
      <c r="J62" s="18">
        <f t="shared" si="5"/>
        <v>21567.25</v>
      </c>
      <c r="K62" s="18">
        <f t="shared" si="6"/>
        <v>23133.75</v>
      </c>
    </row>
    <row r="63" spans="2:11" ht="15" customHeight="1" x14ac:dyDescent="0.25">
      <c r="B63" s="18">
        <v>200000000</v>
      </c>
      <c r="C63" s="18">
        <v>225000000</v>
      </c>
      <c r="D63" s="18">
        <v>25000000</v>
      </c>
      <c r="E63" s="18">
        <f t="shared" si="0"/>
        <v>10483.75</v>
      </c>
      <c r="F63" s="18">
        <f t="shared" si="1"/>
        <v>13102.5</v>
      </c>
      <c r="G63" s="18">
        <f t="shared" si="2"/>
        <v>16375</v>
      </c>
      <c r="H63" s="18">
        <f t="shared" si="3"/>
        <v>17539.75</v>
      </c>
      <c r="I63" s="18">
        <f t="shared" si="4"/>
        <v>18788</v>
      </c>
      <c r="J63" s="18">
        <f t="shared" si="5"/>
        <v>22647.25</v>
      </c>
      <c r="K63" s="18">
        <f t="shared" si="6"/>
        <v>24261.25</v>
      </c>
    </row>
    <row r="64" spans="2:11" ht="15" customHeight="1" x14ac:dyDescent="0.25">
      <c r="B64" s="18">
        <v>225000000</v>
      </c>
      <c r="C64" s="18">
        <v>250000000</v>
      </c>
      <c r="D64" s="18">
        <v>25000000</v>
      </c>
      <c r="E64" s="18">
        <f t="shared" si="0"/>
        <v>11001.25</v>
      </c>
      <c r="F64" s="18">
        <f t="shared" si="1"/>
        <v>13750</v>
      </c>
      <c r="G64" s="18">
        <f t="shared" si="2"/>
        <v>17185</v>
      </c>
      <c r="H64" s="18">
        <f t="shared" si="3"/>
        <v>18364.75</v>
      </c>
      <c r="I64" s="18">
        <f t="shared" si="4"/>
        <v>19625.5</v>
      </c>
      <c r="J64" s="18">
        <f t="shared" si="5"/>
        <v>23604.75</v>
      </c>
      <c r="K64" s="18">
        <f t="shared" si="6"/>
        <v>25226.25</v>
      </c>
    </row>
    <row r="65" spans="2:11" ht="15" customHeight="1" x14ac:dyDescent="0.25">
      <c r="B65" s="18">
        <v>250000000</v>
      </c>
      <c r="C65" s="18">
        <v>300000000</v>
      </c>
      <c r="D65" s="18">
        <v>50000000</v>
      </c>
      <c r="E65" s="18">
        <f t="shared" si="0"/>
        <v>11513.75</v>
      </c>
      <c r="F65" s="18">
        <f t="shared" si="1"/>
        <v>14390</v>
      </c>
      <c r="G65" s="18">
        <f t="shared" si="2"/>
        <v>17985</v>
      </c>
      <c r="H65" s="18">
        <f t="shared" si="3"/>
        <v>19169.75</v>
      </c>
      <c r="I65" s="18">
        <f t="shared" si="4"/>
        <v>20430.5</v>
      </c>
      <c r="J65" s="18">
        <f t="shared" si="5"/>
        <v>24504.75</v>
      </c>
      <c r="K65" s="18">
        <f t="shared" si="6"/>
        <v>26116.25</v>
      </c>
    </row>
    <row r="66" spans="2:11" ht="15" customHeight="1" x14ac:dyDescent="0.25">
      <c r="B66" s="18">
        <v>300000000</v>
      </c>
      <c r="C66" s="18">
        <v>350000000</v>
      </c>
      <c r="D66" s="18">
        <v>50000000</v>
      </c>
      <c r="E66" s="18">
        <f t="shared" si="0"/>
        <v>12463.75</v>
      </c>
      <c r="F66" s="18">
        <f t="shared" si="1"/>
        <v>15575</v>
      </c>
      <c r="G66" s="18">
        <f t="shared" si="2"/>
        <v>19465</v>
      </c>
      <c r="H66" s="18">
        <f t="shared" si="3"/>
        <v>20649.75</v>
      </c>
      <c r="I66" s="18">
        <f t="shared" si="4"/>
        <v>21900.5</v>
      </c>
      <c r="J66" s="18">
        <f t="shared" si="5"/>
        <v>26149.75</v>
      </c>
      <c r="K66" s="18">
        <f t="shared" si="6"/>
        <v>27736.25</v>
      </c>
    </row>
    <row r="67" spans="2:11" ht="15" customHeight="1" x14ac:dyDescent="0.25">
      <c r="B67" s="18">
        <v>350000000</v>
      </c>
      <c r="C67" s="18">
        <v>400000000</v>
      </c>
      <c r="D67" s="18">
        <v>50000000</v>
      </c>
      <c r="E67" s="18">
        <f t="shared" si="0"/>
        <v>13333.75</v>
      </c>
      <c r="F67" s="18">
        <f t="shared" si="1"/>
        <v>16665</v>
      </c>
      <c r="G67" s="18">
        <f t="shared" si="2"/>
        <v>20825</v>
      </c>
      <c r="H67" s="18">
        <f t="shared" si="3"/>
        <v>21999.75</v>
      </c>
      <c r="I67" s="18">
        <f t="shared" si="4"/>
        <v>23230.5</v>
      </c>
      <c r="J67" s="18">
        <f t="shared" si="5"/>
        <v>27614.75</v>
      </c>
      <c r="K67" s="18">
        <f t="shared" si="6"/>
        <v>29156.25</v>
      </c>
    </row>
    <row r="68" spans="2:11" ht="15" customHeight="1" x14ac:dyDescent="0.25">
      <c r="B68" s="18">
        <v>400000000</v>
      </c>
      <c r="C68" s="18">
        <v>450000000</v>
      </c>
      <c r="D68" s="18">
        <v>50000000</v>
      </c>
      <c r="E68" s="18">
        <f t="shared" si="0"/>
        <v>14143.75</v>
      </c>
      <c r="F68" s="18">
        <f t="shared" si="1"/>
        <v>17675</v>
      </c>
      <c r="G68" s="18">
        <f t="shared" si="2"/>
        <v>22085</v>
      </c>
      <c r="H68" s="18">
        <f t="shared" si="3"/>
        <v>23239.75</v>
      </c>
      <c r="I68" s="18">
        <f t="shared" si="4"/>
        <v>24440.5</v>
      </c>
      <c r="J68" s="18">
        <f t="shared" si="5"/>
        <v>28944.75</v>
      </c>
      <c r="K68" s="18">
        <f t="shared" si="6"/>
        <v>30441.25</v>
      </c>
    </row>
    <row r="69" spans="2:11" ht="15" customHeight="1" x14ac:dyDescent="0.25">
      <c r="B69" s="18">
        <v>450000000</v>
      </c>
      <c r="C69" s="18">
        <v>500000000</v>
      </c>
      <c r="D69" s="18">
        <v>50000000</v>
      </c>
      <c r="E69" s="18">
        <f t="shared" si="0"/>
        <v>14888.75</v>
      </c>
      <c r="F69" s="18">
        <f t="shared" si="1"/>
        <v>18605</v>
      </c>
      <c r="G69" s="18">
        <f t="shared" si="2"/>
        <v>23245</v>
      </c>
      <c r="H69" s="18">
        <f t="shared" si="3"/>
        <v>24384.75</v>
      </c>
      <c r="I69" s="18">
        <f t="shared" si="4"/>
        <v>25565.5</v>
      </c>
      <c r="J69" s="18">
        <f t="shared" si="5"/>
        <v>30184.75</v>
      </c>
      <c r="K69" s="18">
        <f t="shared" si="6"/>
        <v>31641.25</v>
      </c>
    </row>
    <row r="70" spans="2:11" ht="15" customHeight="1" x14ac:dyDescent="0.25">
      <c r="B70" s="18">
        <v>500000000</v>
      </c>
      <c r="C70" s="18">
        <v>550000000</v>
      </c>
      <c r="D70" s="18">
        <v>50000000</v>
      </c>
      <c r="E70" s="18">
        <f t="shared" si="0"/>
        <v>15593.75</v>
      </c>
      <c r="F70" s="18">
        <f t="shared" si="1"/>
        <v>19485</v>
      </c>
      <c r="G70" s="18">
        <f t="shared" si="2"/>
        <v>24345</v>
      </c>
      <c r="H70" s="18">
        <f t="shared" si="3"/>
        <v>25459.75</v>
      </c>
      <c r="I70" s="18">
        <f t="shared" si="4"/>
        <v>26615.5</v>
      </c>
      <c r="J70" s="18">
        <f t="shared" si="5"/>
        <v>31334.75</v>
      </c>
      <c r="K70" s="18">
        <f t="shared" si="6"/>
        <v>32746.25</v>
      </c>
    </row>
    <row r="71" spans="2:11" ht="15" customHeight="1" x14ac:dyDescent="0.25">
      <c r="B71" s="18">
        <v>550000000</v>
      </c>
      <c r="C71" s="18">
        <v>600000000</v>
      </c>
      <c r="D71" s="18">
        <v>50000000</v>
      </c>
      <c r="E71" s="18">
        <f t="shared" si="0"/>
        <v>16123.75</v>
      </c>
      <c r="F71" s="18">
        <f t="shared" si="1"/>
        <v>20150</v>
      </c>
      <c r="G71" s="18">
        <f t="shared" si="2"/>
        <v>25175</v>
      </c>
      <c r="H71" s="18">
        <f t="shared" si="3"/>
        <v>26339.75</v>
      </c>
      <c r="I71" s="18">
        <f t="shared" si="4"/>
        <v>27455.5</v>
      </c>
      <c r="J71" s="18">
        <f t="shared" si="5"/>
        <v>32334.75</v>
      </c>
      <c r="K71" s="18">
        <f t="shared" si="6"/>
        <v>33791.25</v>
      </c>
    </row>
    <row r="72" spans="2:11" ht="15" customHeight="1" x14ac:dyDescent="0.25">
      <c r="B72" s="18">
        <v>600000000</v>
      </c>
      <c r="C72" s="18">
        <v>650000000</v>
      </c>
      <c r="D72" s="18">
        <v>50000000</v>
      </c>
      <c r="E72" s="18">
        <f t="shared" si="0"/>
        <v>16628.75</v>
      </c>
      <c r="F72" s="18">
        <f t="shared" si="1"/>
        <v>20780</v>
      </c>
      <c r="G72" s="18">
        <f t="shared" si="2"/>
        <v>25965</v>
      </c>
      <c r="H72" s="18">
        <f t="shared" si="3"/>
        <v>27179.75</v>
      </c>
      <c r="I72" s="18">
        <f t="shared" si="4"/>
        <v>28250.5</v>
      </c>
      <c r="J72" s="18">
        <f t="shared" si="5"/>
        <v>33279.75</v>
      </c>
      <c r="K72" s="18">
        <f t="shared" si="6"/>
        <v>34781.25</v>
      </c>
    </row>
    <row r="73" spans="2:11" ht="15" customHeight="1" x14ac:dyDescent="0.25">
      <c r="B73" s="18">
        <v>650000000</v>
      </c>
      <c r="C73" s="18">
        <v>700000000</v>
      </c>
      <c r="D73" s="18">
        <v>50000000</v>
      </c>
      <c r="E73" s="18">
        <f t="shared" si="0"/>
        <v>17113.75</v>
      </c>
      <c r="F73" s="18">
        <f t="shared" si="1"/>
        <v>21385</v>
      </c>
      <c r="G73" s="18">
        <f t="shared" si="2"/>
        <v>26720</v>
      </c>
      <c r="H73" s="18">
        <f t="shared" si="3"/>
        <v>27979.75</v>
      </c>
      <c r="I73" s="18">
        <f t="shared" si="4"/>
        <v>29005.5</v>
      </c>
      <c r="J73" s="18">
        <f t="shared" si="5"/>
        <v>34179.75</v>
      </c>
      <c r="K73" s="18">
        <f t="shared" si="6"/>
        <v>35721.25</v>
      </c>
    </row>
    <row r="74" spans="2:11" ht="15" customHeight="1" x14ac:dyDescent="0.25">
      <c r="B74" s="18">
        <v>700000000</v>
      </c>
      <c r="C74" s="18">
        <v>750000000</v>
      </c>
      <c r="D74" s="18">
        <v>50000000</v>
      </c>
      <c r="E74" s="18">
        <f t="shared" si="0"/>
        <v>17578.75</v>
      </c>
      <c r="F74" s="18">
        <f t="shared" si="1"/>
        <v>21965</v>
      </c>
      <c r="G74" s="18">
        <f t="shared" si="2"/>
        <v>27440</v>
      </c>
      <c r="H74" s="18">
        <f t="shared" si="3"/>
        <v>28744.75</v>
      </c>
      <c r="I74" s="18">
        <f t="shared" si="4"/>
        <v>29730.5</v>
      </c>
      <c r="J74" s="18">
        <f t="shared" si="5"/>
        <v>35039.75</v>
      </c>
      <c r="K74" s="18">
        <f t="shared" si="6"/>
        <v>36621.25</v>
      </c>
    </row>
    <row r="75" spans="2:11" ht="15" customHeight="1" x14ac:dyDescent="0.25">
      <c r="B75" s="18">
        <v>750000000</v>
      </c>
      <c r="C75" s="18">
        <v>800000000</v>
      </c>
      <c r="D75" s="18">
        <v>50000000</v>
      </c>
      <c r="E75" s="18">
        <f t="shared" si="0"/>
        <v>18023.75</v>
      </c>
      <c r="F75" s="18">
        <f t="shared" si="1"/>
        <v>22520</v>
      </c>
      <c r="G75" s="18">
        <f t="shared" si="2"/>
        <v>28135</v>
      </c>
      <c r="H75" s="18">
        <f t="shared" si="3"/>
        <v>29484.75</v>
      </c>
      <c r="I75" s="18">
        <f t="shared" si="4"/>
        <v>30425.5</v>
      </c>
      <c r="J75" s="18">
        <f t="shared" si="5"/>
        <v>35864.75</v>
      </c>
      <c r="K75" s="18">
        <f t="shared" si="6"/>
        <v>37481.25</v>
      </c>
    </row>
    <row r="76" spans="2:11" ht="15" customHeight="1" x14ac:dyDescent="0.25">
      <c r="B76" s="18">
        <v>800000000</v>
      </c>
      <c r="C76" s="18">
        <v>850000000</v>
      </c>
      <c r="D76" s="18">
        <v>50000000</v>
      </c>
      <c r="E76" s="18">
        <f t="shared" si="0"/>
        <v>18453.75</v>
      </c>
      <c r="F76" s="18">
        <f t="shared" si="1"/>
        <v>23055</v>
      </c>
      <c r="G76" s="18">
        <f t="shared" si="2"/>
        <v>28805</v>
      </c>
      <c r="H76" s="18">
        <f t="shared" si="3"/>
        <v>30194.75</v>
      </c>
      <c r="I76" s="18">
        <f t="shared" si="4"/>
        <v>31090.5</v>
      </c>
      <c r="J76" s="18">
        <f t="shared" si="5"/>
        <v>36659.75</v>
      </c>
      <c r="K76" s="18">
        <f t="shared" si="6"/>
        <v>38311.25</v>
      </c>
    </row>
    <row r="77" spans="2:11" ht="15" customHeight="1" x14ac:dyDescent="0.25">
      <c r="B77" s="18">
        <v>850000000</v>
      </c>
      <c r="C77" s="18">
        <v>900000000</v>
      </c>
      <c r="D77" s="18">
        <v>50000000</v>
      </c>
      <c r="E77" s="18">
        <f t="shared" si="0"/>
        <v>18863.75</v>
      </c>
      <c r="F77" s="18">
        <f t="shared" si="1"/>
        <v>23570</v>
      </c>
      <c r="G77" s="18">
        <f t="shared" si="2"/>
        <v>29450</v>
      </c>
      <c r="H77" s="18">
        <f t="shared" si="3"/>
        <v>30879.75</v>
      </c>
      <c r="I77" s="18">
        <f t="shared" si="4"/>
        <v>31730.5</v>
      </c>
      <c r="J77" s="18">
        <f t="shared" si="5"/>
        <v>37424.75</v>
      </c>
      <c r="K77" s="18">
        <f t="shared" si="6"/>
        <v>39111.25</v>
      </c>
    </row>
    <row r="78" spans="2:11" ht="15" customHeight="1" x14ac:dyDescent="0.25">
      <c r="B78" s="18">
        <v>900000000</v>
      </c>
      <c r="C78" s="18">
        <v>950000000</v>
      </c>
      <c r="D78" s="18">
        <v>50000000</v>
      </c>
      <c r="E78" s="18">
        <f t="shared" si="0"/>
        <v>19263.75</v>
      </c>
      <c r="F78" s="18">
        <f t="shared" si="1"/>
        <v>24070</v>
      </c>
      <c r="G78" s="18">
        <f t="shared" si="2"/>
        <v>30075</v>
      </c>
      <c r="H78" s="18">
        <f t="shared" si="3"/>
        <v>31544.75</v>
      </c>
      <c r="I78" s="18">
        <f t="shared" si="4"/>
        <v>32350.5</v>
      </c>
      <c r="J78" s="18">
        <f t="shared" si="5"/>
        <v>38164.75</v>
      </c>
      <c r="K78" s="18">
        <f t="shared" si="6"/>
        <v>39881.25</v>
      </c>
    </row>
    <row r="79" spans="2:11" ht="15" customHeight="1" x14ac:dyDescent="0.25">
      <c r="B79" s="18">
        <v>950000000</v>
      </c>
      <c r="C79" s="18">
        <v>1000000000</v>
      </c>
      <c r="D79" s="18">
        <v>50000000</v>
      </c>
      <c r="E79" s="18">
        <f t="shared" si="0"/>
        <v>19653.75</v>
      </c>
      <c r="F79" s="18">
        <f t="shared" si="1"/>
        <v>24555</v>
      </c>
      <c r="G79" s="18">
        <f t="shared" si="2"/>
        <v>30680</v>
      </c>
      <c r="H79" s="18">
        <f t="shared" si="3"/>
        <v>32189.75</v>
      </c>
      <c r="I79" s="18">
        <f t="shared" si="4"/>
        <v>32950.5</v>
      </c>
      <c r="J79" s="18">
        <f t="shared" si="5"/>
        <v>38879.75</v>
      </c>
      <c r="K79" s="18">
        <f t="shared" si="6"/>
        <v>40626.25</v>
      </c>
    </row>
    <row r="81" spans="1:5" ht="30" customHeight="1" x14ac:dyDescent="0.25">
      <c r="B81" s="74" t="s">
        <v>46</v>
      </c>
      <c r="C81" s="74" t="s">
        <v>54</v>
      </c>
    </row>
    <row r="82" spans="1:5" ht="15" customHeight="1" x14ac:dyDescent="0.25">
      <c r="A82" t="s">
        <v>332</v>
      </c>
      <c r="B82" t="s">
        <v>323</v>
      </c>
      <c r="C82" s="75">
        <v>4</v>
      </c>
    </row>
    <row r="83" spans="1:5" ht="15" customHeight="1" x14ac:dyDescent="0.25">
      <c r="A83" t="s">
        <v>333</v>
      </c>
      <c r="B83" t="s">
        <v>324</v>
      </c>
      <c r="C83" s="75">
        <v>5</v>
      </c>
    </row>
    <row r="84" spans="1:5" ht="15" customHeight="1" x14ac:dyDescent="0.25">
      <c r="B84" t="s">
        <v>325</v>
      </c>
      <c r="C84" s="75">
        <v>6</v>
      </c>
    </row>
    <row r="85" spans="1:5" ht="15" customHeight="1" x14ac:dyDescent="0.25">
      <c r="B85" t="s">
        <v>326</v>
      </c>
      <c r="C85" s="75">
        <v>7</v>
      </c>
    </row>
    <row r="86" spans="1:5" ht="15" customHeight="1" x14ac:dyDescent="0.25">
      <c r="B86" t="s">
        <v>327</v>
      </c>
      <c r="C86" s="75">
        <v>8</v>
      </c>
    </row>
    <row r="87" spans="1:5" ht="15" customHeight="1" x14ac:dyDescent="0.25">
      <c r="B87" t="s">
        <v>328</v>
      </c>
      <c r="C87" s="75">
        <v>9</v>
      </c>
    </row>
    <row r="88" spans="1:5" ht="15" customHeight="1" x14ac:dyDescent="0.25">
      <c r="B88" t="s">
        <v>329</v>
      </c>
      <c r="C88" s="75">
        <v>10</v>
      </c>
    </row>
    <row r="90" spans="1:5" ht="15" customHeight="1" x14ac:dyDescent="0.25">
      <c r="B90" s="74" t="s">
        <v>334</v>
      </c>
      <c r="C90" s="74" t="s">
        <v>335</v>
      </c>
      <c r="D90" s="74" t="s">
        <v>336</v>
      </c>
      <c r="E90" s="74" t="s">
        <v>337</v>
      </c>
    </row>
    <row r="91" spans="1:5" ht="15" customHeight="1" x14ac:dyDescent="0.25">
      <c r="A91" t="s">
        <v>338</v>
      </c>
      <c r="B91" s="18">
        <v>100000</v>
      </c>
      <c r="C91" s="18">
        <v>250000</v>
      </c>
      <c r="D91" s="76">
        <v>0.67</v>
      </c>
      <c r="E91" s="76">
        <v>0.67</v>
      </c>
    </row>
    <row r="92" spans="1:5" ht="15" customHeight="1" x14ac:dyDescent="0.25">
      <c r="A92" t="s">
        <v>339</v>
      </c>
      <c r="B92" s="18">
        <v>250000</v>
      </c>
      <c r="C92" s="18">
        <v>500000</v>
      </c>
      <c r="D92" s="76">
        <v>0.75</v>
      </c>
      <c r="E92" s="76">
        <v>0.75</v>
      </c>
    </row>
    <row r="93" spans="1:5" ht="15" customHeight="1" x14ac:dyDescent="0.25">
      <c r="B93" s="18">
        <v>500000</v>
      </c>
      <c r="C93" s="18">
        <v>1000000</v>
      </c>
      <c r="D93" s="76">
        <v>0.84</v>
      </c>
      <c r="E93" s="76">
        <v>0.84</v>
      </c>
    </row>
    <row r="94" spans="1:5" ht="15" customHeight="1" x14ac:dyDescent="0.25">
      <c r="B94" s="18">
        <v>1000000</v>
      </c>
      <c r="C94" s="18">
        <v>2000000</v>
      </c>
      <c r="D94" s="76">
        <v>1</v>
      </c>
      <c r="E94" s="76">
        <v>1</v>
      </c>
    </row>
    <row r="95" spans="1:5" ht="15" customHeight="1" x14ac:dyDescent="0.25">
      <c r="B95" s="18">
        <v>2000000</v>
      </c>
      <c r="C95" s="18">
        <v>3000000</v>
      </c>
      <c r="D95" s="76">
        <v>1.25</v>
      </c>
      <c r="E95" s="76">
        <v>1.25</v>
      </c>
    </row>
    <row r="96" spans="1:5" ht="15" customHeight="1" x14ac:dyDescent="0.25">
      <c r="B96" s="18">
        <v>3000000</v>
      </c>
      <c r="C96" s="18">
        <v>4000000</v>
      </c>
      <c r="D96" s="76">
        <v>1.47</v>
      </c>
      <c r="E96" s="76">
        <v>1.47</v>
      </c>
    </row>
    <row r="97" spans="2:5" ht="15" customHeight="1" x14ac:dyDescent="0.25">
      <c r="B97" s="18">
        <v>4000000</v>
      </c>
      <c r="C97" s="18">
        <v>5000000</v>
      </c>
      <c r="D97" s="76">
        <v>1.69</v>
      </c>
      <c r="E97" s="76">
        <v>1.69</v>
      </c>
    </row>
    <row r="98" spans="2:5" ht="15" customHeight="1" x14ac:dyDescent="0.25">
      <c r="B98" s="18">
        <v>5000000</v>
      </c>
      <c r="C98" s="18">
        <v>7500000</v>
      </c>
      <c r="D98" s="76">
        <v>1.91</v>
      </c>
      <c r="E98" s="76">
        <v>1.91</v>
      </c>
    </row>
    <row r="99" spans="2:5" ht="15" customHeight="1" x14ac:dyDescent="0.25">
      <c r="B99" s="18">
        <v>7500000</v>
      </c>
      <c r="C99" s="18">
        <v>10000000</v>
      </c>
      <c r="D99" s="76">
        <v>2.46</v>
      </c>
      <c r="E99" s="76">
        <v>2.46</v>
      </c>
    </row>
    <row r="100" spans="2:5" ht="15" customHeight="1" x14ac:dyDescent="0.25">
      <c r="B100" s="18">
        <v>10000000</v>
      </c>
      <c r="C100" s="18">
        <v>11000000</v>
      </c>
      <c r="D100" s="76">
        <v>2.95</v>
      </c>
      <c r="E100" s="76">
        <v>2.95</v>
      </c>
    </row>
    <row r="101" spans="2:5" ht="15" customHeight="1" x14ac:dyDescent="0.25">
      <c r="B101" s="18">
        <v>11000000</v>
      </c>
      <c r="C101" s="18">
        <v>12000000</v>
      </c>
      <c r="D101" s="76">
        <v>3.12</v>
      </c>
      <c r="E101" s="76">
        <v>3.12</v>
      </c>
    </row>
    <row r="102" spans="2:5" ht="15" customHeight="1" x14ac:dyDescent="0.25">
      <c r="B102" s="18">
        <v>12000000</v>
      </c>
      <c r="C102" s="18">
        <v>13000000</v>
      </c>
      <c r="D102" s="76">
        <v>3.28</v>
      </c>
      <c r="E102" s="76">
        <v>3.28</v>
      </c>
    </row>
    <row r="103" spans="2:5" ht="15" customHeight="1" x14ac:dyDescent="0.25">
      <c r="B103" s="18">
        <v>13000000</v>
      </c>
      <c r="C103" s="18">
        <v>14000000</v>
      </c>
      <c r="D103" s="76">
        <v>3.44</v>
      </c>
      <c r="E103" s="76">
        <v>3.44</v>
      </c>
    </row>
    <row r="104" spans="2:5" ht="15" customHeight="1" x14ac:dyDescent="0.25">
      <c r="B104" s="18">
        <v>14000000</v>
      </c>
      <c r="C104" s="18">
        <v>15000000</v>
      </c>
      <c r="D104" s="76">
        <v>3.6</v>
      </c>
      <c r="E104" s="76">
        <v>3.6</v>
      </c>
    </row>
    <row r="105" spans="2:5" ht="15" customHeight="1" x14ac:dyDescent="0.25">
      <c r="B105" s="18">
        <v>15000000</v>
      </c>
      <c r="C105" s="18">
        <v>16000000</v>
      </c>
      <c r="D105" s="76">
        <v>3.76</v>
      </c>
      <c r="E105" s="76">
        <v>3.76</v>
      </c>
    </row>
    <row r="106" spans="2:5" ht="15" customHeight="1" x14ac:dyDescent="0.25">
      <c r="B106" s="18">
        <v>16000000</v>
      </c>
      <c r="C106" s="18">
        <v>17000000</v>
      </c>
      <c r="D106" s="76">
        <v>3.91</v>
      </c>
      <c r="E106" s="76">
        <v>3.91</v>
      </c>
    </row>
    <row r="107" spans="2:5" ht="15" customHeight="1" x14ac:dyDescent="0.25">
      <c r="B107" s="18">
        <v>17000000</v>
      </c>
      <c r="C107" s="18">
        <v>18000000</v>
      </c>
      <c r="D107" s="76">
        <v>4.0599999999999996</v>
      </c>
      <c r="E107" s="76">
        <v>4.0599999999999996</v>
      </c>
    </row>
    <row r="108" spans="2:5" ht="15" customHeight="1" x14ac:dyDescent="0.25">
      <c r="B108" s="18">
        <v>18000000</v>
      </c>
      <c r="C108" s="18">
        <v>19000000</v>
      </c>
      <c r="D108" s="76">
        <v>4.2</v>
      </c>
      <c r="E108" s="76">
        <v>4.2</v>
      </c>
    </row>
    <row r="109" spans="2:5" ht="15" customHeight="1" x14ac:dyDescent="0.25">
      <c r="B109" s="18">
        <v>19000000</v>
      </c>
      <c r="C109" s="18">
        <v>20000000</v>
      </c>
      <c r="D109" s="76">
        <v>4.34</v>
      </c>
      <c r="E109" s="76">
        <v>4.34</v>
      </c>
    </row>
    <row r="110" spans="2:5" ht="15" customHeight="1" x14ac:dyDescent="0.25">
      <c r="B110" s="18">
        <v>20000000</v>
      </c>
      <c r="C110" s="18">
        <v>21000000</v>
      </c>
      <c r="D110" s="76">
        <v>4.4800000000000004</v>
      </c>
      <c r="E110" s="76">
        <v>4.4800000000000004</v>
      </c>
    </row>
    <row r="111" spans="2:5" ht="15" customHeight="1" x14ac:dyDescent="0.25">
      <c r="B111" s="18">
        <v>21000000</v>
      </c>
      <c r="C111" s="18">
        <v>22000000</v>
      </c>
      <c r="D111" s="76">
        <v>4.62</v>
      </c>
      <c r="E111" s="76">
        <v>4.62</v>
      </c>
    </row>
    <row r="112" spans="2:5" ht="15" customHeight="1" x14ac:dyDescent="0.25">
      <c r="B112" s="18">
        <v>22000000</v>
      </c>
      <c r="C112" s="18">
        <v>23000000</v>
      </c>
      <c r="D112" s="76">
        <v>4.76</v>
      </c>
      <c r="E112" s="76">
        <v>4.76</v>
      </c>
    </row>
    <row r="113" spans="1:5" ht="15" customHeight="1" x14ac:dyDescent="0.25">
      <c r="B113" s="18">
        <v>23000000</v>
      </c>
      <c r="C113" s="18">
        <v>24000000</v>
      </c>
      <c r="D113" s="76">
        <v>4.9000000000000004</v>
      </c>
      <c r="E113" s="76">
        <v>4.9000000000000004</v>
      </c>
    </row>
    <row r="114" spans="1:5" ht="15" customHeight="1" x14ac:dyDescent="0.25">
      <c r="B114" s="18">
        <v>24000000</v>
      </c>
      <c r="C114" s="18">
        <v>25000000</v>
      </c>
      <c r="D114" s="76">
        <v>5.04</v>
      </c>
      <c r="E114" s="76">
        <v>5.04</v>
      </c>
    </row>
    <row r="115" spans="1:5" ht="15" customHeight="1" x14ac:dyDescent="0.25">
      <c r="B115" s="18">
        <v>25000000</v>
      </c>
      <c r="C115" s="18">
        <v>26000000</v>
      </c>
      <c r="D115" s="76">
        <v>5.17</v>
      </c>
      <c r="E115" s="76">
        <v>5.17</v>
      </c>
    </row>
    <row r="116" spans="1:5" ht="15" customHeight="1" x14ac:dyDescent="0.25">
      <c r="B116" s="18">
        <v>26000000</v>
      </c>
      <c r="C116" s="18">
        <v>27000000</v>
      </c>
      <c r="D116" s="76">
        <v>5.3</v>
      </c>
      <c r="E116" s="76">
        <v>5.3</v>
      </c>
    </row>
    <row r="117" spans="1:5" ht="15" customHeight="1" x14ac:dyDescent="0.25">
      <c r="B117" s="18">
        <v>27000000</v>
      </c>
      <c r="C117" s="18">
        <v>28000000</v>
      </c>
      <c r="D117" s="76">
        <v>5.43</v>
      </c>
      <c r="E117" s="76">
        <v>5.43</v>
      </c>
    </row>
    <row r="118" spans="1:5" ht="15" customHeight="1" x14ac:dyDescent="0.25">
      <c r="B118" s="18">
        <v>28000000</v>
      </c>
      <c r="C118" s="18">
        <v>29000000</v>
      </c>
      <c r="D118" s="76">
        <v>5.56</v>
      </c>
      <c r="E118" s="76">
        <v>5.56</v>
      </c>
    </row>
    <row r="119" spans="1:5" ht="15" customHeight="1" x14ac:dyDescent="0.25">
      <c r="B119" s="18">
        <v>29000000</v>
      </c>
      <c r="C119" s="18">
        <v>30000000</v>
      </c>
      <c r="D119" s="76">
        <v>5.68</v>
      </c>
      <c r="E119" s="76">
        <v>5.68</v>
      </c>
    </row>
    <row r="120" spans="1:5" ht="15" customHeight="1" x14ac:dyDescent="0.25">
      <c r="B120" s="18">
        <v>30000000</v>
      </c>
      <c r="C120" s="18">
        <v>31000000</v>
      </c>
      <c r="D120" s="76">
        <v>5.8</v>
      </c>
      <c r="E120" s="76">
        <v>5.8</v>
      </c>
    </row>
    <row r="121" spans="1:5" ht="15" customHeight="1" x14ac:dyDescent="0.25">
      <c r="B121" s="18">
        <v>31000000</v>
      </c>
      <c r="C121" s="18">
        <v>32000000</v>
      </c>
      <c r="D121" s="76">
        <v>5.92</v>
      </c>
      <c r="E121" s="76">
        <v>5.92</v>
      </c>
    </row>
    <row r="122" spans="1:5" ht="15" customHeight="1" x14ac:dyDescent="0.25">
      <c r="B122" s="18">
        <v>32000000</v>
      </c>
      <c r="C122" s="18">
        <v>32000000</v>
      </c>
      <c r="D122" s="76">
        <v>6.04</v>
      </c>
      <c r="E122" s="76">
        <v>6.04</v>
      </c>
    </row>
    <row r="125" spans="1:5" ht="30" customHeight="1" x14ac:dyDescent="0.25">
      <c r="B125" s="74" t="s">
        <v>20</v>
      </c>
      <c r="C125" s="74" t="s">
        <v>340</v>
      </c>
    </row>
    <row r="126" spans="1:5" ht="15" customHeight="1" x14ac:dyDescent="0.25">
      <c r="A126" t="s">
        <v>341</v>
      </c>
      <c r="B126" t="s">
        <v>342</v>
      </c>
      <c r="C126" t="s">
        <v>342</v>
      </c>
    </row>
    <row r="127" spans="1:5" ht="15" customHeight="1" x14ac:dyDescent="0.25">
      <c r="A127" t="s">
        <v>343</v>
      </c>
      <c r="B127" t="s">
        <v>344</v>
      </c>
      <c r="C127" t="s">
        <v>344</v>
      </c>
    </row>
    <row r="128" spans="1:5" ht="15" customHeight="1" x14ac:dyDescent="0.25">
      <c r="B128" t="s">
        <v>345</v>
      </c>
      <c r="C128" t="s">
        <v>345</v>
      </c>
    </row>
    <row r="129" spans="2:3" ht="15" customHeight="1" x14ac:dyDescent="0.25">
      <c r="B129" t="s">
        <v>346</v>
      </c>
      <c r="C129" t="s">
        <v>346</v>
      </c>
    </row>
    <row r="130" spans="2:3" ht="15" customHeight="1" x14ac:dyDescent="0.25">
      <c r="B130" t="s">
        <v>347</v>
      </c>
      <c r="C130" t="s">
        <v>347</v>
      </c>
    </row>
    <row r="131" spans="2:3" ht="15" customHeight="1" x14ac:dyDescent="0.25">
      <c r="B131" t="s">
        <v>348</v>
      </c>
      <c r="C131" t="s">
        <v>348</v>
      </c>
    </row>
    <row r="132" spans="2:3" ht="15" customHeight="1" x14ac:dyDescent="0.25">
      <c r="B132" t="s">
        <v>349</v>
      </c>
      <c r="C132" t="s">
        <v>349</v>
      </c>
    </row>
    <row r="133" spans="2:3" ht="15" customHeight="1" x14ac:dyDescent="0.25">
      <c r="B133" t="s">
        <v>350</v>
      </c>
      <c r="C133" t="s">
        <v>350</v>
      </c>
    </row>
    <row r="134" spans="2:3" ht="15" customHeight="1" x14ac:dyDescent="0.25">
      <c r="B134" t="s">
        <v>351</v>
      </c>
      <c r="C134" t="s">
        <v>351</v>
      </c>
    </row>
    <row r="135" spans="2:3" ht="15" customHeight="1" x14ac:dyDescent="0.25">
      <c r="B135" t="s">
        <v>352</v>
      </c>
      <c r="C135" t="s">
        <v>352</v>
      </c>
    </row>
    <row r="136" spans="2:3" ht="15" customHeight="1" x14ac:dyDescent="0.25">
      <c r="B136" t="s">
        <v>353</v>
      </c>
      <c r="C136" t="s">
        <v>353</v>
      </c>
    </row>
    <row r="137" spans="2:3" ht="15" customHeight="1" x14ac:dyDescent="0.25">
      <c r="B137" t="s">
        <v>21</v>
      </c>
      <c r="C137" t="s">
        <v>21</v>
      </c>
    </row>
    <row r="138" spans="2:3" ht="15" customHeight="1" x14ac:dyDescent="0.25">
      <c r="B138" t="s">
        <v>354</v>
      </c>
      <c r="C138" t="s">
        <v>354</v>
      </c>
    </row>
    <row r="139" spans="2:3" ht="15" customHeight="1" x14ac:dyDescent="0.25">
      <c r="B139" t="s">
        <v>355</v>
      </c>
      <c r="C139" t="s">
        <v>355</v>
      </c>
    </row>
    <row r="140" spans="2:3" ht="15" customHeight="1" x14ac:dyDescent="0.25">
      <c r="B140" t="s">
        <v>356</v>
      </c>
      <c r="C140" t="s">
        <v>356</v>
      </c>
    </row>
    <row r="141" spans="2:3" ht="15" customHeight="1" x14ac:dyDescent="0.25">
      <c r="B141" t="s">
        <v>357</v>
      </c>
      <c r="C141" t="s">
        <v>357</v>
      </c>
    </row>
    <row r="142" spans="2:3" ht="15" customHeight="1" x14ac:dyDescent="0.25">
      <c r="B142" t="s">
        <v>358</v>
      </c>
      <c r="C142" t="s">
        <v>358</v>
      </c>
    </row>
    <row r="143" spans="2:3" ht="15" customHeight="1" x14ac:dyDescent="0.25">
      <c r="B143" t="s">
        <v>359</v>
      </c>
      <c r="C143" t="s">
        <v>359</v>
      </c>
    </row>
    <row r="144" spans="2:3" ht="15" customHeight="1" x14ac:dyDescent="0.25">
      <c r="B144" t="s">
        <v>360</v>
      </c>
      <c r="C144" t="s">
        <v>360</v>
      </c>
    </row>
    <row r="145" spans="2:3" ht="15" customHeight="1" x14ac:dyDescent="0.25">
      <c r="B145" t="s">
        <v>361</v>
      </c>
      <c r="C145" t="s">
        <v>361</v>
      </c>
    </row>
    <row r="146" spans="2:3" ht="15" customHeight="1" x14ac:dyDescent="0.25">
      <c r="B146" t="s">
        <v>362</v>
      </c>
      <c r="C146" t="s">
        <v>362</v>
      </c>
    </row>
    <row r="147" spans="2:3" ht="15" customHeight="1" x14ac:dyDescent="0.25">
      <c r="B147" t="s">
        <v>363</v>
      </c>
      <c r="C147" t="s">
        <v>363</v>
      </c>
    </row>
    <row r="148" spans="2:3" ht="15" customHeight="1" x14ac:dyDescent="0.25">
      <c r="B148" t="s">
        <v>364</v>
      </c>
      <c r="C148" t="s">
        <v>364</v>
      </c>
    </row>
    <row r="149" spans="2:3" ht="15" customHeight="1" x14ac:dyDescent="0.25">
      <c r="B149" t="s">
        <v>365</v>
      </c>
      <c r="C149" t="s">
        <v>365</v>
      </c>
    </row>
    <row r="150" spans="2:3" ht="15" customHeight="1" x14ac:dyDescent="0.25">
      <c r="B150" t="s">
        <v>366</v>
      </c>
      <c r="C150" t="s">
        <v>366</v>
      </c>
    </row>
    <row r="151" spans="2:3" ht="15" customHeight="1" x14ac:dyDescent="0.25">
      <c r="B151" t="s">
        <v>367</v>
      </c>
      <c r="C151" t="s">
        <v>367</v>
      </c>
    </row>
    <row r="152" spans="2:3" ht="15" customHeight="1" x14ac:dyDescent="0.25">
      <c r="B152" t="s">
        <v>368</v>
      </c>
      <c r="C152" t="s">
        <v>368</v>
      </c>
    </row>
    <row r="153" spans="2:3" ht="15" customHeight="1" x14ac:dyDescent="0.25">
      <c r="B153" t="s">
        <v>369</v>
      </c>
      <c r="C153" t="s">
        <v>369</v>
      </c>
    </row>
    <row r="154" spans="2:3" ht="15" customHeight="1" x14ac:dyDescent="0.25">
      <c r="B154" t="s">
        <v>370</v>
      </c>
      <c r="C154" t="s">
        <v>370</v>
      </c>
    </row>
    <row r="155" spans="2:3" ht="15" customHeight="1" x14ac:dyDescent="0.25">
      <c r="B155" t="s">
        <v>371</v>
      </c>
      <c r="C155" t="s">
        <v>371</v>
      </c>
    </row>
    <row r="156" spans="2:3" ht="15" customHeight="1" x14ac:dyDescent="0.25">
      <c r="B156" t="s">
        <v>372</v>
      </c>
      <c r="C156" t="s">
        <v>372</v>
      </c>
    </row>
    <row r="157" spans="2:3" ht="15" customHeight="1" x14ac:dyDescent="0.25">
      <c r="B157" t="s">
        <v>373</v>
      </c>
      <c r="C157" t="s">
        <v>373</v>
      </c>
    </row>
    <row r="158" spans="2:3" ht="15" customHeight="1" x14ac:dyDescent="0.25">
      <c r="B158" t="s">
        <v>374</v>
      </c>
      <c r="C158" t="s">
        <v>374</v>
      </c>
    </row>
    <row r="159" spans="2:3" ht="15" customHeight="1" x14ac:dyDescent="0.25">
      <c r="B159" t="s">
        <v>375</v>
      </c>
      <c r="C159" t="s">
        <v>375</v>
      </c>
    </row>
    <row r="160" spans="2:3" ht="15" customHeight="1" x14ac:dyDescent="0.25">
      <c r="B160" t="s">
        <v>376</v>
      </c>
      <c r="C160" t="s">
        <v>376</v>
      </c>
    </row>
    <row r="161" spans="2:3" ht="15" customHeight="1" x14ac:dyDescent="0.25">
      <c r="B161" t="s">
        <v>377</v>
      </c>
      <c r="C161" t="s">
        <v>377</v>
      </c>
    </row>
    <row r="162" spans="2:3" ht="15" customHeight="1" x14ac:dyDescent="0.25">
      <c r="B162" t="s">
        <v>378</v>
      </c>
      <c r="C162" t="s">
        <v>378</v>
      </c>
    </row>
    <row r="163" spans="2:3" ht="15" customHeight="1" x14ac:dyDescent="0.25">
      <c r="B163" t="s">
        <v>379</v>
      </c>
      <c r="C163" t="s">
        <v>379</v>
      </c>
    </row>
    <row r="164" spans="2:3" ht="15" customHeight="1" x14ac:dyDescent="0.25">
      <c r="B164" t="s">
        <v>380</v>
      </c>
      <c r="C164" t="s">
        <v>380</v>
      </c>
    </row>
    <row r="165" spans="2:3" ht="15" customHeight="1" x14ac:dyDescent="0.25">
      <c r="B165" t="s">
        <v>381</v>
      </c>
      <c r="C165" t="s">
        <v>381</v>
      </c>
    </row>
    <row r="166" spans="2:3" ht="15" customHeight="1" x14ac:dyDescent="0.25">
      <c r="B166" t="s">
        <v>382</v>
      </c>
      <c r="C166" t="s">
        <v>382</v>
      </c>
    </row>
    <row r="167" spans="2:3" ht="15" customHeight="1" x14ac:dyDescent="0.25">
      <c r="B167" t="s">
        <v>383</v>
      </c>
      <c r="C167" t="s">
        <v>383</v>
      </c>
    </row>
    <row r="168" spans="2:3" ht="15" customHeight="1" x14ac:dyDescent="0.25">
      <c r="B168" t="s">
        <v>384</v>
      </c>
      <c r="C168" t="s">
        <v>384</v>
      </c>
    </row>
    <row r="169" spans="2:3" ht="15" customHeight="1" x14ac:dyDescent="0.25">
      <c r="B169" t="s">
        <v>385</v>
      </c>
      <c r="C169" t="s">
        <v>385</v>
      </c>
    </row>
    <row r="170" spans="2:3" ht="15" customHeight="1" x14ac:dyDescent="0.25">
      <c r="B170" t="s">
        <v>386</v>
      </c>
      <c r="C170" t="s">
        <v>386</v>
      </c>
    </row>
    <row r="171" spans="2:3" ht="15" customHeight="1" x14ac:dyDescent="0.25">
      <c r="B171" t="s">
        <v>387</v>
      </c>
      <c r="C171" t="s">
        <v>387</v>
      </c>
    </row>
    <row r="172" spans="2:3" ht="15" customHeight="1" x14ac:dyDescent="0.25">
      <c r="B172" t="s">
        <v>388</v>
      </c>
      <c r="C172" t="s">
        <v>388</v>
      </c>
    </row>
    <row r="173" spans="2:3" ht="15" customHeight="1" x14ac:dyDescent="0.25">
      <c r="B173" t="s">
        <v>389</v>
      </c>
      <c r="C173" t="s">
        <v>389</v>
      </c>
    </row>
    <row r="174" spans="2:3" ht="15" customHeight="1" x14ac:dyDescent="0.25">
      <c r="B174" t="s">
        <v>390</v>
      </c>
      <c r="C174" t="s">
        <v>390</v>
      </c>
    </row>
    <row r="175" spans="2:3" ht="15" customHeight="1" x14ac:dyDescent="0.25">
      <c r="B175" t="s">
        <v>391</v>
      </c>
      <c r="C175" t="s">
        <v>391</v>
      </c>
    </row>
    <row r="176" spans="2:3" ht="15" customHeight="1" x14ac:dyDescent="0.25">
      <c r="B176" t="s">
        <v>392</v>
      </c>
      <c r="C176" t="s">
        <v>392</v>
      </c>
    </row>
    <row r="177" spans="1:13" ht="15" customHeight="1" x14ac:dyDescent="0.25">
      <c r="B177" t="s">
        <v>393</v>
      </c>
      <c r="C177" t="s">
        <v>393</v>
      </c>
    </row>
    <row r="180" spans="1:13" ht="45" customHeight="1" x14ac:dyDescent="0.25">
      <c r="B180" s="74" t="s">
        <v>394</v>
      </c>
      <c r="C180" s="74" t="s">
        <v>395</v>
      </c>
      <c r="D180" s="74" t="s">
        <v>396</v>
      </c>
      <c r="E180" s="74" t="s">
        <v>397</v>
      </c>
      <c r="F180" s="74" t="s">
        <v>398</v>
      </c>
      <c r="G180" s="74" t="s">
        <v>399</v>
      </c>
      <c r="H180" s="74" t="s">
        <v>400</v>
      </c>
      <c r="I180" s="74" t="s">
        <v>401</v>
      </c>
      <c r="J180" s="74" t="s">
        <v>402</v>
      </c>
      <c r="K180" s="74" t="s">
        <v>403</v>
      </c>
      <c r="L180" s="74" t="s">
        <v>404</v>
      </c>
      <c r="M180" s="74" t="s">
        <v>405</v>
      </c>
    </row>
    <row r="181" spans="1:13" ht="15" customHeight="1" x14ac:dyDescent="0.25">
      <c r="A181" t="s">
        <v>406</v>
      </c>
      <c r="B181" t="s">
        <v>21</v>
      </c>
      <c r="C181" t="s">
        <v>407</v>
      </c>
      <c r="D181" t="s">
        <v>24</v>
      </c>
      <c r="E181" t="s">
        <v>24</v>
      </c>
      <c r="F181" s="77" t="s">
        <v>24</v>
      </c>
      <c r="G181" s="78">
        <v>0</v>
      </c>
      <c r="H181" s="78">
        <v>0</v>
      </c>
      <c r="I181" s="78">
        <v>0</v>
      </c>
      <c r="J181" s="78">
        <v>0</v>
      </c>
      <c r="K181" s="78" t="s">
        <v>24</v>
      </c>
      <c r="L181" s="79">
        <v>0</v>
      </c>
      <c r="M181" s="79">
        <v>0</v>
      </c>
    </row>
    <row r="184" spans="1:13" ht="15" customHeight="1" x14ac:dyDescent="0.25">
      <c r="B184" s="74" t="s">
        <v>408</v>
      </c>
    </row>
    <row r="185" spans="1:13" ht="15" customHeight="1" x14ac:dyDescent="0.25">
      <c r="A185" t="s">
        <v>409</v>
      </c>
      <c r="B185" t="s">
        <v>407</v>
      </c>
    </row>
    <row r="186" spans="1:13" ht="15" customHeight="1" x14ac:dyDescent="0.25">
      <c r="B186" t="s">
        <v>24</v>
      </c>
    </row>
    <row r="189" spans="1:13" ht="30" customHeight="1" x14ac:dyDescent="0.25">
      <c r="B189" s="74" t="s">
        <v>410</v>
      </c>
      <c r="C189" s="74" t="s">
        <v>411</v>
      </c>
      <c r="D189" s="74" t="s">
        <v>79</v>
      </c>
      <c r="E189" s="74" t="s">
        <v>80</v>
      </c>
      <c r="F189" s="74" t="s">
        <v>412</v>
      </c>
      <c r="G189" s="74" t="s">
        <v>413</v>
      </c>
    </row>
    <row r="190" spans="1:13" ht="15" customHeight="1" x14ac:dyDescent="0.25">
      <c r="A190" t="s">
        <v>414</v>
      </c>
      <c r="B190" s="18">
        <v>0</v>
      </c>
      <c r="C190" s="18">
        <v>10000000</v>
      </c>
      <c r="D190" s="80">
        <v>0.01</v>
      </c>
      <c r="E190" s="18"/>
      <c r="F190" s="18">
        <v>25000</v>
      </c>
      <c r="G190" s="18">
        <v>100000</v>
      </c>
    </row>
    <row r="191" spans="1:13" ht="15" customHeight="1" x14ac:dyDescent="0.25">
      <c r="B191" s="18">
        <v>10000000</v>
      </c>
      <c r="C191" s="18">
        <v>50000000</v>
      </c>
      <c r="D191" s="80">
        <v>5.0000000000000001E-3</v>
      </c>
      <c r="E191" s="18">
        <v>50000</v>
      </c>
      <c r="F191" s="18">
        <v>100000</v>
      </c>
      <c r="G191" s="18">
        <v>300000</v>
      </c>
    </row>
    <row r="192" spans="1:13" ht="15" customHeight="1" x14ac:dyDescent="0.25">
      <c r="B192" s="18">
        <v>50000000</v>
      </c>
      <c r="C192" s="18">
        <v>100000000</v>
      </c>
      <c r="D192" s="80">
        <v>4.0000000000000001E-3</v>
      </c>
      <c r="E192" s="18">
        <v>100000</v>
      </c>
      <c r="F192" s="18">
        <v>300000</v>
      </c>
      <c r="G192" s="18">
        <v>500000</v>
      </c>
    </row>
    <row r="193" spans="1:7" ht="15" customHeight="1" x14ac:dyDescent="0.25">
      <c r="B193" s="18">
        <v>100000000</v>
      </c>
      <c r="C193" s="18">
        <v>500000000</v>
      </c>
      <c r="D193" s="80">
        <v>3.7499999999999999E-3</v>
      </c>
      <c r="E193" s="18">
        <v>125000</v>
      </c>
      <c r="F193" s="18">
        <v>500000</v>
      </c>
      <c r="G193" s="18">
        <v>2000000</v>
      </c>
    </row>
    <row r="194" spans="1:7" ht="15" customHeight="1" x14ac:dyDescent="0.25">
      <c r="B194" s="75">
        <v>500000000</v>
      </c>
      <c r="D194" s="81">
        <v>0</v>
      </c>
      <c r="E194" s="18">
        <v>2000000</v>
      </c>
      <c r="F194" s="18">
        <v>2000000</v>
      </c>
      <c r="G194" s="18">
        <v>2000000</v>
      </c>
    </row>
    <row r="197" spans="1:7" ht="45" customHeight="1" x14ac:dyDescent="0.25">
      <c r="B197" s="74" t="s">
        <v>89</v>
      </c>
      <c r="C197" s="74" t="s">
        <v>90</v>
      </c>
      <c r="D197" s="74" t="s">
        <v>91</v>
      </c>
      <c r="E197" s="74" t="s">
        <v>92</v>
      </c>
    </row>
    <row r="198" spans="1:7" ht="15" customHeight="1" x14ac:dyDescent="0.25">
      <c r="A198" t="s">
        <v>415</v>
      </c>
      <c r="B198" s="56">
        <v>0</v>
      </c>
      <c r="C198" s="56">
        <v>0.25</v>
      </c>
      <c r="D198" s="56">
        <v>0.7</v>
      </c>
      <c r="E198" s="56">
        <v>0.82499999999999996</v>
      </c>
    </row>
    <row r="199" spans="1:7" ht="15" customHeight="1" x14ac:dyDescent="0.25">
      <c r="B199" s="56">
        <v>0.25</v>
      </c>
      <c r="C199" s="56">
        <v>0.5</v>
      </c>
      <c r="D199" s="56">
        <v>0.82499999999999996</v>
      </c>
      <c r="E199" s="56">
        <v>0.91</v>
      </c>
    </row>
    <row r="200" spans="1:7" ht="15" customHeight="1" x14ac:dyDescent="0.25">
      <c r="B200" s="56">
        <v>0.5</v>
      </c>
      <c r="C200" s="56">
        <v>0.75</v>
      </c>
      <c r="D200" s="56">
        <v>0.91</v>
      </c>
      <c r="E200" s="56">
        <v>0.96499999999999997</v>
      </c>
    </row>
    <row r="201" spans="1:7" ht="15" customHeight="1" x14ac:dyDescent="0.25">
      <c r="B201" s="56">
        <v>0.75</v>
      </c>
      <c r="C201" s="56">
        <v>1</v>
      </c>
      <c r="D201" s="56">
        <v>0.96499999999999997</v>
      </c>
      <c r="E201" s="56">
        <v>1</v>
      </c>
    </row>
    <row r="202" spans="1:7" ht="15" customHeight="1" x14ac:dyDescent="0.25">
      <c r="B202" s="56">
        <v>1</v>
      </c>
      <c r="C202" s="56">
        <v>1.5</v>
      </c>
      <c r="D202" s="56">
        <v>1</v>
      </c>
      <c r="E202" s="56">
        <v>1.05</v>
      </c>
    </row>
    <row r="203" spans="1:7" ht="15" customHeight="1" x14ac:dyDescent="0.25">
      <c r="B203" s="56">
        <v>1.5</v>
      </c>
      <c r="C203" s="56">
        <v>2</v>
      </c>
      <c r="D203" s="56">
        <v>1.05</v>
      </c>
      <c r="E203" s="56">
        <v>1.0900000000000001</v>
      </c>
    </row>
    <row r="204" spans="1:7" ht="15" customHeight="1" x14ac:dyDescent="0.25">
      <c r="B204" s="56">
        <v>2</v>
      </c>
      <c r="C204" s="56">
        <v>3</v>
      </c>
      <c r="D204" s="56">
        <v>1.0900000000000001</v>
      </c>
      <c r="E204" s="56">
        <v>1.1399999999999999</v>
      </c>
    </row>
    <row r="205" spans="1:7" ht="15" customHeight="1" x14ac:dyDescent="0.25">
      <c r="B205" s="56">
        <v>3</v>
      </c>
      <c r="C205" s="56">
        <v>5</v>
      </c>
      <c r="D205" s="56">
        <v>1.1399999999999999</v>
      </c>
      <c r="E205" s="56">
        <v>1.2050000000000001</v>
      </c>
    </row>
    <row r="206" spans="1:7" ht="15" customHeight="1" x14ac:dyDescent="0.25">
      <c r="B206" s="56">
        <v>5</v>
      </c>
      <c r="C206" s="56">
        <v>7.5</v>
      </c>
      <c r="D206" s="56">
        <v>1.2050000000000001</v>
      </c>
      <c r="E206" s="56">
        <v>1.2949999999999999</v>
      </c>
    </row>
    <row r="207" spans="1:7" ht="15" customHeight="1" x14ac:dyDescent="0.25">
      <c r="B207" s="56">
        <v>7.5</v>
      </c>
      <c r="C207" s="56">
        <v>10</v>
      </c>
      <c r="D207" s="56">
        <v>1.2949999999999999</v>
      </c>
      <c r="E207" s="56">
        <v>1.41</v>
      </c>
    </row>
    <row r="210" spans="1:7" ht="30" customHeight="1" x14ac:dyDescent="0.25">
      <c r="B210" s="74" t="s">
        <v>410</v>
      </c>
      <c r="C210" s="74" t="s">
        <v>411</v>
      </c>
      <c r="D210" s="74" t="s">
        <v>79</v>
      </c>
      <c r="E210" s="74" t="s">
        <v>80</v>
      </c>
      <c r="F210" s="74" t="s">
        <v>412</v>
      </c>
      <c r="G210" s="74" t="s">
        <v>413</v>
      </c>
    </row>
    <row r="211" spans="1:7" ht="15" customHeight="1" x14ac:dyDescent="0.25">
      <c r="A211" t="s">
        <v>416</v>
      </c>
      <c r="B211" s="18">
        <v>0</v>
      </c>
      <c r="C211" s="18">
        <v>100000000</v>
      </c>
      <c r="D211" s="80">
        <v>5.0000000000000001E-4</v>
      </c>
      <c r="E211" s="18"/>
      <c r="F211" s="18">
        <v>2500</v>
      </c>
      <c r="G211" s="18">
        <v>50000</v>
      </c>
    </row>
    <row r="212" spans="1:7" ht="15" customHeight="1" x14ac:dyDescent="0.25">
      <c r="B212" s="18">
        <v>100000000</v>
      </c>
      <c r="C212" s="18"/>
      <c r="D212" s="80">
        <v>1.25E-4</v>
      </c>
      <c r="E212" s="18">
        <v>37500</v>
      </c>
      <c r="F212" s="18">
        <v>50000</v>
      </c>
      <c r="G212" s="18">
        <v>100000</v>
      </c>
    </row>
    <row r="215" spans="1:7" ht="45" customHeight="1" x14ac:dyDescent="0.25">
      <c r="B215" s="74" t="s">
        <v>89</v>
      </c>
      <c r="C215" s="74" t="s">
        <v>90</v>
      </c>
      <c r="D215" s="74" t="s">
        <v>91</v>
      </c>
      <c r="E215" s="74" t="s">
        <v>92</v>
      </c>
    </row>
    <row r="216" spans="1:7" ht="15" customHeight="1" x14ac:dyDescent="0.25">
      <c r="A216" t="s">
        <v>417</v>
      </c>
      <c r="B216" s="56">
        <v>0</v>
      </c>
      <c r="C216" s="56">
        <v>0.1</v>
      </c>
      <c r="D216" s="56">
        <v>1.3</v>
      </c>
      <c r="E216" s="56">
        <v>1.252</v>
      </c>
    </row>
    <row r="217" spans="1:7" ht="15" customHeight="1" x14ac:dyDescent="0.25">
      <c r="B217" s="56">
        <v>0.1</v>
      </c>
      <c r="C217" s="56">
        <v>0.2</v>
      </c>
      <c r="D217" s="56">
        <v>1.252</v>
      </c>
      <c r="E217" s="56">
        <v>1.204</v>
      </c>
    </row>
    <row r="218" spans="1:7" ht="15" customHeight="1" x14ac:dyDescent="0.25">
      <c r="B218" s="56">
        <v>0.2</v>
      </c>
      <c r="C218" s="56">
        <v>0.30000000000000004</v>
      </c>
      <c r="D218" s="56">
        <v>1.204</v>
      </c>
      <c r="E218" s="56">
        <v>1.1559999999999999</v>
      </c>
    </row>
    <row r="219" spans="1:7" ht="15" customHeight="1" x14ac:dyDescent="0.25">
      <c r="B219" s="56">
        <v>0.30000000000000004</v>
      </c>
      <c r="C219" s="56">
        <v>0.4</v>
      </c>
      <c r="D219" s="56">
        <v>1.1559999999999999</v>
      </c>
      <c r="E219" s="56">
        <v>1.1080000000000001</v>
      </c>
    </row>
    <row r="220" spans="1:7" ht="15" customHeight="1" x14ac:dyDescent="0.25">
      <c r="B220" s="56">
        <v>0.4</v>
      </c>
      <c r="C220" s="56">
        <v>0.5</v>
      </c>
      <c r="D220" s="56">
        <v>1.1080000000000001</v>
      </c>
      <c r="E220" s="56">
        <v>1.06</v>
      </c>
    </row>
    <row r="221" spans="1:7" ht="15" customHeight="1" x14ac:dyDescent="0.25">
      <c r="B221" s="56">
        <v>0.5</v>
      </c>
      <c r="C221" s="56">
        <v>0.6</v>
      </c>
      <c r="D221" s="56">
        <v>1.06</v>
      </c>
      <c r="E221" s="56">
        <v>1.044</v>
      </c>
    </row>
    <row r="222" spans="1:7" ht="15" customHeight="1" x14ac:dyDescent="0.25">
      <c r="B222" s="56">
        <v>0.6</v>
      </c>
      <c r="C222" s="56">
        <v>0.7</v>
      </c>
      <c r="D222" s="56">
        <v>1.044</v>
      </c>
      <c r="E222" s="56">
        <v>1.0309999999999999</v>
      </c>
    </row>
    <row r="223" spans="1:7" ht="15" customHeight="1" x14ac:dyDescent="0.25">
      <c r="B223" s="56">
        <v>0.7</v>
      </c>
      <c r="C223" s="56">
        <v>0.79999999999999993</v>
      </c>
      <c r="D223" s="56">
        <v>1.0309999999999999</v>
      </c>
      <c r="E223" s="56">
        <v>1.0195000000000001</v>
      </c>
    </row>
    <row r="224" spans="1:7" ht="15" customHeight="1" x14ac:dyDescent="0.25">
      <c r="B224" s="56">
        <v>0.79999999999999993</v>
      </c>
      <c r="C224" s="56">
        <v>0.89999999999999991</v>
      </c>
      <c r="D224" s="56">
        <v>1.0195000000000001</v>
      </c>
      <c r="E224" s="56">
        <v>1.0089999999999999</v>
      </c>
    </row>
    <row r="225" spans="2:5" ht="15" customHeight="1" x14ac:dyDescent="0.25">
      <c r="B225" s="56">
        <v>0.89999999999999991</v>
      </c>
      <c r="C225" s="56">
        <v>0.99999999999999989</v>
      </c>
      <c r="D225" s="56">
        <v>1.0089999999999999</v>
      </c>
      <c r="E225" s="56">
        <v>1</v>
      </c>
    </row>
    <row r="226" spans="2:5" ht="15" customHeight="1" x14ac:dyDescent="0.25">
      <c r="B226" s="56">
        <v>0.99999999999999989</v>
      </c>
      <c r="C226" s="56">
        <v>1.0999999999999999</v>
      </c>
      <c r="D226" s="56">
        <v>1</v>
      </c>
      <c r="E226" s="56">
        <v>0.99099999999999999</v>
      </c>
    </row>
    <row r="227" spans="2:5" ht="15" customHeight="1" x14ac:dyDescent="0.25">
      <c r="B227" s="56">
        <v>1.0999999999999999</v>
      </c>
      <c r="C227" s="56">
        <v>1.2</v>
      </c>
      <c r="D227" s="56">
        <v>0.99099999999999999</v>
      </c>
      <c r="E227" s="56">
        <v>0.98299999999999998</v>
      </c>
    </row>
    <row r="228" spans="2:5" ht="15" customHeight="1" x14ac:dyDescent="0.25">
      <c r="B228" s="56">
        <v>1.2</v>
      </c>
      <c r="C228" s="56">
        <v>1.3</v>
      </c>
      <c r="D228" s="56">
        <v>0.98299999999999998</v>
      </c>
      <c r="E228" s="56">
        <v>0.97550000000000003</v>
      </c>
    </row>
    <row r="229" spans="2:5" ht="15" customHeight="1" x14ac:dyDescent="0.25">
      <c r="B229" s="56">
        <v>1.3</v>
      </c>
      <c r="C229" s="56">
        <v>1.4000000000000001</v>
      </c>
      <c r="D229" s="56">
        <v>0.97550000000000003</v>
      </c>
      <c r="E229" s="56">
        <v>0.96850000000000003</v>
      </c>
    </row>
    <row r="230" spans="2:5" ht="15" customHeight="1" x14ac:dyDescent="0.25">
      <c r="B230" s="56">
        <v>1.4000000000000001</v>
      </c>
      <c r="C230" s="56">
        <v>1.5000000000000002</v>
      </c>
      <c r="D230" s="56">
        <v>0.96850000000000003</v>
      </c>
      <c r="E230" s="56">
        <v>0.96199999999999997</v>
      </c>
    </row>
    <row r="231" spans="2:5" ht="15" customHeight="1" x14ac:dyDescent="0.25">
      <c r="B231" s="56">
        <v>1.5000000000000002</v>
      </c>
      <c r="C231" s="56">
        <v>1.6000000000000003</v>
      </c>
      <c r="D231" s="56">
        <v>0.96199999999999997</v>
      </c>
      <c r="E231" s="56">
        <v>0.95599999999999996</v>
      </c>
    </row>
    <row r="232" spans="2:5" ht="15" customHeight="1" x14ac:dyDescent="0.25">
      <c r="B232" s="56">
        <v>1.6000000000000003</v>
      </c>
      <c r="C232" s="56">
        <v>1.7000000000000004</v>
      </c>
      <c r="D232" s="56">
        <v>0.95599999999999996</v>
      </c>
      <c r="E232" s="56">
        <v>0.95050000000000001</v>
      </c>
    </row>
    <row r="233" spans="2:5" ht="15" customHeight="1" x14ac:dyDescent="0.25">
      <c r="B233" s="56">
        <v>1.7000000000000004</v>
      </c>
      <c r="C233" s="56">
        <v>1.8000000000000005</v>
      </c>
      <c r="D233" s="56">
        <v>0.95050000000000001</v>
      </c>
      <c r="E233" s="56">
        <v>0.94499999999999995</v>
      </c>
    </row>
    <row r="234" spans="2:5" ht="15" customHeight="1" x14ac:dyDescent="0.25">
      <c r="B234" s="56">
        <v>1.8000000000000005</v>
      </c>
      <c r="C234" s="56">
        <v>1.9000000000000006</v>
      </c>
      <c r="D234" s="56">
        <v>0.94499999999999995</v>
      </c>
      <c r="E234" s="56">
        <v>0.94</v>
      </c>
    </row>
    <row r="235" spans="2:5" ht="15" customHeight="1" x14ac:dyDescent="0.25">
      <c r="B235" s="56">
        <v>1.9000000000000006</v>
      </c>
      <c r="C235" s="56">
        <v>2.0000000000000004</v>
      </c>
      <c r="D235" s="56">
        <v>0.94</v>
      </c>
      <c r="E235" s="56">
        <v>0.9355</v>
      </c>
    </row>
    <row r="236" spans="2:5" ht="15" customHeight="1" x14ac:dyDescent="0.25">
      <c r="B236" s="56">
        <v>2.0000000000000004</v>
      </c>
      <c r="C236" s="56">
        <v>2.1000000000000005</v>
      </c>
      <c r="D236" s="56">
        <v>0.9355</v>
      </c>
      <c r="E236" s="56">
        <v>0.93100000000000005</v>
      </c>
    </row>
    <row r="237" spans="2:5" ht="15" customHeight="1" x14ac:dyDescent="0.25">
      <c r="B237" s="56">
        <v>2.1000000000000005</v>
      </c>
      <c r="C237" s="56">
        <v>2.2000000000000006</v>
      </c>
      <c r="D237" s="56">
        <v>0.93100000000000005</v>
      </c>
      <c r="E237" s="56">
        <v>0.92649999999999999</v>
      </c>
    </row>
    <row r="238" spans="2:5" ht="15" customHeight="1" x14ac:dyDescent="0.25">
      <c r="B238" s="56">
        <v>2.2000000000000006</v>
      </c>
      <c r="C238" s="56">
        <v>2.3000000000000007</v>
      </c>
      <c r="D238" s="56">
        <v>0.92649999999999999</v>
      </c>
      <c r="E238" s="56">
        <v>0.92249999999999999</v>
      </c>
    </row>
    <row r="239" spans="2:5" ht="15" customHeight="1" x14ac:dyDescent="0.25">
      <c r="B239" s="56">
        <v>2.3000000000000007</v>
      </c>
      <c r="C239" s="56">
        <v>2.4000000000000008</v>
      </c>
      <c r="D239" s="56">
        <v>0.92249999999999999</v>
      </c>
      <c r="E239" s="56">
        <v>0.91849999999999998</v>
      </c>
    </row>
    <row r="240" spans="2:5" ht="15" customHeight="1" x14ac:dyDescent="0.25">
      <c r="B240" s="56">
        <v>2.4000000000000008</v>
      </c>
      <c r="C240" s="56">
        <v>2.5000000000000009</v>
      </c>
      <c r="D240" s="56">
        <v>0.91849999999999998</v>
      </c>
      <c r="E240" s="56">
        <v>0.91449999999999998</v>
      </c>
    </row>
    <row r="241" spans="2:5" ht="15" customHeight="1" x14ac:dyDescent="0.25">
      <c r="B241" s="56">
        <v>2.5000000000000009</v>
      </c>
      <c r="C241" s="56">
        <v>2.600000000000001</v>
      </c>
      <c r="D241" s="56">
        <v>0.91449999999999998</v>
      </c>
      <c r="E241" s="56">
        <v>0.91100000000000003</v>
      </c>
    </row>
    <row r="242" spans="2:5" ht="15" customHeight="1" x14ac:dyDescent="0.25">
      <c r="B242" s="56">
        <v>2.600000000000001</v>
      </c>
      <c r="C242" s="56">
        <v>2.7000000000000011</v>
      </c>
      <c r="D242" s="56">
        <v>0.91100000000000003</v>
      </c>
      <c r="E242" s="56">
        <v>0.90749999999999997</v>
      </c>
    </row>
    <row r="243" spans="2:5" ht="15" customHeight="1" x14ac:dyDescent="0.25">
      <c r="B243" s="56">
        <v>2.7000000000000011</v>
      </c>
      <c r="C243" s="56">
        <v>2.8000000000000012</v>
      </c>
      <c r="D243" s="56">
        <v>0.90749999999999997</v>
      </c>
      <c r="E243" s="56">
        <v>0.90400000000000003</v>
      </c>
    </row>
    <row r="244" spans="2:5" ht="15" customHeight="1" x14ac:dyDescent="0.25">
      <c r="B244" s="56">
        <v>2.8000000000000012</v>
      </c>
      <c r="C244" s="56">
        <v>2.9000000000000012</v>
      </c>
      <c r="D244" s="56">
        <v>0.90400000000000003</v>
      </c>
      <c r="E244" s="56">
        <v>0.90100000000000002</v>
      </c>
    </row>
    <row r="245" spans="2:5" ht="15" customHeight="1" x14ac:dyDescent="0.25">
      <c r="B245" s="56">
        <v>2.9000000000000012</v>
      </c>
      <c r="C245" s="56">
        <v>3.0000000000000013</v>
      </c>
      <c r="D245" s="56">
        <v>0.90100000000000002</v>
      </c>
      <c r="E245" s="56">
        <v>0.89749999999999996</v>
      </c>
    </row>
    <row r="246" spans="2:5" ht="15" customHeight="1" x14ac:dyDescent="0.25">
      <c r="B246" s="56">
        <v>3.0000000000000013</v>
      </c>
      <c r="C246" s="56">
        <v>3.1000000000000014</v>
      </c>
      <c r="D246" s="56">
        <v>0.89749999999999996</v>
      </c>
      <c r="E246" s="56">
        <v>0.89449999999999996</v>
      </c>
    </row>
    <row r="247" spans="2:5" ht="15" customHeight="1" x14ac:dyDescent="0.25">
      <c r="B247" s="56">
        <v>3.1000000000000014</v>
      </c>
      <c r="C247" s="56">
        <v>3.2000000000000015</v>
      </c>
      <c r="D247" s="56">
        <v>0.89449999999999996</v>
      </c>
      <c r="E247" s="56">
        <v>0.89149999999999996</v>
      </c>
    </row>
    <row r="248" spans="2:5" ht="15" customHeight="1" x14ac:dyDescent="0.25">
      <c r="B248" s="56">
        <v>3.2000000000000015</v>
      </c>
      <c r="C248" s="56">
        <v>3.3000000000000016</v>
      </c>
      <c r="D248" s="56">
        <v>0.89149999999999996</v>
      </c>
      <c r="E248" s="56">
        <v>0.88849999999999996</v>
      </c>
    </row>
    <row r="249" spans="2:5" ht="15" customHeight="1" x14ac:dyDescent="0.25">
      <c r="B249" s="56">
        <v>3.3000000000000016</v>
      </c>
      <c r="C249" s="56">
        <v>3.4000000000000017</v>
      </c>
      <c r="D249" s="56">
        <v>0.88849999999999996</v>
      </c>
      <c r="E249" s="56">
        <v>0.88600000000000001</v>
      </c>
    </row>
    <row r="250" spans="2:5" ht="15" customHeight="1" x14ac:dyDescent="0.25">
      <c r="B250" s="56">
        <v>3.4000000000000017</v>
      </c>
      <c r="C250" s="56">
        <v>3.5000000000000018</v>
      </c>
      <c r="D250" s="56">
        <v>0.88600000000000001</v>
      </c>
      <c r="E250" s="56">
        <v>0.88300000000000001</v>
      </c>
    </row>
    <row r="251" spans="2:5" ht="15" customHeight="1" x14ac:dyDescent="0.25">
      <c r="B251" s="56">
        <v>3.5000000000000018</v>
      </c>
      <c r="C251" s="56">
        <v>3.6000000000000019</v>
      </c>
      <c r="D251" s="56">
        <v>0.88300000000000001</v>
      </c>
      <c r="E251" s="56">
        <v>0.88049999999999995</v>
      </c>
    </row>
    <row r="252" spans="2:5" ht="15" customHeight="1" x14ac:dyDescent="0.25">
      <c r="B252" s="56">
        <v>3.6000000000000019</v>
      </c>
      <c r="C252" s="56">
        <v>3.700000000000002</v>
      </c>
      <c r="D252" s="56">
        <v>0.88049999999999995</v>
      </c>
      <c r="E252" s="56">
        <v>0.878</v>
      </c>
    </row>
    <row r="253" spans="2:5" ht="15" customHeight="1" x14ac:dyDescent="0.25">
      <c r="B253" s="56">
        <v>3.700000000000002</v>
      </c>
      <c r="C253" s="56">
        <v>3.800000000000002</v>
      </c>
      <c r="D253" s="56">
        <v>0.878</v>
      </c>
      <c r="E253" s="56">
        <v>0.87549999999999994</v>
      </c>
    </row>
    <row r="254" spans="2:5" ht="15" customHeight="1" x14ac:dyDescent="0.25">
      <c r="B254" s="56">
        <v>3.800000000000002</v>
      </c>
      <c r="C254" s="56">
        <v>3.9000000000000021</v>
      </c>
      <c r="D254" s="56">
        <v>0.87549999999999994</v>
      </c>
      <c r="E254" s="56">
        <v>0.873</v>
      </c>
    </row>
    <row r="255" spans="2:5" ht="15" customHeight="1" x14ac:dyDescent="0.25">
      <c r="B255" s="56">
        <v>3.9000000000000021</v>
      </c>
      <c r="C255" s="56">
        <v>4.0000000000000018</v>
      </c>
      <c r="D255" s="56">
        <v>0.873</v>
      </c>
      <c r="E255" s="56">
        <v>0.871</v>
      </c>
    </row>
    <row r="256" spans="2:5" ht="15" customHeight="1" x14ac:dyDescent="0.25">
      <c r="B256" s="56">
        <v>4.0000000000000018</v>
      </c>
      <c r="C256" s="56">
        <v>4.1000000000000014</v>
      </c>
      <c r="D256" s="56">
        <v>0.871</v>
      </c>
      <c r="E256" s="56">
        <v>0.86850000000000005</v>
      </c>
    </row>
    <row r="257" spans="2:5" ht="15" customHeight="1" x14ac:dyDescent="0.25">
      <c r="B257" s="56">
        <v>4.1000000000000014</v>
      </c>
      <c r="C257" s="56">
        <v>4.2000000000000011</v>
      </c>
      <c r="D257" s="56">
        <v>0.86850000000000005</v>
      </c>
      <c r="E257" s="56">
        <v>0.86599999999999999</v>
      </c>
    </row>
    <row r="258" spans="2:5" ht="15" customHeight="1" x14ac:dyDescent="0.25">
      <c r="B258" s="56">
        <v>4.2000000000000011</v>
      </c>
      <c r="C258" s="56">
        <v>4.3000000000000007</v>
      </c>
      <c r="D258" s="56">
        <v>0.86599999999999999</v>
      </c>
      <c r="E258" s="56">
        <v>0.86399999999999999</v>
      </c>
    </row>
    <row r="259" spans="2:5" ht="15" customHeight="1" x14ac:dyDescent="0.25">
      <c r="B259" s="56">
        <v>4.3000000000000007</v>
      </c>
      <c r="C259" s="56">
        <v>4.4000000000000004</v>
      </c>
      <c r="D259" s="56">
        <v>0.86399999999999999</v>
      </c>
      <c r="E259" s="56">
        <v>0.86199999999999999</v>
      </c>
    </row>
    <row r="260" spans="2:5" ht="15" customHeight="1" x14ac:dyDescent="0.25">
      <c r="B260" s="56">
        <v>4.4000000000000004</v>
      </c>
      <c r="C260" s="56">
        <v>4.5</v>
      </c>
      <c r="D260" s="56">
        <v>0.86199999999999999</v>
      </c>
      <c r="E260" s="56">
        <v>0.86</v>
      </c>
    </row>
    <row r="261" spans="2:5" ht="15" customHeight="1" x14ac:dyDescent="0.25">
      <c r="B261" s="56">
        <v>4.5</v>
      </c>
      <c r="C261" s="56">
        <v>4.5999999999999996</v>
      </c>
      <c r="D261" s="56">
        <v>0.86</v>
      </c>
      <c r="E261" s="56">
        <v>0.85799999999999998</v>
      </c>
    </row>
    <row r="262" spans="2:5" ht="15" customHeight="1" x14ac:dyDescent="0.25">
      <c r="B262" s="56">
        <v>4.5999999999999996</v>
      </c>
      <c r="C262" s="56">
        <v>4.6999999999999993</v>
      </c>
      <c r="D262" s="56">
        <v>0.85799999999999998</v>
      </c>
      <c r="E262" s="56">
        <v>0.85599999999999998</v>
      </c>
    </row>
    <row r="263" spans="2:5" ht="15" customHeight="1" x14ac:dyDescent="0.25">
      <c r="B263" s="56">
        <v>4.6999999999999993</v>
      </c>
      <c r="C263" s="56">
        <v>4.7999999999999989</v>
      </c>
      <c r="D263" s="56">
        <v>0.85599999999999998</v>
      </c>
      <c r="E263" s="56">
        <v>0.85399999999999998</v>
      </c>
    </row>
    <row r="264" spans="2:5" ht="15" customHeight="1" x14ac:dyDescent="0.25">
      <c r="B264" s="56">
        <v>4.7999999999999989</v>
      </c>
      <c r="C264" s="56">
        <v>4.8999999999999986</v>
      </c>
      <c r="D264" s="56">
        <v>0.85399999999999998</v>
      </c>
      <c r="E264" s="56">
        <v>0.85199999999999998</v>
      </c>
    </row>
    <row r="265" spans="2:5" ht="15" customHeight="1" x14ac:dyDescent="0.25">
      <c r="B265" s="56">
        <v>4.9000000000000004</v>
      </c>
      <c r="C265" s="56">
        <v>5</v>
      </c>
      <c r="D265" s="56">
        <f t="shared" ref="D265:D296" si="7">E264</f>
        <v>0.85199999999999998</v>
      </c>
      <c r="E265" s="56">
        <v>0.85</v>
      </c>
    </row>
    <row r="266" spans="2:5" ht="15" customHeight="1" x14ac:dyDescent="0.25">
      <c r="B266" s="56">
        <v>5</v>
      </c>
      <c r="C266" s="56">
        <v>5.0999999999999996</v>
      </c>
      <c r="D266" s="56">
        <f t="shared" si="7"/>
        <v>0.85</v>
      </c>
      <c r="E266" s="56">
        <v>0.84830000000000005</v>
      </c>
    </row>
    <row r="267" spans="2:5" ht="15" customHeight="1" x14ac:dyDescent="0.25">
      <c r="B267" s="56">
        <v>5.0999999999999996</v>
      </c>
      <c r="C267" s="56">
        <v>5.2</v>
      </c>
      <c r="D267" s="56">
        <f t="shared" si="7"/>
        <v>0.84830000000000005</v>
      </c>
      <c r="E267" s="56">
        <v>0.84660000000000002</v>
      </c>
    </row>
    <row r="268" spans="2:5" ht="15" customHeight="1" x14ac:dyDescent="0.25">
      <c r="B268" s="56">
        <v>5.2</v>
      </c>
      <c r="C268" s="56">
        <v>5.3</v>
      </c>
      <c r="D268" s="56">
        <f t="shared" si="7"/>
        <v>0.84660000000000002</v>
      </c>
      <c r="E268" s="56">
        <v>0.84499999999999997</v>
      </c>
    </row>
    <row r="269" spans="2:5" ht="15" customHeight="1" x14ac:dyDescent="0.25">
      <c r="B269" s="56">
        <v>5.3</v>
      </c>
      <c r="C269" s="56">
        <v>5.4</v>
      </c>
      <c r="D269" s="56">
        <f t="shared" si="7"/>
        <v>0.84499999999999997</v>
      </c>
      <c r="E269" s="56">
        <v>0.84330000000000005</v>
      </c>
    </row>
    <row r="270" spans="2:5" ht="15" customHeight="1" x14ac:dyDescent="0.25">
      <c r="B270" s="56">
        <v>5.4</v>
      </c>
      <c r="C270" s="56">
        <v>5.5</v>
      </c>
      <c r="D270" s="56">
        <f t="shared" si="7"/>
        <v>0.84330000000000005</v>
      </c>
      <c r="E270" s="56">
        <v>0.84179999999999999</v>
      </c>
    </row>
    <row r="271" spans="2:5" ht="15" customHeight="1" x14ac:dyDescent="0.25">
      <c r="B271" s="56">
        <v>5.5</v>
      </c>
      <c r="C271" s="56">
        <v>5.6</v>
      </c>
      <c r="D271" s="56">
        <f t="shared" si="7"/>
        <v>0.84179999999999999</v>
      </c>
      <c r="E271" s="56">
        <v>0.84019999999999995</v>
      </c>
    </row>
    <row r="272" spans="2:5" ht="15" customHeight="1" x14ac:dyDescent="0.25">
      <c r="B272" s="56">
        <v>5.6</v>
      </c>
      <c r="C272" s="56">
        <v>5.7</v>
      </c>
      <c r="D272" s="56">
        <f t="shared" si="7"/>
        <v>0.84019999999999995</v>
      </c>
      <c r="E272" s="56">
        <v>0.8387</v>
      </c>
    </row>
    <row r="273" spans="2:5" ht="15" customHeight="1" x14ac:dyDescent="0.25">
      <c r="B273" s="56">
        <v>5.7</v>
      </c>
      <c r="C273" s="56">
        <v>5.8</v>
      </c>
      <c r="D273" s="56">
        <f t="shared" si="7"/>
        <v>0.8387</v>
      </c>
      <c r="E273" s="56">
        <v>0.83720000000000006</v>
      </c>
    </row>
    <row r="274" spans="2:5" ht="15" customHeight="1" x14ac:dyDescent="0.25">
      <c r="B274" s="56">
        <v>5.8</v>
      </c>
      <c r="C274" s="56">
        <v>5.9</v>
      </c>
      <c r="D274" s="56">
        <f t="shared" si="7"/>
        <v>0.83720000000000006</v>
      </c>
      <c r="E274" s="56">
        <v>0.83579999999999999</v>
      </c>
    </row>
    <row r="275" spans="2:5" ht="15" customHeight="1" x14ac:dyDescent="0.25">
      <c r="B275" s="56">
        <v>5.9</v>
      </c>
      <c r="C275" s="56">
        <v>6</v>
      </c>
      <c r="D275" s="56">
        <f t="shared" si="7"/>
        <v>0.83579999999999999</v>
      </c>
      <c r="E275" s="56">
        <v>0.83430000000000004</v>
      </c>
    </row>
    <row r="276" spans="2:5" ht="15" customHeight="1" x14ac:dyDescent="0.25">
      <c r="B276" s="56">
        <v>6</v>
      </c>
      <c r="C276" s="56">
        <v>6.1</v>
      </c>
      <c r="D276" s="56">
        <f t="shared" si="7"/>
        <v>0.83430000000000004</v>
      </c>
      <c r="E276" s="56">
        <v>0.83289999999999997</v>
      </c>
    </row>
    <row r="277" spans="2:5" ht="15" customHeight="1" x14ac:dyDescent="0.25">
      <c r="B277" s="56">
        <v>6.1</v>
      </c>
      <c r="C277" s="56">
        <v>6.2</v>
      </c>
      <c r="D277" s="56">
        <f t="shared" si="7"/>
        <v>0.83289999999999997</v>
      </c>
      <c r="E277" s="56">
        <v>0.83150000000000002</v>
      </c>
    </row>
    <row r="278" spans="2:5" ht="15" customHeight="1" x14ac:dyDescent="0.25">
      <c r="B278" s="56">
        <v>6.1999999999999904</v>
      </c>
      <c r="C278" s="56">
        <v>6.2999999999999901</v>
      </c>
      <c r="D278" s="56">
        <f t="shared" si="7"/>
        <v>0.83150000000000002</v>
      </c>
      <c r="E278" s="56">
        <v>0.83020000000000005</v>
      </c>
    </row>
    <row r="279" spans="2:5" ht="15" customHeight="1" x14ac:dyDescent="0.25">
      <c r="B279" s="56">
        <v>6.2999999999999901</v>
      </c>
      <c r="C279" s="56">
        <v>6.3999999999999897</v>
      </c>
      <c r="D279" s="56">
        <f t="shared" si="7"/>
        <v>0.83020000000000005</v>
      </c>
      <c r="E279" s="56">
        <v>0.82879999999999998</v>
      </c>
    </row>
    <row r="280" spans="2:5" ht="15" customHeight="1" x14ac:dyDescent="0.25">
      <c r="B280" s="56">
        <v>6.3999999999999897</v>
      </c>
      <c r="C280" s="56">
        <v>6.4999999999999902</v>
      </c>
      <c r="D280" s="56">
        <f t="shared" si="7"/>
        <v>0.82879999999999998</v>
      </c>
      <c r="E280" s="56">
        <v>0.82750000000000001</v>
      </c>
    </row>
    <row r="281" spans="2:5" ht="15" customHeight="1" x14ac:dyDescent="0.25">
      <c r="B281" s="56">
        <v>6.4999999999999902</v>
      </c>
      <c r="C281" s="56">
        <v>6.5999999999999899</v>
      </c>
      <c r="D281" s="56">
        <f t="shared" si="7"/>
        <v>0.82750000000000001</v>
      </c>
      <c r="E281" s="56">
        <v>0.82620000000000005</v>
      </c>
    </row>
    <row r="282" spans="2:5" ht="15" customHeight="1" x14ac:dyDescent="0.25">
      <c r="B282" s="56">
        <v>6.5999999999999899</v>
      </c>
      <c r="C282" s="56">
        <v>6.6999999999999904</v>
      </c>
      <c r="D282" s="56">
        <f t="shared" si="7"/>
        <v>0.82620000000000005</v>
      </c>
      <c r="E282" s="56">
        <v>0.82499999999999996</v>
      </c>
    </row>
    <row r="283" spans="2:5" ht="15" customHeight="1" x14ac:dyDescent="0.25">
      <c r="B283" s="56">
        <v>6.6999999999999904</v>
      </c>
      <c r="C283" s="56">
        <v>6.7999999999999901</v>
      </c>
      <c r="D283" s="56">
        <f t="shared" si="7"/>
        <v>0.82499999999999996</v>
      </c>
      <c r="E283" s="56">
        <v>0.82369999999999999</v>
      </c>
    </row>
    <row r="284" spans="2:5" ht="15" customHeight="1" x14ac:dyDescent="0.25">
      <c r="B284" s="56">
        <v>6.7999999999999901</v>
      </c>
      <c r="C284" s="56">
        <v>6.8999999999999897</v>
      </c>
      <c r="D284" s="56">
        <f t="shared" si="7"/>
        <v>0.82369999999999999</v>
      </c>
      <c r="E284" s="56">
        <v>0.82250000000000001</v>
      </c>
    </row>
    <row r="285" spans="2:5" ht="15" customHeight="1" x14ac:dyDescent="0.25">
      <c r="B285" s="56">
        <v>6.8999999999999897</v>
      </c>
      <c r="C285" s="56">
        <v>6.9999999999999902</v>
      </c>
      <c r="D285" s="56">
        <f t="shared" si="7"/>
        <v>0.82250000000000001</v>
      </c>
      <c r="E285" s="56">
        <v>0.82130000000000003</v>
      </c>
    </row>
    <row r="286" spans="2:5" ht="15" customHeight="1" x14ac:dyDescent="0.25">
      <c r="B286" s="56">
        <v>6.9999999999999902</v>
      </c>
      <c r="C286" s="56">
        <v>7.0999999999999899</v>
      </c>
      <c r="D286" s="56">
        <f t="shared" si="7"/>
        <v>0.82130000000000003</v>
      </c>
      <c r="E286" s="56">
        <v>0.82010000000000005</v>
      </c>
    </row>
    <row r="287" spans="2:5" ht="15" customHeight="1" x14ac:dyDescent="0.25">
      <c r="B287" s="56">
        <v>7.0999999999999899</v>
      </c>
      <c r="C287" s="56">
        <v>7.1999999999999904</v>
      </c>
      <c r="D287" s="56">
        <f t="shared" si="7"/>
        <v>0.82010000000000005</v>
      </c>
      <c r="E287" s="56">
        <v>0.81889999999999996</v>
      </c>
    </row>
    <row r="288" spans="2:5" ht="15" customHeight="1" x14ac:dyDescent="0.25">
      <c r="B288" s="56">
        <v>7.1999999999999904</v>
      </c>
      <c r="C288" s="56">
        <v>7.2999999999999901</v>
      </c>
      <c r="D288" s="56">
        <f t="shared" si="7"/>
        <v>0.81889999999999996</v>
      </c>
      <c r="E288" s="56">
        <v>0.81779999999999997</v>
      </c>
    </row>
    <row r="289" spans="2:5" ht="15" customHeight="1" x14ac:dyDescent="0.25">
      <c r="B289" s="56">
        <v>7.2999999999999901</v>
      </c>
      <c r="C289" s="56">
        <v>7.3999999999999897</v>
      </c>
      <c r="D289" s="56">
        <f t="shared" si="7"/>
        <v>0.81779999999999997</v>
      </c>
      <c r="E289" s="56">
        <v>0.81659999999999999</v>
      </c>
    </row>
    <row r="290" spans="2:5" ht="15" customHeight="1" x14ac:dyDescent="0.25">
      <c r="B290" s="56">
        <v>7.3999999999999897</v>
      </c>
      <c r="C290" s="56">
        <v>7.4999999999999902</v>
      </c>
      <c r="D290" s="56">
        <f t="shared" si="7"/>
        <v>0.81659999999999999</v>
      </c>
      <c r="E290" s="56">
        <v>0.8155</v>
      </c>
    </row>
    <row r="291" spans="2:5" ht="15" customHeight="1" x14ac:dyDescent="0.25">
      <c r="B291" s="56">
        <v>7.4999999999999902</v>
      </c>
      <c r="C291" s="56">
        <v>7.5999999999999899</v>
      </c>
      <c r="D291" s="56">
        <f t="shared" si="7"/>
        <v>0.8155</v>
      </c>
      <c r="E291" s="56">
        <v>0.81440000000000001</v>
      </c>
    </row>
    <row r="292" spans="2:5" ht="15" customHeight="1" x14ac:dyDescent="0.25">
      <c r="B292" s="56">
        <v>7.5999999999999899</v>
      </c>
      <c r="C292" s="56">
        <v>7.6999999999999904</v>
      </c>
      <c r="D292" s="56">
        <f t="shared" si="7"/>
        <v>0.81440000000000001</v>
      </c>
      <c r="E292" s="56">
        <v>0.81330000000000002</v>
      </c>
    </row>
    <row r="293" spans="2:5" ht="15" customHeight="1" x14ac:dyDescent="0.25">
      <c r="B293" s="56">
        <v>7.6999999999999904</v>
      </c>
      <c r="C293" s="56">
        <v>7.7999999999999901</v>
      </c>
      <c r="D293" s="56">
        <f t="shared" si="7"/>
        <v>0.81330000000000002</v>
      </c>
      <c r="E293" s="56">
        <v>0.81230000000000002</v>
      </c>
    </row>
    <row r="294" spans="2:5" ht="15" customHeight="1" x14ac:dyDescent="0.25">
      <c r="B294" s="56">
        <v>7.7999999999999901</v>
      </c>
      <c r="C294" s="56">
        <v>7.8999999999999897</v>
      </c>
      <c r="D294" s="56">
        <f t="shared" si="7"/>
        <v>0.81230000000000002</v>
      </c>
      <c r="E294" s="56">
        <v>0.81120000000000003</v>
      </c>
    </row>
    <row r="295" spans="2:5" ht="15" customHeight="1" x14ac:dyDescent="0.25">
      <c r="B295" s="56">
        <v>7.8999999999999897</v>
      </c>
      <c r="C295" s="56">
        <v>7.9999999999999902</v>
      </c>
      <c r="D295" s="56">
        <f t="shared" si="7"/>
        <v>0.81120000000000003</v>
      </c>
      <c r="E295" s="56">
        <v>0.81020000000000003</v>
      </c>
    </row>
    <row r="296" spans="2:5" ht="15" customHeight="1" x14ac:dyDescent="0.25">
      <c r="B296" s="56">
        <v>7.9999999999999902</v>
      </c>
      <c r="C296" s="56">
        <v>8.0999999999999908</v>
      </c>
      <c r="D296" s="56">
        <f t="shared" si="7"/>
        <v>0.81020000000000003</v>
      </c>
      <c r="E296" s="56">
        <v>0.80910000000000004</v>
      </c>
    </row>
    <row r="297" spans="2:5" ht="15" customHeight="1" x14ac:dyDescent="0.25">
      <c r="B297" s="56">
        <v>8.0999999999999908</v>
      </c>
      <c r="C297" s="56">
        <v>8.1999999999999904</v>
      </c>
      <c r="D297" s="56">
        <f t="shared" ref="D297:D315" si="8">E296</f>
        <v>0.80910000000000004</v>
      </c>
      <c r="E297" s="56">
        <v>0.80810000000000004</v>
      </c>
    </row>
    <row r="298" spans="2:5" ht="15" customHeight="1" x14ac:dyDescent="0.25">
      <c r="B298" s="56">
        <v>8.1999999999999904</v>
      </c>
      <c r="C298" s="56">
        <v>8.2999999999999901</v>
      </c>
      <c r="D298" s="56">
        <f t="shared" si="8"/>
        <v>0.80810000000000004</v>
      </c>
      <c r="E298" s="56">
        <v>0.80710000000000004</v>
      </c>
    </row>
    <row r="299" spans="2:5" ht="15" customHeight="1" x14ac:dyDescent="0.25">
      <c r="B299" s="56">
        <v>8.2999999999999901</v>
      </c>
      <c r="C299" s="56">
        <v>8.3999999999999897</v>
      </c>
      <c r="D299" s="56">
        <f t="shared" si="8"/>
        <v>0.80710000000000004</v>
      </c>
      <c r="E299" s="56">
        <v>0.80610000000000004</v>
      </c>
    </row>
    <row r="300" spans="2:5" ht="15" customHeight="1" x14ac:dyDescent="0.25">
      <c r="B300" s="56">
        <v>8.3999999999999897</v>
      </c>
      <c r="C300" s="56">
        <v>8.4999999999999893</v>
      </c>
      <c r="D300" s="56">
        <f t="shared" si="8"/>
        <v>0.80610000000000004</v>
      </c>
      <c r="E300" s="56">
        <v>0.80520000000000003</v>
      </c>
    </row>
    <row r="301" spans="2:5" ht="15" customHeight="1" x14ac:dyDescent="0.25">
      <c r="B301" s="56">
        <v>8.4999999999999893</v>
      </c>
      <c r="C301" s="56">
        <v>8.5999999999999908</v>
      </c>
      <c r="D301" s="56">
        <f t="shared" si="8"/>
        <v>0.80520000000000003</v>
      </c>
      <c r="E301" s="56">
        <v>0.80420000000000003</v>
      </c>
    </row>
    <row r="302" spans="2:5" ht="15" customHeight="1" x14ac:dyDescent="0.25">
      <c r="B302" s="56">
        <v>8.5999999999999908</v>
      </c>
      <c r="C302" s="56">
        <v>8.6999999999999904</v>
      </c>
      <c r="D302" s="56">
        <f t="shared" si="8"/>
        <v>0.80420000000000003</v>
      </c>
      <c r="E302" s="56">
        <v>0.80330000000000001</v>
      </c>
    </row>
    <row r="303" spans="2:5" ht="15" customHeight="1" x14ac:dyDescent="0.25">
      <c r="B303" s="56">
        <v>8.6999999999999904</v>
      </c>
      <c r="C303" s="56">
        <v>8.7999999999999901</v>
      </c>
      <c r="D303" s="56">
        <f t="shared" si="8"/>
        <v>0.80330000000000001</v>
      </c>
      <c r="E303" s="56">
        <v>0.80230000000000001</v>
      </c>
    </row>
    <row r="304" spans="2:5" ht="15" customHeight="1" x14ac:dyDescent="0.25">
      <c r="B304" s="56">
        <v>8.7999999999999901</v>
      </c>
      <c r="C304" s="56">
        <v>8.8999999999999897</v>
      </c>
      <c r="D304" s="56">
        <f t="shared" si="8"/>
        <v>0.80230000000000001</v>
      </c>
      <c r="E304" s="56">
        <v>0.8014</v>
      </c>
    </row>
    <row r="305" spans="1:5" ht="15" customHeight="1" x14ac:dyDescent="0.25">
      <c r="B305" s="56">
        <v>8.8999999999999897</v>
      </c>
      <c r="C305" s="56">
        <v>8.9999999999999893</v>
      </c>
      <c r="D305" s="56">
        <f t="shared" si="8"/>
        <v>0.8014</v>
      </c>
      <c r="E305" s="56">
        <v>0.80049999999999999</v>
      </c>
    </row>
    <row r="306" spans="1:5" ht="15" customHeight="1" x14ac:dyDescent="0.25">
      <c r="B306" s="56">
        <v>8.9999999999999805</v>
      </c>
      <c r="C306" s="56">
        <v>9.0999999999999801</v>
      </c>
      <c r="D306" s="56">
        <f t="shared" si="8"/>
        <v>0.80049999999999999</v>
      </c>
      <c r="E306" s="56">
        <v>0.79959999999999998</v>
      </c>
    </row>
    <row r="307" spans="1:5" ht="15" customHeight="1" x14ac:dyDescent="0.25">
      <c r="B307" s="56">
        <v>9.0999999999999801</v>
      </c>
      <c r="C307" s="56">
        <v>9.1999999999999797</v>
      </c>
      <c r="D307" s="56">
        <f t="shared" si="8"/>
        <v>0.79959999999999998</v>
      </c>
      <c r="E307" s="56">
        <v>0.79869999999999997</v>
      </c>
    </row>
    <row r="308" spans="1:5" ht="15" customHeight="1" x14ac:dyDescent="0.25">
      <c r="B308" s="56">
        <v>9.1999999999999797</v>
      </c>
      <c r="C308" s="56">
        <v>9.2999999999999794</v>
      </c>
      <c r="D308" s="56">
        <f t="shared" si="8"/>
        <v>0.79869999999999997</v>
      </c>
      <c r="E308" s="56">
        <v>0.79779999999999995</v>
      </c>
    </row>
    <row r="309" spans="1:5" ht="15" customHeight="1" x14ac:dyDescent="0.25">
      <c r="B309" s="56">
        <v>9.2999999999999794</v>
      </c>
      <c r="C309" s="56">
        <v>9.3999999999999808</v>
      </c>
      <c r="D309" s="56">
        <f t="shared" si="8"/>
        <v>0.79779999999999995</v>
      </c>
      <c r="E309" s="56">
        <v>0.79690000000000005</v>
      </c>
    </row>
    <row r="310" spans="1:5" ht="15" customHeight="1" x14ac:dyDescent="0.25">
      <c r="B310" s="56">
        <v>9.3999999999999808</v>
      </c>
      <c r="C310" s="56">
        <v>9.4999999999999805</v>
      </c>
      <c r="D310" s="56">
        <f t="shared" si="8"/>
        <v>0.79690000000000005</v>
      </c>
      <c r="E310" s="56">
        <v>0.79610000000000003</v>
      </c>
    </row>
    <row r="311" spans="1:5" ht="15" customHeight="1" x14ac:dyDescent="0.25">
      <c r="B311" s="56">
        <v>9.4999999999999805</v>
      </c>
      <c r="C311" s="56">
        <v>9.5999999999999801</v>
      </c>
      <c r="D311" s="56">
        <f t="shared" si="8"/>
        <v>0.79610000000000003</v>
      </c>
      <c r="E311" s="56">
        <v>0.79520000000000002</v>
      </c>
    </row>
    <row r="312" spans="1:5" ht="15" customHeight="1" x14ac:dyDescent="0.25">
      <c r="B312" s="56">
        <v>9.5999999999999801</v>
      </c>
      <c r="C312" s="56">
        <v>9.6999999999999797</v>
      </c>
      <c r="D312" s="56">
        <f t="shared" si="8"/>
        <v>0.79520000000000002</v>
      </c>
      <c r="E312" s="56">
        <v>0.7944</v>
      </c>
    </row>
    <row r="313" spans="1:5" ht="15" customHeight="1" x14ac:dyDescent="0.25">
      <c r="B313" s="56">
        <v>9.6999999999999797</v>
      </c>
      <c r="C313" s="56">
        <v>9.7999999999999794</v>
      </c>
      <c r="D313" s="56">
        <f t="shared" si="8"/>
        <v>0.7944</v>
      </c>
      <c r="E313" s="56">
        <v>0.79359999999999997</v>
      </c>
    </row>
    <row r="314" spans="1:5" ht="15" customHeight="1" x14ac:dyDescent="0.25">
      <c r="B314" s="56">
        <v>9.7999999999999794</v>
      </c>
      <c r="C314" s="56">
        <v>9.8999999999999808</v>
      </c>
      <c r="D314" s="56">
        <f t="shared" si="8"/>
        <v>0.79359999999999997</v>
      </c>
      <c r="E314" s="56">
        <v>0.79269999999999996</v>
      </c>
    </row>
    <row r="315" spans="1:5" ht="15" customHeight="1" x14ac:dyDescent="0.25">
      <c r="B315" s="56">
        <v>9.8999999999999808</v>
      </c>
      <c r="C315" s="56">
        <v>9.9999999999999805</v>
      </c>
      <c r="D315" s="56">
        <f t="shared" si="8"/>
        <v>0.79269999999999996</v>
      </c>
      <c r="E315" s="82">
        <v>0.79190000000000005</v>
      </c>
    </row>
    <row r="318" spans="1:5" ht="60" customHeight="1" x14ac:dyDescent="0.25">
      <c r="B318" s="74" t="s">
        <v>418</v>
      </c>
      <c r="C318" s="74" t="s">
        <v>419</v>
      </c>
      <c r="D318" s="74" t="s">
        <v>420</v>
      </c>
      <c r="E318" s="74" t="s">
        <v>421</v>
      </c>
    </row>
    <row r="319" spans="1:5" ht="15" customHeight="1" x14ac:dyDescent="0.25">
      <c r="A319" t="s">
        <v>422</v>
      </c>
      <c r="B319" t="s">
        <v>423</v>
      </c>
      <c r="C319" s="56">
        <v>1</v>
      </c>
      <c r="D319" s="56">
        <v>1</v>
      </c>
      <c r="E319" s="56">
        <v>1</v>
      </c>
    </row>
    <row r="320" spans="1:5" ht="15" customHeight="1" x14ac:dyDescent="0.25">
      <c r="A320" t="s">
        <v>424</v>
      </c>
      <c r="B320" t="s">
        <v>425</v>
      </c>
      <c r="C320" s="56">
        <v>1.25</v>
      </c>
      <c r="D320" s="56">
        <v>1.05</v>
      </c>
      <c r="E320" s="56">
        <v>1.5</v>
      </c>
    </row>
    <row r="321" spans="1:5" ht="15" customHeight="1" x14ac:dyDescent="0.25">
      <c r="B321" t="s">
        <v>426</v>
      </c>
      <c r="C321" s="56">
        <v>1.5</v>
      </c>
      <c r="D321" s="56">
        <v>1.05</v>
      </c>
      <c r="E321" s="56">
        <v>1.5</v>
      </c>
    </row>
    <row r="325" spans="1:5" ht="15" customHeight="1" x14ac:dyDescent="0.25">
      <c r="B325" s="74" t="s">
        <v>418</v>
      </c>
      <c r="C325" s="74" t="s">
        <v>419</v>
      </c>
      <c r="D325" s="74" t="s">
        <v>420</v>
      </c>
      <c r="E325" s="74" t="s">
        <v>421</v>
      </c>
    </row>
    <row r="326" spans="1:5" ht="15" customHeight="1" x14ac:dyDescent="0.25">
      <c r="A326" t="s">
        <v>427</v>
      </c>
      <c r="B326">
        <v>0</v>
      </c>
      <c r="C326" s="83">
        <v>1</v>
      </c>
      <c r="D326" s="83">
        <v>0.7</v>
      </c>
      <c r="E326" s="83">
        <v>1</v>
      </c>
    </row>
    <row r="327" spans="1:5" ht="15" customHeight="1" x14ac:dyDescent="0.25">
      <c r="A327" t="s">
        <v>428</v>
      </c>
      <c r="B327">
        <v>1</v>
      </c>
      <c r="C327" s="83">
        <v>1.1499999999999999</v>
      </c>
      <c r="D327" s="83">
        <v>1.01</v>
      </c>
      <c r="E327" s="83">
        <v>1.1499999999999999</v>
      </c>
    </row>
    <row r="328" spans="1:5" ht="15" customHeight="1" x14ac:dyDescent="0.25">
      <c r="B328">
        <v>2</v>
      </c>
      <c r="C328" s="83">
        <v>1.3</v>
      </c>
      <c r="D328" s="83">
        <v>1.1599999999999999</v>
      </c>
      <c r="E328" s="83">
        <v>1.3</v>
      </c>
    </row>
    <row r="329" spans="1:5" ht="15" customHeight="1" x14ac:dyDescent="0.25">
      <c r="B329">
        <v>3</v>
      </c>
      <c r="C329" s="83">
        <v>1.5</v>
      </c>
      <c r="D329" s="83">
        <v>1.5</v>
      </c>
      <c r="E329" s="83">
        <v>2</v>
      </c>
    </row>
    <row r="330" spans="1:5" ht="15" customHeight="1" x14ac:dyDescent="0.25">
      <c r="B330">
        <v>4</v>
      </c>
      <c r="C330" s="83">
        <v>2.5</v>
      </c>
      <c r="D330" s="83">
        <v>2.0099999999999998</v>
      </c>
      <c r="E330" s="83">
        <v>2.5</v>
      </c>
    </row>
    <row r="333" spans="1:5" ht="15" customHeight="1" x14ac:dyDescent="0.25">
      <c r="B333" s="74" t="s">
        <v>418</v>
      </c>
      <c r="C333" s="74" t="s">
        <v>419</v>
      </c>
      <c r="D333" s="74" t="s">
        <v>420</v>
      </c>
      <c r="E333" s="74" t="s">
        <v>421</v>
      </c>
    </row>
    <row r="334" spans="1:5" ht="15" customHeight="1" x14ac:dyDescent="0.25">
      <c r="A334" t="s">
        <v>429</v>
      </c>
      <c r="B334" t="s">
        <v>108</v>
      </c>
      <c r="C334" s="83">
        <v>1</v>
      </c>
      <c r="D334" s="83">
        <v>0.7</v>
      </c>
      <c r="E334" s="83">
        <v>1</v>
      </c>
    </row>
    <row r="335" spans="1:5" ht="15" customHeight="1" x14ac:dyDescent="0.25">
      <c r="A335" t="s">
        <v>430</v>
      </c>
      <c r="B335" t="s">
        <v>431</v>
      </c>
      <c r="C335" s="83">
        <v>1.1499999999999999</v>
      </c>
      <c r="D335" s="83">
        <v>1.01</v>
      </c>
      <c r="E335" s="83">
        <v>1.1499999999999999</v>
      </c>
    </row>
    <row r="336" spans="1:5" ht="15" customHeight="1" x14ac:dyDescent="0.25">
      <c r="B336" s="84" t="s">
        <v>432</v>
      </c>
      <c r="C336" s="83">
        <v>1.3</v>
      </c>
      <c r="D336" s="83">
        <v>1.1599999999999999</v>
      </c>
      <c r="E336" s="83">
        <v>1.3</v>
      </c>
    </row>
    <row r="337" spans="1:5" ht="15" customHeight="1" x14ac:dyDescent="0.25">
      <c r="B337" s="84" t="s">
        <v>433</v>
      </c>
      <c r="C337" s="83">
        <v>1.5</v>
      </c>
      <c r="D337" s="83">
        <v>1.5</v>
      </c>
      <c r="E337" s="83">
        <v>2</v>
      </c>
    </row>
    <row r="338" spans="1:5" ht="15" customHeight="1" x14ac:dyDescent="0.25">
      <c r="B338" s="85" t="s">
        <v>434</v>
      </c>
      <c r="C338" s="83">
        <v>2.5</v>
      </c>
      <c r="D338" s="83">
        <v>2.0099999999999998</v>
      </c>
      <c r="E338" s="83">
        <v>2.5</v>
      </c>
    </row>
    <row r="343" spans="1:5" ht="15" customHeight="1" x14ac:dyDescent="0.25">
      <c r="B343" s="74" t="s">
        <v>435</v>
      </c>
      <c r="C343" s="74" t="s">
        <v>419</v>
      </c>
      <c r="D343" s="74" t="s">
        <v>420</v>
      </c>
      <c r="E343" s="74" t="s">
        <v>421</v>
      </c>
    </row>
    <row r="344" spans="1:5" ht="15" customHeight="1" x14ac:dyDescent="0.25">
      <c r="A344" t="s">
        <v>436</v>
      </c>
      <c r="B344" s="78">
        <v>0</v>
      </c>
      <c r="C344" s="83">
        <v>0.75</v>
      </c>
      <c r="D344" s="83">
        <v>0.7</v>
      </c>
      <c r="E344" s="83">
        <v>1</v>
      </c>
    </row>
    <row r="345" spans="1:5" ht="15" customHeight="1" x14ac:dyDescent="0.25">
      <c r="A345" t="s">
        <v>437</v>
      </c>
      <c r="B345" t="s">
        <v>438</v>
      </c>
      <c r="C345" s="83">
        <v>1.1000000000000001</v>
      </c>
      <c r="D345" s="83">
        <v>1.01</v>
      </c>
      <c r="E345" s="83">
        <v>1.25</v>
      </c>
    </row>
    <row r="346" spans="1:5" ht="15" customHeight="1" x14ac:dyDescent="0.25">
      <c r="B346" t="s">
        <v>439</v>
      </c>
      <c r="C346" s="83">
        <v>1.3</v>
      </c>
      <c r="D346" s="83">
        <v>1.26</v>
      </c>
      <c r="E346" s="83">
        <v>1.5</v>
      </c>
    </row>
    <row r="347" spans="1:5" ht="15" customHeight="1" x14ac:dyDescent="0.25">
      <c r="B347" s="84" t="s">
        <v>440</v>
      </c>
      <c r="C347" s="83">
        <v>1.75</v>
      </c>
      <c r="D347" s="83">
        <v>1.51</v>
      </c>
      <c r="E347" s="83">
        <v>2</v>
      </c>
    </row>
    <row r="348" spans="1:5" ht="15" customHeight="1" x14ac:dyDescent="0.25">
      <c r="B348" s="84" t="s">
        <v>441</v>
      </c>
      <c r="C348" s="83">
        <v>2.25</v>
      </c>
      <c r="D348" s="83">
        <v>2.0099999999999998</v>
      </c>
      <c r="E348" s="83">
        <v>2.5</v>
      </c>
    </row>
    <row r="349" spans="1:5" ht="15" customHeight="1" x14ac:dyDescent="0.25">
      <c r="B349" s="85"/>
      <c r="C349" s="83"/>
      <c r="D349" s="83"/>
      <c r="E349" s="83"/>
    </row>
    <row r="355" spans="1:5" ht="60" customHeight="1" x14ac:dyDescent="0.25">
      <c r="B355" s="74" t="s">
        <v>442</v>
      </c>
      <c r="C355" s="74" t="s">
        <v>443</v>
      </c>
      <c r="D355" s="74" t="s">
        <v>444</v>
      </c>
    </row>
    <row r="356" spans="1:5" ht="15" customHeight="1" x14ac:dyDescent="0.25">
      <c r="A356" t="s">
        <v>445</v>
      </c>
      <c r="B356" s="78">
        <v>0</v>
      </c>
      <c r="C356" s="78">
        <v>0.25</v>
      </c>
      <c r="D356" s="47">
        <v>-0.1</v>
      </c>
    </row>
    <row r="357" spans="1:5" ht="15" customHeight="1" x14ac:dyDescent="0.25">
      <c r="A357" t="s">
        <v>446</v>
      </c>
      <c r="B357" s="78">
        <v>0.25</v>
      </c>
      <c r="C357" s="78">
        <v>0.5</v>
      </c>
      <c r="D357" s="47">
        <v>-7.4999999999999997E-2</v>
      </c>
    </row>
    <row r="358" spans="1:5" ht="15" customHeight="1" x14ac:dyDescent="0.25">
      <c r="B358" s="78">
        <v>0.5</v>
      </c>
      <c r="C358" s="78">
        <v>0.75</v>
      </c>
      <c r="D358" s="47">
        <v>-0.05</v>
      </c>
    </row>
    <row r="359" spans="1:5" ht="15" customHeight="1" x14ac:dyDescent="0.25">
      <c r="B359" s="78">
        <v>0.75</v>
      </c>
      <c r="C359" s="78">
        <v>1</v>
      </c>
      <c r="D359" s="47">
        <v>-2.5000000000000001E-2</v>
      </c>
    </row>
    <row r="360" spans="1:5" ht="15" customHeight="1" x14ac:dyDescent="0.25">
      <c r="B360" s="78">
        <v>1</v>
      </c>
      <c r="C360" s="78">
        <v>1</v>
      </c>
      <c r="D360" s="47">
        <v>0</v>
      </c>
    </row>
    <row r="365" spans="1:5" ht="60" customHeight="1" x14ac:dyDescent="0.25">
      <c r="B365" s="74" t="s">
        <v>418</v>
      </c>
      <c r="C365" s="74" t="s">
        <v>419</v>
      </c>
      <c r="D365" s="74" t="s">
        <v>420</v>
      </c>
      <c r="E365" s="74" t="s">
        <v>421</v>
      </c>
    </row>
    <row r="366" spans="1:5" ht="15" customHeight="1" x14ac:dyDescent="0.25">
      <c r="A366" t="s">
        <v>447</v>
      </c>
      <c r="B366" t="s">
        <v>448</v>
      </c>
      <c r="C366" s="47">
        <v>0</v>
      </c>
      <c r="D366" s="47">
        <v>0</v>
      </c>
      <c r="E366" s="47">
        <v>0</v>
      </c>
    </row>
    <row r="367" spans="1:5" ht="15" customHeight="1" x14ac:dyDescent="0.25">
      <c r="A367" t="s">
        <v>449</v>
      </c>
      <c r="B367" t="s">
        <v>450</v>
      </c>
      <c r="C367" s="47">
        <v>0.1</v>
      </c>
      <c r="D367" s="47">
        <v>0</v>
      </c>
      <c r="E367" s="47">
        <v>0.4</v>
      </c>
    </row>
    <row r="368" spans="1:5" ht="15" customHeight="1" x14ac:dyDescent="0.25">
      <c r="B368" t="s">
        <v>451</v>
      </c>
      <c r="C368" s="47">
        <v>-0.05</v>
      </c>
      <c r="D368" s="47">
        <v>-0.1</v>
      </c>
      <c r="E368" s="47">
        <v>0</v>
      </c>
    </row>
    <row r="371" spans="1:5" ht="60" customHeight="1" x14ac:dyDescent="0.25">
      <c r="B371" s="74" t="s">
        <v>442</v>
      </c>
      <c r="C371" s="74" t="s">
        <v>443</v>
      </c>
      <c r="D371" s="74" t="s">
        <v>444</v>
      </c>
    </row>
    <row r="372" spans="1:5" ht="15" customHeight="1" x14ac:dyDescent="0.25">
      <c r="A372" t="s">
        <v>452</v>
      </c>
      <c r="B372" s="78">
        <v>0</v>
      </c>
      <c r="C372" s="78">
        <v>0.25</v>
      </c>
      <c r="D372" s="47">
        <v>-0.1</v>
      </c>
    </row>
    <row r="373" spans="1:5" ht="15" customHeight="1" x14ac:dyDescent="0.25">
      <c r="A373" t="s">
        <v>453</v>
      </c>
      <c r="B373" s="78">
        <v>0.25</v>
      </c>
      <c r="C373" s="78">
        <v>0.5</v>
      </c>
      <c r="D373" s="47">
        <v>-7.4999999999999997E-2</v>
      </c>
    </row>
    <row r="374" spans="1:5" ht="15" customHeight="1" x14ac:dyDescent="0.25">
      <c r="B374" s="78">
        <v>0.5</v>
      </c>
      <c r="C374" s="78">
        <v>0.75</v>
      </c>
      <c r="D374" s="47">
        <v>-0.05</v>
      </c>
    </row>
    <row r="375" spans="1:5" ht="15" customHeight="1" x14ac:dyDescent="0.25">
      <c r="B375" s="78">
        <v>0.75</v>
      </c>
      <c r="C375" s="78">
        <v>1</v>
      </c>
      <c r="D375" s="47">
        <v>-2.5000000000000001E-2</v>
      </c>
    </row>
    <row r="376" spans="1:5" ht="15" customHeight="1" x14ac:dyDescent="0.25">
      <c r="B376" s="78">
        <v>1</v>
      </c>
      <c r="C376" s="78">
        <v>1</v>
      </c>
      <c r="D376" s="47">
        <v>0</v>
      </c>
    </row>
    <row r="379" spans="1:5" ht="60" customHeight="1" x14ac:dyDescent="0.25">
      <c r="B379" s="74" t="s">
        <v>418</v>
      </c>
      <c r="C379" s="74" t="s">
        <v>419</v>
      </c>
      <c r="D379" s="74" t="s">
        <v>420</v>
      </c>
      <c r="E379" s="74" t="s">
        <v>421</v>
      </c>
    </row>
    <row r="380" spans="1:5" ht="15" customHeight="1" x14ac:dyDescent="0.25">
      <c r="A380" t="s">
        <v>454</v>
      </c>
      <c r="B380" t="s">
        <v>24</v>
      </c>
      <c r="C380" s="47">
        <v>0</v>
      </c>
      <c r="D380" s="47">
        <v>0</v>
      </c>
      <c r="E380" s="47">
        <v>0</v>
      </c>
    </row>
    <row r="381" spans="1:5" ht="15" customHeight="1" x14ac:dyDescent="0.25">
      <c r="A381" t="s">
        <v>455</v>
      </c>
      <c r="B381" t="s">
        <v>407</v>
      </c>
      <c r="C381" s="47">
        <v>0.25</v>
      </c>
      <c r="D381" s="47">
        <v>0</v>
      </c>
      <c r="E381" s="47">
        <v>1</v>
      </c>
    </row>
    <row r="384" spans="1:5" ht="15" customHeight="1" x14ac:dyDescent="0.25">
      <c r="B384" s="74" t="s">
        <v>418</v>
      </c>
      <c r="C384" s="74" t="s">
        <v>456</v>
      </c>
    </row>
    <row r="385" spans="1:3" ht="15" customHeight="1" x14ac:dyDescent="0.25">
      <c r="A385" t="s">
        <v>457</v>
      </c>
      <c r="B385" s="18" t="s">
        <v>167</v>
      </c>
      <c r="C385" s="56">
        <v>1</v>
      </c>
    </row>
    <row r="386" spans="1:3" ht="15" customHeight="1" x14ac:dyDescent="0.25">
      <c r="A386" t="s">
        <v>458</v>
      </c>
      <c r="B386" s="18">
        <v>100000</v>
      </c>
      <c r="C386" s="56">
        <v>1.05</v>
      </c>
    </row>
    <row r="387" spans="1:3" ht="15" customHeight="1" x14ac:dyDescent="0.25">
      <c r="B387" s="18">
        <v>250000</v>
      </c>
      <c r="C387" s="56">
        <v>1.1000000000000001</v>
      </c>
    </row>
    <row r="388" spans="1:3" ht="15" customHeight="1" x14ac:dyDescent="0.25">
      <c r="B388" s="18">
        <v>500000</v>
      </c>
      <c r="C388" s="56">
        <v>1.1499999999999999</v>
      </c>
    </row>
    <row r="389" spans="1:3" ht="15" customHeight="1" x14ac:dyDescent="0.25">
      <c r="B389" s="18">
        <v>750000</v>
      </c>
      <c r="C389" s="56">
        <v>1.2</v>
      </c>
    </row>
    <row r="390" spans="1:3" ht="15" customHeight="1" x14ac:dyDescent="0.25">
      <c r="B390" s="18">
        <v>1000000</v>
      </c>
      <c r="C390" s="56">
        <v>1.25</v>
      </c>
    </row>
    <row r="393" spans="1:3" ht="15" customHeight="1" x14ac:dyDescent="0.25">
      <c r="B393" s="74" t="s">
        <v>418</v>
      </c>
    </row>
    <row r="394" spans="1:3" ht="15" customHeight="1" x14ac:dyDescent="0.25">
      <c r="A394" t="s">
        <v>459</v>
      </c>
      <c r="B394" t="s">
        <v>460</v>
      </c>
    </row>
    <row r="395" spans="1:3" ht="15" customHeight="1" x14ac:dyDescent="0.25">
      <c r="B395" t="s">
        <v>461</v>
      </c>
    </row>
    <row r="396" spans="1:3" ht="15" customHeight="1" x14ac:dyDescent="0.25">
      <c r="B396" t="s">
        <v>462</v>
      </c>
    </row>
    <row r="399" spans="1:3" ht="15" customHeight="1" x14ac:dyDescent="0.25">
      <c r="B399" s="74" t="s">
        <v>418</v>
      </c>
    </row>
    <row r="400" spans="1:3" ht="15" customHeight="1" x14ac:dyDescent="0.25">
      <c r="A400" t="s">
        <v>463</v>
      </c>
      <c r="B400" t="s">
        <v>460</v>
      </c>
    </row>
    <row r="401" spans="1:9" ht="15" customHeight="1" x14ac:dyDescent="0.25">
      <c r="B401" t="s">
        <v>464</v>
      </c>
    </row>
    <row r="402" spans="1:9" ht="15" customHeight="1" x14ac:dyDescent="0.25">
      <c r="B402" t="s">
        <v>465</v>
      </c>
    </row>
    <row r="405" spans="1:9" ht="30" customHeight="1" x14ac:dyDescent="0.25">
      <c r="B405" s="74" t="s">
        <v>466</v>
      </c>
      <c r="C405" s="74" t="s">
        <v>467</v>
      </c>
      <c r="D405" s="74" t="s">
        <v>468</v>
      </c>
      <c r="E405" s="74" t="s">
        <v>469</v>
      </c>
      <c r="F405" s="74" t="s">
        <v>470</v>
      </c>
      <c r="G405" s="74" t="s">
        <v>471</v>
      </c>
      <c r="H405" s="74" t="s">
        <v>472</v>
      </c>
      <c r="I405" s="74" t="s">
        <v>473</v>
      </c>
    </row>
    <row r="406" spans="1:9" ht="15" customHeight="1" x14ac:dyDescent="0.25">
      <c r="A406" t="s">
        <v>474</v>
      </c>
      <c r="B406" t="s">
        <v>475</v>
      </c>
      <c r="C406" t="b">
        <v>0</v>
      </c>
      <c r="D406" t="b">
        <v>0</v>
      </c>
      <c r="E406" t="b">
        <v>0</v>
      </c>
      <c r="F406" t="s">
        <v>460</v>
      </c>
      <c r="G406" t="s">
        <v>460</v>
      </c>
      <c r="H406" s="56">
        <v>1</v>
      </c>
      <c r="I406" s="56" t="s">
        <v>476</v>
      </c>
    </row>
    <row r="407" spans="1:9" ht="15" customHeight="1" x14ac:dyDescent="0.25">
      <c r="B407" t="s">
        <v>477</v>
      </c>
      <c r="C407" t="b">
        <v>1</v>
      </c>
      <c r="D407" t="b">
        <v>1</v>
      </c>
      <c r="E407" t="b">
        <v>0</v>
      </c>
      <c r="F407" t="s">
        <v>462</v>
      </c>
      <c r="G407" t="s">
        <v>464</v>
      </c>
      <c r="H407" s="56">
        <v>1.05</v>
      </c>
      <c r="I407" s="56" t="s">
        <v>478</v>
      </c>
    </row>
    <row r="408" spans="1:9" ht="15" customHeight="1" x14ac:dyDescent="0.25">
      <c r="B408" t="s">
        <v>479</v>
      </c>
      <c r="C408" t="b">
        <v>1</v>
      </c>
      <c r="D408" t="b">
        <v>0</v>
      </c>
      <c r="E408" t="b">
        <v>1</v>
      </c>
      <c r="F408" t="s">
        <v>462</v>
      </c>
      <c r="G408" t="s">
        <v>464</v>
      </c>
      <c r="H408" s="56">
        <v>1.05</v>
      </c>
      <c r="I408" s="56" t="s">
        <v>478</v>
      </c>
    </row>
    <row r="409" spans="1:9" ht="15" customHeight="1" x14ac:dyDescent="0.25">
      <c r="B409" t="s">
        <v>480</v>
      </c>
      <c r="C409" t="b">
        <v>1</v>
      </c>
      <c r="D409" t="b">
        <v>1</v>
      </c>
      <c r="E409" t="b">
        <v>0</v>
      </c>
      <c r="F409" t="s">
        <v>461</v>
      </c>
      <c r="G409" t="s">
        <v>465</v>
      </c>
      <c r="H409" s="56">
        <v>1.85</v>
      </c>
      <c r="I409" s="56" t="s">
        <v>476</v>
      </c>
    </row>
    <row r="410" spans="1:9" ht="15" customHeight="1" x14ac:dyDescent="0.25">
      <c r="B410" t="s">
        <v>481</v>
      </c>
      <c r="C410" t="b">
        <v>1</v>
      </c>
      <c r="D410" t="b">
        <v>1</v>
      </c>
      <c r="E410" t="b">
        <v>0</v>
      </c>
      <c r="F410" t="s">
        <v>462</v>
      </c>
      <c r="G410" t="s">
        <v>465</v>
      </c>
      <c r="H410" s="56">
        <v>1.9</v>
      </c>
      <c r="I410" s="56" t="s">
        <v>476</v>
      </c>
    </row>
    <row r="411" spans="1:9" ht="15" customHeight="1" x14ac:dyDescent="0.25">
      <c r="B411" t="s">
        <v>482</v>
      </c>
      <c r="C411" t="b">
        <v>1</v>
      </c>
      <c r="D411" t="b">
        <v>0</v>
      </c>
      <c r="E411" t="b">
        <v>1</v>
      </c>
      <c r="F411" t="s">
        <v>461</v>
      </c>
      <c r="G411" t="s">
        <v>465</v>
      </c>
      <c r="H411" s="56">
        <v>2.6</v>
      </c>
      <c r="I411" s="56" t="s">
        <v>476</v>
      </c>
    </row>
    <row r="412" spans="1:9" ht="15" customHeight="1" x14ac:dyDescent="0.25">
      <c r="B412" t="s">
        <v>483</v>
      </c>
      <c r="C412" t="b">
        <v>1</v>
      </c>
      <c r="D412" t="b">
        <v>0</v>
      </c>
      <c r="E412" t="b">
        <v>1</v>
      </c>
      <c r="F412" t="s">
        <v>462</v>
      </c>
      <c r="G412" t="s">
        <v>465</v>
      </c>
      <c r="H412" s="56">
        <v>2.85</v>
      </c>
      <c r="I412" s="56" t="s">
        <v>476</v>
      </c>
    </row>
    <row r="415" spans="1:9" ht="60" customHeight="1" x14ac:dyDescent="0.25">
      <c r="B415" s="74" t="s">
        <v>484</v>
      </c>
      <c r="C415" s="74" t="s">
        <v>485</v>
      </c>
      <c r="D415" s="74" t="s">
        <v>486</v>
      </c>
      <c r="E415" s="74" t="s">
        <v>487</v>
      </c>
    </row>
    <row r="416" spans="1:9" ht="15" customHeight="1" x14ac:dyDescent="0.25">
      <c r="A416" t="s">
        <v>488</v>
      </c>
      <c r="B416" s="18">
        <v>0</v>
      </c>
      <c r="C416" s="18">
        <v>8000</v>
      </c>
      <c r="D416" s="18">
        <v>-150</v>
      </c>
      <c r="E416" s="18">
        <v>150</v>
      </c>
      <c r="G416" s="18"/>
    </row>
    <row r="417" spans="1:5" ht="15" customHeight="1" x14ac:dyDescent="0.25">
      <c r="B417" s="18">
        <v>8001</v>
      </c>
      <c r="C417" s="18">
        <v>25000</v>
      </c>
      <c r="D417" s="18">
        <v>-250</v>
      </c>
      <c r="E417" s="18">
        <v>250</v>
      </c>
    </row>
    <row r="418" spans="1:5" ht="15" customHeight="1" x14ac:dyDescent="0.25">
      <c r="B418" s="18">
        <v>25001</v>
      </c>
      <c r="C418" s="18">
        <v>50000</v>
      </c>
      <c r="D418" s="18">
        <v>-450</v>
      </c>
      <c r="E418" s="18">
        <v>450</v>
      </c>
    </row>
    <row r="419" spans="1:5" ht="15" customHeight="1" x14ac:dyDescent="0.25">
      <c r="B419" s="18">
        <v>50001</v>
      </c>
      <c r="C419" s="18">
        <v>100000</v>
      </c>
      <c r="D419" s="18">
        <v>-750</v>
      </c>
      <c r="E419" s="18">
        <v>750</v>
      </c>
    </row>
    <row r="420" spans="1:5" ht="15" customHeight="1" x14ac:dyDescent="0.25">
      <c r="B420" s="18">
        <v>100001</v>
      </c>
      <c r="C420" s="18">
        <v>250000</v>
      </c>
      <c r="D420" s="18">
        <v>-1500</v>
      </c>
      <c r="E420" s="18">
        <v>1500</v>
      </c>
    </row>
    <row r="421" spans="1:5" ht="15" customHeight="1" x14ac:dyDescent="0.25">
      <c r="B421" s="18">
        <v>250001</v>
      </c>
      <c r="C421" s="18">
        <v>500000</v>
      </c>
      <c r="D421" s="18">
        <v>-2500</v>
      </c>
      <c r="E421" s="18">
        <v>2500</v>
      </c>
    </row>
    <row r="422" spans="1:5" ht="15" customHeight="1" x14ac:dyDescent="0.25">
      <c r="B422" s="18">
        <v>500001</v>
      </c>
      <c r="C422" s="18"/>
      <c r="D422" s="18">
        <v>-5500</v>
      </c>
      <c r="E422" s="18">
        <v>5500</v>
      </c>
    </row>
    <row r="423" spans="1:5" ht="15" customHeight="1" x14ac:dyDescent="0.25">
      <c r="B423" s="18"/>
      <c r="C423" s="18"/>
      <c r="D423" s="18"/>
      <c r="E423" s="18"/>
    </row>
    <row r="426" spans="1:5" ht="30" customHeight="1" x14ac:dyDescent="0.25">
      <c r="B426" s="74" t="s">
        <v>489</v>
      </c>
    </row>
    <row r="427" spans="1:5" ht="15" customHeight="1" x14ac:dyDescent="0.25">
      <c r="A427" t="s">
        <v>490</v>
      </c>
      <c r="B427" t="s">
        <v>257</v>
      </c>
    </row>
    <row r="428" spans="1:5" ht="15" customHeight="1" x14ac:dyDescent="0.25">
      <c r="B428" t="s">
        <v>258</v>
      </c>
    </row>
    <row r="429" spans="1:5" ht="15" customHeight="1" x14ac:dyDescent="0.25">
      <c r="B429" t="s">
        <v>259</v>
      </c>
    </row>
    <row r="434" spans="1:5" ht="15" customHeight="1" x14ac:dyDescent="0.25">
      <c r="B434" s="74" t="s">
        <v>491</v>
      </c>
      <c r="C434" s="74" t="s">
        <v>492</v>
      </c>
      <c r="D434" s="74" t="s">
        <v>493</v>
      </c>
    </row>
    <row r="435" spans="1:5" ht="15" customHeight="1" x14ac:dyDescent="0.25">
      <c r="A435" t="s">
        <v>494</v>
      </c>
      <c r="B435" s="78">
        <v>0</v>
      </c>
      <c r="C435" s="78">
        <v>0.25</v>
      </c>
      <c r="D435" s="47">
        <v>-0.1</v>
      </c>
    </row>
    <row r="436" spans="1:5" ht="15" customHeight="1" x14ac:dyDescent="0.25">
      <c r="A436" t="s">
        <v>495</v>
      </c>
      <c r="B436" s="78">
        <v>0.25</v>
      </c>
      <c r="C436" s="78">
        <v>0.5</v>
      </c>
      <c r="D436" s="47">
        <v>-7.4999999999999997E-2</v>
      </c>
    </row>
    <row r="437" spans="1:5" ht="15" customHeight="1" x14ac:dyDescent="0.25">
      <c r="B437" s="78">
        <v>0.5</v>
      </c>
      <c r="C437" s="78">
        <v>0.75</v>
      </c>
      <c r="D437" s="47">
        <v>-0.05</v>
      </c>
    </row>
    <row r="438" spans="1:5" ht="15" customHeight="1" x14ac:dyDescent="0.25">
      <c r="B438" s="78">
        <v>0.75</v>
      </c>
      <c r="C438" s="78">
        <v>1</v>
      </c>
      <c r="D438" s="47">
        <v>-2.5000000000000001E-2</v>
      </c>
    </row>
    <row r="439" spans="1:5" ht="15" customHeight="1" x14ac:dyDescent="0.25">
      <c r="B439" s="78">
        <v>1</v>
      </c>
      <c r="C439" s="78">
        <v>1</v>
      </c>
      <c r="D439" s="47">
        <v>0</v>
      </c>
    </row>
    <row r="440" spans="1:5" ht="15" customHeight="1" x14ac:dyDescent="0.25">
      <c r="B440" s="86"/>
      <c r="C440" s="86"/>
      <c r="D440" s="78"/>
    </row>
    <row r="441" spans="1:5" ht="15" customHeight="1" x14ac:dyDescent="0.25">
      <c r="B441" s="86"/>
      <c r="C441" s="78"/>
    </row>
    <row r="445" spans="1:5" ht="15" customHeight="1" x14ac:dyDescent="0.25">
      <c r="B445" s="74" t="s">
        <v>496</v>
      </c>
      <c r="C445" s="74" t="s">
        <v>493</v>
      </c>
      <c r="D445" s="74" t="s">
        <v>497</v>
      </c>
      <c r="E445" s="74" t="s">
        <v>498</v>
      </c>
    </row>
    <row r="446" spans="1:5" ht="15" customHeight="1" x14ac:dyDescent="0.25">
      <c r="A446" t="s">
        <v>499</v>
      </c>
      <c r="B446" t="s">
        <v>148</v>
      </c>
      <c r="C446" s="78">
        <v>0</v>
      </c>
      <c r="D446" s="78">
        <v>0</v>
      </c>
      <c r="E446" s="78">
        <v>0</v>
      </c>
    </row>
    <row r="447" spans="1:5" ht="15" customHeight="1" x14ac:dyDescent="0.25">
      <c r="A447" t="s">
        <v>500</v>
      </c>
      <c r="B447" t="s">
        <v>501</v>
      </c>
      <c r="C447" s="78">
        <v>-0.1</v>
      </c>
      <c r="D447" s="78">
        <v>-0.25</v>
      </c>
      <c r="E447" s="78">
        <v>0</v>
      </c>
    </row>
    <row r="448" spans="1:5" ht="15" customHeight="1" x14ac:dyDescent="0.25">
      <c r="B448" t="s">
        <v>502</v>
      </c>
      <c r="C448" s="78">
        <v>-0.15</v>
      </c>
      <c r="D448" s="78">
        <v>-0.4</v>
      </c>
      <c r="E448" s="78">
        <v>0</v>
      </c>
    </row>
    <row r="451" spans="1:5" ht="15" customHeight="1" x14ac:dyDescent="0.25">
      <c r="B451" s="74" t="s">
        <v>496</v>
      </c>
      <c r="C451" s="74" t="s">
        <v>493</v>
      </c>
      <c r="D451" s="74" t="s">
        <v>497</v>
      </c>
      <c r="E451" s="74" t="s">
        <v>498</v>
      </c>
    </row>
    <row r="452" spans="1:5" ht="15" customHeight="1" x14ac:dyDescent="0.25">
      <c r="A452" t="s">
        <v>503</v>
      </c>
      <c r="B452" t="s">
        <v>157</v>
      </c>
      <c r="C452" s="78">
        <v>0</v>
      </c>
      <c r="D452" s="87">
        <v>0</v>
      </c>
      <c r="E452" s="78">
        <v>0</v>
      </c>
    </row>
    <row r="453" spans="1:5" ht="15" customHeight="1" x14ac:dyDescent="0.25">
      <c r="A453" t="s">
        <v>504</v>
      </c>
      <c r="B453" t="s">
        <v>505</v>
      </c>
      <c r="C453" s="87">
        <v>2.5000000000000001E-2</v>
      </c>
      <c r="D453" s="87">
        <v>2.5000000000000001E-2</v>
      </c>
      <c r="E453" s="87">
        <v>2.5000000000000001E-2</v>
      </c>
    </row>
    <row r="454" spans="1:5" ht="15" customHeight="1" x14ac:dyDescent="0.25">
      <c r="C454" s="78"/>
    </row>
    <row r="456" spans="1:5" ht="15" customHeight="1" x14ac:dyDescent="0.25">
      <c r="B456" s="74" t="s">
        <v>496</v>
      </c>
      <c r="C456" s="74" t="s">
        <v>493</v>
      </c>
      <c r="D456" s="74" t="s">
        <v>497</v>
      </c>
      <c r="E456" s="74" t="s">
        <v>498</v>
      </c>
    </row>
    <row r="457" spans="1:5" ht="15" customHeight="1" x14ac:dyDescent="0.25">
      <c r="A457" t="s">
        <v>506</v>
      </c>
      <c r="B457" t="s">
        <v>157</v>
      </c>
      <c r="C457" s="87">
        <v>0</v>
      </c>
      <c r="D457" s="87">
        <v>0</v>
      </c>
      <c r="E457" s="78">
        <v>0</v>
      </c>
    </row>
    <row r="458" spans="1:5" ht="15" customHeight="1" x14ac:dyDescent="0.25">
      <c r="A458" t="s">
        <v>507</v>
      </c>
      <c r="B458" t="s">
        <v>502</v>
      </c>
      <c r="C458" s="87">
        <v>-2.5000000000000001E-2</v>
      </c>
      <c r="D458" s="87">
        <v>-2.5000000000000001E-2</v>
      </c>
      <c r="E458" s="87">
        <v>-2.5000000000000001E-2</v>
      </c>
    </row>
    <row r="463" spans="1:5" ht="15" customHeight="1" x14ac:dyDescent="0.25">
      <c r="B463" s="74" t="s">
        <v>496</v>
      </c>
      <c r="C463" s="74" t="s">
        <v>493</v>
      </c>
      <c r="D463" s="74" t="s">
        <v>497</v>
      </c>
      <c r="E463" s="74" t="s">
        <v>498</v>
      </c>
    </row>
    <row r="464" spans="1:5" ht="15" customHeight="1" x14ac:dyDescent="0.25">
      <c r="A464" t="s">
        <v>508</v>
      </c>
      <c r="B464" t="s">
        <v>157</v>
      </c>
      <c r="C464" s="87">
        <v>0</v>
      </c>
      <c r="D464" s="87">
        <v>0</v>
      </c>
      <c r="E464" s="78">
        <v>0</v>
      </c>
    </row>
    <row r="465" spans="1:7" ht="15" customHeight="1" x14ac:dyDescent="0.25">
      <c r="A465" t="s">
        <v>509</v>
      </c>
      <c r="B465" t="s">
        <v>502</v>
      </c>
      <c r="C465" s="87">
        <v>-2.5000000000000001E-2</v>
      </c>
      <c r="D465" s="87">
        <v>-2.5000000000000001E-2</v>
      </c>
      <c r="E465" s="87">
        <v>-2.5000000000000001E-2</v>
      </c>
    </row>
    <row r="469" spans="1:7" ht="15" customHeight="1" x14ac:dyDescent="0.25">
      <c r="B469" s="74" t="s">
        <v>496</v>
      </c>
      <c r="C469" s="74" t="s">
        <v>493</v>
      </c>
      <c r="D469" s="74" t="s">
        <v>497</v>
      </c>
      <c r="E469" s="74" t="s">
        <v>498</v>
      </c>
    </row>
    <row r="470" spans="1:7" ht="15" customHeight="1" x14ac:dyDescent="0.25">
      <c r="A470" t="s">
        <v>510</v>
      </c>
      <c r="B470" t="s">
        <v>157</v>
      </c>
      <c r="C470" s="87">
        <v>0</v>
      </c>
      <c r="D470" s="87">
        <v>0</v>
      </c>
      <c r="E470" s="78">
        <v>0</v>
      </c>
    </row>
    <row r="471" spans="1:7" ht="15" customHeight="1" x14ac:dyDescent="0.25">
      <c r="A471" t="s">
        <v>511</v>
      </c>
      <c r="B471" t="s">
        <v>502</v>
      </c>
      <c r="C471" s="87">
        <v>-2.5000000000000001E-2</v>
      </c>
      <c r="D471" s="87">
        <v>-2.5000000000000001E-2</v>
      </c>
      <c r="E471" s="87">
        <v>-2.5000000000000001E-2</v>
      </c>
    </row>
    <row r="476" spans="1:7" ht="15" customHeight="1" x14ac:dyDescent="0.25">
      <c r="B476" s="74" t="s">
        <v>45</v>
      </c>
      <c r="C476" s="74" t="s">
        <v>46</v>
      </c>
      <c r="D476" s="88" t="s">
        <v>512</v>
      </c>
      <c r="E476" s="35"/>
      <c r="F476" s="89"/>
      <c r="G476" s="89"/>
    </row>
    <row r="477" spans="1:7" ht="15" customHeight="1" x14ac:dyDescent="0.25">
      <c r="A477" t="s">
        <v>513</v>
      </c>
      <c r="B477" s="11" t="s">
        <v>514</v>
      </c>
      <c r="C477" s="11" t="s">
        <v>326</v>
      </c>
      <c r="D477" s="11" t="s">
        <v>24</v>
      </c>
      <c r="E477" s="35"/>
      <c r="F477" s="90"/>
      <c r="G477" s="90"/>
    </row>
    <row r="478" spans="1:7" ht="15" customHeight="1" x14ac:dyDescent="0.25">
      <c r="A478" t="s">
        <v>515</v>
      </c>
      <c r="B478" s="11" t="s">
        <v>516</v>
      </c>
      <c r="C478" s="11" t="s">
        <v>328</v>
      </c>
      <c r="D478" s="11" t="s">
        <v>24</v>
      </c>
      <c r="E478" s="35"/>
      <c r="F478" s="90"/>
      <c r="G478" s="90"/>
    </row>
    <row r="479" spans="1:7" ht="15" customHeight="1" x14ac:dyDescent="0.25">
      <c r="B479" s="11" t="s">
        <v>517</v>
      </c>
      <c r="C479" s="11" t="s">
        <v>325</v>
      </c>
      <c r="D479" s="11" t="s">
        <v>24</v>
      </c>
      <c r="E479" s="35"/>
      <c r="F479" s="90"/>
      <c r="G479" s="90"/>
    </row>
    <row r="480" spans="1:7" ht="15" customHeight="1" x14ac:dyDescent="0.25">
      <c r="B480" s="11" t="s">
        <v>518</v>
      </c>
      <c r="C480" s="11" t="s">
        <v>323</v>
      </c>
      <c r="D480" s="11" t="s">
        <v>24</v>
      </c>
      <c r="E480" s="35"/>
      <c r="F480" s="90"/>
      <c r="G480" s="90"/>
    </row>
    <row r="481" spans="2:7" ht="15" customHeight="1" x14ac:dyDescent="0.25">
      <c r="B481" s="11" t="s">
        <v>519</v>
      </c>
      <c r="C481" s="11" t="s">
        <v>323</v>
      </c>
      <c r="D481" s="11" t="s">
        <v>24</v>
      </c>
      <c r="E481" s="35"/>
      <c r="F481" s="90"/>
      <c r="G481" s="90"/>
    </row>
    <row r="482" spans="2:7" ht="15" customHeight="1" x14ac:dyDescent="0.25">
      <c r="B482" s="11" t="s">
        <v>520</v>
      </c>
      <c r="C482" s="11" t="s">
        <v>324</v>
      </c>
      <c r="D482" s="11" t="s">
        <v>24</v>
      </c>
      <c r="E482" s="35"/>
      <c r="F482" s="90"/>
      <c r="G482" s="90"/>
    </row>
    <row r="483" spans="2:7" ht="15" customHeight="1" x14ac:dyDescent="0.25">
      <c r="B483" s="11" t="s">
        <v>521</v>
      </c>
      <c r="C483" s="11" t="s">
        <v>329</v>
      </c>
      <c r="D483" s="11" t="s">
        <v>407</v>
      </c>
      <c r="E483" s="35"/>
      <c r="F483" s="90"/>
      <c r="G483" s="90"/>
    </row>
    <row r="484" spans="2:7" ht="15" customHeight="1" x14ac:dyDescent="0.25">
      <c r="B484" s="11" t="s">
        <v>522</v>
      </c>
      <c r="C484" s="11" t="s">
        <v>323</v>
      </c>
      <c r="D484" s="11" t="s">
        <v>24</v>
      </c>
      <c r="E484" s="35"/>
      <c r="F484" s="90"/>
      <c r="G484" s="90"/>
    </row>
    <row r="485" spans="2:7" ht="15" customHeight="1" x14ac:dyDescent="0.25">
      <c r="B485" s="11" t="s">
        <v>523</v>
      </c>
      <c r="C485" s="11" t="s">
        <v>323</v>
      </c>
      <c r="D485" s="11" t="s">
        <v>24</v>
      </c>
      <c r="E485" s="35"/>
      <c r="F485" s="90"/>
      <c r="G485" s="90"/>
    </row>
    <row r="486" spans="2:7" ht="15" customHeight="1" x14ac:dyDescent="0.25">
      <c r="B486" s="11" t="s">
        <v>524</v>
      </c>
      <c r="C486" s="11" t="s">
        <v>325</v>
      </c>
      <c r="D486" s="11" t="s">
        <v>24</v>
      </c>
      <c r="E486" s="35"/>
      <c r="F486" s="90"/>
      <c r="G486" s="90"/>
    </row>
    <row r="487" spans="2:7" ht="15" customHeight="1" x14ac:dyDescent="0.25">
      <c r="B487" s="11" t="s">
        <v>525</v>
      </c>
      <c r="C487" s="11" t="s">
        <v>325</v>
      </c>
      <c r="D487" s="11" t="s">
        <v>24</v>
      </c>
      <c r="E487" s="35"/>
      <c r="F487" s="90"/>
      <c r="G487" s="90"/>
    </row>
    <row r="488" spans="2:7" ht="15" customHeight="1" x14ac:dyDescent="0.25">
      <c r="B488" s="11" t="s">
        <v>526</v>
      </c>
      <c r="C488" s="11" t="s">
        <v>327</v>
      </c>
      <c r="D488" s="11" t="s">
        <v>24</v>
      </c>
      <c r="E488" s="35"/>
      <c r="F488" s="90"/>
      <c r="G488" s="90"/>
    </row>
    <row r="489" spans="2:7" ht="15" customHeight="1" x14ac:dyDescent="0.25">
      <c r="B489" s="11" t="s">
        <v>527</v>
      </c>
      <c r="C489" s="11" t="s">
        <v>325</v>
      </c>
      <c r="D489" s="11" t="s">
        <v>407</v>
      </c>
      <c r="E489" s="35"/>
      <c r="F489" s="90"/>
      <c r="G489" s="90"/>
    </row>
    <row r="490" spans="2:7" ht="15" customHeight="1" x14ac:dyDescent="0.25">
      <c r="B490" s="11" t="s">
        <v>528</v>
      </c>
      <c r="C490" s="11" t="s">
        <v>327</v>
      </c>
      <c r="D490" s="11" t="s">
        <v>24</v>
      </c>
      <c r="E490" s="35"/>
      <c r="F490" s="90"/>
      <c r="G490" s="90"/>
    </row>
    <row r="491" spans="2:7" ht="15" customHeight="1" x14ac:dyDescent="0.25">
      <c r="B491" s="11" t="s">
        <v>529</v>
      </c>
      <c r="C491" s="11" t="s">
        <v>325</v>
      </c>
      <c r="D491" s="11" t="s">
        <v>24</v>
      </c>
      <c r="E491" s="35"/>
      <c r="F491" s="90"/>
      <c r="G491" s="90"/>
    </row>
    <row r="492" spans="2:7" ht="15" customHeight="1" x14ac:dyDescent="0.25">
      <c r="B492" s="11" t="s">
        <v>530</v>
      </c>
      <c r="C492" s="11" t="s">
        <v>327</v>
      </c>
      <c r="D492" s="11" t="s">
        <v>24</v>
      </c>
      <c r="E492" s="35"/>
      <c r="F492" s="90"/>
      <c r="G492" s="90"/>
    </row>
    <row r="493" spans="2:7" ht="15" customHeight="1" x14ac:dyDescent="0.25">
      <c r="B493" s="11" t="s">
        <v>531</v>
      </c>
      <c r="C493" s="11" t="s">
        <v>329</v>
      </c>
      <c r="D493" s="11" t="s">
        <v>407</v>
      </c>
      <c r="E493" s="35"/>
      <c r="F493" s="90"/>
      <c r="G493" s="90"/>
    </row>
    <row r="494" spans="2:7" ht="15" customHeight="1" x14ac:dyDescent="0.25">
      <c r="B494" s="11" t="s">
        <v>532</v>
      </c>
      <c r="C494" s="11" t="s">
        <v>323</v>
      </c>
      <c r="D494" s="11" t="s">
        <v>24</v>
      </c>
      <c r="E494" s="35"/>
      <c r="F494" s="90"/>
      <c r="G494" s="90"/>
    </row>
    <row r="495" spans="2:7" ht="15" customHeight="1" x14ac:dyDescent="0.25">
      <c r="B495" s="11" t="s">
        <v>533</v>
      </c>
      <c r="C495" s="11" t="s">
        <v>329</v>
      </c>
      <c r="D495" s="11" t="s">
        <v>407</v>
      </c>
      <c r="E495" s="35"/>
      <c r="F495" s="90"/>
      <c r="G495" s="90"/>
    </row>
    <row r="496" spans="2:7" ht="15" customHeight="1" x14ac:dyDescent="0.25">
      <c r="B496" s="11" t="s">
        <v>534</v>
      </c>
      <c r="C496" s="11" t="s">
        <v>325</v>
      </c>
      <c r="D496" s="11" t="s">
        <v>24</v>
      </c>
      <c r="E496" s="35"/>
      <c r="F496" s="90"/>
      <c r="G496" s="90"/>
    </row>
    <row r="497" spans="2:7" ht="15" customHeight="1" x14ac:dyDescent="0.25">
      <c r="B497" s="11" t="s">
        <v>535</v>
      </c>
      <c r="C497" s="11" t="s">
        <v>328</v>
      </c>
      <c r="D497" s="11" t="s">
        <v>24</v>
      </c>
      <c r="E497" s="35"/>
      <c r="F497" s="90"/>
      <c r="G497" s="90"/>
    </row>
    <row r="498" spans="2:7" ht="15" customHeight="1" x14ac:dyDescent="0.25">
      <c r="B498" s="11" t="s">
        <v>536</v>
      </c>
      <c r="C498" s="11" t="s">
        <v>327</v>
      </c>
      <c r="D498" s="11" t="s">
        <v>24</v>
      </c>
      <c r="E498" s="35"/>
      <c r="F498" s="90"/>
      <c r="G498" s="90"/>
    </row>
    <row r="499" spans="2:7" ht="15" customHeight="1" x14ac:dyDescent="0.25">
      <c r="B499" s="11" t="s">
        <v>537</v>
      </c>
      <c r="C499" s="11" t="s">
        <v>328</v>
      </c>
      <c r="D499" s="11" t="s">
        <v>24</v>
      </c>
      <c r="E499" s="35"/>
      <c r="F499" s="90"/>
      <c r="G499" s="90"/>
    </row>
    <row r="500" spans="2:7" ht="15" customHeight="1" x14ac:dyDescent="0.25">
      <c r="B500" s="11" t="s">
        <v>538</v>
      </c>
      <c r="C500" s="11" t="s">
        <v>328</v>
      </c>
      <c r="D500" s="11" t="s">
        <v>24</v>
      </c>
      <c r="E500" s="35"/>
      <c r="F500" s="90"/>
      <c r="G500" s="90"/>
    </row>
    <row r="501" spans="2:7" ht="15" customHeight="1" x14ac:dyDescent="0.25">
      <c r="B501" s="11" t="s">
        <v>539</v>
      </c>
      <c r="C501" s="11" t="s">
        <v>326</v>
      </c>
      <c r="D501" s="11" t="s">
        <v>24</v>
      </c>
      <c r="E501" s="35"/>
      <c r="F501" s="90"/>
      <c r="G501" s="90"/>
    </row>
    <row r="502" spans="2:7" ht="15" customHeight="1" x14ac:dyDescent="0.25">
      <c r="B502" s="11" t="s">
        <v>540</v>
      </c>
      <c r="C502" s="11" t="s">
        <v>325</v>
      </c>
      <c r="D502" s="11" t="s">
        <v>24</v>
      </c>
      <c r="E502" s="35"/>
      <c r="F502" s="90"/>
      <c r="G502" s="90"/>
    </row>
    <row r="503" spans="2:7" ht="15" customHeight="1" x14ac:dyDescent="0.25">
      <c r="B503" s="11" t="s">
        <v>541</v>
      </c>
      <c r="C503" s="11" t="s">
        <v>325</v>
      </c>
      <c r="D503" s="11" t="s">
        <v>24</v>
      </c>
      <c r="E503" s="35"/>
      <c r="F503" s="90"/>
      <c r="G503" s="90"/>
    </row>
    <row r="504" spans="2:7" ht="15" customHeight="1" x14ac:dyDescent="0.25">
      <c r="B504" s="11" t="s">
        <v>542</v>
      </c>
      <c r="C504" s="11" t="s">
        <v>323</v>
      </c>
      <c r="D504" s="11" t="s">
        <v>24</v>
      </c>
      <c r="E504" s="35"/>
      <c r="F504" s="90"/>
      <c r="G504" s="90"/>
    </row>
    <row r="505" spans="2:7" ht="15" customHeight="1" x14ac:dyDescent="0.25">
      <c r="B505" s="11" t="s">
        <v>543</v>
      </c>
      <c r="C505" s="11" t="s">
        <v>326</v>
      </c>
      <c r="D505" s="11" t="s">
        <v>407</v>
      </c>
      <c r="E505" s="35"/>
      <c r="F505" s="90"/>
      <c r="G505" s="90"/>
    </row>
    <row r="506" spans="2:7" ht="15" customHeight="1" x14ac:dyDescent="0.25">
      <c r="B506" s="11" t="s">
        <v>544</v>
      </c>
      <c r="C506" s="11" t="s">
        <v>325</v>
      </c>
      <c r="D506" s="11" t="s">
        <v>24</v>
      </c>
      <c r="E506" s="35"/>
      <c r="F506" s="90"/>
      <c r="G506" s="90"/>
    </row>
    <row r="507" spans="2:7" ht="15" customHeight="1" x14ac:dyDescent="0.25">
      <c r="B507" s="11" t="s">
        <v>545</v>
      </c>
      <c r="C507" s="11" t="s">
        <v>323</v>
      </c>
      <c r="D507" s="11" t="s">
        <v>24</v>
      </c>
      <c r="E507" s="35"/>
      <c r="F507" s="90"/>
      <c r="G507" s="90"/>
    </row>
    <row r="508" spans="2:7" ht="15" customHeight="1" x14ac:dyDescent="0.25">
      <c r="B508" s="11" t="s">
        <v>546</v>
      </c>
      <c r="C508" s="11" t="s">
        <v>325</v>
      </c>
      <c r="D508" s="11" t="s">
        <v>24</v>
      </c>
      <c r="E508" s="35"/>
      <c r="F508" s="90"/>
      <c r="G508" s="90"/>
    </row>
    <row r="509" spans="2:7" ht="15" customHeight="1" x14ac:dyDescent="0.25">
      <c r="B509" s="11" t="s">
        <v>547</v>
      </c>
      <c r="C509" s="11" t="s">
        <v>323</v>
      </c>
      <c r="D509" s="11" t="s">
        <v>24</v>
      </c>
      <c r="E509" s="35"/>
      <c r="F509" s="90"/>
      <c r="G509" s="90"/>
    </row>
    <row r="510" spans="2:7" ht="15" customHeight="1" x14ac:dyDescent="0.25">
      <c r="B510" s="11" t="s">
        <v>548</v>
      </c>
      <c r="C510" s="11" t="s">
        <v>324</v>
      </c>
      <c r="D510" s="11" t="s">
        <v>24</v>
      </c>
      <c r="E510" s="35"/>
      <c r="F510" s="90"/>
      <c r="G510" s="90"/>
    </row>
    <row r="511" spans="2:7" ht="15" customHeight="1" x14ac:dyDescent="0.25">
      <c r="B511" s="11" t="s">
        <v>549</v>
      </c>
      <c r="C511" s="11" t="s">
        <v>325</v>
      </c>
      <c r="D511" s="11" t="s">
        <v>24</v>
      </c>
      <c r="E511" s="35"/>
      <c r="F511" s="90"/>
      <c r="G511" s="90"/>
    </row>
    <row r="512" spans="2:7" ht="15" customHeight="1" x14ac:dyDescent="0.25">
      <c r="B512" s="11" t="s">
        <v>550</v>
      </c>
      <c r="C512" s="11" t="s">
        <v>325</v>
      </c>
      <c r="D512" s="11" t="s">
        <v>24</v>
      </c>
      <c r="E512" s="35"/>
      <c r="F512" s="90"/>
      <c r="G512" s="90"/>
    </row>
    <row r="513" spans="2:7" ht="15" customHeight="1" x14ac:dyDescent="0.25">
      <c r="B513" s="11" t="s">
        <v>551</v>
      </c>
      <c r="C513" s="11" t="s">
        <v>325</v>
      </c>
      <c r="D513" s="11" t="s">
        <v>24</v>
      </c>
      <c r="E513" s="35"/>
      <c r="F513" s="90"/>
      <c r="G513" s="90"/>
    </row>
    <row r="514" spans="2:7" ht="15" customHeight="1" x14ac:dyDescent="0.25">
      <c r="B514" s="11" t="s">
        <v>552</v>
      </c>
      <c r="C514" s="11" t="s">
        <v>325</v>
      </c>
      <c r="D514" s="11" t="s">
        <v>24</v>
      </c>
      <c r="E514" s="35"/>
      <c r="F514" s="90"/>
      <c r="G514" s="90"/>
    </row>
    <row r="515" spans="2:7" ht="15" customHeight="1" x14ac:dyDescent="0.25">
      <c r="B515" s="11" t="s">
        <v>553</v>
      </c>
      <c r="C515" s="11" t="s">
        <v>327</v>
      </c>
      <c r="D515" s="11" t="s">
        <v>24</v>
      </c>
      <c r="E515" s="35"/>
      <c r="F515" s="90"/>
      <c r="G515" s="90"/>
    </row>
    <row r="516" spans="2:7" ht="15" customHeight="1" x14ac:dyDescent="0.25">
      <c r="B516" s="11" t="s">
        <v>554</v>
      </c>
      <c r="C516" s="11" t="s">
        <v>328</v>
      </c>
      <c r="D516" s="11" t="s">
        <v>24</v>
      </c>
      <c r="E516" s="35"/>
      <c r="F516" s="90"/>
      <c r="G516" s="90"/>
    </row>
    <row r="517" spans="2:7" ht="15" customHeight="1" x14ac:dyDescent="0.25">
      <c r="B517" s="11" t="s">
        <v>555</v>
      </c>
      <c r="C517" s="11" t="s">
        <v>328</v>
      </c>
      <c r="D517" s="11" t="s">
        <v>24</v>
      </c>
      <c r="E517" s="35"/>
      <c r="F517" s="90"/>
      <c r="G517" s="90"/>
    </row>
    <row r="518" spans="2:7" ht="15" customHeight="1" x14ac:dyDescent="0.25">
      <c r="B518" s="11" t="s">
        <v>556</v>
      </c>
      <c r="C518" s="11" t="s">
        <v>326</v>
      </c>
      <c r="D518" s="11" t="s">
        <v>24</v>
      </c>
      <c r="E518" s="35"/>
      <c r="F518" s="90"/>
      <c r="G518" s="90"/>
    </row>
    <row r="519" spans="2:7" ht="15" customHeight="1" x14ac:dyDescent="0.25">
      <c r="B519" s="11" t="s">
        <v>557</v>
      </c>
      <c r="C519" s="11" t="s">
        <v>328</v>
      </c>
      <c r="D519" s="11" t="s">
        <v>24</v>
      </c>
      <c r="E519" s="35"/>
      <c r="F519" s="90"/>
      <c r="G519" s="90"/>
    </row>
    <row r="520" spans="2:7" ht="15" customHeight="1" x14ac:dyDescent="0.25">
      <c r="B520" s="11" t="s">
        <v>558</v>
      </c>
      <c r="C520" s="11" t="s">
        <v>325</v>
      </c>
      <c r="D520" s="11" t="s">
        <v>24</v>
      </c>
      <c r="E520" s="35"/>
      <c r="F520" s="90"/>
      <c r="G520" s="90"/>
    </row>
    <row r="521" spans="2:7" ht="15" customHeight="1" x14ac:dyDescent="0.25">
      <c r="B521" s="11" t="s">
        <v>559</v>
      </c>
      <c r="C521" s="11" t="s">
        <v>326</v>
      </c>
      <c r="D521" s="11" t="s">
        <v>24</v>
      </c>
      <c r="E521" s="35"/>
      <c r="F521" s="90"/>
      <c r="G521" s="90"/>
    </row>
    <row r="522" spans="2:7" ht="15" customHeight="1" x14ac:dyDescent="0.25">
      <c r="B522" s="11" t="s">
        <v>560</v>
      </c>
      <c r="C522" s="11" t="s">
        <v>325</v>
      </c>
      <c r="D522" s="11" t="s">
        <v>407</v>
      </c>
      <c r="E522" s="35"/>
      <c r="F522" s="90"/>
      <c r="G522" s="90"/>
    </row>
    <row r="523" spans="2:7" ht="15" customHeight="1" x14ac:dyDescent="0.25">
      <c r="B523" s="11" t="s">
        <v>561</v>
      </c>
      <c r="C523" s="11" t="s">
        <v>326</v>
      </c>
      <c r="D523" s="11" t="s">
        <v>24</v>
      </c>
      <c r="E523" s="35"/>
      <c r="F523" s="90"/>
      <c r="G523" s="90"/>
    </row>
    <row r="524" spans="2:7" ht="15" customHeight="1" x14ac:dyDescent="0.25">
      <c r="B524" s="11" t="s">
        <v>562</v>
      </c>
      <c r="C524" s="11" t="s">
        <v>327</v>
      </c>
      <c r="D524" s="11" t="s">
        <v>24</v>
      </c>
      <c r="E524" s="35"/>
      <c r="F524" s="90"/>
      <c r="G524" s="90"/>
    </row>
    <row r="525" spans="2:7" ht="15" customHeight="1" x14ac:dyDescent="0.25">
      <c r="B525" s="11" t="s">
        <v>563</v>
      </c>
      <c r="C525" s="11" t="s">
        <v>325</v>
      </c>
      <c r="D525" s="11" t="s">
        <v>407</v>
      </c>
      <c r="E525" s="35"/>
      <c r="F525" s="90"/>
      <c r="G525" s="90"/>
    </row>
    <row r="526" spans="2:7" ht="15" customHeight="1" x14ac:dyDescent="0.25">
      <c r="B526" s="11" t="s">
        <v>564</v>
      </c>
      <c r="C526" s="11" t="s">
        <v>329</v>
      </c>
      <c r="D526" s="11" t="s">
        <v>24</v>
      </c>
      <c r="E526" s="35"/>
      <c r="F526" s="90"/>
      <c r="G526" s="90"/>
    </row>
    <row r="527" spans="2:7" ht="15" customHeight="1" x14ac:dyDescent="0.25">
      <c r="B527" s="11" t="s">
        <v>565</v>
      </c>
      <c r="C527" s="11" t="s">
        <v>325</v>
      </c>
      <c r="D527" s="11" t="s">
        <v>24</v>
      </c>
      <c r="E527" s="35"/>
      <c r="F527" s="90"/>
      <c r="G527" s="90"/>
    </row>
    <row r="528" spans="2:7" ht="15" customHeight="1" x14ac:dyDescent="0.25">
      <c r="B528" s="11" t="s">
        <v>566</v>
      </c>
      <c r="C528" s="11" t="s">
        <v>324</v>
      </c>
      <c r="D528" s="11" t="s">
        <v>24</v>
      </c>
      <c r="E528" s="35"/>
      <c r="F528" s="90"/>
      <c r="G528" s="90"/>
    </row>
    <row r="529" spans="2:7" ht="15" customHeight="1" x14ac:dyDescent="0.25">
      <c r="B529" s="11" t="s">
        <v>567</v>
      </c>
      <c r="C529" s="11" t="s">
        <v>323</v>
      </c>
      <c r="D529" s="11" t="s">
        <v>24</v>
      </c>
      <c r="E529" s="35"/>
      <c r="F529" s="90"/>
      <c r="G529" s="90"/>
    </row>
    <row r="530" spans="2:7" ht="15" customHeight="1" x14ac:dyDescent="0.25">
      <c r="B530" s="11" t="s">
        <v>568</v>
      </c>
      <c r="C530" s="11" t="s">
        <v>328</v>
      </c>
      <c r="D530" s="11" t="s">
        <v>24</v>
      </c>
      <c r="E530" s="35"/>
      <c r="F530" s="90"/>
      <c r="G530" s="90"/>
    </row>
    <row r="531" spans="2:7" ht="15" customHeight="1" x14ac:dyDescent="0.25">
      <c r="B531" s="11" t="s">
        <v>569</v>
      </c>
      <c r="C531" s="11" t="s">
        <v>328</v>
      </c>
      <c r="D531" s="11" t="s">
        <v>24</v>
      </c>
      <c r="E531" s="35"/>
      <c r="F531" s="90"/>
      <c r="G531" s="90"/>
    </row>
    <row r="532" spans="2:7" ht="15" customHeight="1" x14ac:dyDescent="0.25">
      <c r="B532" s="11" t="s">
        <v>570</v>
      </c>
      <c r="C532" s="11" t="s">
        <v>325</v>
      </c>
      <c r="D532" s="11" t="s">
        <v>24</v>
      </c>
      <c r="E532" s="35"/>
      <c r="F532" s="90"/>
      <c r="G532" s="90"/>
    </row>
    <row r="533" spans="2:7" ht="15" customHeight="1" x14ac:dyDescent="0.25">
      <c r="B533" s="11" t="s">
        <v>571</v>
      </c>
      <c r="C533" s="11" t="s">
        <v>325</v>
      </c>
      <c r="D533" s="11" t="s">
        <v>24</v>
      </c>
      <c r="E533" s="35"/>
      <c r="F533" s="90"/>
      <c r="G533" s="90"/>
    </row>
    <row r="534" spans="2:7" ht="15" customHeight="1" x14ac:dyDescent="0.25">
      <c r="B534" s="11" t="s">
        <v>572</v>
      </c>
      <c r="C534" s="11" t="s">
        <v>324</v>
      </c>
      <c r="D534" s="11" t="s">
        <v>24</v>
      </c>
      <c r="E534" s="35"/>
      <c r="F534" s="90"/>
      <c r="G534" s="90"/>
    </row>
    <row r="535" spans="2:7" ht="15" customHeight="1" x14ac:dyDescent="0.25">
      <c r="B535" s="11" t="s">
        <v>573</v>
      </c>
      <c r="C535" s="11" t="s">
        <v>326</v>
      </c>
      <c r="D535" s="11" t="s">
        <v>24</v>
      </c>
      <c r="E535" s="35"/>
      <c r="F535" s="90"/>
      <c r="G535" s="90"/>
    </row>
    <row r="536" spans="2:7" ht="15" customHeight="1" x14ac:dyDescent="0.25">
      <c r="B536" s="11" t="s">
        <v>574</v>
      </c>
      <c r="C536" s="11" t="s">
        <v>325</v>
      </c>
      <c r="D536" s="11" t="s">
        <v>24</v>
      </c>
      <c r="E536" s="35"/>
      <c r="F536" s="90"/>
      <c r="G536" s="90"/>
    </row>
    <row r="537" spans="2:7" ht="15" customHeight="1" x14ac:dyDescent="0.25">
      <c r="B537" s="11" t="s">
        <v>575</v>
      </c>
      <c r="C537" s="11" t="s">
        <v>325</v>
      </c>
      <c r="D537" s="11" t="s">
        <v>24</v>
      </c>
      <c r="E537" s="35"/>
      <c r="F537" s="90"/>
      <c r="G537" s="90"/>
    </row>
    <row r="538" spans="2:7" ht="15" customHeight="1" x14ac:dyDescent="0.25">
      <c r="B538" s="11" t="s">
        <v>576</v>
      </c>
      <c r="C538" s="11" t="s">
        <v>325</v>
      </c>
      <c r="D538" s="11" t="s">
        <v>24</v>
      </c>
      <c r="E538" s="35"/>
      <c r="F538" s="90"/>
      <c r="G538" s="90"/>
    </row>
    <row r="539" spans="2:7" ht="15" customHeight="1" x14ac:dyDescent="0.25">
      <c r="B539" s="11" t="s">
        <v>577</v>
      </c>
      <c r="C539" s="11" t="s">
        <v>327</v>
      </c>
      <c r="D539" s="11" t="s">
        <v>24</v>
      </c>
      <c r="E539" s="35"/>
      <c r="F539" s="90"/>
      <c r="G539" s="90"/>
    </row>
    <row r="540" spans="2:7" ht="15" customHeight="1" x14ac:dyDescent="0.25">
      <c r="B540" s="11" t="s">
        <v>578</v>
      </c>
      <c r="C540" s="11" t="s">
        <v>325</v>
      </c>
      <c r="D540" s="11" t="s">
        <v>24</v>
      </c>
      <c r="E540" s="35"/>
      <c r="F540" s="90"/>
      <c r="G540" s="90"/>
    </row>
    <row r="541" spans="2:7" ht="15" customHeight="1" x14ac:dyDescent="0.25">
      <c r="B541" s="11" t="s">
        <v>579</v>
      </c>
      <c r="C541" s="11" t="s">
        <v>325</v>
      </c>
      <c r="D541" s="11" t="s">
        <v>24</v>
      </c>
      <c r="E541" s="35"/>
      <c r="F541" s="35"/>
      <c r="G541" s="35"/>
    </row>
    <row r="542" spans="2:7" ht="15" customHeight="1" x14ac:dyDescent="0.25">
      <c r="B542" s="11" t="s">
        <v>580</v>
      </c>
      <c r="C542" s="11" t="s">
        <v>326</v>
      </c>
      <c r="D542" s="11" t="s">
        <v>24</v>
      </c>
      <c r="E542" s="35"/>
      <c r="F542" s="90"/>
      <c r="G542" s="90"/>
    </row>
    <row r="543" spans="2:7" ht="15" customHeight="1" x14ac:dyDescent="0.25">
      <c r="B543" s="11" t="s">
        <v>581</v>
      </c>
      <c r="C543" s="11" t="s">
        <v>325</v>
      </c>
      <c r="D543" s="11" t="s">
        <v>24</v>
      </c>
      <c r="E543" s="35"/>
      <c r="F543" s="90"/>
      <c r="G543" s="90"/>
    </row>
    <row r="544" spans="2:7" ht="15" customHeight="1" x14ac:dyDescent="0.25">
      <c r="B544" s="11" t="s">
        <v>582</v>
      </c>
      <c r="C544" s="11" t="s">
        <v>326</v>
      </c>
      <c r="D544" s="11" t="s">
        <v>24</v>
      </c>
      <c r="E544" s="35"/>
      <c r="F544" s="35"/>
      <c r="G544" s="35"/>
    </row>
    <row r="545" spans="2:7" ht="15" customHeight="1" x14ac:dyDescent="0.25">
      <c r="B545" s="11" t="s">
        <v>583</v>
      </c>
      <c r="C545" s="11" t="s">
        <v>325</v>
      </c>
      <c r="D545" s="11" t="s">
        <v>24</v>
      </c>
      <c r="E545" s="35"/>
      <c r="F545" s="90"/>
      <c r="G545" s="90"/>
    </row>
    <row r="546" spans="2:7" ht="15" customHeight="1" x14ac:dyDescent="0.25">
      <c r="B546" s="11" t="s">
        <v>584</v>
      </c>
      <c r="C546" s="11" t="s">
        <v>325</v>
      </c>
      <c r="D546" s="11" t="s">
        <v>24</v>
      </c>
      <c r="E546" s="35"/>
      <c r="F546" s="90"/>
      <c r="G546" s="90"/>
    </row>
    <row r="547" spans="2:7" ht="15" customHeight="1" x14ac:dyDescent="0.25">
      <c r="B547" s="11" t="s">
        <v>585</v>
      </c>
      <c r="C547" s="11" t="s">
        <v>328</v>
      </c>
      <c r="D547" s="11" t="s">
        <v>24</v>
      </c>
      <c r="E547" s="35"/>
      <c r="F547" s="90"/>
      <c r="G547" s="90"/>
    </row>
    <row r="548" spans="2:7" ht="15" customHeight="1" x14ac:dyDescent="0.25">
      <c r="B548" s="11" t="s">
        <v>586</v>
      </c>
      <c r="C548" s="11" t="s">
        <v>328</v>
      </c>
      <c r="D548" s="11" t="s">
        <v>24</v>
      </c>
      <c r="E548" s="35"/>
      <c r="F548" s="90"/>
      <c r="G548" s="90"/>
    </row>
    <row r="549" spans="2:7" ht="15" customHeight="1" x14ac:dyDescent="0.25">
      <c r="B549" s="11" t="s">
        <v>587</v>
      </c>
      <c r="C549" s="11" t="s">
        <v>325</v>
      </c>
      <c r="D549" s="11" t="s">
        <v>24</v>
      </c>
      <c r="E549" s="35"/>
      <c r="F549" s="90"/>
      <c r="G549" s="90"/>
    </row>
    <row r="550" spans="2:7" ht="15" customHeight="1" x14ac:dyDescent="0.25">
      <c r="B550" s="11" t="s">
        <v>588</v>
      </c>
      <c r="C550" s="11" t="s">
        <v>325</v>
      </c>
      <c r="D550" s="11" t="s">
        <v>24</v>
      </c>
      <c r="E550" s="35"/>
      <c r="F550" s="90"/>
      <c r="G550" s="90"/>
    </row>
    <row r="551" spans="2:7" ht="15" customHeight="1" x14ac:dyDescent="0.25">
      <c r="B551" s="11" t="s">
        <v>589</v>
      </c>
      <c r="C551" s="11" t="s">
        <v>325</v>
      </c>
      <c r="D551" s="11" t="s">
        <v>24</v>
      </c>
      <c r="E551" s="35"/>
      <c r="F551" s="90"/>
      <c r="G551" s="90"/>
    </row>
    <row r="552" spans="2:7" ht="15" customHeight="1" x14ac:dyDescent="0.25">
      <c r="B552" s="11" t="s">
        <v>590</v>
      </c>
      <c r="C552" s="11" t="s">
        <v>325</v>
      </c>
      <c r="D552" s="11" t="s">
        <v>24</v>
      </c>
      <c r="E552" s="35"/>
      <c r="F552" s="90"/>
      <c r="G552" s="90"/>
    </row>
    <row r="553" spans="2:7" ht="15" customHeight="1" x14ac:dyDescent="0.25">
      <c r="B553" s="11" t="s">
        <v>591</v>
      </c>
      <c r="C553" s="11" t="s">
        <v>325</v>
      </c>
      <c r="D553" s="11" t="s">
        <v>24</v>
      </c>
      <c r="E553" s="35"/>
      <c r="F553" s="90"/>
      <c r="G553" s="90"/>
    </row>
    <row r="554" spans="2:7" ht="15" customHeight="1" x14ac:dyDescent="0.25">
      <c r="B554" s="11" t="s">
        <v>592</v>
      </c>
      <c r="C554" s="11" t="s">
        <v>325</v>
      </c>
      <c r="D554" s="11" t="s">
        <v>24</v>
      </c>
      <c r="E554" s="35"/>
      <c r="F554" s="90"/>
      <c r="G554" s="90"/>
    </row>
    <row r="555" spans="2:7" ht="15" customHeight="1" x14ac:dyDescent="0.25">
      <c r="B555" s="11" t="s">
        <v>593</v>
      </c>
      <c r="C555" s="11" t="s">
        <v>325</v>
      </c>
      <c r="D555" s="11" t="s">
        <v>24</v>
      </c>
      <c r="E555" s="35"/>
      <c r="F555" s="90"/>
      <c r="G555" s="90"/>
    </row>
    <row r="556" spans="2:7" ht="15" customHeight="1" x14ac:dyDescent="0.25">
      <c r="B556" s="11" t="s">
        <v>594</v>
      </c>
      <c r="C556" s="11" t="s">
        <v>325</v>
      </c>
      <c r="D556" s="11" t="s">
        <v>24</v>
      </c>
      <c r="E556" s="35"/>
      <c r="F556" s="90"/>
      <c r="G556" s="90"/>
    </row>
    <row r="557" spans="2:7" ht="15" customHeight="1" x14ac:dyDescent="0.25">
      <c r="B557" s="11" t="s">
        <v>595</v>
      </c>
      <c r="C557" s="11" t="s">
        <v>325</v>
      </c>
      <c r="D557" s="11" t="s">
        <v>24</v>
      </c>
      <c r="E557" s="35"/>
      <c r="F557" s="90"/>
      <c r="G557" s="90"/>
    </row>
    <row r="558" spans="2:7" ht="15" customHeight="1" x14ac:dyDescent="0.25">
      <c r="B558" s="11" t="s">
        <v>596</v>
      </c>
      <c r="C558" s="11" t="s">
        <v>325</v>
      </c>
      <c r="D558" s="11" t="s">
        <v>24</v>
      </c>
      <c r="E558" s="35"/>
      <c r="F558" s="90"/>
      <c r="G558" s="90"/>
    </row>
    <row r="559" spans="2:7" ht="15" customHeight="1" x14ac:dyDescent="0.25">
      <c r="B559" s="11" t="s">
        <v>597</v>
      </c>
      <c r="C559" s="11" t="s">
        <v>325</v>
      </c>
      <c r="D559" s="11" t="s">
        <v>24</v>
      </c>
      <c r="E559" s="35"/>
      <c r="F559" s="90"/>
      <c r="G559" s="90"/>
    </row>
    <row r="560" spans="2:7" ht="15" customHeight="1" x14ac:dyDescent="0.25">
      <c r="B560" s="11" t="s">
        <v>598</v>
      </c>
      <c r="C560" s="11" t="s">
        <v>329</v>
      </c>
      <c r="D560" s="11" t="s">
        <v>24</v>
      </c>
      <c r="E560" s="35"/>
      <c r="F560" s="90"/>
      <c r="G560" s="90"/>
    </row>
    <row r="561" spans="2:7" ht="15" customHeight="1" x14ac:dyDescent="0.25">
      <c r="B561" s="11" t="s">
        <v>599</v>
      </c>
      <c r="C561" s="11" t="s">
        <v>325</v>
      </c>
      <c r="D561" s="11" t="s">
        <v>24</v>
      </c>
      <c r="E561" s="35"/>
      <c r="F561" s="90"/>
      <c r="G561" s="90"/>
    </row>
    <row r="562" spans="2:7" ht="15" customHeight="1" x14ac:dyDescent="0.25">
      <c r="B562" s="11" t="s">
        <v>600</v>
      </c>
      <c r="C562" s="11" t="s">
        <v>325</v>
      </c>
      <c r="D562" s="11" t="s">
        <v>24</v>
      </c>
      <c r="E562" s="35"/>
      <c r="F562" s="90"/>
      <c r="G562" s="90"/>
    </row>
    <row r="563" spans="2:7" ht="15" customHeight="1" x14ac:dyDescent="0.25">
      <c r="B563" s="11" t="s">
        <v>601</v>
      </c>
      <c r="C563" s="11" t="s">
        <v>325</v>
      </c>
      <c r="D563" s="11" t="s">
        <v>24</v>
      </c>
      <c r="E563" s="35"/>
      <c r="F563" s="90"/>
      <c r="G563" s="90"/>
    </row>
    <row r="564" spans="2:7" ht="15" customHeight="1" x14ac:dyDescent="0.25">
      <c r="B564" s="11" t="s">
        <v>602</v>
      </c>
      <c r="C564" s="11" t="s">
        <v>327</v>
      </c>
      <c r="D564" s="11" t="s">
        <v>24</v>
      </c>
      <c r="E564" s="35"/>
      <c r="F564" s="90"/>
      <c r="G564" s="90"/>
    </row>
    <row r="565" spans="2:7" ht="15" customHeight="1" x14ac:dyDescent="0.25">
      <c r="B565" s="11" t="s">
        <v>603</v>
      </c>
      <c r="C565" s="11" t="s">
        <v>323</v>
      </c>
      <c r="D565" s="11" t="s">
        <v>24</v>
      </c>
      <c r="E565" s="35"/>
      <c r="F565" s="90"/>
      <c r="G565" s="90"/>
    </row>
    <row r="566" spans="2:7" ht="15" customHeight="1" x14ac:dyDescent="0.25">
      <c r="B566" s="11" t="s">
        <v>604</v>
      </c>
      <c r="C566" s="11" t="s">
        <v>325</v>
      </c>
      <c r="D566" s="11" t="s">
        <v>407</v>
      </c>
      <c r="E566" s="35"/>
      <c r="F566" s="90"/>
      <c r="G566" s="90"/>
    </row>
    <row r="567" spans="2:7" ht="15" customHeight="1" x14ac:dyDescent="0.25">
      <c r="B567" s="11" t="s">
        <v>605</v>
      </c>
      <c r="C567" s="11" t="s">
        <v>325</v>
      </c>
      <c r="D567" s="11" t="s">
        <v>24</v>
      </c>
      <c r="E567" s="35"/>
      <c r="F567" s="90"/>
      <c r="G567" s="90"/>
    </row>
    <row r="568" spans="2:7" ht="15" customHeight="1" x14ac:dyDescent="0.25">
      <c r="B568" s="11" t="s">
        <v>606</v>
      </c>
      <c r="C568" s="11" t="s">
        <v>325</v>
      </c>
      <c r="D568" s="11" t="s">
        <v>24</v>
      </c>
      <c r="E568" s="35"/>
      <c r="F568" s="90"/>
      <c r="G568" s="90"/>
    </row>
    <row r="569" spans="2:7" ht="15" customHeight="1" x14ac:dyDescent="0.25">
      <c r="B569" s="11" t="s">
        <v>607</v>
      </c>
      <c r="C569" s="11" t="s">
        <v>326</v>
      </c>
      <c r="D569" s="11" t="s">
        <v>24</v>
      </c>
      <c r="E569" s="35"/>
      <c r="F569" s="90"/>
      <c r="G569" s="90"/>
    </row>
    <row r="570" spans="2:7" ht="15" customHeight="1" x14ac:dyDescent="0.25">
      <c r="B570" s="11" t="s">
        <v>608</v>
      </c>
      <c r="C570" s="11" t="s">
        <v>326</v>
      </c>
      <c r="D570" s="11" t="s">
        <v>24</v>
      </c>
      <c r="E570" s="35"/>
      <c r="F570" s="90"/>
      <c r="G570" s="90"/>
    </row>
    <row r="571" spans="2:7" ht="15" customHeight="1" x14ac:dyDescent="0.25">
      <c r="B571" s="11" t="s">
        <v>609</v>
      </c>
      <c r="C571" s="11" t="s">
        <v>323</v>
      </c>
      <c r="D571" s="11" t="s">
        <v>24</v>
      </c>
      <c r="E571" s="35"/>
      <c r="F571" s="90"/>
      <c r="G571" s="90"/>
    </row>
    <row r="572" spans="2:7" ht="15" customHeight="1" x14ac:dyDescent="0.25">
      <c r="B572" s="11" t="s">
        <v>610</v>
      </c>
      <c r="C572" s="11" t="s">
        <v>325</v>
      </c>
      <c r="D572" s="11" t="s">
        <v>24</v>
      </c>
      <c r="E572" s="35"/>
      <c r="F572" s="90"/>
      <c r="G572" s="90"/>
    </row>
    <row r="573" spans="2:7" ht="15" customHeight="1" x14ac:dyDescent="0.25">
      <c r="B573" s="11" t="s">
        <v>611</v>
      </c>
      <c r="C573" s="11" t="s">
        <v>327</v>
      </c>
      <c r="D573" s="11" t="s">
        <v>24</v>
      </c>
      <c r="E573" s="35"/>
      <c r="F573" s="90"/>
      <c r="G573" s="90"/>
    </row>
    <row r="574" spans="2:7" ht="15" customHeight="1" x14ac:dyDescent="0.25">
      <c r="B574" s="11" t="s">
        <v>612</v>
      </c>
      <c r="C574" s="11" t="s">
        <v>325</v>
      </c>
      <c r="D574" s="11" t="s">
        <v>24</v>
      </c>
      <c r="E574" s="35"/>
      <c r="F574" s="90"/>
      <c r="G574" s="90"/>
    </row>
    <row r="575" spans="2:7" ht="15" customHeight="1" x14ac:dyDescent="0.25">
      <c r="B575" s="11" t="s">
        <v>613</v>
      </c>
      <c r="C575" s="11" t="s">
        <v>323</v>
      </c>
      <c r="D575" s="11" t="s">
        <v>24</v>
      </c>
      <c r="E575" s="35"/>
      <c r="F575" s="90"/>
      <c r="G575" s="90"/>
    </row>
    <row r="576" spans="2:7" ht="15" customHeight="1" x14ac:dyDescent="0.25">
      <c r="B576" s="11" t="s">
        <v>614</v>
      </c>
      <c r="C576" s="11" t="s">
        <v>323</v>
      </c>
      <c r="D576" s="11" t="s">
        <v>24</v>
      </c>
      <c r="E576" s="35"/>
      <c r="F576" s="90"/>
      <c r="G576" s="90"/>
    </row>
    <row r="577" spans="2:7" ht="15" customHeight="1" x14ac:dyDescent="0.25">
      <c r="B577" s="11" t="s">
        <v>615</v>
      </c>
      <c r="C577" s="11" t="s">
        <v>324</v>
      </c>
      <c r="D577" s="11" t="s">
        <v>24</v>
      </c>
      <c r="E577" s="35"/>
      <c r="F577" s="90"/>
      <c r="G577" s="90"/>
    </row>
    <row r="578" spans="2:7" ht="15" customHeight="1" x14ac:dyDescent="0.25">
      <c r="B578" s="11" t="s">
        <v>616</v>
      </c>
      <c r="C578" s="11" t="s">
        <v>325</v>
      </c>
      <c r="D578" s="11" t="s">
        <v>24</v>
      </c>
      <c r="E578" s="35"/>
      <c r="F578" s="90"/>
      <c r="G578" s="90"/>
    </row>
    <row r="579" spans="2:7" ht="15" customHeight="1" x14ac:dyDescent="0.25">
      <c r="B579" s="11" t="s">
        <v>617</v>
      </c>
      <c r="C579" s="11" t="s">
        <v>326</v>
      </c>
      <c r="D579" s="11" t="s">
        <v>24</v>
      </c>
      <c r="E579" s="35"/>
      <c r="F579" s="90"/>
      <c r="G579" s="90"/>
    </row>
    <row r="580" spans="2:7" ht="15" customHeight="1" x14ac:dyDescent="0.25">
      <c r="B580" s="11" t="s">
        <v>618</v>
      </c>
      <c r="C580" s="11" t="s">
        <v>327</v>
      </c>
      <c r="D580" s="11" t="s">
        <v>24</v>
      </c>
      <c r="E580" s="35"/>
      <c r="F580" s="90"/>
      <c r="G580" s="90"/>
    </row>
    <row r="581" spans="2:7" ht="15" customHeight="1" x14ac:dyDescent="0.25">
      <c r="B581" s="11" t="s">
        <v>619</v>
      </c>
      <c r="C581" s="11" t="s">
        <v>328</v>
      </c>
      <c r="D581" s="11" t="s">
        <v>24</v>
      </c>
      <c r="E581" s="35"/>
      <c r="F581" s="90"/>
      <c r="G581" s="90"/>
    </row>
    <row r="582" spans="2:7" ht="15" customHeight="1" x14ac:dyDescent="0.25">
      <c r="B582" s="11" t="s">
        <v>620</v>
      </c>
      <c r="C582" s="11" t="s">
        <v>329</v>
      </c>
      <c r="D582" s="11" t="s">
        <v>24</v>
      </c>
      <c r="E582" s="35"/>
      <c r="F582" s="90"/>
      <c r="G582" s="90"/>
    </row>
    <row r="583" spans="2:7" ht="15" customHeight="1" x14ac:dyDescent="0.25">
      <c r="E583" s="35"/>
      <c r="F583" s="90"/>
      <c r="G583" s="90"/>
    </row>
    <row r="584" spans="2:7" ht="15" customHeight="1" x14ac:dyDescent="0.25">
      <c r="E584" s="35"/>
      <c r="F584" s="90"/>
      <c r="G584" s="90"/>
    </row>
    <row r="585" spans="2:7" ht="15" customHeight="1" x14ac:dyDescent="0.25">
      <c r="E585" s="35"/>
      <c r="F585" s="90"/>
      <c r="G585" s="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153</vt:i4>
      </vt:variant>
    </vt:vector>
  </HeadingPairs>
  <TitlesOfParts>
    <vt:vector size="155" baseType="lpstr">
      <vt:lpstr>Main</vt:lpstr>
      <vt:lpstr>Reference</vt:lpstr>
      <vt:lpstr>BBR.BBR.ADLAnswer.Input</vt:lpstr>
      <vt:lpstr>BBR.BBR.ADLFactor.Output</vt:lpstr>
      <vt:lpstr>BBR.BBR.AggregateLimit.Input</vt:lpstr>
      <vt:lpstr>BBR.BBR.BaseRate.Output</vt:lpstr>
      <vt:lpstr>BBR.BBR.BPIPercent.Output</vt:lpstr>
      <vt:lpstr>BBR.BBR.CommissionAdjustment.Output</vt:lpstr>
      <vt:lpstr>BBR.BBR.CommissionAdjustmentCyberOnly.Output</vt:lpstr>
      <vt:lpstr>BBR.BBR.CommissionAdjustmentFirstPartyOnly.Output</vt:lpstr>
      <vt:lpstr>BBR.BBR.CommissionAdjustmentNoCyberNoFirstParty.Output</vt:lpstr>
      <vt:lpstr>BBR.BBR.EffectiveDate.Input</vt:lpstr>
      <vt:lpstr>BBR.BBR.ElectronicCrime.Input</vt:lpstr>
      <vt:lpstr>BBR.BBR.ElectronicCrimeCredit.Output</vt:lpstr>
      <vt:lpstr>BBR.BBR.ElectronicCrimeDebit.Output</vt:lpstr>
      <vt:lpstr>BBR.BBR.ExpirationDate.Input</vt:lpstr>
      <vt:lpstr>BBR.BBR.ExternalBrokerage.Input</vt:lpstr>
      <vt:lpstr>BBR.BBR.FinalModelPremium.Output</vt:lpstr>
      <vt:lpstr>BBR.BBR.FradulentInstructionCredit.Output</vt:lpstr>
      <vt:lpstr>BBR.BBR.FraudulentInstruction.Input</vt:lpstr>
      <vt:lpstr>BBR.BBR.GrossBenchmarkPrice.Output</vt:lpstr>
      <vt:lpstr>BBR.BBR.GuidelineNotification.Output</vt:lpstr>
      <vt:lpstr>BBR.BBR.GuidelineRetention.Output</vt:lpstr>
      <vt:lpstr>BBR.BBR.HazardGroup.Output</vt:lpstr>
      <vt:lpstr>BBR.BBR.ILF.Output</vt:lpstr>
      <vt:lpstr>BBR.BBR.IndustryClass.Input</vt:lpstr>
      <vt:lpstr>BBR.BBR.IPInfringementAnswer.Input</vt:lpstr>
      <vt:lpstr>BBR.BBR.IPInfringementDebit.Output</vt:lpstr>
      <vt:lpstr>BBR.BBR.IPInfringementMax.Output</vt:lpstr>
      <vt:lpstr>BBR.BBR.IPInfringementMin.Output</vt:lpstr>
      <vt:lpstr>BBR.BBR.LossRating.Output</vt:lpstr>
      <vt:lpstr>BBR.BBR.LossRatingClaimCount.Input</vt:lpstr>
      <vt:lpstr>BBR.BBR.LossRatingFactor.Output</vt:lpstr>
      <vt:lpstr>BBR.BBR.LossRatingIncurredLoss.Input</vt:lpstr>
      <vt:lpstr>BBR.BBR.LossRatingLossRatio.Input</vt:lpstr>
      <vt:lpstr>BBR.BBR.LossRatingMax.Output</vt:lpstr>
      <vt:lpstr>BBR.BBR.LossRatingMin.Output</vt:lpstr>
      <vt:lpstr>BBR.BBR.MinimumPremium.Output</vt:lpstr>
      <vt:lpstr>BBR.BBR.MultiyearProrataFactor.Output</vt:lpstr>
      <vt:lpstr>BBR.BBR.NebraskaDeviationFactor.Input</vt:lpstr>
      <vt:lpstr>BBR.BBR.NebraskaDeviationFactor.Output</vt:lpstr>
      <vt:lpstr>BBR.BBR.NonServicesPremium.Output</vt:lpstr>
      <vt:lpstr>BBR.BBR.NotificationFactor.Output</vt:lpstr>
      <vt:lpstr>BBR.BBR.NotificationMax.Output</vt:lpstr>
      <vt:lpstr>BBR.BBR.PCIFinesandCosts.Input</vt:lpstr>
      <vt:lpstr>BBR.BBR.PCIFinesandCosts.Output</vt:lpstr>
      <vt:lpstr>BBR.BBR.PCIFinesandCosts.Percentage</vt:lpstr>
      <vt:lpstr>BBR.BBR.PrivacyBreachResponse.Output</vt:lpstr>
      <vt:lpstr>BBR.BBR.PrivacyBreachResponseServices.Input</vt:lpstr>
      <vt:lpstr>BBR.BBR.PrivacyBreachResponseServices.Percentage</vt:lpstr>
      <vt:lpstr>BBR.BBR.ProfServicesAnswer.Input</vt:lpstr>
      <vt:lpstr>BBR.BBR.ProfServicesCredit.Output</vt:lpstr>
      <vt:lpstr>BBR.BBR.RaterName.Output</vt:lpstr>
      <vt:lpstr>BBR.BBR.RegulatoryDefenseandPenalties.Input</vt:lpstr>
      <vt:lpstr>BBR.BBR.RegulatoryDefenseandPenalties.Output</vt:lpstr>
      <vt:lpstr>BBR.BBR.RegulatoryDefenseandPenalties.Percentage</vt:lpstr>
      <vt:lpstr>BBR.BBR.RetentionFactor.Output</vt:lpstr>
      <vt:lpstr>BBR.BBR.RetentionMax.Output</vt:lpstr>
      <vt:lpstr>BBR.BBR.Revenue.Input</vt:lpstr>
      <vt:lpstr>BBR.BBR.ScheduleRatingFactor.Output</vt:lpstr>
      <vt:lpstr>BBR.BBR.SelectedNotification.Input</vt:lpstr>
      <vt:lpstr>BBR.BBR.SelectedRetention.Input</vt:lpstr>
      <vt:lpstr>BBR.BBR.ServicesPremium.Output</vt:lpstr>
      <vt:lpstr>BBR.BBR.State.Input</vt:lpstr>
      <vt:lpstr>BBR.BBR.SurplusLines.Input</vt:lpstr>
      <vt:lpstr>BBR.BBR.SurplusLinesDeviationFactor.Input</vt:lpstr>
      <vt:lpstr>BBR.BBR.SurplusLinesDeviationFactor.Output</vt:lpstr>
      <vt:lpstr>BBR.BBR.TelephoneFraud.Input</vt:lpstr>
      <vt:lpstr>BBR.BBR.TelephoneFraudCredit.Output</vt:lpstr>
      <vt:lpstr>BBR.BBR.UnityPremium.Output</vt:lpstr>
      <vt:lpstr>lstAdmittedADL</vt:lpstr>
      <vt:lpstr>lstAdmittedCrisisManagement</vt:lpstr>
      <vt:lpstr>lstAdmittedHazardGroup</vt:lpstr>
      <vt:lpstr>lstAdmittedLimits</vt:lpstr>
      <vt:lpstr>lstAdmittedLossRatingClaimCountPE</vt:lpstr>
      <vt:lpstr>lstAdmittedLossRatingClaimIncurredMM</vt:lpstr>
      <vt:lpstr>lstAdmittedLossRatingClaimIncurredPE</vt:lpstr>
      <vt:lpstr>lstAdmittedLossRatingPE</vt:lpstr>
      <vt:lpstr>lstAdmittedMultiyearLimitType</vt:lpstr>
      <vt:lpstr>lstAdmittedMultiyearPaymentType</vt:lpstr>
      <vt:lpstr>lstAdmittedPCIFinesAndCosts</vt:lpstr>
      <vt:lpstr>lstAdmittedProfServices</vt:lpstr>
      <vt:lpstr>lstAdmittedRegDefense</vt:lpstr>
      <vt:lpstr>lstAdmittedStates</vt:lpstr>
      <vt:lpstr>lstAdmittedSubOptions</vt:lpstr>
      <vt:lpstr>lstAdmittedUnusualCharacteristics</vt:lpstr>
      <vt:lpstr>lstBBRADL</vt:lpstr>
      <vt:lpstr>lstBBRCrisisManagement</vt:lpstr>
      <vt:lpstr>lstBBRHazardGroup</vt:lpstr>
      <vt:lpstr>lstBBRLimits</vt:lpstr>
      <vt:lpstr>lstBBRMultiyearLimitType</vt:lpstr>
      <vt:lpstr>lstBBRMultiyearPaymentType</vt:lpstr>
      <vt:lpstr>lstBBRPCIFinesAndCosts</vt:lpstr>
      <vt:lpstr>lstBBRProfServices</vt:lpstr>
      <vt:lpstr>lstBBRRegDefense</vt:lpstr>
      <vt:lpstr>lstBBRStates</vt:lpstr>
      <vt:lpstr>lstBBRSubOptions</vt:lpstr>
      <vt:lpstr>lstBBRUnusualCharacteristics</vt:lpstr>
      <vt:lpstr>lstElectronicCrime</vt:lpstr>
      <vt:lpstr>lstFraudulentInstruction</vt:lpstr>
      <vt:lpstr>lstFullMediaCoverage</vt:lpstr>
      <vt:lpstr>lstIndustries</vt:lpstr>
      <vt:lpstr>lstPrivacyBreachResponseServices</vt:lpstr>
      <vt:lpstr>lstProfessionalServicesLiability</vt:lpstr>
      <vt:lpstr>lstTelecommunicationsFraud</vt:lpstr>
      <vt:lpstr>lstYesNo</vt:lpstr>
      <vt:lpstr>RoundingLimit.Lower.Output</vt:lpstr>
      <vt:lpstr>RoundingLimit.Upper.Output</vt:lpstr>
      <vt:lpstr>tblAdmittedADL</vt:lpstr>
      <vt:lpstr>tblAdmittedBaseRateAtStart</vt:lpstr>
      <vt:lpstr>tblAdmittedBaseRatesInBand</vt:lpstr>
      <vt:lpstr>tblAdmittedCrisisManagement</vt:lpstr>
      <vt:lpstr>tblAdmittedGuidelineNotification</vt:lpstr>
      <vt:lpstr>tblAdmittedGuidelineRetention</vt:lpstr>
      <vt:lpstr>tblAdmittedHazardGroupColumn</vt:lpstr>
      <vt:lpstr>tblAdmittedILFs</vt:lpstr>
      <vt:lpstr>tblAdmittedLossRatingClaimCountPE</vt:lpstr>
      <vt:lpstr>tblAdmittedLossRatingClaimIncurredMM</vt:lpstr>
      <vt:lpstr>tblAdmittedLossRatingClaimIncurredPE</vt:lpstr>
      <vt:lpstr>tblAdmittedLossRatingPE</vt:lpstr>
      <vt:lpstr>tblAdmittedMultiyearFactor</vt:lpstr>
      <vt:lpstr>tblAdmittedNotificationFactor</vt:lpstr>
      <vt:lpstr>tblAdmittedPCIFinesAndCosts</vt:lpstr>
      <vt:lpstr>tblAdmittedProfServices</vt:lpstr>
      <vt:lpstr>tblAdmittedRegDefense</vt:lpstr>
      <vt:lpstr>tblAdmittedRetentionFactor</vt:lpstr>
      <vt:lpstr>tblAdmittedRounding</vt:lpstr>
      <vt:lpstr>tblAdmittedStateApplicabilities</vt:lpstr>
      <vt:lpstr>tblAdmittedStates</vt:lpstr>
      <vt:lpstr>tblAdmittedUnusualCharacteristics</vt:lpstr>
      <vt:lpstr>tblBBRADL</vt:lpstr>
      <vt:lpstr>tblBBRBaseRateAtStart</vt:lpstr>
      <vt:lpstr>tblBBRBaseRatesInBand</vt:lpstr>
      <vt:lpstr>tblBBRCrisisManagement</vt:lpstr>
      <vt:lpstr>tblBBRGuidelineNotification</vt:lpstr>
      <vt:lpstr>tblBBRGuidelineRetention</vt:lpstr>
      <vt:lpstr>tblBBRHazardGroupColumn</vt:lpstr>
      <vt:lpstr>tblBBRILFs</vt:lpstr>
      <vt:lpstr>tblBBRMultiyearFactor</vt:lpstr>
      <vt:lpstr>tblBBRNotificationFactor</vt:lpstr>
      <vt:lpstr>tblBBRPCIFinesAndCosts</vt:lpstr>
      <vt:lpstr>tblBBRProfServices</vt:lpstr>
      <vt:lpstr>tblBBRRegDefense</vt:lpstr>
      <vt:lpstr>tblBBRRetentionFactor</vt:lpstr>
      <vt:lpstr>tblBBRRounding</vt:lpstr>
      <vt:lpstr>tblBBRStateApplicabilities</vt:lpstr>
      <vt:lpstr>tblBBRStates</vt:lpstr>
      <vt:lpstr>tblBBRUnusualCharacteristics</vt:lpstr>
      <vt:lpstr>tblElectronicCrime</vt:lpstr>
      <vt:lpstr>tblFraudulentInstruction</vt:lpstr>
      <vt:lpstr>tblFullMediaCoverage</vt:lpstr>
      <vt:lpstr>tblIndustries</vt:lpstr>
      <vt:lpstr>tblPrivacyBreachResponseServices</vt:lpstr>
      <vt:lpstr>tblProfessionalServicesLiability</vt:lpstr>
      <vt:lpstr>tblTelecommunicationsFraud</vt:lpstr>
    </vt:vector>
  </TitlesOfParts>
  <Company>Beazley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monarch</cp:lastModifiedBy>
  <dcterms:created xsi:type="dcterms:W3CDTF">2014-01-13T14:30:33Z</dcterms:created>
  <dcterms:modified xsi:type="dcterms:W3CDTF">2019-04-02T19:36:45Z</dcterms:modified>
</cp:coreProperties>
</file>