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C:\Users\emili\Documents\GitHub\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3" i="1" l="1"/>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2" i="1"/>
  <c r="N2" i="1" l="1"/>
  <c r="AG2" i="1" l="1"/>
  <c r="AE2" i="1"/>
  <c r="AF2" i="1" s="1"/>
  <c r="AJ2" i="1" s="1"/>
  <c r="J2" i="1"/>
  <c r="R2" i="1" s="1"/>
  <c r="H2" i="1"/>
  <c r="P2" i="2"/>
  <c r="P2" i="1" l="1"/>
  <c r="S2" i="1"/>
  <c r="T2" i="1" s="1"/>
  <c r="N3" i="1"/>
  <c r="Q2" i="1"/>
  <c r="AN6" i="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L2" i="1" s="1"/>
  <c r="W2" i="1" s="1"/>
  <c r="V2" i="1" s="1"/>
  <c r="B11" i="2"/>
  <c r="A11" i="2"/>
  <c r="AC2" i="1" l="1"/>
  <c r="AE3" i="1" s="1"/>
  <c r="AF3" i="1" s="1"/>
  <c r="AS2" i="1"/>
  <c r="E2" i="1" l="1"/>
  <c r="F2" i="1" s="1"/>
  <c r="O2" i="1" s="1"/>
  <c r="J3" i="1" l="1"/>
  <c r="AG3" i="1"/>
  <c r="H3" i="1" l="1"/>
  <c r="Z3" i="1"/>
  <c r="L3" i="1" s="1"/>
  <c r="W3" i="1" s="1"/>
  <c r="AC3" i="1" l="1"/>
  <c r="AE4" i="1" s="1"/>
  <c r="AJ3" i="1"/>
  <c r="S3" i="1"/>
  <c r="R3" i="1"/>
  <c r="P3" i="1"/>
  <c r="N4" i="1" l="1"/>
  <c r="AG4" i="1" s="1"/>
  <c r="V3" i="1"/>
  <c r="T3" i="1"/>
  <c r="AF4" i="1" l="1"/>
  <c r="AJ4" i="1"/>
  <c r="Q3" i="1"/>
  <c r="N5" i="1" l="1"/>
  <c r="E3" i="1"/>
  <c r="AG5" i="1" l="1"/>
  <c r="F3" i="1"/>
  <c r="O3" i="1" s="1"/>
  <c r="H4" i="1" l="1"/>
  <c r="J4" i="1"/>
  <c r="R4" i="1" s="1"/>
  <c r="Z4" i="1"/>
  <c r="L4" i="1" s="1"/>
  <c r="W4" i="1" s="1"/>
  <c r="AC4" i="1" l="1"/>
  <c r="AE5" i="1" s="1"/>
  <c r="AF5" i="1" s="1"/>
  <c r="V4" i="1"/>
  <c r="Q4" i="1"/>
  <c r="E4" i="1" s="1"/>
  <c r="F4" i="1" s="1"/>
  <c r="P4" i="1"/>
  <c r="S4" i="1"/>
  <c r="T4" i="1" s="1"/>
  <c r="O4" i="1" l="1"/>
  <c r="H5" i="1" s="1"/>
  <c r="AJ5" i="1"/>
  <c r="N6" i="1" l="1"/>
  <c r="J5" i="1"/>
  <c r="S5" i="1" s="1"/>
  <c r="Z5" i="1"/>
  <c r="L5" i="1" s="1"/>
  <c r="W5" i="1" s="1"/>
  <c r="AG6" i="1" l="1"/>
  <c r="AC5" i="1"/>
  <c r="V5" i="1"/>
  <c r="R5" i="1"/>
  <c r="T5" i="1" s="1"/>
  <c r="P5" i="1"/>
  <c r="Q5" i="1"/>
  <c r="E5" i="1" s="1"/>
  <c r="F5" i="1" s="1"/>
  <c r="AE6" i="1" l="1"/>
  <c r="AF6" i="1" s="1"/>
  <c r="O5" i="1"/>
  <c r="H6" i="1" s="1"/>
  <c r="AJ6" i="1" l="1"/>
  <c r="N7" i="1" s="1"/>
  <c r="AG7" i="1" s="1"/>
  <c r="J6" i="1"/>
  <c r="R6" i="1" s="1"/>
  <c r="Z6" i="1"/>
  <c r="L6" i="1" s="1"/>
  <c r="W6" i="1" s="1"/>
  <c r="AC6" i="1" l="1"/>
  <c r="AE7" i="1" s="1"/>
  <c r="AF7" i="1" s="1"/>
  <c r="V6" i="1"/>
  <c r="P6" i="1"/>
  <c r="Q6" i="1"/>
  <c r="E6" i="1" s="1"/>
  <c r="F6" i="1" s="1"/>
  <c r="S6" i="1"/>
  <c r="T6" i="1" s="1"/>
  <c r="O6" i="1" l="1"/>
  <c r="H7" i="1" s="1"/>
  <c r="AJ7" i="1"/>
  <c r="N8" i="1" s="1"/>
  <c r="AG8" i="1" l="1"/>
  <c r="J7" i="1"/>
  <c r="S7" i="1" s="1"/>
  <c r="Z7" i="1"/>
  <c r="L7" i="1" s="1"/>
  <c r="W7" i="1" s="1"/>
  <c r="AC7" i="1" l="1"/>
  <c r="AE8" i="1" s="1"/>
  <c r="AF8" i="1" s="1"/>
  <c r="V7" i="1"/>
  <c r="P7" i="1"/>
  <c r="Q7" i="1"/>
  <c r="E7" i="1" s="1"/>
  <c r="F7" i="1" s="1"/>
  <c r="R7" i="1"/>
  <c r="T7" i="1" s="1"/>
  <c r="O7" i="1" l="1"/>
  <c r="H8" i="1" s="1"/>
  <c r="AJ8" i="1"/>
  <c r="N9" i="1" s="1"/>
  <c r="AG9" i="1" l="1"/>
  <c r="J8" i="1"/>
  <c r="R8" i="1" s="1"/>
  <c r="Z8" i="1"/>
  <c r="L8" i="1" s="1"/>
  <c r="W8" i="1" s="1"/>
  <c r="AC8" i="1" l="1"/>
  <c r="AE9" i="1" s="1"/>
  <c r="AF9" i="1" s="1"/>
  <c r="V8" i="1"/>
  <c r="Q8" i="1"/>
  <c r="E8" i="1" s="1"/>
  <c r="F8" i="1" s="1"/>
  <c r="S8" i="1"/>
  <c r="T8" i="1" s="1"/>
  <c r="P8" i="1"/>
  <c r="O8" i="1" l="1"/>
  <c r="H9" i="1" s="1"/>
  <c r="AJ9" i="1"/>
  <c r="N10" i="1" s="1"/>
  <c r="AG10" i="1" l="1"/>
  <c r="J9" i="1"/>
  <c r="S9" i="1" s="1"/>
  <c r="Z9" i="1"/>
  <c r="L9" i="1" s="1"/>
  <c r="W9" i="1" s="1"/>
  <c r="AC9" i="1" l="1"/>
  <c r="R9" i="1"/>
  <c r="T9" i="1" s="1"/>
  <c r="Q9" i="1"/>
  <c r="E9" i="1" s="1"/>
  <c r="F9" i="1" s="1"/>
  <c r="V9" i="1"/>
  <c r="P9" i="1"/>
  <c r="AE10" i="1" l="1"/>
  <c r="AF10" i="1" s="1"/>
  <c r="O9" i="1"/>
  <c r="H10" i="1" s="1"/>
  <c r="AJ10" i="1" l="1"/>
  <c r="N11" i="1" s="1"/>
  <c r="J10" i="1"/>
  <c r="S10" i="1" s="1"/>
  <c r="Z10" i="1"/>
  <c r="L10" i="1" s="1"/>
  <c r="W10" i="1" s="1"/>
  <c r="AG11" i="1" l="1"/>
  <c r="AC10" i="1"/>
  <c r="Q10" i="1"/>
  <c r="E10" i="1" s="1"/>
  <c r="F10" i="1" s="1"/>
  <c r="P10" i="1"/>
  <c r="R10" i="1"/>
  <c r="T10" i="1" s="1"/>
  <c r="V10" i="1"/>
  <c r="AE11" i="1" l="1"/>
  <c r="AF11" i="1" s="1"/>
  <c r="O10" i="1"/>
  <c r="H11" i="1" s="1"/>
  <c r="AJ11" i="1" l="1"/>
  <c r="N12" i="1" s="1"/>
  <c r="AG12" i="1" s="1"/>
  <c r="J11" i="1"/>
  <c r="R11" i="1" s="1"/>
  <c r="Z11" i="1"/>
  <c r="L11" i="1" s="1"/>
  <c r="W11" i="1" s="1"/>
  <c r="AC11" i="1" l="1"/>
  <c r="P11" i="1"/>
  <c r="S11" i="1"/>
  <c r="T11" i="1" s="1"/>
  <c r="Q11" i="1"/>
  <c r="E11" i="1" s="1"/>
  <c r="F11" i="1" s="1"/>
  <c r="V11" i="1"/>
  <c r="AE12" i="1" l="1"/>
  <c r="AF12" i="1" s="1"/>
  <c r="O11" i="1"/>
  <c r="H12" i="1" s="1"/>
  <c r="AJ12" i="1" l="1"/>
  <c r="N13" i="1" s="1"/>
  <c r="AG13" i="1" s="1"/>
  <c r="Z12" i="1"/>
  <c r="L12" i="1" s="1"/>
  <c r="W12" i="1" s="1"/>
  <c r="J12" i="1"/>
  <c r="S12" i="1" s="1"/>
  <c r="AC12" i="1" l="1"/>
  <c r="V12" i="1"/>
  <c r="Q12" i="1"/>
  <c r="E12" i="1" s="1"/>
  <c r="F12" i="1" s="1"/>
  <c r="R12" i="1"/>
  <c r="T12" i="1" s="1"/>
  <c r="P12" i="1"/>
  <c r="AE13" i="1" l="1"/>
  <c r="AF13" i="1" s="1"/>
  <c r="O12" i="1"/>
  <c r="H13" i="1" s="1"/>
  <c r="AJ13" i="1" l="1"/>
  <c r="N14" i="1" s="1"/>
  <c r="Z13" i="1"/>
  <c r="L13" i="1" s="1"/>
  <c r="W13" i="1" s="1"/>
  <c r="J13" i="1"/>
  <c r="R13" i="1" s="1"/>
  <c r="AG14" i="1" l="1"/>
  <c r="AC13" i="1"/>
  <c r="V13" i="1"/>
  <c r="Q13" i="1"/>
  <c r="E13" i="1" s="1"/>
  <c r="F13" i="1" s="1"/>
  <c r="P13" i="1"/>
  <c r="S13" i="1"/>
  <c r="T13" i="1" s="1"/>
  <c r="AE14" i="1" l="1"/>
  <c r="AF14" i="1" s="1"/>
  <c r="O13" i="1"/>
  <c r="H14" i="1" s="1"/>
  <c r="AJ14" i="1" l="1"/>
  <c r="N15" i="1" s="1"/>
  <c r="AG15" i="1" s="1"/>
  <c r="Z14" i="1"/>
  <c r="L14" i="1" s="1"/>
  <c r="J14" i="1"/>
  <c r="R14" i="1" s="1"/>
  <c r="AC14" i="1" l="1"/>
  <c r="W14" i="1"/>
  <c r="V14" i="1" s="1"/>
  <c r="S14" i="1"/>
  <c r="T14" i="1" s="1"/>
  <c r="P14" i="1"/>
  <c r="Q14" i="1"/>
  <c r="E14" i="1" s="1"/>
  <c r="F14" i="1" s="1"/>
  <c r="AE15" i="1" l="1"/>
  <c r="AF15" i="1" s="1"/>
  <c r="O14" i="1"/>
  <c r="H15" i="1" s="1"/>
  <c r="AJ15" i="1" l="1"/>
  <c r="N16" i="1" s="1"/>
  <c r="AG16" i="1" s="1"/>
  <c r="Z15" i="1"/>
  <c r="L15" i="1" s="1"/>
  <c r="W15" i="1" s="1"/>
  <c r="V15" i="1" s="1"/>
  <c r="J15" i="1"/>
  <c r="S15" i="1" s="1"/>
  <c r="P15" i="1" l="1"/>
  <c r="Q15" i="1"/>
  <c r="E15" i="1" s="1"/>
  <c r="F15" i="1" s="1"/>
  <c r="AC15" i="1"/>
  <c r="R15" i="1"/>
  <c r="T15" i="1" s="1"/>
  <c r="AE16" i="1" l="1"/>
  <c r="AF16" i="1" s="1"/>
  <c r="O15" i="1"/>
  <c r="Z16" i="1" s="1"/>
  <c r="L16" i="1" s="1"/>
  <c r="W16" i="1" s="1"/>
  <c r="AJ16" i="1" l="1"/>
  <c r="N17" i="1" s="1"/>
  <c r="J16" i="1"/>
  <c r="S16" i="1" s="1"/>
  <c r="H16" i="1"/>
  <c r="AC16" i="1"/>
  <c r="AE17" i="1" s="1"/>
  <c r="V16" i="1"/>
  <c r="AF17" i="1" l="1"/>
  <c r="AG17" i="1"/>
  <c r="Q16" i="1"/>
  <c r="E16" i="1" s="1"/>
  <c r="F16" i="1" s="1"/>
  <c r="O16" i="1" s="1"/>
  <c r="H17" i="1" s="1"/>
  <c r="P16" i="1"/>
  <c r="R16" i="1"/>
  <c r="T16" i="1" s="1"/>
  <c r="AJ17" i="1" l="1"/>
  <c r="Z17" i="1"/>
  <c r="L17" i="1" s="1"/>
  <c r="W17" i="1" s="1"/>
  <c r="J17" i="1"/>
  <c r="N18" i="1" l="1"/>
  <c r="AG18" i="1" s="1"/>
  <c r="AC17" i="1"/>
  <c r="AE18" i="1" s="1"/>
  <c r="AF18" i="1" s="1"/>
  <c r="V17" i="1"/>
  <c r="R17" i="1"/>
  <c r="S17" i="1"/>
  <c r="Q17" i="1"/>
  <c r="E17" i="1" s="1"/>
  <c r="F17" i="1" s="1"/>
  <c r="P17" i="1"/>
  <c r="O17" i="1" l="1"/>
  <c r="H18" i="1" s="1"/>
  <c r="T17" i="1"/>
  <c r="AJ18" i="1" l="1"/>
  <c r="Z18" i="1"/>
  <c r="L18" i="1" s="1"/>
  <c r="W18" i="1" s="1"/>
  <c r="J18" i="1"/>
  <c r="N19" i="1" l="1"/>
  <c r="AG19" i="1" s="1"/>
  <c r="AC18" i="1"/>
  <c r="AE19" i="1" s="1"/>
  <c r="V18" i="1"/>
  <c r="R18" i="1"/>
  <c r="S18" i="1"/>
  <c r="P18" i="1"/>
  <c r="Q18" i="1"/>
  <c r="E18" i="1" s="1"/>
  <c r="F18" i="1" s="1"/>
  <c r="O18" i="1" s="1"/>
  <c r="AF19" i="1" l="1"/>
  <c r="AJ19" i="1" s="1"/>
  <c r="N20" i="1" s="1"/>
  <c r="H19" i="1"/>
  <c r="T18" i="1"/>
  <c r="AG20" i="1" l="1"/>
  <c r="Z19" i="1"/>
  <c r="L19" i="1" s="1"/>
  <c r="W19" i="1" s="1"/>
  <c r="J19" i="1"/>
  <c r="AC19" i="1" l="1"/>
  <c r="AE20" i="1" s="1"/>
  <c r="AF20" i="1" s="1"/>
  <c r="V19" i="1"/>
  <c r="S19" i="1"/>
  <c r="R19" i="1"/>
  <c r="Q19" i="1"/>
  <c r="E19" i="1" s="1"/>
  <c r="F19" i="1" s="1"/>
  <c r="P19" i="1"/>
  <c r="O19" i="1" l="1"/>
  <c r="H20" i="1" s="1"/>
  <c r="T19" i="1"/>
  <c r="AJ20" i="1"/>
  <c r="N21" i="1" s="1"/>
  <c r="AG21" i="1" l="1"/>
  <c r="Z20" i="1"/>
  <c r="L20" i="1" s="1"/>
  <c r="W20" i="1" s="1"/>
  <c r="J20" i="1"/>
  <c r="AC20" i="1" l="1"/>
  <c r="AE21" i="1" s="1"/>
  <c r="AF21" i="1" s="1"/>
  <c r="V20" i="1"/>
  <c r="R20" i="1"/>
  <c r="S20" i="1"/>
  <c r="P20" i="1"/>
  <c r="Q20" i="1"/>
  <c r="E20" i="1" s="1"/>
  <c r="F20" i="1" s="1"/>
  <c r="O20" i="1" s="1"/>
  <c r="H21" i="1" l="1"/>
  <c r="T20" i="1"/>
  <c r="AJ21" i="1"/>
  <c r="N22" i="1" s="1"/>
  <c r="AG22" i="1" l="1"/>
  <c r="Z21" i="1"/>
  <c r="L21" i="1" s="1"/>
  <c r="W21" i="1" s="1"/>
  <c r="J21" i="1"/>
  <c r="AC21" i="1" l="1"/>
  <c r="AE22" i="1" s="1"/>
  <c r="AF22" i="1" s="1"/>
  <c r="V21" i="1"/>
  <c r="R21" i="1"/>
  <c r="S21" i="1"/>
  <c r="Q21" i="1"/>
  <c r="E21" i="1" s="1"/>
  <c r="F21" i="1" s="1"/>
  <c r="P21" i="1"/>
  <c r="O21" i="1" l="1"/>
  <c r="H22" i="1" s="1"/>
  <c r="T21" i="1"/>
  <c r="AJ22" i="1"/>
  <c r="N23" i="1" s="1"/>
  <c r="AG23" i="1" l="1"/>
  <c r="Z22" i="1"/>
  <c r="L22" i="1" s="1"/>
  <c r="W22" i="1" s="1"/>
  <c r="J22" i="1"/>
  <c r="AC22" i="1" l="1"/>
  <c r="AE23" i="1" s="1"/>
  <c r="AF23" i="1" s="1"/>
  <c r="V22" i="1"/>
  <c r="R22" i="1"/>
  <c r="S22" i="1"/>
  <c r="P22" i="1"/>
  <c r="Q22" i="1"/>
  <c r="E22" i="1" s="1"/>
  <c r="F22" i="1" s="1"/>
  <c r="O22" i="1" s="1"/>
  <c r="H23" i="1" l="1"/>
  <c r="T22" i="1"/>
  <c r="AJ23" i="1" l="1"/>
  <c r="Z23" i="1"/>
  <c r="L23" i="1" s="1"/>
  <c r="W23" i="1" s="1"/>
  <c r="J23" i="1"/>
  <c r="N24" i="1" l="1"/>
  <c r="AC23" i="1"/>
  <c r="AE24" i="1" s="1"/>
  <c r="AF24" i="1" s="1"/>
  <c r="V23" i="1"/>
  <c r="S23" i="1"/>
  <c r="R23" i="1"/>
  <c r="Q23" i="1"/>
  <c r="E23" i="1" s="1"/>
  <c r="F23" i="1" s="1"/>
  <c r="P23" i="1"/>
  <c r="O23" i="1" l="1"/>
  <c r="H24" i="1" s="1"/>
  <c r="AG24" i="1"/>
  <c r="T23" i="1"/>
  <c r="AJ24" i="1" l="1"/>
  <c r="N25" i="1" s="1"/>
  <c r="Z24" i="1"/>
  <c r="L24" i="1" s="1"/>
  <c r="W24" i="1" s="1"/>
  <c r="J24" i="1"/>
  <c r="AG25" i="1" l="1"/>
  <c r="AC24" i="1"/>
  <c r="AE25" i="1" s="1"/>
  <c r="AF25" i="1" s="1"/>
  <c r="V24" i="1"/>
  <c r="S24" i="1"/>
  <c r="R24" i="1"/>
  <c r="Q24" i="1"/>
  <c r="E24" i="1" s="1"/>
  <c r="F24" i="1" s="1"/>
  <c r="P24" i="1"/>
  <c r="O24" i="1" l="1"/>
  <c r="H25" i="1" s="1"/>
  <c r="AJ25" i="1"/>
  <c r="N26" i="1" s="1"/>
  <c r="T24" i="1"/>
  <c r="AG26" i="1" l="1"/>
  <c r="Z25" i="1"/>
  <c r="L25" i="1" s="1"/>
  <c r="W25" i="1" s="1"/>
  <c r="J25" i="1"/>
  <c r="AC25" i="1" l="1"/>
  <c r="AE26" i="1" s="1"/>
  <c r="AF26" i="1" s="1"/>
  <c r="V25" i="1"/>
  <c r="R25" i="1"/>
  <c r="S25" i="1"/>
  <c r="P25" i="1"/>
  <c r="Q25" i="1"/>
  <c r="E25" i="1" s="1"/>
  <c r="F25" i="1" s="1"/>
  <c r="O25" i="1" s="1"/>
  <c r="H26" i="1" l="1"/>
  <c r="T25" i="1"/>
  <c r="AJ26" i="1"/>
  <c r="N27" i="1" s="1"/>
  <c r="AG27" i="1" l="1"/>
  <c r="Z26" i="1"/>
  <c r="L26" i="1" s="1"/>
  <c r="W26" i="1" s="1"/>
  <c r="J26" i="1"/>
  <c r="AC26" i="1" l="1"/>
  <c r="AE27" i="1" s="1"/>
  <c r="AF27" i="1" s="1"/>
  <c r="V26" i="1"/>
  <c r="R26" i="1"/>
  <c r="S26" i="1"/>
  <c r="P26" i="1"/>
  <c r="Q26" i="1"/>
  <c r="E26" i="1" s="1"/>
  <c r="F26" i="1" s="1"/>
  <c r="O26" i="1" s="1"/>
  <c r="H27" i="1" l="1"/>
  <c r="T26" i="1"/>
  <c r="AJ27" i="1" l="1"/>
  <c r="Z27" i="1"/>
  <c r="L27" i="1" s="1"/>
  <c r="W27" i="1" s="1"/>
  <c r="J27" i="1"/>
  <c r="N28" i="1" l="1"/>
  <c r="AG28" i="1" s="1"/>
  <c r="AC27" i="1"/>
  <c r="AE28" i="1" s="1"/>
  <c r="AF28" i="1" s="1"/>
  <c r="V27" i="1"/>
  <c r="S27" i="1"/>
  <c r="R27" i="1"/>
  <c r="P27" i="1"/>
  <c r="Q27" i="1"/>
  <c r="E27" i="1" s="1"/>
  <c r="F27" i="1" s="1"/>
  <c r="O27" i="1" s="1"/>
  <c r="AJ28" i="1" l="1"/>
  <c r="N29" i="1" s="1"/>
  <c r="H28" i="1"/>
  <c r="T27" i="1"/>
  <c r="AG29" i="1" l="1"/>
  <c r="Z28" i="1"/>
  <c r="L28" i="1" s="1"/>
  <c r="W28" i="1" s="1"/>
  <c r="J28" i="1"/>
  <c r="AC28" i="1" l="1"/>
  <c r="AE29" i="1" s="1"/>
  <c r="AF29" i="1" s="1"/>
  <c r="V28" i="1"/>
  <c r="R28" i="1"/>
  <c r="S28" i="1"/>
  <c r="P28" i="1"/>
  <c r="Q28" i="1"/>
  <c r="E28" i="1" s="1"/>
  <c r="F28" i="1" s="1"/>
  <c r="O28" i="1" s="1"/>
  <c r="H29" i="1" l="1"/>
  <c r="T28" i="1"/>
  <c r="AJ29" i="1" l="1"/>
  <c r="Z29" i="1"/>
  <c r="L29" i="1" s="1"/>
  <c r="W29" i="1" s="1"/>
  <c r="J29" i="1"/>
  <c r="N30" i="1" l="1"/>
  <c r="AC29" i="1"/>
  <c r="AE30" i="1" s="1"/>
  <c r="AF30" i="1" s="1"/>
  <c r="V29" i="1"/>
  <c r="R29" i="1"/>
  <c r="S29" i="1"/>
  <c r="P29" i="1"/>
  <c r="Q29" i="1"/>
  <c r="E29" i="1" s="1"/>
  <c r="F29" i="1" s="1"/>
  <c r="O29" i="1" s="1"/>
  <c r="AG30" i="1" l="1"/>
  <c r="H30" i="1"/>
  <c r="T29" i="1"/>
  <c r="AJ30" i="1" l="1"/>
  <c r="Z30" i="1"/>
  <c r="L30" i="1" s="1"/>
  <c r="W30" i="1" s="1"/>
  <c r="J30" i="1"/>
  <c r="N31" i="1" l="1"/>
  <c r="AG31" i="1" s="1"/>
  <c r="AC30" i="1"/>
  <c r="AE31" i="1" s="1"/>
  <c r="AF31" i="1" s="1"/>
  <c r="V30" i="1"/>
  <c r="S30" i="1"/>
  <c r="R30" i="1"/>
  <c r="P30" i="1"/>
  <c r="Q30" i="1"/>
  <c r="E30" i="1" s="1"/>
  <c r="F30" i="1" s="1"/>
  <c r="O30" i="1" s="1"/>
  <c r="H31" i="1" l="1"/>
  <c r="T30" i="1"/>
  <c r="AJ31" i="1"/>
  <c r="N32" i="1" s="1"/>
  <c r="AG32" i="1" l="1"/>
  <c r="Z31" i="1"/>
  <c r="L31" i="1" s="1"/>
  <c r="W31" i="1" s="1"/>
  <c r="J31" i="1"/>
  <c r="AC31" i="1" l="1"/>
  <c r="AE32" i="1" s="1"/>
  <c r="AF32" i="1" s="1"/>
  <c r="V31" i="1"/>
  <c r="S31" i="1"/>
  <c r="R31" i="1"/>
  <c r="P31" i="1"/>
  <c r="Q31" i="1"/>
  <c r="E31" i="1" s="1"/>
  <c r="F31" i="1" s="1"/>
  <c r="O31" i="1" s="1"/>
  <c r="H32" i="1" l="1"/>
  <c r="T31" i="1"/>
  <c r="AJ32" i="1"/>
  <c r="N33" i="1" s="1"/>
  <c r="AG33" i="1" l="1"/>
  <c r="Z32" i="1"/>
  <c r="L32" i="1" s="1"/>
  <c r="W32" i="1" s="1"/>
  <c r="J32" i="1"/>
  <c r="AC32" i="1" l="1"/>
  <c r="AE33" i="1" s="1"/>
  <c r="AF33" i="1" s="1"/>
  <c r="V32" i="1"/>
  <c r="S32" i="1"/>
  <c r="R32" i="1"/>
  <c r="P32" i="1"/>
  <c r="Q32" i="1"/>
  <c r="E32" i="1" s="1"/>
  <c r="F32" i="1" s="1"/>
  <c r="O32" i="1" s="1"/>
  <c r="H33" i="1" l="1"/>
  <c r="T32" i="1"/>
  <c r="AJ33" i="1" l="1"/>
  <c r="Z33" i="1"/>
  <c r="L33" i="1" s="1"/>
  <c r="W33" i="1" s="1"/>
  <c r="J33" i="1"/>
  <c r="N34" i="1" l="1"/>
  <c r="AG34" i="1" s="1"/>
  <c r="AC33" i="1"/>
  <c r="AE34" i="1" s="1"/>
  <c r="AF34" i="1" s="1"/>
  <c r="V33" i="1"/>
  <c r="R33" i="1"/>
  <c r="S33" i="1"/>
  <c r="P33" i="1"/>
  <c r="Q33" i="1"/>
  <c r="E33" i="1" s="1"/>
  <c r="F33" i="1" s="1"/>
  <c r="O33" i="1" s="1"/>
  <c r="H34" i="1" l="1"/>
  <c r="T33" i="1"/>
  <c r="AJ34" i="1" l="1"/>
  <c r="Z34" i="1"/>
  <c r="L34" i="1" s="1"/>
  <c r="W34" i="1" s="1"/>
  <c r="J34" i="1"/>
  <c r="N35" i="1" l="1"/>
  <c r="AG35" i="1" s="1"/>
  <c r="AC34" i="1"/>
  <c r="AE35" i="1" s="1"/>
  <c r="AF35" i="1" s="1"/>
  <c r="V34" i="1"/>
  <c r="R34" i="1"/>
  <c r="S34" i="1"/>
  <c r="P34" i="1"/>
  <c r="Q34" i="1"/>
  <c r="E34" i="1" s="1"/>
  <c r="F34" i="1" s="1"/>
  <c r="O34" i="1" s="1"/>
  <c r="H35" i="1" l="1"/>
  <c r="T34" i="1"/>
  <c r="AJ35" i="1"/>
  <c r="N36" i="1" s="1"/>
  <c r="AG36" i="1" l="1"/>
  <c r="Z35" i="1"/>
  <c r="L35" i="1" s="1"/>
  <c r="W35" i="1" s="1"/>
  <c r="J35" i="1"/>
  <c r="AC35" i="1" l="1"/>
  <c r="AE36" i="1" s="1"/>
  <c r="AF36" i="1" s="1"/>
  <c r="V35" i="1"/>
  <c r="S35" i="1"/>
  <c r="R35" i="1"/>
  <c r="P35" i="1"/>
  <c r="Q35" i="1"/>
  <c r="E35" i="1" s="1"/>
  <c r="F35" i="1" s="1"/>
  <c r="O35" i="1" s="1"/>
  <c r="H36" i="1" l="1"/>
  <c r="T35" i="1"/>
  <c r="AJ36" i="1"/>
  <c r="N37" i="1" s="1"/>
  <c r="AG37" i="1" l="1"/>
  <c r="Z36" i="1"/>
  <c r="L36" i="1" s="1"/>
  <c r="W36" i="1" s="1"/>
  <c r="J36" i="1"/>
  <c r="AC36" i="1" l="1"/>
  <c r="AE37" i="1" s="1"/>
  <c r="AF37" i="1" s="1"/>
  <c r="V36" i="1"/>
  <c r="S36" i="1"/>
  <c r="R36" i="1"/>
  <c r="P36" i="1"/>
  <c r="Q36" i="1"/>
  <c r="E36" i="1" s="1"/>
  <c r="F36" i="1" s="1"/>
  <c r="O36" i="1" s="1"/>
  <c r="H37" i="1" l="1"/>
  <c r="T36" i="1"/>
  <c r="AJ37" i="1" l="1"/>
  <c r="Z37" i="1"/>
  <c r="L37" i="1" s="1"/>
  <c r="W37" i="1" s="1"/>
  <c r="J37" i="1"/>
  <c r="N38" i="1" l="1"/>
  <c r="AG38" i="1" s="1"/>
  <c r="AC37" i="1"/>
  <c r="AE38" i="1" s="1"/>
  <c r="AF38" i="1" s="1"/>
  <c r="V37" i="1"/>
  <c r="R37" i="1"/>
  <c r="S37" i="1"/>
  <c r="P37" i="1"/>
  <c r="Q37" i="1"/>
  <c r="E37" i="1" s="1"/>
  <c r="F37" i="1" s="1"/>
  <c r="O37" i="1" s="1"/>
  <c r="AJ38" i="1" l="1"/>
  <c r="N39" i="1" s="1"/>
  <c r="H38" i="1"/>
  <c r="T37" i="1"/>
  <c r="AG39" i="1" l="1"/>
  <c r="Z38" i="1"/>
  <c r="L38" i="1" s="1"/>
  <c r="W38" i="1" s="1"/>
  <c r="J38" i="1"/>
  <c r="AC38" i="1" l="1"/>
  <c r="AE39" i="1" s="1"/>
  <c r="AF39" i="1" s="1"/>
  <c r="V38" i="1"/>
  <c r="R38" i="1"/>
  <c r="S38" i="1"/>
  <c r="P38" i="1"/>
  <c r="Q38" i="1"/>
  <c r="E38" i="1" s="1"/>
  <c r="F38" i="1" s="1"/>
  <c r="O38" i="1" s="1"/>
  <c r="H39" i="1" l="1"/>
  <c r="T38" i="1"/>
  <c r="AJ39" i="1" l="1"/>
  <c r="Z39" i="1"/>
  <c r="L39" i="1" s="1"/>
  <c r="W39" i="1" s="1"/>
  <c r="J39" i="1"/>
  <c r="N40" i="1" l="1"/>
  <c r="AG40" i="1" s="1"/>
  <c r="AC39" i="1"/>
  <c r="AE40" i="1" s="1"/>
  <c r="AF40" i="1" s="1"/>
  <c r="V39" i="1"/>
  <c r="S39" i="1"/>
  <c r="R39" i="1"/>
  <c r="P39" i="1"/>
  <c r="Q39" i="1"/>
  <c r="E39" i="1" s="1"/>
  <c r="F39" i="1" s="1"/>
  <c r="O39" i="1" s="1"/>
  <c r="H40" i="1" l="1"/>
  <c r="T39" i="1"/>
  <c r="AJ40" i="1" l="1"/>
  <c r="Z40" i="1"/>
  <c r="L40" i="1" s="1"/>
  <c r="W40" i="1" s="1"/>
  <c r="J40" i="1"/>
  <c r="N41" i="1" l="1"/>
  <c r="AG41" i="1" s="1"/>
  <c r="AC40" i="1"/>
  <c r="AE41" i="1" s="1"/>
  <c r="AF41" i="1" s="1"/>
  <c r="V40" i="1"/>
  <c r="R40" i="1"/>
  <c r="S40" i="1"/>
  <c r="P40" i="1"/>
  <c r="Q40" i="1"/>
  <c r="E40" i="1" s="1"/>
  <c r="F40" i="1" s="1"/>
  <c r="O40" i="1" s="1"/>
  <c r="H41" i="1" l="1"/>
  <c r="T40" i="1"/>
  <c r="AJ41" i="1"/>
  <c r="N42" i="1" s="1"/>
  <c r="AG42" i="1" l="1"/>
  <c r="Z41" i="1"/>
  <c r="L41" i="1" s="1"/>
  <c r="W41" i="1" s="1"/>
  <c r="J41" i="1"/>
  <c r="AC41" i="1" l="1"/>
  <c r="AE42" i="1" s="1"/>
  <c r="AF42" i="1" s="1"/>
  <c r="V41" i="1"/>
  <c r="R41" i="1"/>
  <c r="S41" i="1"/>
  <c r="P41" i="1"/>
  <c r="Q41" i="1"/>
  <c r="E41" i="1" s="1"/>
  <c r="F41" i="1" s="1"/>
  <c r="O41" i="1" s="1"/>
  <c r="H42" i="1" l="1"/>
  <c r="AJ42" i="1"/>
  <c r="N43" i="1" s="1"/>
  <c r="T41" i="1"/>
  <c r="AG43" i="1" l="1"/>
  <c r="Z42" i="1"/>
  <c r="L42" i="1" s="1"/>
  <c r="W42" i="1" s="1"/>
  <c r="J42" i="1"/>
  <c r="AC42" i="1" l="1"/>
  <c r="AE43" i="1" s="1"/>
  <c r="AF43" i="1" s="1"/>
  <c r="V42" i="1"/>
  <c r="R42" i="1"/>
  <c r="S42" i="1"/>
  <c r="P42" i="1"/>
  <c r="Q42" i="1"/>
  <c r="E42" i="1" s="1"/>
  <c r="F42" i="1" s="1"/>
  <c r="O42" i="1" s="1"/>
  <c r="H43" i="1" l="1"/>
  <c r="T42" i="1"/>
  <c r="AJ43" i="1" l="1"/>
  <c r="Z43" i="1"/>
  <c r="L43" i="1" s="1"/>
  <c r="W43" i="1" s="1"/>
  <c r="J43" i="1"/>
  <c r="N44" i="1" l="1"/>
  <c r="AC43" i="1"/>
  <c r="AE44" i="1" s="1"/>
  <c r="AF44" i="1" s="1"/>
  <c r="V43" i="1"/>
  <c r="S43" i="1"/>
  <c r="R43" i="1"/>
  <c r="P43" i="1"/>
  <c r="Q43" i="1"/>
  <c r="E43" i="1" s="1"/>
  <c r="F43" i="1" s="1"/>
  <c r="O43" i="1" s="1"/>
  <c r="AG44" i="1" l="1"/>
  <c r="H44" i="1"/>
  <c r="AJ44" i="1"/>
  <c r="N45" i="1" s="1"/>
  <c r="T43" i="1"/>
  <c r="AG45" i="1" l="1"/>
  <c r="Z44" i="1"/>
  <c r="L44" i="1" s="1"/>
  <c r="W44" i="1" s="1"/>
  <c r="J44" i="1"/>
  <c r="AC44" i="1" l="1"/>
  <c r="AE45" i="1" s="1"/>
  <c r="AF45" i="1" s="1"/>
  <c r="V44" i="1"/>
  <c r="S44" i="1"/>
  <c r="R44" i="1"/>
  <c r="P44" i="1"/>
  <c r="Q44" i="1"/>
  <c r="E44" i="1" s="1"/>
  <c r="F44" i="1" s="1"/>
  <c r="O44" i="1" l="1"/>
  <c r="H45" i="1" s="1"/>
  <c r="T44" i="1"/>
  <c r="AJ45" i="1" l="1"/>
  <c r="Z45" i="1"/>
  <c r="L45" i="1" s="1"/>
  <c r="W45" i="1" s="1"/>
  <c r="J45" i="1"/>
  <c r="N46" i="1" l="1"/>
  <c r="AG46" i="1" s="1"/>
  <c r="AC45" i="1"/>
  <c r="AE46" i="1" s="1"/>
  <c r="AF46" i="1" s="1"/>
  <c r="V45" i="1"/>
  <c r="R45" i="1"/>
  <c r="S45" i="1"/>
  <c r="Q45" i="1"/>
  <c r="E45" i="1" s="1"/>
  <c r="F45" i="1" s="1"/>
  <c r="P45" i="1"/>
  <c r="O45" i="1" l="1"/>
  <c r="H46" i="1" s="1"/>
  <c r="AJ46" i="1"/>
  <c r="N47" i="1" s="1"/>
  <c r="T45" i="1"/>
  <c r="AG47" i="1" l="1"/>
  <c r="Z46" i="1"/>
  <c r="L46" i="1" s="1"/>
  <c r="W46" i="1" s="1"/>
  <c r="J46" i="1"/>
  <c r="AC46" i="1" l="1"/>
  <c r="AE47" i="1" s="1"/>
  <c r="AF47" i="1" s="1"/>
  <c r="V46" i="1"/>
  <c r="S46" i="1"/>
  <c r="R46" i="1"/>
  <c r="P46" i="1"/>
  <c r="Q46" i="1"/>
  <c r="E46" i="1" s="1"/>
  <c r="F46" i="1" s="1"/>
  <c r="O46" i="1" s="1"/>
  <c r="H47" i="1" l="1"/>
  <c r="AJ47" i="1"/>
  <c r="N48" i="1" s="1"/>
  <c r="T46" i="1"/>
  <c r="AG48" i="1" l="1"/>
  <c r="Z47" i="1"/>
  <c r="L47" i="1" s="1"/>
  <c r="W47" i="1" s="1"/>
  <c r="J47" i="1"/>
  <c r="AC47" i="1" l="1"/>
  <c r="AE48" i="1" s="1"/>
  <c r="AF48" i="1" s="1"/>
  <c r="V47" i="1"/>
  <c r="S47" i="1"/>
  <c r="R47" i="1"/>
  <c r="P47" i="1"/>
  <c r="Q47" i="1"/>
  <c r="E47" i="1" s="1"/>
  <c r="F47" i="1" s="1"/>
  <c r="O47" i="1" s="1"/>
  <c r="H48" i="1" l="1"/>
  <c r="T47" i="1"/>
  <c r="AJ48" i="1"/>
  <c r="N49" i="1" s="1"/>
  <c r="AG49" i="1" l="1"/>
  <c r="Z48" i="1"/>
  <c r="L48" i="1" s="1"/>
  <c r="W48" i="1" s="1"/>
  <c r="J48" i="1"/>
  <c r="AC48" i="1" l="1"/>
  <c r="AE49" i="1" s="1"/>
  <c r="AF49" i="1" s="1"/>
  <c r="V48" i="1"/>
  <c r="S48" i="1"/>
  <c r="R48" i="1"/>
  <c r="Q48" i="1"/>
  <c r="E48" i="1" s="1"/>
  <c r="F48" i="1" s="1"/>
  <c r="P48" i="1"/>
  <c r="O48" i="1" l="1"/>
  <c r="H49" i="1" s="1"/>
  <c r="T48" i="1"/>
  <c r="AJ49" i="1" l="1"/>
  <c r="Z49" i="1"/>
  <c r="L49" i="1" s="1"/>
  <c r="W49" i="1" s="1"/>
  <c r="J49" i="1"/>
  <c r="N50" i="1" l="1"/>
  <c r="AG50" i="1" s="1"/>
  <c r="AC49" i="1"/>
  <c r="AE50" i="1" s="1"/>
  <c r="AF50" i="1" s="1"/>
  <c r="V49" i="1"/>
  <c r="R49" i="1"/>
  <c r="S49" i="1"/>
  <c r="P49" i="1"/>
  <c r="Q49" i="1"/>
  <c r="E49" i="1" s="1"/>
  <c r="F49" i="1" s="1"/>
  <c r="O49" i="1" s="1"/>
  <c r="AJ50" i="1" l="1"/>
  <c r="N51" i="1" s="1"/>
  <c r="H50" i="1"/>
  <c r="T49" i="1"/>
  <c r="AG51" i="1" l="1"/>
  <c r="Z50" i="1"/>
  <c r="L50" i="1" s="1"/>
  <c r="W50" i="1" s="1"/>
  <c r="J50" i="1"/>
  <c r="AC50" i="1" l="1"/>
  <c r="AE51" i="1" s="1"/>
  <c r="AF51" i="1" s="1"/>
  <c r="V50" i="1"/>
  <c r="R50" i="1"/>
  <c r="S50" i="1"/>
  <c r="P50" i="1"/>
  <c r="Q50" i="1"/>
  <c r="E50" i="1" s="1"/>
  <c r="F50" i="1" s="1"/>
  <c r="O50" i="1" s="1"/>
  <c r="H51" i="1" l="1"/>
  <c r="T50" i="1"/>
  <c r="AJ51" i="1" l="1"/>
  <c r="Z51" i="1"/>
  <c r="L51" i="1" s="1"/>
  <c r="W51" i="1" s="1"/>
  <c r="J51" i="1"/>
  <c r="N52" i="1" l="1"/>
  <c r="AG52" i="1" s="1"/>
  <c r="AC51" i="1"/>
  <c r="AE52" i="1" s="1"/>
  <c r="AF52" i="1" s="1"/>
  <c r="V51" i="1"/>
  <c r="S51" i="1"/>
  <c r="R51" i="1"/>
  <c r="P51" i="1"/>
  <c r="Q51" i="1"/>
  <c r="E51" i="1" s="1"/>
  <c r="F51" i="1" s="1"/>
  <c r="O51" i="1" s="1"/>
  <c r="H52" i="1" l="1"/>
  <c r="T51" i="1"/>
  <c r="AJ52" i="1" l="1"/>
  <c r="Z52" i="1"/>
  <c r="L52" i="1" s="1"/>
  <c r="W52" i="1" s="1"/>
  <c r="J52" i="1"/>
  <c r="N53" i="1" l="1"/>
  <c r="AG53" i="1" s="1"/>
  <c r="AC52" i="1"/>
  <c r="AE53" i="1" s="1"/>
  <c r="AF53" i="1" s="1"/>
  <c r="V52" i="1"/>
  <c r="R52" i="1"/>
  <c r="S52" i="1"/>
  <c r="P52" i="1"/>
  <c r="Q52" i="1"/>
  <c r="E52" i="1" s="1"/>
  <c r="F52" i="1" s="1"/>
  <c r="O52" i="1" s="1"/>
  <c r="AJ53" i="1" l="1"/>
  <c r="N54" i="1" s="1"/>
  <c r="H53" i="1"/>
  <c r="T52" i="1"/>
  <c r="AG54" i="1" l="1"/>
  <c r="Z53" i="1"/>
  <c r="L53" i="1" s="1"/>
  <c r="W53" i="1" s="1"/>
  <c r="J53" i="1"/>
  <c r="AC53" i="1" l="1"/>
  <c r="AE54" i="1" s="1"/>
  <c r="AF54" i="1" s="1"/>
  <c r="V53" i="1"/>
  <c r="R53" i="1"/>
  <c r="S53" i="1"/>
  <c r="P53" i="1"/>
  <c r="Q53" i="1"/>
  <c r="E53" i="1" s="1"/>
  <c r="F53" i="1" s="1"/>
  <c r="O53" i="1" s="1"/>
  <c r="H54" i="1" l="1"/>
  <c r="AJ54" i="1"/>
  <c r="N55" i="1" s="1"/>
  <c r="T53" i="1"/>
  <c r="AG55" i="1" l="1"/>
  <c r="Z54" i="1"/>
  <c r="L54" i="1" s="1"/>
  <c r="W54" i="1" s="1"/>
  <c r="J54" i="1"/>
  <c r="AC54" i="1" l="1"/>
  <c r="AE55" i="1" s="1"/>
  <c r="AF55" i="1" s="1"/>
  <c r="V54" i="1"/>
  <c r="S54" i="1"/>
  <c r="R54" i="1"/>
  <c r="P54" i="1"/>
  <c r="Q54" i="1"/>
  <c r="E54" i="1" s="1"/>
  <c r="F54" i="1" s="1"/>
  <c r="O54" i="1" s="1"/>
  <c r="H55" i="1" l="1"/>
  <c r="T54" i="1"/>
  <c r="AJ55" i="1" l="1"/>
  <c r="Z55" i="1"/>
  <c r="L55" i="1" s="1"/>
  <c r="W55" i="1" s="1"/>
  <c r="J55" i="1"/>
  <c r="N56" i="1" l="1"/>
  <c r="AG56" i="1" s="1"/>
  <c r="AC55" i="1"/>
  <c r="AE56" i="1" s="1"/>
  <c r="AF56" i="1" s="1"/>
  <c r="V55" i="1"/>
  <c r="S55" i="1"/>
  <c r="R55" i="1"/>
  <c r="P55" i="1"/>
  <c r="Q55" i="1"/>
  <c r="E55" i="1" s="1"/>
  <c r="F55" i="1" s="1"/>
  <c r="O55" i="1" s="1"/>
  <c r="H56" i="1" l="1"/>
  <c r="T55" i="1"/>
  <c r="AJ56" i="1" l="1"/>
  <c r="Z56" i="1"/>
  <c r="L56" i="1" s="1"/>
  <c r="W56" i="1" s="1"/>
  <c r="J56" i="1"/>
  <c r="N57" i="1" l="1"/>
  <c r="AG57" i="1" s="1"/>
  <c r="AC56" i="1"/>
  <c r="AE57" i="1" s="1"/>
  <c r="AF57" i="1" s="1"/>
  <c r="V56" i="1"/>
  <c r="S56" i="1"/>
  <c r="R56" i="1"/>
  <c r="P56" i="1"/>
  <c r="Q56" i="1"/>
  <c r="E56" i="1" s="1"/>
  <c r="F56" i="1" s="1"/>
  <c r="O56" i="1" s="1"/>
  <c r="H57" i="1" l="1"/>
  <c r="T56" i="1"/>
  <c r="AJ57" i="1"/>
  <c r="N58" i="1" s="1"/>
  <c r="AG58" i="1" l="1"/>
  <c r="Z57" i="1"/>
  <c r="L57" i="1" s="1"/>
  <c r="W57" i="1" s="1"/>
  <c r="J57" i="1"/>
  <c r="AC57" i="1" l="1"/>
  <c r="AE58" i="1" s="1"/>
  <c r="AF58" i="1" s="1"/>
  <c r="V57" i="1"/>
  <c r="R57" i="1"/>
  <c r="S57" i="1"/>
  <c r="P57" i="1"/>
  <c r="Q57" i="1"/>
  <c r="E57" i="1" s="1"/>
  <c r="F57" i="1" s="1"/>
  <c r="O57" i="1" s="1"/>
  <c r="H58" i="1" l="1"/>
  <c r="T57" i="1"/>
  <c r="AJ58" i="1" l="1"/>
  <c r="Z58" i="1"/>
  <c r="L58" i="1" s="1"/>
  <c r="W58" i="1" s="1"/>
  <c r="J58" i="1"/>
  <c r="N59" i="1" l="1"/>
  <c r="AG59" i="1" s="1"/>
  <c r="AC58" i="1"/>
  <c r="AE59" i="1" s="1"/>
  <c r="AF59" i="1" s="1"/>
  <c r="V58" i="1"/>
  <c r="R58" i="1"/>
  <c r="S58" i="1"/>
  <c r="P58" i="1"/>
  <c r="Q58" i="1"/>
  <c r="E58" i="1" s="1"/>
  <c r="F58" i="1" s="1"/>
  <c r="O58" i="1" s="1"/>
  <c r="H59" i="1" l="1"/>
  <c r="T58" i="1"/>
  <c r="AJ59" i="1"/>
  <c r="N60" i="1" s="1"/>
  <c r="AG60" i="1" l="1"/>
  <c r="Z59" i="1"/>
  <c r="L59" i="1" s="1"/>
  <c r="W59" i="1" s="1"/>
  <c r="J59" i="1"/>
  <c r="AC59" i="1" l="1"/>
  <c r="AE60" i="1" s="1"/>
  <c r="AF60" i="1" s="1"/>
  <c r="V59" i="1"/>
  <c r="S59" i="1"/>
  <c r="R59" i="1"/>
  <c r="Q59" i="1"/>
  <c r="E59" i="1" s="1"/>
  <c r="F59" i="1" s="1"/>
  <c r="P59" i="1"/>
  <c r="O59" i="1" l="1"/>
  <c r="H60" i="1" s="1"/>
  <c r="T59" i="1"/>
  <c r="AJ60" i="1"/>
  <c r="N61" i="1" s="1"/>
  <c r="AG61" i="1" l="1"/>
  <c r="Z60" i="1"/>
  <c r="L60" i="1" s="1"/>
  <c r="W60" i="1" s="1"/>
  <c r="J60" i="1"/>
  <c r="AC60" i="1" l="1"/>
  <c r="AE61" i="1" s="1"/>
  <c r="AF61" i="1" s="1"/>
  <c r="V60" i="1"/>
  <c r="S60" i="1"/>
  <c r="R60" i="1"/>
  <c r="P60" i="1"/>
  <c r="Q60" i="1"/>
  <c r="E60" i="1" s="1"/>
  <c r="F60" i="1" s="1"/>
  <c r="O60" i="1" s="1"/>
  <c r="H61" i="1" l="1"/>
  <c r="T60" i="1"/>
  <c r="AJ61" i="1"/>
  <c r="N62" i="1" s="1"/>
  <c r="AG62" i="1" l="1"/>
  <c r="Z61" i="1"/>
  <c r="L61" i="1" s="1"/>
  <c r="W61" i="1" s="1"/>
  <c r="J61" i="1"/>
  <c r="AC61" i="1" l="1"/>
  <c r="AE62" i="1" s="1"/>
  <c r="AF62" i="1" s="1"/>
  <c r="V61" i="1"/>
  <c r="R61" i="1"/>
  <c r="S61" i="1"/>
  <c r="Q61" i="1"/>
  <c r="E61" i="1" s="1"/>
  <c r="F61" i="1" s="1"/>
  <c r="P61" i="1"/>
  <c r="O61" i="1" l="1"/>
  <c r="H62" i="1" s="1"/>
  <c r="T61" i="1"/>
  <c r="AJ62" i="1" l="1"/>
  <c r="Z62" i="1"/>
  <c r="L62" i="1" s="1"/>
  <c r="W62" i="1" s="1"/>
  <c r="J62" i="1"/>
  <c r="N63" i="1" l="1"/>
  <c r="AG63" i="1" s="1"/>
  <c r="AC62" i="1"/>
  <c r="AE63" i="1" s="1"/>
  <c r="AF63" i="1" s="1"/>
  <c r="V62" i="1"/>
  <c r="S62" i="1"/>
  <c r="R62" i="1"/>
  <c r="P62" i="1"/>
  <c r="Q62" i="1"/>
  <c r="E62" i="1" s="1"/>
  <c r="F62" i="1" s="1"/>
  <c r="O62" i="1" s="1"/>
  <c r="H63" i="1" l="1"/>
  <c r="T62" i="1"/>
  <c r="AJ63" i="1"/>
  <c r="N64" i="1" s="1"/>
  <c r="AG64" i="1" l="1"/>
  <c r="Z63" i="1"/>
  <c r="L63" i="1" s="1"/>
  <c r="W63" i="1" s="1"/>
  <c r="J63" i="1"/>
  <c r="AC63" i="1" l="1"/>
  <c r="AE64" i="1" s="1"/>
  <c r="AF64" i="1" s="1"/>
  <c r="V63" i="1"/>
  <c r="S63" i="1"/>
  <c r="R63" i="1"/>
  <c r="Q63" i="1"/>
  <c r="E63" i="1" s="1"/>
  <c r="F63" i="1" s="1"/>
  <c r="P63" i="1"/>
  <c r="O63" i="1" l="1"/>
  <c r="H64" i="1" s="1"/>
  <c r="AJ64" i="1"/>
  <c r="N65" i="1" s="1"/>
  <c r="T63" i="1"/>
  <c r="AG65" i="1" l="1"/>
  <c r="Z64" i="1"/>
  <c r="L64" i="1" s="1"/>
  <c r="W64" i="1" s="1"/>
  <c r="J64" i="1"/>
  <c r="AC64" i="1" l="1"/>
  <c r="AE65" i="1" s="1"/>
  <c r="AF65" i="1" s="1"/>
  <c r="V64" i="1"/>
  <c r="R64" i="1"/>
  <c r="S64" i="1"/>
  <c r="P64" i="1"/>
  <c r="Q64" i="1"/>
  <c r="E64" i="1" s="1"/>
  <c r="F64" i="1" s="1"/>
  <c r="O64" i="1" s="1"/>
  <c r="H65" i="1" l="1"/>
  <c r="T64" i="1"/>
  <c r="AJ65" i="1" l="1"/>
  <c r="Z65" i="1"/>
  <c r="L65" i="1" s="1"/>
  <c r="W65" i="1" s="1"/>
  <c r="J65" i="1"/>
  <c r="N66" i="1" l="1"/>
  <c r="AG66" i="1" s="1"/>
  <c r="AC65" i="1"/>
  <c r="AE66" i="1" s="1"/>
  <c r="AF66" i="1" s="1"/>
  <c r="V65" i="1"/>
  <c r="R65" i="1"/>
  <c r="S65" i="1"/>
  <c r="Q65" i="1"/>
  <c r="E65" i="1" s="1"/>
  <c r="F65" i="1" s="1"/>
  <c r="P65" i="1"/>
  <c r="O65" i="1" l="1"/>
  <c r="H66" i="1" s="1"/>
  <c r="AJ66" i="1"/>
  <c r="N67" i="1" s="1"/>
  <c r="T65" i="1"/>
  <c r="AG67" i="1" l="1"/>
  <c r="Z66" i="1"/>
  <c r="L66" i="1" s="1"/>
  <c r="W66" i="1" s="1"/>
  <c r="J66" i="1"/>
  <c r="AC66" i="1" l="1"/>
  <c r="AE67" i="1" s="1"/>
  <c r="AF67" i="1" s="1"/>
  <c r="V66" i="1"/>
  <c r="R66" i="1"/>
  <c r="S66" i="1"/>
  <c r="P66" i="1"/>
  <c r="Q66" i="1"/>
  <c r="E66" i="1" s="1"/>
  <c r="F66" i="1" s="1"/>
  <c r="O66" i="1" s="1"/>
  <c r="H67" i="1" l="1"/>
  <c r="T66" i="1"/>
  <c r="AJ67" i="1"/>
  <c r="N68" i="1" s="1"/>
  <c r="AG68" i="1" l="1"/>
  <c r="Z67" i="1"/>
  <c r="L67" i="1" s="1"/>
  <c r="W67" i="1" s="1"/>
  <c r="J67" i="1"/>
  <c r="AC67" i="1" l="1"/>
  <c r="AE68" i="1" s="1"/>
  <c r="AF68" i="1" s="1"/>
  <c r="V67" i="1"/>
  <c r="S67" i="1"/>
  <c r="R67" i="1"/>
  <c r="P67" i="1"/>
  <c r="Q67" i="1"/>
  <c r="E67" i="1" s="1"/>
  <c r="F67" i="1" s="1"/>
  <c r="O67" i="1" s="1"/>
  <c r="H68" i="1" l="1"/>
  <c r="T67" i="1"/>
  <c r="AJ68" i="1"/>
  <c r="N69" i="1" s="1"/>
  <c r="AG69" i="1" l="1"/>
  <c r="Z68" i="1"/>
  <c r="L68" i="1" s="1"/>
  <c r="W68" i="1" s="1"/>
  <c r="J68" i="1"/>
  <c r="AC68" i="1" l="1"/>
  <c r="AE69" i="1" s="1"/>
  <c r="AF69" i="1" s="1"/>
  <c r="V68" i="1"/>
  <c r="S68" i="1"/>
  <c r="R68" i="1"/>
  <c r="Q68" i="1"/>
  <c r="E68" i="1" s="1"/>
  <c r="F68" i="1" s="1"/>
  <c r="P68" i="1"/>
  <c r="O68" i="1" l="1"/>
  <c r="H69" i="1" s="1"/>
  <c r="T68" i="1"/>
  <c r="AJ69" i="1"/>
  <c r="N70" i="1" s="1"/>
  <c r="AG70" i="1" l="1"/>
  <c r="Z69" i="1"/>
  <c r="L69" i="1" s="1"/>
  <c r="W69" i="1" s="1"/>
  <c r="J69" i="1"/>
  <c r="AC69" i="1" l="1"/>
  <c r="AE70" i="1" s="1"/>
  <c r="AF70" i="1" s="1"/>
  <c r="V69" i="1"/>
  <c r="R69" i="1"/>
  <c r="S69" i="1"/>
  <c r="P69" i="1"/>
  <c r="Q69" i="1"/>
  <c r="E69" i="1" s="1"/>
  <c r="F69" i="1" s="1"/>
  <c r="O69" i="1" s="1"/>
  <c r="H70" i="1" l="1"/>
  <c r="T69" i="1"/>
  <c r="AJ70" i="1"/>
  <c r="N71" i="1" s="1"/>
  <c r="AG71" i="1" l="1"/>
  <c r="Z70" i="1"/>
  <c r="L70" i="1" s="1"/>
  <c r="W70" i="1" s="1"/>
  <c r="J70" i="1"/>
  <c r="AC70" i="1" l="1"/>
  <c r="AE71" i="1" s="1"/>
  <c r="AF71" i="1" s="1"/>
  <c r="V70" i="1"/>
  <c r="R70" i="1"/>
  <c r="S70" i="1"/>
  <c r="P70" i="1"/>
  <c r="Q70" i="1"/>
  <c r="E70" i="1" s="1"/>
  <c r="F70" i="1" s="1"/>
  <c r="O70" i="1" s="1"/>
  <c r="H71" i="1" l="1"/>
  <c r="T70" i="1"/>
  <c r="AJ71" i="1"/>
  <c r="N72" i="1" s="1"/>
  <c r="AG72" i="1" l="1"/>
  <c r="Z71" i="1"/>
  <c r="L71" i="1" s="1"/>
  <c r="W71" i="1" s="1"/>
  <c r="J71" i="1"/>
  <c r="AC71" i="1" l="1"/>
  <c r="AE72" i="1" s="1"/>
  <c r="AF72" i="1" s="1"/>
  <c r="V71" i="1"/>
  <c r="S71" i="1"/>
  <c r="R71" i="1"/>
  <c r="P71" i="1"/>
  <c r="Q71" i="1"/>
  <c r="E71" i="1" s="1"/>
  <c r="F71" i="1" s="1"/>
  <c r="O71" i="1" s="1"/>
  <c r="H72" i="1" l="1"/>
  <c r="T71" i="1"/>
  <c r="AJ72" i="1" l="1"/>
  <c r="Z72" i="1"/>
  <c r="L72" i="1" s="1"/>
  <c r="W72" i="1" s="1"/>
  <c r="J72" i="1"/>
  <c r="N73" i="1" l="1"/>
  <c r="AG73" i="1" s="1"/>
  <c r="AC72" i="1"/>
  <c r="AE73" i="1" s="1"/>
  <c r="AF73" i="1" s="1"/>
  <c r="V72" i="1"/>
  <c r="S72" i="1"/>
  <c r="R72" i="1"/>
  <c r="P72" i="1"/>
  <c r="Q72" i="1"/>
  <c r="E72" i="1" s="1"/>
  <c r="F72" i="1" s="1"/>
  <c r="O72" i="1" s="1"/>
  <c r="H73" i="1" l="1"/>
  <c r="T72" i="1"/>
  <c r="AJ73" i="1" l="1"/>
  <c r="Z73" i="1"/>
  <c r="L73" i="1" s="1"/>
  <c r="W73" i="1" s="1"/>
  <c r="J73" i="1"/>
  <c r="N74" i="1" l="1"/>
  <c r="AG74" i="1" s="1"/>
  <c r="AC73" i="1"/>
  <c r="AE74" i="1" s="1"/>
  <c r="AF74" i="1" s="1"/>
  <c r="V73" i="1"/>
  <c r="R73" i="1"/>
  <c r="S73" i="1"/>
  <c r="P73" i="1"/>
  <c r="Q73" i="1"/>
  <c r="E73" i="1" s="1"/>
  <c r="F73" i="1" s="1"/>
  <c r="O73" i="1" s="1"/>
  <c r="H74" i="1" l="1"/>
  <c r="T73" i="1"/>
  <c r="AJ74" i="1"/>
  <c r="N75" i="1" s="1"/>
  <c r="AG75" i="1" l="1"/>
  <c r="Z74" i="1"/>
  <c r="L74" i="1" s="1"/>
  <c r="W74" i="1" s="1"/>
  <c r="J74" i="1"/>
  <c r="AC74" i="1" l="1"/>
  <c r="AE75" i="1" s="1"/>
  <c r="AF75" i="1" s="1"/>
  <c r="V74" i="1"/>
  <c r="R74" i="1"/>
  <c r="S74" i="1"/>
  <c r="P74" i="1"/>
  <c r="Q74" i="1"/>
  <c r="E74" i="1" s="1"/>
  <c r="F74" i="1" s="1"/>
  <c r="O74" i="1" s="1"/>
  <c r="H75" i="1" l="1"/>
  <c r="AJ75" i="1"/>
  <c r="N76" i="1" s="1"/>
  <c r="T74" i="1"/>
  <c r="AG76" i="1" l="1"/>
  <c r="Z75" i="1"/>
  <c r="L75" i="1" s="1"/>
  <c r="W75" i="1" s="1"/>
  <c r="J75" i="1"/>
  <c r="AC75" i="1" l="1"/>
  <c r="AE76" i="1" s="1"/>
  <c r="AF76" i="1" s="1"/>
  <c r="V75" i="1"/>
  <c r="S75" i="1"/>
  <c r="R75" i="1"/>
  <c r="P75" i="1"/>
  <c r="Q75" i="1"/>
  <c r="E75" i="1" s="1"/>
  <c r="F75" i="1" s="1"/>
  <c r="O75" i="1" s="1"/>
  <c r="H76" i="1" l="1"/>
  <c r="T75" i="1"/>
  <c r="AJ76" i="1"/>
  <c r="N77" i="1" s="1"/>
  <c r="AG77" i="1" l="1"/>
  <c r="Z76" i="1"/>
  <c r="L76" i="1" s="1"/>
  <c r="W76" i="1" s="1"/>
  <c r="J76" i="1"/>
  <c r="AC76" i="1" l="1"/>
  <c r="AE77" i="1" s="1"/>
  <c r="AF77" i="1" s="1"/>
  <c r="V76" i="1"/>
  <c r="R76" i="1"/>
  <c r="S76" i="1"/>
  <c r="P76" i="1"/>
  <c r="Q76" i="1"/>
  <c r="E76" i="1" s="1"/>
  <c r="F76" i="1" s="1"/>
  <c r="O76" i="1" s="1"/>
  <c r="H77" i="1" l="1"/>
  <c r="T76" i="1"/>
  <c r="AJ77" i="1" l="1"/>
  <c r="Z77" i="1"/>
  <c r="L77" i="1" s="1"/>
  <c r="W77" i="1" s="1"/>
  <c r="J77" i="1"/>
  <c r="N78" i="1" l="1"/>
  <c r="AG78" i="1" s="1"/>
  <c r="AC77" i="1"/>
  <c r="AE78" i="1" s="1"/>
  <c r="AF78" i="1" s="1"/>
  <c r="V77" i="1"/>
  <c r="R77" i="1"/>
  <c r="S77" i="1"/>
  <c r="P77" i="1"/>
  <c r="Q77" i="1"/>
  <c r="E77" i="1" s="1"/>
  <c r="F77" i="1" s="1"/>
  <c r="O77" i="1" s="1"/>
  <c r="H78" i="1" l="1"/>
  <c r="AJ78" i="1"/>
  <c r="N79" i="1" s="1"/>
  <c r="T77" i="1"/>
  <c r="AG79" i="1" l="1"/>
  <c r="Z78" i="1"/>
  <c r="L78" i="1" s="1"/>
  <c r="W78" i="1" s="1"/>
  <c r="J78" i="1"/>
  <c r="AC78" i="1" l="1"/>
  <c r="AE79" i="1" s="1"/>
  <c r="AF79" i="1" s="1"/>
  <c r="V78" i="1"/>
  <c r="R78" i="1"/>
  <c r="S78" i="1"/>
  <c r="P78" i="1"/>
  <c r="Q78" i="1"/>
  <c r="E78" i="1" s="1"/>
  <c r="F78" i="1" s="1"/>
  <c r="O78" i="1" s="1"/>
  <c r="H79" i="1" l="1"/>
  <c r="T78" i="1"/>
  <c r="AJ79" i="1" l="1"/>
  <c r="Z79" i="1"/>
  <c r="L79" i="1" s="1"/>
  <c r="W79" i="1" s="1"/>
  <c r="J79" i="1"/>
  <c r="N80" i="1" l="1"/>
  <c r="AG80" i="1" s="1"/>
  <c r="AC79" i="1"/>
  <c r="AE80" i="1" s="1"/>
  <c r="AF80" i="1" s="1"/>
  <c r="V79" i="1"/>
  <c r="S79" i="1"/>
  <c r="R79" i="1"/>
  <c r="P79" i="1"/>
  <c r="Q79" i="1"/>
  <c r="E79" i="1" s="1"/>
  <c r="F79" i="1" s="1"/>
  <c r="O79" i="1" s="1"/>
  <c r="H80" i="1" l="1"/>
  <c r="T79" i="1"/>
  <c r="AJ80" i="1"/>
  <c r="N81" i="1" s="1"/>
  <c r="AG81" i="1" l="1"/>
  <c r="Z80" i="1"/>
  <c r="L80" i="1" s="1"/>
  <c r="W80" i="1" s="1"/>
  <c r="J80" i="1"/>
  <c r="AC80" i="1" l="1"/>
  <c r="AE81" i="1" s="1"/>
  <c r="AF81" i="1" s="1"/>
  <c r="V80" i="1"/>
  <c r="S80" i="1"/>
  <c r="R80" i="1"/>
  <c r="P80" i="1"/>
  <c r="Q80" i="1"/>
  <c r="E80" i="1" s="1"/>
  <c r="F80" i="1" s="1"/>
  <c r="O80" i="1" s="1"/>
  <c r="H81" i="1" l="1"/>
  <c r="T80" i="1"/>
  <c r="AJ81" i="1" l="1"/>
  <c r="Z81" i="1"/>
  <c r="L81" i="1" s="1"/>
  <c r="W81" i="1" s="1"/>
  <c r="J81" i="1"/>
  <c r="N82" i="1" l="1"/>
  <c r="AC81" i="1"/>
  <c r="AE82" i="1" s="1"/>
  <c r="AF82" i="1" s="1"/>
  <c r="V81" i="1"/>
  <c r="R81" i="1"/>
  <c r="S81" i="1"/>
  <c r="P81" i="1"/>
  <c r="Q81" i="1"/>
  <c r="E81" i="1" s="1"/>
  <c r="F81" i="1" s="1"/>
  <c r="O81" i="1" s="1"/>
  <c r="AG82" i="1" l="1"/>
  <c r="H82" i="1"/>
  <c r="AJ82" i="1"/>
  <c r="N83" i="1" s="1"/>
  <c r="T81" i="1"/>
  <c r="AG83" i="1" l="1"/>
  <c r="Z82" i="1"/>
  <c r="L82" i="1" s="1"/>
  <c r="W82" i="1" s="1"/>
  <c r="J82" i="1"/>
  <c r="AC82" i="1" l="1"/>
  <c r="AE83" i="1" s="1"/>
  <c r="AF83" i="1" s="1"/>
  <c r="V82" i="1"/>
  <c r="R82" i="1"/>
  <c r="S82" i="1"/>
  <c r="P82" i="1"/>
  <c r="Q82" i="1"/>
  <c r="E82" i="1" s="1"/>
  <c r="F82" i="1" s="1"/>
  <c r="O82" i="1" s="1"/>
  <c r="H83" i="1" l="1"/>
  <c r="T82" i="1"/>
  <c r="AJ83" i="1"/>
  <c r="N84" i="1" s="1"/>
  <c r="AG84" i="1" l="1"/>
  <c r="Z83" i="1"/>
  <c r="L83" i="1" s="1"/>
  <c r="W83" i="1" s="1"/>
  <c r="J83" i="1"/>
  <c r="AC83" i="1" l="1"/>
  <c r="AE84" i="1" s="1"/>
  <c r="AF84" i="1" s="1"/>
  <c r="V83" i="1"/>
  <c r="S83" i="1"/>
  <c r="R83" i="1"/>
  <c r="Q83" i="1"/>
  <c r="E83" i="1" s="1"/>
  <c r="F83" i="1" s="1"/>
  <c r="P83" i="1"/>
  <c r="O83" i="1" l="1"/>
  <c r="H84" i="1" s="1"/>
  <c r="T83" i="1"/>
  <c r="AJ84" i="1"/>
  <c r="N85" i="1" s="1"/>
  <c r="AG85" i="1" l="1"/>
  <c r="Z84" i="1"/>
  <c r="L84" i="1" s="1"/>
  <c r="W84" i="1" s="1"/>
  <c r="J84" i="1"/>
  <c r="AC84" i="1" l="1"/>
  <c r="AE85" i="1" s="1"/>
  <c r="AF85" i="1" s="1"/>
  <c r="V84" i="1"/>
  <c r="S84" i="1"/>
  <c r="R84" i="1"/>
  <c r="P84" i="1"/>
  <c r="Q84" i="1"/>
  <c r="E84" i="1" s="1"/>
  <c r="F84" i="1" s="1"/>
  <c r="O84" i="1" s="1"/>
  <c r="H85" i="1" l="1"/>
  <c r="T84" i="1"/>
  <c r="AJ85" i="1"/>
  <c r="N86" i="1" s="1"/>
  <c r="AG86" i="1" l="1"/>
  <c r="Z85" i="1"/>
  <c r="L85" i="1" s="1"/>
  <c r="W85" i="1" s="1"/>
  <c r="J85" i="1"/>
  <c r="AC85" i="1" l="1"/>
  <c r="AE86" i="1" s="1"/>
  <c r="AF86" i="1" s="1"/>
  <c r="V85" i="1"/>
  <c r="R85" i="1"/>
  <c r="S85" i="1"/>
  <c r="P85" i="1"/>
  <c r="Q85" i="1"/>
  <c r="E85" i="1" s="1"/>
  <c r="F85" i="1" s="1"/>
  <c r="O85" i="1" s="1"/>
  <c r="H86" i="1" l="1"/>
  <c r="AJ86" i="1"/>
  <c r="N87" i="1" s="1"/>
  <c r="T85" i="1"/>
  <c r="AG87" i="1" l="1"/>
  <c r="Z86" i="1"/>
  <c r="L86" i="1" s="1"/>
  <c r="W86" i="1" s="1"/>
  <c r="J86" i="1"/>
  <c r="AC86" i="1" l="1"/>
  <c r="AE87" i="1" s="1"/>
  <c r="AF87" i="1" s="1"/>
  <c r="V86" i="1"/>
  <c r="S86" i="1"/>
  <c r="R86" i="1"/>
  <c r="P86" i="1"/>
  <c r="Q86" i="1"/>
  <c r="E86" i="1" s="1"/>
  <c r="F86" i="1" s="1"/>
  <c r="O86" i="1" s="1"/>
  <c r="H87" i="1" l="1"/>
  <c r="AJ87" i="1"/>
  <c r="N88" i="1" s="1"/>
  <c r="T86" i="1"/>
  <c r="AG88" i="1" l="1"/>
  <c r="Z87" i="1"/>
  <c r="L87" i="1" s="1"/>
  <c r="W87" i="1" s="1"/>
  <c r="J87" i="1"/>
  <c r="AC87" i="1" l="1"/>
  <c r="AE88" i="1" s="1"/>
  <c r="AF88" i="1" s="1"/>
  <c r="V87" i="1"/>
  <c r="S87" i="1"/>
  <c r="R87" i="1"/>
  <c r="P87" i="1"/>
  <c r="Q87" i="1"/>
  <c r="E87" i="1" s="1"/>
  <c r="F87" i="1" s="1"/>
  <c r="O87" i="1" s="1"/>
  <c r="H88" i="1" l="1"/>
  <c r="T87" i="1"/>
  <c r="AJ88" i="1"/>
  <c r="N89" i="1" s="1"/>
  <c r="AG89" i="1" l="1"/>
  <c r="Z88" i="1"/>
  <c r="L88" i="1" s="1"/>
  <c r="W88" i="1" s="1"/>
  <c r="J88" i="1"/>
  <c r="AC88" i="1" l="1"/>
  <c r="AE89" i="1" s="1"/>
  <c r="AF89" i="1" s="1"/>
  <c r="V88" i="1"/>
  <c r="R88" i="1"/>
  <c r="S88" i="1"/>
  <c r="P88" i="1"/>
  <c r="Q88" i="1"/>
  <c r="E88" i="1" s="1"/>
  <c r="F88" i="1" s="1"/>
  <c r="O88" i="1" s="1"/>
  <c r="H89" i="1" l="1"/>
  <c r="T88" i="1"/>
  <c r="AJ89" i="1"/>
  <c r="N90" i="1" s="1"/>
  <c r="AG90" i="1" l="1"/>
  <c r="Z89" i="1"/>
  <c r="L89" i="1" s="1"/>
  <c r="W89" i="1" s="1"/>
  <c r="J89" i="1"/>
  <c r="AC89" i="1" l="1"/>
  <c r="AE90" i="1" s="1"/>
  <c r="AF90" i="1" s="1"/>
  <c r="V89" i="1"/>
  <c r="R89" i="1"/>
  <c r="S89" i="1"/>
  <c r="P89" i="1"/>
  <c r="Q89" i="1"/>
  <c r="E89" i="1" s="1"/>
  <c r="F89" i="1" s="1"/>
  <c r="O89" i="1" s="1"/>
  <c r="H90" i="1" l="1"/>
  <c r="T89" i="1"/>
  <c r="AJ90" i="1" l="1"/>
  <c r="Z90" i="1"/>
  <c r="L90" i="1" s="1"/>
  <c r="W90" i="1" s="1"/>
  <c r="J90" i="1"/>
  <c r="N91" i="1" l="1"/>
  <c r="AC90" i="1"/>
  <c r="AE91" i="1" s="1"/>
  <c r="AF91" i="1" s="1"/>
  <c r="V90" i="1"/>
  <c r="R90" i="1"/>
  <c r="S90" i="1"/>
  <c r="P90" i="1"/>
  <c r="Q90" i="1"/>
  <c r="E90" i="1" s="1"/>
  <c r="F90" i="1" s="1"/>
  <c r="O90" i="1" s="1"/>
  <c r="AG91" i="1" l="1"/>
  <c r="H91" i="1"/>
  <c r="T90" i="1"/>
  <c r="AJ91" i="1" l="1"/>
  <c r="Z91" i="1"/>
  <c r="L91" i="1" s="1"/>
  <c r="W91" i="1" s="1"/>
  <c r="J91" i="1"/>
  <c r="N92" i="1" l="1"/>
  <c r="AC91" i="1"/>
  <c r="AE92" i="1" s="1"/>
  <c r="AF92" i="1" s="1"/>
  <c r="V91" i="1"/>
  <c r="S91" i="1"/>
  <c r="R91" i="1"/>
  <c r="P91" i="1"/>
  <c r="Q91" i="1"/>
  <c r="E91" i="1" s="1"/>
  <c r="F91" i="1" s="1"/>
  <c r="O91" i="1" s="1"/>
  <c r="AG92" i="1" l="1"/>
  <c r="H92" i="1"/>
  <c r="T91" i="1"/>
  <c r="AJ92" i="1" l="1"/>
  <c r="Z92" i="1"/>
  <c r="L92" i="1" s="1"/>
  <c r="W92" i="1" s="1"/>
  <c r="J92" i="1"/>
  <c r="N93" i="1" l="1"/>
  <c r="AC92" i="1"/>
  <c r="AE93" i="1" s="1"/>
  <c r="AF93" i="1" s="1"/>
  <c r="V92" i="1"/>
  <c r="S92" i="1"/>
  <c r="R92" i="1"/>
  <c r="P92" i="1"/>
  <c r="Q92" i="1"/>
  <c r="E92" i="1" s="1"/>
  <c r="F92" i="1" s="1"/>
  <c r="O92" i="1" s="1"/>
  <c r="AG93" i="1" l="1"/>
  <c r="H93" i="1"/>
  <c r="AJ93" i="1"/>
  <c r="T92" i="1"/>
  <c r="N94" i="1" l="1"/>
  <c r="AG94" i="1" s="1"/>
  <c r="Z93" i="1"/>
  <c r="L93" i="1" s="1"/>
  <c r="W93" i="1" s="1"/>
  <c r="J93" i="1"/>
  <c r="AC93" i="1" l="1"/>
  <c r="AE94" i="1" s="1"/>
  <c r="AF94" i="1" s="1"/>
  <c r="V93" i="1"/>
  <c r="R93" i="1"/>
  <c r="S93" i="1"/>
  <c r="P93" i="1"/>
  <c r="Q93" i="1"/>
  <c r="E93" i="1" s="1"/>
  <c r="F93" i="1" s="1"/>
  <c r="O93" i="1" s="1"/>
  <c r="H94" i="1" l="1"/>
  <c r="T93" i="1"/>
  <c r="AJ94" i="1" l="1"/>
  <c r="Z94" i="1"/>
  <c r="L94" i="1" s="1"/>
  <c r="W94" i="1" s="1"/>
  <c r="J94" i="1"/>
  <c r="N95" i="1" l="1"/>
  <c r="AC94" i="1"/>
  <c r="AE95" i="1" s="1"/>
  <c r="AF95" i="1" s="1"/>
  <c r="V94" i="1"/>
  <c r="R94" i="1"/>
  <c r="S94" i="1"/>
  <c r="P94" i="1"/>
  <c r="Q94" i="1"/>
  <c r="E94" i="1" s="1"/>
  <c r="F94" i="1" s="1"/>
  <c r="O94" i="1" s="1"/>
  <c r="AG95" i="1" l="1"/>
  <c r="H95" i="1"/>
  <c r="T94" i="1"/>
  <c r="AJ95" i="1" l="1"/>
  <c r="Z95" i="1"/>
  <c r="L95" i="1" s="1"/>
  <c r="W95" i="1" s="1"/>
  <c r="J95" i="1"/>
  <c r="N96" i="1" l="1"/>
  <c r="AC95" i="1"/>
  <c r="AE96" i="1" s="1"/>
  <c r="AF96" i="1" s="1"/>
  <c r="V95" i="1"/>
  <c r="S95" i="1"/>
  <c r="R95" i="1"/>
  <c r="P95" i="1"/>
  <c r="Q95" i="1"/>
  <c r="E95" i="1" s="1"/>
  <c r="F95" i="1" s="1"/>
  <c r="O95" i="1" s="1"/>
  <c r="AG96" i="1" l="1"/>
  <c r="H96" i="1"/>
  <c r="T95" i="1"/>
  <c r="AJ96" i="1" l="1"/>
  <c r="Z96" i="1"/>
  <c r="L96" i="1" s="1"/>
  <c r="W96" i="1" s="1"/>
  <c r="J96" i="1"/>
  <c r="N97" i="1" l="1"/>
  <c r="AC96" i="1"/>
  <c r="AE97" i="1" s="1"/>
  <c r="AF97" i="1" s="1"/>
  <c r="V96" i="1"/>
  <c r="S96" i="1"/>
  <c r="R96" i="1"/>
  <c r="P96" i="1"/>
  <c r="Q96" i="1"/>
  <c r="E96" i="1" s="1"/>
  <c r="F96" i="1" s="1"/>
  <c r="O96" i="1" s="1"/>
  <c r="AG97" i="1" l="1"/>
  <c r="H97" i="1"/>
  <c r="T96" i="1"/>
  <c r="AJ97" i="1" l="1"/>
  <c r="Z97" i="1"/>
  <c r="L97" i="1" s="1"/>
  <c r="W97" i="1" s="1"/>
  <c r="J97" i="1"/>
  <c r="N98" i="1" l="1"/>
  <c r="AC97" i="1"/>
  <c r="AE98" i="1" s="1"/>
  <c r="AF98" i="1" s="1"/>
  <c r="V97" i="1"/>
  <c r="R97" i="1"/>
  <c r="S97" i="1"/>
  <c r="P97" i="1"/>
  <c r="Q97" i="1"/>
  <c r="E97" i="1" s="1"/>
  <c r="F97" i="1" s="1"/>
  <c r="O97" i="1" s="1"/>
  <c r="AG98" i="1" l="1"/>
  <c r="H98" i="1"/>
  <c r="T97" i="1"/>
  <c r="AJ98" i="1"/>
  <c r="N99" i="1" l="1"/>
  <c r="AG99" i="1" s="1"/>
  <c r="Z98" i="1"/>
  <c r="L98" i="1" s="1"/>
  <c r="W98" i="1" s="1"/>
  <c r="J98" i="1"/>
  <c r="AC98" i="1" l="1"/>
  <c r="AE99" i="1" s="1"/>
  <c r="AF99" i="1" s="1"/>
  <c r="V98" i="1"/>
  <c r="R98" i="1"/>
  <c r="S98" i="1"/>
  <c r="Q98" i="1"/>
  <c r="E98" i="1" s="1"/>
  <c r="F98" i="1" s="1"/>
  <c r="P98" i="1"/>
  <c r="O98" i="1" l="1"/>
  <c r="H99" i="1" s="1"/>
  <c r="T98" i="1"/>
  <c r="AJ99" i="1"/>
  <c r="N100" i="1" s="1"/>
  <c r="AG100" i="1" l="1"/>
  <c r="Z99" i="1"/>
  <c r="L99" i="1" s="1"/>
  <c r="W99" i="1" s="1"/>
  <c r="J99" i="1"/>
  <c r="AC99" i="1" l="1"/>
  <c r="AE100" i="1" s="1"/>
  <c r="AF100" i="1" s="1"/>
  <c r="V99" i="1"/>
  <c r="S99" i="1"/>
  <c r="R99" i="1"/>
  <c r="Q99" i="1"/>
  <c r="E99" i="1" s="1"/>
  <c r="F99" i="1" s="1"/>
  <c r="P99" i="1"/>
  <c r="O99" i="1" l="1"/>
  <c r="H100" i="1" s="1"/>
  <c r="T99" i="1"/>
  <c r="AJ100" i="1" l="1"/>
  <c r="Z100" i="1"/>
  <c r="L100" i="1" s="1"/>
  <c r="W100" i="1" s="1"/>
  <c r="J100" i="1"/>
  <c r="N101" i="1" l="1"/>
  <c r="AC100" i="1"/>
  <c r="AE101" i="1" s="1"/>
  <c r="AF101" i="1" s="1"/>
  <c r="V100" i="1"/>
  <c r="R100" i="1"/>
  <c r="S100" i="1"/>
  <c r="P100" i="1"/>
  <c r="Q100" i="1"/>
  <c r="E100" i="1" s="1"/>
  <c r="F100" i="1" s="1"/>
  <c r="O100" i="1" s="1"/>
  <c r="AG101" i="1" l="1"/>
  <c r="H101" i="1"/>
  <c r="T100" i="1"/>
  <c r="AJ101" i="1" l="1"/>
  <c r="Z101" i="1"/>
  <c r="L101" i="1" s="1"/>
  <c r="W101" i="1" s="1"/>
  <c r="J101" i="1"/>
  <c r="N102" i="1" l="1"/>
  <c r="AG102" i="1" s="1"/>
  <c r="AC101" i="1"/>
  <c r="AE102" i="1" s="1"/>
  <c r="AF102" i="1" s="1"/>
  <c r="V101" i="1"/>
  <c r="R101" i="1"/>
  <c r="S101" i="1"/>
  <c r="P101" i="1"/>
  <c r="Q101" i="1"/>
  <c r="E101" i="1" s="1"/>
  <c r="F101" i="1" s="1"/>
  <c r="O101" i="1" s="1"/>
  <c r="H102" i="1" l="1"/>
  <c r="AJ102" i="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<sst xmlns="http://schemas.openxmlformats.org/spreadsheetml/2006/main" count="898" uniqueCount="887">
  <si>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</si>
  <si>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</si>
  <si>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</si>
  <si>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</si>
  <si>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</si>
  <si>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</si>
  <si>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</si>
  <si>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</si>
  <si>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</si>
  <si>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</si>
  <si>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</si>
  <si>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</si>
  <si>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</si>
  <si>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</si>
  <si>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</si>
  <si>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</si>
  <si>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</si>
  <si>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</si>
  <si>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</si>
  <si>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</si>
  <si>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</si>
  <si>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</si>
  <si>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</si>
  <si>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</si>
  <si>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</si>
  <si>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</si>
  <si>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</si>
  <si>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</si>
  <si>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</si>
  <si>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</si>
  <si>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</si>
  <si>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</si>
  <si>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</si>
  <si>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</si>
  <si>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</si>
  <si>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</si>
  <si>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</si>
  <si>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</si>
  <si>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</si>
  <si>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</si>
  <si>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</si>
  <si>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</si>
  <si>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</si>
  <si>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</si>
  <si>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</si>
  <si>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</si>
  <si>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</si>
  <si>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</si>
  <si>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</si>
  <si>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</si>
  <si>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</si>
  <si>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</si>
  <si>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</si>
  <si>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</si>
  <si>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</si>
  <si>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</si>
  <si>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</si>
  <si>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</si>
  <si>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</si>
  <si>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</si>
  <si>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</si>
  <si>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</si>
  <si>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</si>
  <si>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</si>
  <si>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</si>
  <si>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</si>
  <si>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</si>
  <si>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</si>
  <si>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</si>
  <si>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</si>
  <si>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</si>
  <si>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</si>
  <si>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</si>
  <si>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</si>
  <si>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</si>
  <si>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</si>
  <si>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</si>
  <si>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</si>
  <si>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</si>
  <si>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</si>
  <si>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</si>
  <si>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</si>
  <si>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</si>
  <si>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</si>
  <si>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</si>
  <si>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</si>
  <si>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</si>
  <si>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</si>
  <si>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</si>
  <si>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</si>
  <si>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</si>
  <si>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</si>
  <si>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</si>
  <si>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</si>
  <si>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</si>
  <si>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</si>
  <si>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</si>
  <si>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</si>
  <si>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</si>
  <si>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</si>
  <si>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</si>
  <si>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</si>
  <si>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</si>
  <si>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</si>
  <si>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</si>
  <si>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</si>
  <si>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</si>
  <si>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</si>
  <si>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</si>
  <si>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</si>
  <si>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</si>
  <si>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</si>
  <si>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</si>
  <si>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</si>
  <si>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</si>
  <si>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</si>
  <si>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</si>
  <si>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</si>
  <si>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</si>
  <si>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</si>
  <si>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</si>
  <si>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</si>
  <si>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</si>
  <si>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</si>
  <si>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</si>
  <si>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</si>
  <si>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</si>
  <si>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</si>
  <si>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</si>
  <si>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</si>
  <si>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</si>
  <si>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</si>
  <si>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</si>
  <si>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</si>
  <si>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</si>
  <si>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</si>
  <si>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</si>
  <si>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</si>
  <si>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</si>
  <si>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</si>
  <si>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</si>
  <si>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</si>
  <si>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</si>
  <si>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</si>
  <si>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</si>
  <si>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</si>
  <si>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</si>
  <si>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</si>
  <si>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</si>
  <si>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</si>
  <si>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</si>
  <si>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</si>
  <si>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</si>
  <si>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</si>
  <si>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</si>
  <si>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</si>
  <si>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</si>
  <si>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</si>
  <si>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</si>
  <si>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</si>
  <si>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</si>
  <si>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</si>
  <si>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</si>
  <si>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</si>
  <si>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</si>
  <si>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</si>
  <si>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</si>
  <si>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</si>
  <si>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</si>
  <si>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</si>
  <si>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</si>
  <si>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</si>
  <si>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</si>
  <si>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</si>
  <si>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</si>
  <si>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</si>
  <si>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</si>
  <si>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</si>
  <si>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</si>
  <si>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</si>
  <si>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</si>
  <si>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</si>
  <si>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</si>
  <si>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</si>
  <si>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</si>
  <si>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</si>
  <si>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</si>
  <si>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</si>
  <si>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</si>
  <si>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</si>
  <si>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</si>
  <si>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</si>
  <si>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</si>
  <si>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</si>
  <si>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</si>
  <si>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</si>
  <si>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</si>
  <si>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</si>
  <si>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</si>
  <si>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</si>
  <si>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</si>
  <si>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</si>
  <si>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</si>
  <si>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</si>
  <si>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</si>
  <si>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</si>
  <si>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</si>
  <si>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</si>
  <si>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</si>
  <si>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</si>
  <si>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</si>
  <si>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</si>
  <si>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</si>
  <si>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</si>
  <si>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</si>
  <si>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</si>
  <si>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</si>
  <si>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</si>
  <si>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</si>
  <si>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</si>
  <si>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</si>
  <si>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</si>
  <si>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</si>
  <si>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</si>
  <si>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</si>
  <si>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</si>
  <si>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</si>
  <si>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</si>
  <si>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</si>
  <si>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</si>
  <si>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</si>
  <si>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</si>
  <si>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</si>
  <si>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</si>
  <si>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</si>
  <si>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</si>
  <si>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</si>
  <si>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</si>
  <si>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</si>
  <si>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</si>
  <si>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</si>
  <si>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</si>
  <si>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</si>
  <si>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</si>
  <si>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</si>
  <si>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</si>
  <si>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</si>
  <si>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</si>
  <si>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</si>
  <si>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</si>
  <si>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</si>
  <si>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</si>
  <si>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</si>
  <si>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</si>
  <si>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</si>
  <si>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</si>
  <si>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</si>
  <si>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</si>
  <si>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</si>
  <si>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</si>
  <si>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</si>
  <si>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</si>
  <si>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</si>
  <si>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</si>
  <si>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</si>
  <si>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</si>
  <si>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</si>
  <si>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</si>
  <si>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</si>
  <si>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</si>
  <si>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</si>
  <si>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</si>
  <si>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</si>
  <si>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</si>
  <si>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</si>
  <si>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</si>
  <si>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</si>
  <si>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</si>
  <si>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</si>
  <si>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</si>
  <si>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</si>
  <si>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</si>
  <si>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</si>
  <si>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</si>
  <si>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</si>
  <si>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</si>
  <si>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</si>
  <si>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</si>
  <si>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</si>
  <si>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</si>
  <si>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</si>
  <si>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</si>
  <si>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</si>
  <si>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</si>
  <si>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</si>
  <si>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</si>
  <si>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</si>
  <si>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</si>
  <si>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</si>
  <si>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</si>
  <si>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</si>
  <si>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</si>
  <si>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</si>
  <si>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</si>
  <si>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</si>
  <si>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</si>
  <si>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</si>
  <si>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</si>
  <si>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</si>
  <si>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</si>
  <si>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</si>
  <si>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</si>
  <si>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</si>
  <si>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</si>
  <si>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</si>
  <si>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</si>
  <si>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</si>
  <si>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</si>
  <si>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</si>
  <si>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</si>
  <si>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</si>
  <si>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</si>
  <si>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</si>
  <si>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</si>
  <si>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</si>
  <si>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</si>
  <si>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</si>
  <si>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</si>
  <si>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</si>
  <si>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</si>
  <si>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</si>
  <si>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</si>
  <si>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</si>
  <si>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</si>
  <si>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</si>
  <si>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</si>
  <si>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</si>
  <si>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</si>
  <si>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</si>
  <si>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</si>
  <si>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</si>
  <si>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</si>
  <si>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</si>
  <si>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</si>
  <si>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</si>
  <si>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</si>
  <si>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</si>
  <si>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</si>
  <si>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</si>
  <si>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</si>
  <si>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</si>
  <si>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</si>
  <si>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</si>
  <si>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</si>
  <si>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</si>
  <si>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</si>
  <si>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</si>
  <si>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</si>
  <si>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</si>
  <si>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</si>
  <si>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</si>
  <si>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</si>
  <si>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</si>
  <si>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</si>
  <si>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</si>
  <si>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</si>
  <si>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</si>
  <si>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</si>
  <si>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</si>
  <si>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</si>
  <si>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</si>
  <si>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</si>
  <si>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</si>
  <si>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</si>
  <si>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</si>
  <si>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</si>
  <si>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</si>
  <si>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</si>
  <si>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</si>
  <si>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</si>
  <si>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</si>
  <si>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</si>
  <si>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</si>
  <si>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</si>
  <si>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</si>
  <si>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</si>
  <si>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</si>
  <si>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</si>
  <si>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</si>
  <si>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</si>
  <si>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</si>
  <si>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</si>
  <si>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</si>
  <si>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</si>
  <si>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</si>
  <si>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</si>
  <si>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</si>
  <si>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</si>
  <si>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</si>
  <si>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</si>
  <si>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</si>
  <si>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</si>
  <si>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</si>
  <si>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</si>
  <si>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</si>
  <si>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</si>
  <si>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</si>
  <si>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</si>
  <si>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</si>
  <si>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</si>
  <si>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</si>
  <si>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</si>
  <si>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</si>
  <si>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</si>
  <si>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</si>
  <si>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</si>
  <si>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</si>
  <si>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</si>
  <si>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</si>
  <si>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</si>
  <si>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</si>
  <si>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</si>
  <si>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</si>
  <si>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</si>
  <si>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</si>
  <si>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</si>
  <si>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</si>
  <si>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</si>
  <si>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</si>
  <si>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</si>
  <si>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</si>
  <si>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</si>
  <si>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</si>
  <si>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</si>
  <si>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</si>
  <si>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</si>
  <si>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</si>
  <si>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</si>
  <si>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</si>
  <si>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</si>
  <si>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</si>
  <si>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</si>
  <si>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</si>
  <si>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</si>
  <si>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</si>
  <si>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</si>
  <si>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</si>
  <si>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</si>
  <si>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</si>
  <si>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</si>
  <si>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</si>
  <si>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</si>
  <si>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</si>
  <si>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</si>
  <si>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</si>
  <si>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</si>
  <si>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</si>
  <si>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</si>
  <si>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</si>
  <si>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</si>
  <si>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</si>
  <si>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</si>
  <si>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</si>
  <si>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</si>
  <si>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</si>
  <si>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</si>
  <si>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</si>
  <si>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</si>
  <si>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</si>
  <si>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</si>
  <si>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</si>
  <si>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</si>
  <si>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</si>
  <si>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</si>
  <si>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</si>
  <si>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</si>
  <si>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</si>
  <si>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</si>
  <si>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</si>
  <si>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</si>
  <si>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</si>
  <si>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</si>
  <si>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</si>
  <si>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</si>
  <si>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</si>
  <si>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</si>
  <si>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</si>
  <si>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</si>
  <si>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</si>
  <si>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</si>
  <si>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</si>
  <si>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</si>
  <si>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</si>
  <si>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</si>
  <si>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</si>
  <si>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</si>
  <si>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</si>
  <si>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</si>
  <si>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</si>
  <si>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</si>
  <si>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</si>
  <si>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</si>
  <si>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</si>
  <si>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</si>
  <si>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</si>
  <si>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</si>
  <si>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</si>
  <si>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</si>
  <si>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</si>
  <si>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</si>
  <si>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</si>
  <si>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</si>
  <si>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</si>
  <si>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</si>
  <si>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</si>
  <si>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</si>
  <si>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</si>
  <si>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</si>
  <si>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</si>
  <si>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</si>
  <si>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</si>
  <si>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</si>
  <si>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</si>
  <si>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</si>
  <si>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</si>
  <si>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</si>
  <si>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</si>
  <si>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</si>
  <si>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</si>
  <si>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</si>
  <si>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</si>
  <si>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</si>
  <si>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</si>
  <si>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</si>
  <si>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</si>
  <si>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</si>
  <si>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</si>
  <si>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</si>
  <si>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</si>
  <si>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</si>
  <si>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</si>
  <si>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</si>
  <si>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</si>
  <si>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</si>
  <si>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</si>
  <si>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</si>
  <si>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</si>
  <si>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</si>
  <si>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</si>
  <si>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</si>
  <si>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</si>
  <si>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</si>
  <si>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</si>
  <si>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</si>
  <si>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</si>
  <si>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</si>
  <si>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</si>
  <si>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</si>
  <si>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</si>
  <si>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</si>
  <si>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</si>
  <si>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</si>
  <si>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</si>
  <si>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</si>
  <si>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</si>
  <si>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</si>
  <si>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</si>
  <si>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</si>
  <si>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</si>
  <si>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</si>
  <si>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</si>
  <si>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</si>
  <si>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</si>
  <si>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</si>
  <si>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</si>
  <si>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</si>
  <si>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</si>
  <si>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</si>
  <si>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</si>
  <si>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</si>
  <si>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</si>
  <si>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</si>
  <si>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</si>
  <si>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</si>
  <si>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</si>
  <si>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</si>
  <si>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</si>
  <si>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</si>
  <si>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</si>
  <si>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</si>
  <si>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</si>
  <si>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</si>
  <si>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</si>
  <si>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</si>
  <si>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</si>
  <si>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</si>
  <si>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</si>
  <si>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</si>
  <si>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</si>
  <si>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</si>
  <si>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</si>
  <si>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</si>
  <si>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</si>
  <si>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</si>
  <si>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</si>
  <si>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</si>
  <si>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</si>
  <si>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</si>
  <si>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</si>
  <si>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</si>
  <si>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</si>
  <si>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</si>
  <si>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</si>
  <si>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</si>
  <si>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</si>
  <si>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</si>
  <si>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</si>
  <si>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</si>
  <si>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</si>
  <si>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</si>
  <si>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</si>
  <si>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</si>
  <si>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</si>
  <si>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</si>
  <si>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</si>
  <si>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</si>
  <si>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</si>
  <si>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</si>
  <si>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</si>
  <si>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</si>
  <si>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</si>
  <si>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</si>
  <si>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</si>
  <si>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</si>
  <si>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</si>
  <si>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</si>
  <si>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</si>
  <si>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</si>
  <si>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</si>
  <si>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</si>
  <si>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</si>
  <si>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</si>
  <si>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</si>
  <si>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</si>
  <si>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</si>
  <si>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</si>
  <si>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</si>
  <si>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</si>
  <si>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</si>
  <si>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</si>
  <si>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</si>
  <si>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</si>
  <si>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</si>
  <si>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</si>
  <si>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</si>
  <si>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</si>
  <si>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</si>
  <si>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</si>
  <si>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</si>
  <si>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</si>
  <si>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</si>
  <si>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</si>
  <si>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</si>
  <si>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</si>
  <si>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</si>
  <si>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</si>
  <si>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</si>
  <si>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</si>
  <si>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</si>
  <si>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</si>
  <si>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</si>
  <si>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</si>
  <si>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</si>
  <si>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</si>
  <si>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</si>
  <si>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</si>
  <si>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</si>
  <si>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</si>
  <si>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</si>
  <si>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</si>
  <si>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</si>
  <si>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</si>
  <si>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</si>
  <si>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</si>
  <si>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</si>
  <si>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</si>
  <si>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</si>
  <si>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</si>
  <si>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</si>
  <si>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</si>
  <si>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</si>
  <si>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</si>
  <si>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</si>
  <si>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</si>
  <si>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</si>
  <si>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</si>
  <si>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</si>
  <si>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</si>
  <si>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</si>
  <si>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</si>
  <si>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</si>
  <si>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</si>
  <si>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</si>
  <si>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</si>
  <si>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</si>
  <si>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</si>
  <si>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</si>
  <si>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</si>
  <si>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</si>
  <si>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</si>
  <si>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</si>
  <si>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</si>
  <si>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</si>
  <si>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</si>
  <si>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</si>
  <si>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</si>
  <si>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</si>
  <si>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</si>
  <si>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</si>
  <si>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</si>
  <si>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</si>
  <si>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</si>
  <si>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</si>
  <si>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</si>
  <si>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</si>
  <si>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</si>
  <si>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</si>
  <si>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</si>
  <si>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</si>
  <si>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</si>
  <si>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</si>
  <si>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</si>
  <si>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</si>
  <si>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</si>
  <si>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</si>
  <si>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</si>
  <si>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</si>
  <si>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</si>
  <si>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</si>
  <si>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</si>
  <si>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</si>
  <si>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</si>
  <si>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</si>
  <si>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</si>
  <si>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</si>
  <si>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</si>
  <si>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</si>
  <si>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</si>
  <si>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</si>
  <si>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</si>
  <si>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</si>
  <si>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</si>
  <si>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</si>
  <si>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</si>
  <si>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</si>
  <si>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</si>
  <si>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</si>
  <si>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</si>
  <si>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</si>
  <si>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</si>
  <si>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</si>
  <si>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</si>
  <si>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</si>
  <si>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</si>
  <si>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</si>
  <si>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</si>
  <si>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</si>
  <si>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</si>
  <si>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</si>
  <si>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</si>
  <si>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</si>
  <si>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</si>
  <si>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</si>
  <si>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</si>
  <si>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</si>
  <si>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</si>
  <si>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</si>
  <si>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</si>
  <si>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</si>
  <si>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</si>
  <si>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</si>
  <si>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</si>
  <si>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</si>
  <si>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</si>
  <si>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</si>
  <si>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</si>
  <si>
    <t>ef0</t>
  </si>
  <si>
    <t>ef1</t>
  </si>
  <si>
    <t>ef2</t>
  </si>
  <si>
    <t>ef3</t>
  </si>
  <si>
    <t>ef4</t>
  </si>
  <si>
    <t>ef5</t>
  </si>
  <si>
    <t>ef6</t>
  </si>
  <si>
    <t>ef7</t>
  </si>
  <si>
    <t>ef8</t>
  </si>
  <si>
    <t>ef9</t>
  </si>
  <si>
    <t>ef10</t>
  </si>
  <si>
    <t>ef11</t>
  </si>
  <si>
    <t>ef12</t>
  </si>
  <si>
    <t>ef13</t>
  </si>
  <si>
    <t>ef14</t>
  </si>
  <si>
    <t>ef15</t>
  </si>
  <si>
    <t>ef16</t>
  </si>
  <si>
    <t>ef17</t>
  </si>
  <si>
    <t>ef18</t>
  </si>
  <si>
    <t>ef19</t>
  </si>
  <si>
    <t>ef20</t>
  </si>
  <si>
    <t>ef21</t>
  </si>
  <si>
    <t>ef22</t>
  </si>
  <si>
    <t>ef23</t>
  </si>
  <si>
    <t>ef24</t>
  </si>
  <si>
    <t>ef25</t>
  </si>
  <si>
    <t>ef26</t>
  </si>
  <si>
    <t>ef27</t>
  </si>
  <si>
    <t>ef28</t>
  </si>
  <si>
    <t>ef29</t>
  </si>
  <si>
    <t>ef30</t>
  </si>
  <si>
    <t>ef31</t>
  </si>
  <si>
    <t>ef32</t>
  </si>
  <si>
    <t>ef33</t>
  </si>
  <si>
    <t>ef34</t>
  </si>
  <si>
    <t>ef35</t>
  </si>
  <si>
    <t>ef36</t>
  </si>
  <si>
    <t>ef37</t>
  </si>
  <si>
    <t>ef38</t>
  </si>
  <si>
    <t>ef39</t>
  </si>
  <si>
    <t>ef40</t>
  </si>
  <si>
    <t>ef41</t>
  </si>
  <si>
    <t>ef42</t>
  </si>
  <si>
    <t>ef43</t>
  </si>
  <si>
    <t>ef44</t>
  </si>
  <si>
    <t>ef45</t>
  </si>
  <si>
    <t>ef46</t>
  </si>
  <si>
    <t>ef47</t>
  </si>
  <si>
    <t>ef48</t>
  </si>
  <si>
    <t>ef49</t>
  </si>
  <si>
    <t>ef50</t>
  </si>
  <si>
    <t>ef51</t>
  </si>
  <si>
    <t>ef52</t>
  </si>
  <si>
    <t>ef53</t>
  </si>
  <si>
    <t>ef54</t>
  </si>
  <si>
    <t>ef55</t>
  </si>
  <si>
    <t>ef56</t>
  </si>
  <si>
    <t>ef57</t>
  </si>
  <si>
    <t>ef58</t>
  </si>
  <si>
    <t>ef59</t>
  </si>
  <si>
    <t>ef60</t>
  </si>
  <si>
    <t>ef61</t>
  </si>
  <si>
    <t>ef62</t>
  </si>
  <si>
    <t>ef63</t>
  </si>
  <si>
    <t>ef64</t>
  </si>
  <si>
    <t>ef65</t>
  </si>
  <si>
    <t>ef66</t>
  </si>
  <si>
    <t>ef67</t>
  </si>
  <si>
    <t>ef68</t>
  </si>
  <si>
    <t>ef69</t>
  </si>
  <si>
    <t>ef70</t>
  </si>
  <si>
    <t>ef71</t>
  </si>
  <si>
    <t>ef72</t>
  </si>
  <si>
    <t>ef73</t>
  </si>
  <si>
    <t>ef74</t>
  </si>
  <si>
    <t>ef75</t>
  </si>
  <si>
    <t>ef76</t>
  </si>
  <si>
    <t>ef77</t>
  </si>
  <si>
    <t>ef78</t>
  </si>
  <si>
    <t>ef79</t>
  </si>
  <si>
    <t>ef80</t>
  </si>
  <si>
    <t>ef81</t>
  </si>
  <si>
    <t>ef82</t>
  </si>
  <si>
    <t>ef83</t>
  </si>
  <si>
    <t>ef84</t>
  </si>
  <si>
    <t>ef85</t>
  </si>
  <si>
    <t>ef86</t>
  </si>
  <si>
    <t>ef87</t>
  </si>
  <si>
    <t>ef88</t>
  </si>
  <si>
    <t>ef89</t>
  </si>
  <si>
    <t>ef90</t>
  </si>
  <si>
    <t>ef91</t>
  </si>
  <si>
    <t>ef92</t>
  </si>
  <si>
    <t>ef93</t>
  </si>
  <si>
    <t>ef94</t>
  </si>
  <si>
    <t>ef95</t>
  </si>
  <si>
    <t>ef96</t>
  </si>
  <si>
    <t>ef97</t>
  </si>
  <si>
    <t>ef98</t>
  </si>
  <si>
    <t>ef99</t>
  </si>
  <si>
    <t>ef100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</si>
</sst>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168" fontId="0" fillId="0" borderId="0" xfId="0" applyNumberFormat="1" applyFill="1" applyBorder="1"/>
    <xf numFmtId="0" fontId="1" fillId="0" borderId="0" xfId="0" applyFont="1" applyFill="1" applyBorder="1"/>
    <xf numFmtId="165" fontId="0" fillId="0" borderId="7" xfId="0" applyNumberFormat="1" applyFont="1" applyFill="1" applyBorder="1" applyAlignment="1">
      <alignment horizontal="center"/>
    </xf>
    <xf numFmtId="164" fontId="0" fillId="0" borderId="7" xfId="0" applyNumberFormat="1" applyFont="1" applyFill="1" applyBorder="1" applyAlignment="1">
      <alignment horizontal="center"/>
    </xf>
    <xf numFmtId="3" fontId="0" fillId="0" borderId="7" xfId="0" applyNumberFormat="1" applyFont="1" applyFill="1" applyBorder="1" applyAlignment="1">
      <alignment horizontal="center"/>
    </xf>
    <xf numFmtId="0" fontId="1" fillId="0" borderId="7" xfId="0" applyFont="1" applyFill="1" applyBorder="1" applyAlignment="1">
      <alignment horizontal="center"/>
    </xf>
    <xf numFmtId="167" fontId="1" fillId="0" borderId="0" xfId="0" applyNumberFormat="1" applyFont="1" applyFill="1" applyBorder="1" applyAlignment="1">
      <alignment horizontal="center"/>
    </xf>
    <xf numFmtId="167" fontId="1" fillId="0" borderId="2" xfId="0" applyNumberFormat="1" applyFont="1" applyFill="1" applyBorder="1" applyAlignment="1">
      <alignment horizontal="center"/>
    </xf>
    <xf numFmtId="0" fontId="0" fillId="0" borderId="7" xfId="0" applyBorder="1"/>
    <xf numFmtId="165" fontId="0" fillId="0" borderId="13" xfId="0" applyNumberFormat="1" applyFont="1" applyFill="1" applyBorder="1" applyAlignment="1">
      <alignment horizontal="center"/>
    </xf>
    <xf numFmtId="164" fontId="0" fillId="0" borderId="13" xfId="0" applyNumberFormat="1" applyFont="1" applyFill="1" applyBorder="1" applyAlignment="1">
      <alignment horizontal="center"/>
    </xf>
    <xf numFmtId="3" fontId="0" fillId="0" borderId="13" xfId="0" applyNumberFormat="1" applyFont="1" applyFill="1" applyBorder="1" applyAlignment="1">
      <alignment horizontal="center"/>
    </xf>
    <xf numFmtId="0" fontId="1" fillId="0" borderId="13" xfId="0" applyFont="1" applyFill="1" applyBorder="1" applyAlignment="1">
      <alignment horizontal="center"/>
    </xf>
    <xf numFmtId="3" fontId="0" fillId="0" borderId="8" xfId="0" applyNumberFormat="1" applyFill="1" applyBorder="1" applyAlignment="1">
      <alignment horizontal="center"/>
    </xf>
    <xf numFmtId="164" fontId="0" fillId="0" borderId="2" xfId="0" applyNumberFormat="1" applyFill="1" applyBorder="1" applyAlignment="1">
      <alignment horizontal="center"/>
    </xf>
    <xf numFmtId="168" fontId="0" fillId="0" borderId="2" xfId="0" applyNumberFormat="1" applyFill="1" applyBorder="1"/>
    <xf numFmtId="0" fontId="0" fillId="0" borderId="2" xfId="0" applyFill="1" applyBorder="1"/>
    <xf numFmtId="3" fontId="0" fillId="0" borderId="2" xfId="0" applyNumberFormat="1" applyBorder="1" applyAlignment="1">
      <alignment horizontal="center"/>
    </xf>
    <xf numFmtId="0" fontId="0" fillId="0" borderId="2" xfId="0" applyFill="1" applyBorder="1" applyAlignment="1">
      <alignment horizontal="center"/>
    </xf>
    <xf numFmtId="4" fontId="0" fillId="0" borderId="2" xfId="0" applyNumberFormat="1" applyFill="1" applyBorder="1" applyAlignment="1">
      <alignment horizontal="center"/>
    </xf>
    <xf numFmtId="164" fontId="0" fillId="0" borderId="13" xfId="0" applyNumberFormat="1" applyFill="1" applyBorder="1" applyAlignment="1">
      <alignment horizontal="center"/>
    </xf>
    <xf numFmtId="3" fontId="0" fillId="0" borderId="9" xfId="0" applyNumberFormat="1" applyFill="1" applyBorder="1" applyAlignment="1">
      <alignment horizontal="center"/>
    </xf>
    <xf numFmtId="166" fontId="0" fillId="0" borderId="8" xfId="0" applyNumberFormat="1" applyFill="1" applyBorder="1" applyAlignment="1">
      <alignment horizontal="center"/>
    </xf>
    <xf numFmtId="3" fontId="0" fillId="0" borderId="1" xfId="0" applyNumberFormat="1" applyFill="1" applyBorder="1" applyAlignment="1">
      <alignment horizontal="center"/>
    </xf>
    <xf numFmtId="0" fontId="0" fillId="0" borderId="9" xfId="0" applyFill="1" applyBorder="1" applyAlignment="1">
      <alignment horizontal="center"/>
    </xf>
    <xf numFmtId="166" fontId="0" fillId="0" borderId="6" xfId="0" applyNumberFormat="1" applyBorder="1"/>
    <xf numFmtId="2" fontId="0" fillId="0" borderId="0" xfId="0" applyNumberFormat="1" applyFill="1" applyBorder="1" applyAlignment="1">
      <alignment horizontal="righ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23</v>
      </c>
    </row>
    <row r="2" spans="1:16" x14ac:dyDescent="0.25">
      <c r="P2" t="e">
        <f ca="1">_xll.CB.RecalcCounterFN()</f>
        <v>#NAME?</v>
      </c>
    </row>
    <row r="3" spans="1:16" x14ac:dyDescent="0.25">
      <c r="A3" t="s">
        <v>24</v>
      </c>
      <c r="B3" t="s">
        <v>25</v>
      </c>
      <c r="C3">
        <v>0</v>
      </c>
    </row>
    <row r="4" spans="1:16" x14ac:dyDescent="0.25">
      <c r="A4" t="s">
        <v>26</v>
      </c>
    </row>
    <row r="5" spans="1:16" x14ac:dyDescent="0.25">
      <c r="A5" t="s">
        <v>27</v>
      </c>
    </row>
    <row r="7" spans="1:16" x14ac:dyDescent="0.25">
      <c r="A7" s="6" t="s">
        <v>28</v>
      </c>
      <c r="B7" t="s">
        <v>29</v>
      </c>
    </row>
    <row r="8" spans="1:16" x14ac:dyDescent="0.25">
      <c r="B8">
        <v>2</v>
      </c>
    </row>
    <row r="10" spans="1:16" x14ac:dyDescent="0.25">
      <c r="A10" t="s">
        <v>30</v>
      </c>
    </row>
    <row r="11" spans="1:16" x14ac:dyDescent="0.25">
      <c r="A11" t="e">
        <f>CB_DATA_!#REF!</f>
        <v>#REF!</v>
      </c>
      <c r="B11" t="e">
        <f>Modelo!#REF!</f>
        <v>#REF!</v>
      </c>
    </row>
    <row r="13" spans="1:16" x14ac:dyDescent="0.25">
      <c r="A13" t="s">
        <v>31</v>
      </c>
    </row>
    <row r="14" spans="1:16" x14ac:dyDescent="0.25">
      <c r="A14" t="s">
        <v>35</v>
      </c>
      <c r="B14" t="s">
        <v>471</v>
      </c>
    </row>
    <row r="16" spans="1:16" x14ac:dyDescent="0.25">
      <c r="A16" t="s">
        <v>32</v>
      </c>
    </row>
    <row r="19" spans="1:2" x14ac:dyDescent="0.25">
      <c r="A19" t="s">
        <v>33</v>
      </c>
    </row>
    <row r="20" spans="1:2" x14ac:dyDescent="0.25">
      <c r="A20">
        <v>28</v>
      </c>
      <c r="B20">
        <v>49</v>
      </c>
    </row>
    <row r="25" spans="1:2" x14ac:dyDescent="0.25">
      <c r="A25" s="6" t="s">
        <v>34</v>
      </c>
    </row>
    <row r="26" spans="1:2" x14ac:dyDescent="0.25">
      <c r="A26" s="13" t="s">
        <v>36</v>
      </c>
      <c r="B26" s="13" t="s">
        <v>675</v>
      </c>
    </row>
    <row r="27" spans="1:2" x14ac:dyDescent="0.25">
      <c r="A27" t="s">
        <v>37</v>
      </c>
      <c r="B27" t="s">
        <v>782</v>
      </c>
    </row>
    <row r="28" spans="1:2" x14ac:dyDescent="0.25">
      <c r="A28" s="13" t="s">
        <v>38</v>
      </c>
      <c r="B28" s="13" t="s">
        <v>38</v>
      </c>
    </row>
    <row r="29" spans="1:2" x14ac:dyDescent="0.25">
      <c r="B29" s="13" t="s">
        <v>36</v>
      </c>
    </row>
    <row r="30" spans="1:2" x14ac:dyDescent="0.25">
      <c r="B30" t="s">
        <v>42</v>
      </c>
    </row>
    <row r="31" spans="1:2" x14ac:dyDescent="0.25">
      <c r="B31" s="13" t="s">
        <v>38</v>
      </c>
    </row>
    <row r="32" spans="1:2" x14ac:dyDescent="0.25">
      <c r="B32" s="13" t="s">
        <v>573</v>
      </c>
    </row>
    <row r="33" spans="2:2" x14ac:dyDescent="0.25">
      <c r="B33" t="s">
        <v>783</v>
      </c>
    </row>
    <row r="34" spans="2:2" x14ac:dyDescent="0.25">
      <c r="B34" s="13" t="s">
        <v>38</v>
      </c>
    </row>
    <row r="35" spans="2:2" x14ac:dyDescent="0.25">
      <c r="B35" s="13" t="s">
        <v>41</v>
      </c>
    </row>
    <row r="36" spans="2:2" x14ac:dyDescent="0.25">
      <c r="B36" t="s">
        <v>780</v>
      </c>
    </row>
    <row r="37" spans="2:2" x14ac:dyDescent="0.25">
      <c r="B37" s="13" t="s">
        <v>38</v>
      </c>
    </row>
    <row r="38" spans="2:2" x14ac:dyDescent="0.25">
      <c r="B38" s="13" t="s">
        <v>40</v>
      </c>
    </row>
    <row r="39" spans="2:2" x14ac:dyDescent="0.25">
      <c r="B39" t="s">
        <v>781</v>
      </c>
    </row>
    <row r="40" spans="2:2" x14ac:dyDescent="0.25">
      <c r="B40" s="13" t="s">
        <v>38</v>
      </c>
    </row>
    <row r="41" spans="2:2" x14ac:dyDescent="0.25">
      <c r="B41" s="13" t="s">
        <v>468</v>
      </c>
    </row>
    <row r="42" spans="2:2" x14ac:dyDescent="0.25">
      <c r="B42" t="s">
        <v>784</v>
      </c>
    </row>
    <row r="43" spans="2:2" x14ac:dyDescent="0.25">
      <c r="B43" s="13" t="s">
        <v>38</v>
      </c>
    </row>
    <row r="44" spans="2:2" x14ac:dyDescent="0.25">
      <c r="B44" s="13" t="s">
        <v>39</v>
      </c>
    </row>
    <row r="45" spans="2:2" x14ac:dyDescent="0.25">
      <c r="B45" t="s">
        <v>785</v>
      </c>
    </row>
    <row r="46" spans="2:2" x14ac:dyDescent="0.25">
      <c r="B46" s="13" t="s">
        <v>38</v>
      </c>
    </row>
    <row r="47" spans="2:2" x14ac:dyDescent="0.25">
      <c r="B47" s="13" t="s">
        <v>778</v>
      </c>
    </row>
    <row r="48" spans="2:2" x14ac:dyDescent="0.25">
      <c r="B48" t="s">
        <v>779</v>
      </c>
    </row>
    <row r="49" spans="2:2" x14ac:dyDescent="0.25">
      <c r="B49" s="13" t="s">
        <v>38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3"/>
  <sheetViews>
    <sheetView tabSelected="1" zoomScale="85" zoomScaleNormal="85" workbookViewId="0">
      <selection activeCell="A29" sqref="A29:A30"/>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 min="41" max="41" width="3.85546875" customWidth="1"/>
    <col min="42" max="42" width="11.42578125" style="5"/>
    <col min="43" max="43" width="14.42578125" style="5" customWidth="1"/>
    <col min="44" max="44" width="11.42578125" style="5"/>
  </cols>
  <sheetData>
    <row r="1" spans="1:45" ht="63" customHeight="1" x14ac:dyDescent="0.25">
      <c r="D1" s="14" t="s">
        <v>14</v>
      </c>
      <c r="E1" s="36" t="s">
        <v>1</v>
      </c>
      <c r="F1" s="34" t="s">
        <v>0</v>
      </c>
      <c r="G1" s="34"/>
      <c r="H1" s="37" t="s">
        <v>7</v>
      </c>
      <c r="I1" s="36"/>
      <c r="J1" s="37" t="s">
        <v>4</v>
      </c>
      <c r="K1" s="14"/>
      <c r="L1" s="35" t="s">
        <v>8</v>
      </c>
      <c r="M1" s="4"/>
      <c r="N1" s="35" t="s">
        <v>9</v>
      </c>
      <c r="O1" s="36" t="s">
        <v>3</v>
      </c>
      <c r="P1" s="36" t="s">
        <v>5</v>
      </c>
      <c r="Q1" s="34" t="s">
        <v>450</v>
      </c>
      <c r="R1" s="34" t="s">
        <v>463</v>
      </c>
      <c r="S1" s="34" t="s">
        <v>464</v>
      </c>
      <c r="T1" s="34" t="s">
        <v>465</v>
      </c>
      <c r="U1" s="29" t="s">
        <v>452</v>
      </c>
      <c r="V1" s="30" t="s">
        <v>6</v>
      </c>
      <c r="W1" s="30" t="s">
        <v>453</v>
      </c>
      <c r="X1" s="30" t="s">
        <v>454</v>
      </c>
      <c r="Y1" s="30" t="s">
        <v>455</v>
      </c>
      <c r="Z1" s="27" t="s">
        <v>10</v>
      </c>
      <c r="AA1" s="28" t="s">
        <v>11</v>
      </c>
      <c r="AB1" s="28"/>
      <c r="AC1" s="28" t="s">
        <v>457</v>
      </c>
      <c r="AD1" s="28"/>
      <c r="AE1" s="28" t="s">
        <v>456</v>
      </c>
      <c r="AF1" s="28" t="s">
        <v>469</v>
      </c>
      <c r="AG1" s="28" t="s">
        <v>458</v>
      </c>
      <c r="AH1" s="28" t="s">
        <v>12</v>
      </c>
      <c r="AI1" s="28" t="s">
        <v>13</v>
      </c>
      <c r="AJ1" s="28" t="s">
        <v>462</v>
      </c>
      <c r="AK1" s="28" t="s">
        <v>470</v>
      </c>
      <c r="AM1" s="28"/>
      <c r="AN1" s="28" t="s">
        <v>676</v>
      </c>
      <c r="AQ1" s="4" t="s">
        <v>18</v>
      </c>
      <c r="AR1" s="4"/>
      <c r="AS1" s="12" t="s">
        <v>22</v>
      </c>
    </row>
    <row r="2" spans="1:45" s="3" customFormat="1" x14ac:dyDescent="0.25">
      <c r="D2" s="50">
        <v>0</v>
      </c>
      <c r="E2" s="60">
        <f>(rOTinicial*Tasa_de_ocupación_real)/Tasa_relativa_ocupación_stdt</f>
        <v>0.10416666666666667</v>
      </c>
      <c r="F2" s="51">
        <f>rO_T*OT0*(1-(OT0/K_turismo))</f>
        <v>8.3333333333333339</v>
      </c>
      <c r="G2" s="66" t="s">
        <v>44</v>
      </c>
      <c r="H2" s="74">
        <f>OT_inicial</f>
        <v>100</v>
      </c>
      <c r="I2" s="52" t="s">
        <v>145</v>
      </c>
      <c r="J2" s="62">
        <f>Tur_inicial</f>
        <v>10000</v>
      </c>
      <c r="K2" s="52" t="s">
        <v>246</v>
      </c>
      <c r="L2" s="62">
        <f>E_inicial</f>
        <v>22</v>
      </c>
      <c r="M2" s="52" t="s">
        <v>347</v>
      </c>
      <c r="N2" s="62">
        <f>INT(Población_ballena_inicial)</f>
        <v>1240</v>
      </c>
      <c r="O2" s="51">
        <f>Crecimiento_OT*Tasa_de_ocupación_real*Turista_x_habitación*Índice_satisfacción</f>
        <v>792.88025889967651</v>
      </c>
      <c r="P2" s="63">
        <f>Turistas*Proporcion_retiro</f>
        <v>100</v>
      </c>
      <c r="Q2" s="51">
        <f>Turistas/(OT0*Turista_x_habitación)</f>
        <v>1.6666666666666667</v>
      </c>
      <c r="R2" s="52">
        <f>(Turistas*0.13)*Gasto_medio_turistas_1día</f>
        <v>45500</v>
      </c>
      <c r="S2" s="52">
        <f>(Turistas*0.87)*Gasto_medio_turistas_pernoctan</f>
        <v>200100</v>
      </c>
      <c r="T2" s="52">
        <f>Ingreso_turistas_1día+Ingreso_turistas_que_pernoctan</f>
        <v>245600</v>
      </c>
      <c r="U2" s="70">
        <v>1</v>
      </c>
      <c r="V2" s="56">
        <f>Ideal_para_turistas-Relación_ballenas_embarcaciones</f>
        <v>0.95145631067961167</v>
      </c>
      <c r="W2" s="68">
        <f>IFERROR(IF((Embarcaciones/NOM_131)/((Población_ballenas/Ballenas_en_grupo)/NOM_131)&lt;=1,INT(Embarcaciones/NOM_131)/INT((Población_ballenas/Ballenas_en_grupo)/NOM_131),1),1)</f>
        <v>4.8543689320388349E-2</v>
      </c>
      <c r="X2" s="63">
        <v>3</v>
      </c>
      <c r="Y2" s="63">
        <v>4</v>
      </c>
      <c r="Z2" s="50">
        <v>0</v>
      </c>
      <c r="AA2" s="60">
        <v>22</v>
      </c>
      <c r="AB2" s="60" t="s">
        <v>574</v>
      </c>
      <c r="AC2" s="23">
        <f>IF(Embarcaciones&gt;Banderas_iniciales,((3.14116*(R_afectación*c_)*(R_afectación*c_))/10000)*Embarcaciones*E_embarcación,0)</f>
        <v>0</v>
      </c>
      <c r="AD2" s="59" t="s">
        <v>472</v>
      </c>
      <c r="AE2" s="81">
        <f>ZO_inicial+ZR_inicial</f>
        <v>17500</v>
      </c>
      <c r="AF2" s="60">
        <f>Población_ballenas/Hábitat</f>
        <v>7.0857142857142855E-2</v>
      </c>
      <c r="AG2" s="61">
        <f>r_ballenas*Población_ballena_inicial*(1-(Población_ballena_inicial/K_ballenas))</f>
        <v>18.186666666666667</v>
      </c>
      <c r="AH2" s="52">
        <v>15000</v>
      </c>
      <c r="AI2" s="52">
        <v>2500</v>
      </c>
      <c r="AJ2" s="56">
        <f>((ZO_inicial+ZR_inicial)-Hábitat)*Densidad_ballenas</f>
        <v>0</v>
      </c>
      <c r="AK2" s="80">
        <f>$B$18</f>
        <v>2.5000000000000001E-2</v>
      </c>
      <c r="AL2" s="64"/>
      <c r="AM2" s="86" t="s">
        <v>677</v>
      </c>
      <c r="AN2" s="87">
        <f>$B$25</f>
        <v>3</v>
      </c>
      <c r="AO2" s="64"/>
      <c r="AP2" s="86" t="s">
        <v>786</v>
      </c>
      <c r="AQ2" s="64">
        <f>$B$15</f>
        <v>0.8</v>
      </c>
      <c r="AR2" s="64"/>
      <c r="AS2" s="65">
        <f>SUM(AH2,AI2)</f>
        <v>17500</v>
      </c>
    </row>
    <row r="3" spans="1:45" ht="15.75" thickBot="1" x14ac:dyDescent="0.3">
      <c r="A3" s="38" t="s">
        <v>466</v>
      </c>
      <c r="B3" s="38">
        <v>35</v>
      </c>
      <c r="D3" s="7">
        <v>1</v>
      </c>
      <c r="E3" s="93">
        <f t="shared" ref="E3:E34" si="0">(rOTinicial*Q3)/Tasa_relativa_ocupación_stdt</f>
        <v>0.10281615633557381</v>
      </c>
      <c r="F3" s="94">
        <f t="shared" ref="F3:F34" si="1">E3*H3*(1-(H3/K_turismo))</f>
        <v>8.7250932668105001</v>
      </c>
      <c r="G3" s="67" t="s">
        <v>45</v>
      </c>
      <c r="H3" s="75">
        <f>IF(O2&gt;0,H2+F2,H2)</f>
        <v>108.33333333333333</v>
      </c>
      <c r="I3" s="10" t="s">
        <v>146</v>
      </c>
      <c r="J3" s="15">
        <f>Turistas+(Entrada_T-Salida_T)</f>
        <v>10692.880258899677</v>
      </c>
      <c r="K3" s="10" t="s">
        <v>247</v>
      </c>
      <c r="L3" s="17">
        <f>Banderas_iniciales+Z3</f>
        <v>25</v>
      </c>
      <c r="M3" s="10" t="s">
        <v>348</v>
      </c>
      <c r="N3" s="15">
        <f>INT(IF(Población_ballenas&gt;0,Población_ballenas+(Crecimiento_poblacional-Pérdida_de_ballenas),0))</f>
        <v>1258</v>
      </c>
      <c r="O3" s="46">
        <f>IF(F3&gt;0,F3*Q3*$B$9*V3,0)</f>
        <v>811.51286981131727</v>
      </c>
      <c r="P3" s="47">
        <f>J3*$B$8</f>
        <v>106.92880258899677</v>
      </c>
      <c r="Q3" s="19">
        <f t="shared" ref="Q3:Q66" si="2">J3/(H3*$B$9)</f>
        <v>1.645058501369181</v>
      </c>
      <c r="R3" s="92">
        <f t="shared" ref="R3:R34" si="3">(J3*0.13)*Gasto_medio_turistas_1día</f>
        <v>48652.60517799353</v>
      </c>
      <c r="S3" s="25">
        <f t="shared" ref="S3:S34" si="4">(J3*0.87)*Gasto_medio_turistas_pernoctan</f>
        <v>213964.53398058252</v>
      </c>
      <c r="T3" s="25">
        <f t="shared" ref="T3:T66" si="5">R3+S3</f>
        <v>262617.13915857603</v>
      </c>
      <c r="U3" s="33"/>
      <c r="V3" s="33">
        <f t="shared" ref="V3:V66" si="6">$U$2-W3</f>
        <v>0.94230769230769229</v>
      </c>
      <c r="W3" s="46">
        <f>IFERROR(IF((L3/$Y$2)/((N3/$X$2)/$Y$2)&lt;=1,INT(L3/$Y$2)/INT((N3/$X$2)/$Y$2),1),1)</f>
        <v>5.7692307692307696E-2</v>
      </c>
      <c r="X3" s="19"/>
      <c r="Y3" s="19"/>
      <c r="Z3" s="21">
        <f t="shared" ref="Z3:Z34" si="7">IF(O2&gt;$B$14,Z2+$B$13,Z2)</f>
        <v>3</v>
      </c>
      <c r="AA3" s="22"/>
      <c r="AB3" s="60" t="s">
        <v>575</v>
      </c>
      <c r="AC3" s="95">
        <f t="shared" ref="AC3:AC34" si="8">IF(L3&gt;Banderas_iniciales,((3.14116*(R_afectación*c_)*(R_afectación*c_))/10000)*L3*E_embarcación,0)</f>
        <v>141.35220000000001</v>
      </c>
      <c r="AD3" s="23" t="s">
        <v>473</v>
      </c>
      <c r="AE3" s="2">
        <f>IF(Hábitat-Pérdida_hábitat&gt;0,Hábitat-Pérdida_hábitat,0)</f>
        <v>17500</v>
      </c>
      <c r="AF3" s="24">
        <f>IF(AE3&gt;0,N3/AE3,0)</f>
        <v>7.1885714285714289E-2</v>
      </c>
      <c r="AG3" s="32">
        <f t="shared" ref="AG3:AG34" si="9">r_ballenas*N3*(1-(N3/K_ballenas))</f>
        <v>18.26196666666667</v>
      </c>
      <c r="AH3" s="22"/>
      <c r="AI3" s="22"/>
      <c r="AJ3" s="33">
        <f t="shared" ref="AJ3:AJ34" si="10">((ZO_inicial+ZR_inicial)-AE3)*AF3</f>
        <v>0</v>
      </c>
      <c r="AK3" s="79"/>
      <c r="AM3" s="64" t="s">
        <v>678</v>
      </c>
      <c r="AN3" s="64">
        <f t="shared" ref="AN3:AN66" si="11">$B$25</f>
        <v>3</v>
      </c>
      <c r="AP3" s="96" t="s">
        <v>787</v>
      </c>
      <c r="AQ3" s="64">
        <f t="shared" ref="AQ3:AQ66" si="12">$B$15</f>
        <v>0.8</v>
      </c>
      <c r="AS3" s="120">
        <f>Población_ballenas/AS2</f>
        <v>7.0857142857142855E-2</v>
      </c>
    </row>
    <row r="4" spans="1:45" x14ac:dyDescent="0.25">
      <c r="A4" s="38" t="s">
        <v>467</v>
      </c>
      <c r="B4" s="38">
        <v>23</v>
      </c>
      <c r="D4" s="7">
        <v>2</v>
      </c>
      <c r="E4" s="93">
        <f t="shared" si="0"/>
        <v>0.10142250342726852</v>
      </c>
      <c r="F4" s="94">
        <f t="shared" si="1"/>
        <v>9.0928394204456033</v>
      </c>
      <c r="G4" s="68" t="s">
        <v>46</v>
      </c>
      <c r="H4" s="75">
        <f t="shared" ref="H4:H67" si="13">IF(O3&gt;0,H3+F3,H3)</f>
        <v>117.05842660014383</v>
      </c>
      <c r="I4" s="10" t="s">
        <v>147</v>
      </c>
      <c r="J4" s="15">
        <f t="shared" ref="J4:J67" si="14">J3+(O3-P3)</f>
        <v>11397.464326121997</v>
      </c>
      <c r="K4" s="10" t="s">
        <v>248</v>
      </c>
      <c r="L4" s="17">
        <f t="shared" ref="L4:L34" si="15">$AA$2+Z4</f>
        <v>28</v>
      </c>
      <c r="M4" s="10" t="s">
        <v>349</v>
      </c>
      <c r="N4" s="15">
        <f>INT(IF(N3&gt;0,N3+(AG3-AJ3),0))</f>
        <v>1276</v>
      </c>
      <c r="O4" s="46">
        <f t="shared" ref="O4:O67" si="16">IF(F4&gt;0,F4*Q4*$B$9*V4,0)</f>
        <v>826.86462059855899</v>
      </c>
      <c r="P4" s="47">
        <f t="shared" ref="P4:P67" si="17">J4*$B$8</f>
        <v>113.97464326121997</v>
      </c>
      <c r="Q4" s="19">
        <f t="shared" si="2"/>
        <v>1.6227600548362962</v>
      </c>
      <c r="R4" s="92">
        <f t="shared" si="3"/>
        <v>51858.46268385509</v>
      </c>
      <c r="S4" s="25">
        <f t="shared" si="4"/>
        <v>228063.26116570114</v>
      </c>
      <c r="T4" s="25">
        <f t="shared" si="5"/>
        <v>279921.72384955623</v>
      </c>
      <c r="U4" s="33"/>
      <c r="V4" s="33">
        <f t="shared" si="6"/>
        <v>0.93396226415094341</v>
      </c>
      <c r="W4" s="46">
        <f t="shared" ref="W4:W67" si="18">IFERROR(IF((L4/$Y$2)/((N4/$X$2)/$Y$2)&lt;=1,INT(L4/$Y$2)/INT((N4/$X$2)/$Y$2),1),1)</f>
        <v>6.6037735849056603E-2</v>
      </c>
      <c r="X4" s="19"/>
      <c r="Y4" s="19"/>
      <c r="Z4" s="21">
        <f t="shared" si="7"/>
        <v>6</v>
      </c>
      <c r="AA4" s="22"/>
      <c r="AB4" s="60" t="s">
        <v>576</v>
      </c>
      <c r="AC4" s="95">
        <f t="shared" si="8"/>
        <v>158.31446400000002</v>
      </c>
      <c r="AD4" s="23" t="s">
        <v>474</v>
      </c>
      <c r="AE4" s="2">
        <f>IF(AE3-AC3&gt;=0,AE3-AC3,0)</f>
        <v>17358.647799999999</v>
      </c>
      <c r="AF4" s="24">
        <f t="shared" ref="AF4:AF67" si="19">IF(AE4&gt;0,N4/AE4,0)</f>
        <v>7.3508029813243864E-2</v>
      </c>
      <c r="AG4" s="32">
        <f t="shared" si="9"/>
        <v>18.331866666666667</v>
      </c>
      <c r="AH4" s="22"/>
      <c r="AI4" s="22"/>
      <c r="AJ4" s="33">
        <f t="shared" si="10"/>
        <v>10.390521731767695</v>
      </c>
      <c r="AK4" s="79"/>
      <c r="AM4" s="64" t="s">
        <v>679</v>
      </c>
      <c r="AN4" s="64">
        <f t="shared" si="11"/>
        <v>3</v>
      </c>
      <c r="AP4" s="96" t="s">
        <v>788</v>
      </c>
      <c r="AQ4" s="64">
        <f t="shared" si="12"/>
        <v>0.8</v>
      </c>
    </row>
    <row r="5" spans="1:45" x14ac:dyDescent="0.25">
      <c r="A5" s="39" t="s">
        <v>449</v>
      </c>
      <c r="B5" s="40">
        <v>0.05</v>
      </c>
      <c r="D5" s="7">
        <v>3</v>
      </c>
      <c r="E5" s="93">
        <f t="shared" si="0"/>
        <v>9.9998619097313654E-2</v>
      </c>
      <c r="F5" s="94">
        <f t="shared" si="1"/>
        <v>9.4321679674799572</v>
      </c>
      <c r="G5" s="68" t="s">
        <v>47</v>
      </c>
      <c r="H5" s="75">
        <f t="shared" si="13"/>
        <v>126.15126602058943</v>
      </c>
      <c r="I5" s="10" t="s">
        <v>148</v>
      </c>
      <c r="J5" s="15">
        <f t="shared" si="14"/>
        <v>12110.354303459337</v>
      </c>
      <c r="K5" s="10" t="s">
        <v>249</v>
      </c>
      <c r="L5" s="17">
        <f t="shared" si="15"/>
        <v>31</v>
      </c>
      <c r="M5" s="10" t="s">
        <v>350</v>
      </c>
      <c r="N5" s="15">
        <f t="shared" ref="N5:N68" si="20">INT(IF(N4&gt;0,N4+(AG4-AJ4),0))</f>
        <v>1283</v>
      </c>
      <c r="O5" s="46">
        <f t="shared" si="16"/>
        <v>845.68006109297414</v>
      </c>
      <c r="P5" s="47">
        <f t="shared" si="17"/>
        <v>121.10354303459337</v>
      </c>
      <c r="Q5" s="19">
        <f t="shared" si="2"/>
        <v>1.5999779055570185</v>
      </c>
      <c r="R5" s="92">
        <f t="shared" si="3"/>
        <v>55102.112080739978</v>
      </c>
      <c r="S5" s="25">
        <f t="shared" si="4"/>
        <v>242328.18961222132</v>
      </c>
      <c r="T5" s="25">
        <f t="shared" si="5"/>
        <v>297430.30169296131</v>
      </c>
      <c r="U5" s="33"/>
      <c r="V5" s="33">
        <f t="shared" si="6"/>
        <v>0.93396226415094341</v>
      </c>
      <c r="W5" s="46">
        <f t="shared" si="18"/>
        <v>6.6037735849056603E-2</v>
      </c>
      <c r="X5" s="19"/>
      <c r="Y5" s="19"/>
      <c r="Z5" s="21">
        <f t="shared" si="7"/>
        <v>9</v>
      </c>
      <c r="AA5" s="22"/>
      <c r="AB5" s="60" t="s">
        <v>577</v>
      </c>
      <c r="AC5" s="95">
        <f t="shared" si="8"/>
        <v>175.27672800000002</v>
      </c>
      <c r="AD5" s="23" t="s">
        <v>475</v>
      </c>
      <c r="AE5" s="2">
        <f t="shared" ref="AE5:AE68" si="21">IF(AE4-AC4&gt;=0,AE4-AC4,0)</f>
        <v>17200.333336</v>
      </c>
      <c r="AF5" s="24">
        <f t="shared" si="19"/>
        <v>7.4591577671038689E-2</v>
      </c>
      <c r="AG5" s="32">
        <f t="shared" si="9"/>
        <v>18.357591666666668</v>
      </c>
      <c r="AH5" s="22"/>
      <c r="AI5" s="22"/>
      <c r="AJ5" s="33">
        <f t="shared" si="10"/>
        <v>22.352609243177078</v>
      </c>
      <c r="AK5" s="79"/>
      <c r="AM5" s="64" t="s">
        <v>680</v>
      </c>
      <c r="AN5" s="64">
        <f t="shared" si="11"/>
        <v>3</v>
      </c>
      <c r="AP5" s="96" t="s">
        <v>789</v>
      </c>
      <c r="AQ5" s="64">
        <f t="shared" si="12"/>
        <v>0.8</v>
      </c>
    </row>
    <row r="6" spans="1:45" x14ac:dyDescent="0.25">
      <c r="A6" s="39" t="s">
        <v>448</v>
      </c>
      <c r="B6" s="41">
        <v>500</v>
      </c>
      <c r="D6" s="7">
        <v>4</v>
      </c>
      <c r="E6" s="104">
        <f t="shared" si="0"/>
        <v>9.8608799117184814E-2</v>
      </c>
      <c r="F6" s="105">
        <f t="shared" si="1"/>
        <v>9.7442946145378642</v>
      </c>
      <c r="G6" s="69" t="s">
        <v>48</v>
      </c>
      <c r="H6" s="75">
        <f t="shared" si="13"/>
        <v>135.5834339880694</v>
      </c>
      <c r="I6" s="31" t="s">
        <v>149</v>
      </c>
      <c r="J6" s="15">
        <f t="shared" si="14"/>
        <v>12834.930821517717</v>
      </c>
      <c r="K6" s="31" t="s">
        <v>250</v>
      </c>
      <c r="L6" s="17">
        <f t="shared" si="15"/>
        <v>34</v>
      </c>
      <c r="M6" s="31" t="s">
        <v>351</v>
      </c>
      <c r="N6" s="15">
        <f t="shared" si="20"/>
        <v>1279</v>
      </c>
      <c r="O6" s="46">
        <f t="shared" si="16"/>
        <v>852.82028049505573</v>
      </c>
      <c r="P6" s="47">
        <f t="shared" si="17"/>
        <v>128.34930821517716</v>
      </c>
      <c r="Q6" s="19">
        <f t="shared" si="2"/>
        <v>1.5777407858749568</v>
      </c>
      <c r="R6" s="106">
        <f t="shared" si="3"/>
        <v>58398.935237905614</v>
      </c>
      <c r="S6" s="25">
        <f t="shared" si="4"/>
        <v>256826.96573856953</v>
      </c>
      <c r="T6" s="25">
        <f t="shared" si="5"/>
        <v>315225.90097647515</v>
      </c>
      <c r="U6" s="33"/>
      <c r="V6" s="33">
        <f t="shared" si="6"/>
        <v>0.92452830188679247</v>
      </c>
      <c r="W6" s="46">
        <f t="shared" si="18"/>
        <v>7.5471698113207544E-2</v>
      </c>
      <c r="X6" s="19"/>
      <c r="Y6" s="19"/>
      <c r="Z6" s="21">
        <f t="shared" si="7"/>
        <v>12</v>
      </c>
      <c r="AA6" s="22"/>
      <c r="AB6" s="107" t="s">
        <v>578</v>
      </c>
      <c r="AC6" s="95">
        <f t="shared" si="8"/>
        <v>192.23899200000002</v>
      </c>
      <c r="AD6" s="23" t="s">
        <v>476</v>
      </c>
      <c r="AE6" s="2">
        <f t="shared" si="21"/>
        <v>17025.056607999999</v>
      </c>
      <c r="AF6" s="24">
        <f t="shared" si="19"/>
        <v>7.5124566657769787E-2</v>
      </c>
      <c r="AG6" s="32">
        <f t="shared" si="9"/>
        <v>18.342991666666666</v>
      </c>
      <c r="AH6" s="22"/>
      <c r="AI6" s="22"/>
      <c r="AJ6" s="33">
        <f t="shared" si="10"/>
        <v>35.679916510971367</v>
      </c>
      <c r="AK6" s="79"/>
      <c r="AM6" s="64" t="s">
        <v>681</v>
      </c>
      <c r="AN6" s="64">
        <f t="shared" si="11"/>
        <v>3</v>
      </c>
      <c r="AP6" s="96" t="s">
        <v>790</v>
      </c>
      <c r="AQ6" s="64">
        <f t="shared" si="12"/>
        <v>0.8</v>
      </c>
    </row>
    <row r="7" spans="1:45" x14ac:dyDescent="0.25">
      <c r="A7" s="42"/>
      <c r="B7" s="43"/>
      <c r="D7" s="9">
        <v>5</v>
      </c>
      <c r="E7" s="93">
        <f t="shared" si="0"/>
        <v>9.7189827463427109E-2</v>
      </c>
      <c r="F7" s="94">
        <f t="shared" si="1"/>
        <v>10.019049652075156</v>
      </c>
      <c r="G7" s="68" t="s">
        <v>49</v>
      </c>
      <c r="H7" s="76">
        <f t="shared" si="13"/>
        <v>145.32772860260727</v>
      </c>
      <c r="I7" s="10" t="s">
        <v>150</v>
      </c>
      <c r="J7" s="73">
        <f t="shared" si="14"/>
        <v>13559.401793797595</v>
      </c>
      <c r="K7" s="10" t="s">
        <v>251</v>
      </c>
      <c r="L7" s="16">
        <f t="shared" si="15"/>
        <v>37</v>
      </c>
      <c r="M7" s="10" t="s">
        <v>352</v>
      </c>
      <c r="N7" s="108">
        <f t="shared" si="20"/>
        <v>1261</v>
      </c>
      <c r="O7" s="109">
        <f t="shared" si="16"/>
        <v>854.67402857269587</v>
      </c>
      <c r="P7" s="48">
        <f t="shared" si="17"/>
        <v>135.59401793797596</v>
      </c>
      <c r="Q7" s="18">
        <f t="shared" si="2"/>
        <v>1.5550372394148337</v>
      </c>
      <c r="R7" s="92">
        <f t="shared" si="3"/>
        <v>61695.278161779053</v>
      </c>
      <c r="S7" s="10">
        <f t="shared" si="4"/>
        <v>271323.62989388988</v>
      </c>
      <c r="T7" s="10">
        <f t="shared" si="5"/>
        <v>333018.90805566893</v>
      </c>
      <c r="U7" s="20"/>
      <c r="V7" s="20">
        <f t="shared" si="6"/>
        <v>0.91428571428571426</v>
      </c>
      <c r="W7" s="109">
        <f t="shared" si="18"/>
        <v>8.5714285714285715E-2</v>
      </c>
      <c r="X7" s="18"/>
      <c r="Y7" s="18"/>
      <c r="Z7" s="49">
        <f t="shared" si="7"/>
        <v>15</v>
      </c>
      <c r="AA7" s="11"/>
      <c r="AB7" s="60" t="s">
        <v>579</v>
      </c>
      <c r="AC7" s="110">
        <f t="shared" si="8"/>
        <v>209.20125600000003</v>
      </c>
      <c r="AD7" s="111" t="s">
        <v>477</v>
      </c>
      <c r="AE7" s="112">
        <f t="shared" si="21"/>
        <v>16832.817616</v>
      </c>
      <c r="AF7" s="113">
        <f t="shared" si="19"/>
        <v>7.4913186179917324E-2</v>
      </c>
      <c r="AG7" s="114">
        <f t="shared" si="9"/>
        <v>18.273991666666667</v>
      </c>
      <c r="AH7" s="11"/>
      <c r="AI7" s="11"/>
      <c r="AJ7" s="20">
        <f t="shared" si="10"/>
        <v>49.980758148553072</v>
      </c>
      <c r="AK7" s="102"/>
      <c r="AL7" s="11"/>
      <c r="AM7" s="83" t="s">
        <v>682</v>
      </c>
      <c r="AN7" s="87">
        <f t="shared" si="11"/>
        <v>3</v>
      </c>
      <c r="AP7" s="86" t="s">
        <v>791</v>
      </c>
      <c r="AQ7" s="64">
        <f t="shared" si="12"/>
        <v>0.8</v>
      </c>
    </row>
    <row r="8" spans="1:45" x14ac:dyDescent="0.25">
      <c r="A8" s="42" t="s">
        <v>43</v>
      </c>
      <c r="B8" s="43">
        <v>0.01</v>
      </c>
      <c r="D8" s="7">
        <v>6</v>
      </c>
      <c r="E8" s="97">
        <f t="shared" si="0"/>
        <v>9.5743334450744233E-2</v>
      </c>
      <c r="F8" s="98">
        <f t="shared" si="1"/>
        <v>10.252343240686443</v>
      </c>
      <c r="G8" s="67" t="s">
        <v>50</v>
      </c>
      <c r="H8" s="75">
        <f t="shared" si="13"/>
        <v>155.34677825468242</v>
      </c>
      <c r="I8" s="26" t="s">
        <v>151</v>
      </c>
      <c r="J8" s="15">
        <f t="shared" si="14"/>
        <v>14278.481804432315</v>
      </c>
      <c r="K8" s="26" t="s">
        <v>252</v>
      </c>
      <c r="L8" s="17">
        <f t="shared" si="15"/>
        <v>40</v>
      </c>
      <c r="M8" s="26" t="s">
        <v>353</v>
      </c>
      <c r="N8" s="15">
        <f t="shared" si="20"/>
        <v>1229</v>
      </c>
      <c r="O8" s="46">
        <f t="shared" si="16"/>
        <v>849.94451348058305</v>
      </c>
      <c r="P8" s="47">
        <f t="shared" si="17"/>
        <v>142.78481804432315</v>
      </c>
      <c r="Q8" s="19">
        <f t="shared" si="2"/>
        <v>1.5318933512119077</v>
      </c>
      <c r="R8" s="99">
        <f t="shared" si="3"/>
        <v>64967.092210167037</v>
      </c>
      <c r="S8" s="25">
        <f t="shared" si="4"/>
        <v>285712.42090669065</v>
      </c>
      <c r="T8" s="25">
        <f t="shared" si="5"/>
        <v>350679.51311685768</v>
      </c>
      <c r="U8" s="33"/>
      <c r="V8" s="33">
        <f t="shared" si="6"/>
        <v>0.90196078431372551</v>
      </c>
      <c r="W8" s="46">
        <f t="shared" si="18"/>
        <v>9.8039215686274508E-2</v>
      </c>
      <c r="X8" s="19"/>
      <c r="Y8" s="19"/>
      <c r="Z8" s="21">
        <f t="shared" si="7"/>
        <v>18</v>
      </c>
      <c r="AA8" s="22"/>
      <c r="AB8" s="100" t="s">
        <v>580</v>
      </c>
      <c r="AC8" s="95">
        <f t="shared" si="8"/>
        <v>226.16352000000003</v>
      </c>
      <c r="AD8" s="23" t="s">
        <v>478</v>
      </c>
      <c r="AE8" s="2">
        <f t="shared" si="21"/>
        <v>16623.61636</v>
      </c>
      <c r="AF8" s="24">
        <f t="shared" si="19"/>
        <v>7.3930965043035923E-2</v>
      </c>
      <c r="AG8" s="32">
        <f t="shared" si="9"/>
        <v>18.137991666666668</v>
      </c>
      <c r="AH8" s="22"/>
      <c r="AI8" s="22"/>
      <c r="AJ8" s="33">
        <f t="shared" si="10"/>
        <v>64.791888253128576</v>
      </c>
      <c r="AK8" s="101"/>
      <c r="AM8" s="64" t="s">
        <v>683</v>
      </c>
      <c r="AN8" s="64">
        <f t="shared" si="11"/>
        <v>3</v>
      </c>
      <c r="AP8" s="96" t="s">
        <v>792</v>
      </c>
      <c r="AQ8" s="64">
        <f t="shared" si="12"/>
        <v>0.8</v>
      </c>
    </row>
    <row r="9" spans="1:45" x14ac:dyDescent="0.25">
      <c r="A9" s="83" t="s">
        <v>451</v>
      </c>
      <c r="B9" s="38">
        <v>60</v>
      </c>
      <c r="D9" s="7">
        <v>7</v>
      </c>
      <c r="E9" s="93">
        <f t="shared" si="0"/>
        <v>9.426404613786743E-2</v>
      </c>
      <c r="F9" s="94">
        <f t="shared" si="1"/>
        <v>10.440024338565644</v>
      </c>
      <c r="G9" s="68" t="s">
        <v>51</v>
      </c>
      <c r="H9" s="75">
        <f t="shared" si="13"/>
        <v>165.59912149536888</v>
      </c>
      <c r="I9" s="10" t="s">
        <v>152</v>
      </c>
      <c r="J9" s="15">
        <f t="shared" si="14"/>
        <v>14985.641499868574</v>
      </c>
      <c r="K9" s="10" t="s">
        <v>253</v>
      </c>
      <c r="L9" s="17">
        <f t="shared" si="15"/>
        <v>43</v>
      </c>
      <c r="M9" s="10" t="s">
        <v>354</v>
      </c>
      <c r="N9" s="15">
        <f t="shared" si="20"/>
        <v>1182</v>
      </c>
      <c r="O9" s="46">
        <f t="shared" si="16"/>
        <v>848.35069089236504</v>
      </c>
      <c r="P9" s="47">
        <f t="shared" si="17"/>
        <v>149.85641499868575</v>
      </c>
      <c r="Q9" s="19">
        <f t="shared" si="2"/>
        <v>1.5082247382058787</v>
      </c>
      <c r="R9" s="92">
        <f t="shared" si="3"/>
        <v>68184.668824402019</v>
      </c>
      <c r="S9" s="25">
        <f t="shared" si="4"/>
        <v>299862.68641237018</v>
      </c>
      <c r="T9" s="25">
        <f t="shared" si="5"/>
        <v>368047.35523677221</v>
      </c>
      <c r="U9" s="33"/>
      <c r="V9" s="33">
        <f t="shared" si="6"/>
        <v>0.89795918367346939</v>
      </c>
      <c r="W9" s="46">
        <f t="shared" si="18"/>
        <v>0.10204081632653061</v>
      </c>
      <c r="X9" s="19"/>
      <c r="Y9" s="19"/>
      <c r="Z9" s="21">
        <f t="shared" si="7"/>
        <v>21</v>
      </c>
      <c r="AA9" s="22"/>
      <c r="AB9" s="60" t="s">
        <v>581</v>
      </c>
      <c r="AC9" s="95">
        <f t="shared" si="8"/>
        <v>243.12578400000004</v>
      </c>
      <c r="AD9" s="23" t="s">
        <v>479</v>
      </c>
      <c r="AE9" s="2">
        <f t="shared" si="21"/>
        <v>16397.452840000002</v>
      </c>
      <c r="AF9" s="24">
        <f t="shared" si="19"/>
        <v>7.2084366488716176E-2</v>
      </c>
      <c r="AG9" s="32">
        <f t="shared" si="9"/>
        <v>17.907299999999999</v>
      </c>
      <c r="AH9" s="22"/>
      <c r="AI9" s="22"/>
      <c r="AJ9" s="33">
        <f t="shared" si="10"/>
        <v>79.47641355253306</v>
      </c>
      <c r="AK9" s="79"/>
      <c r="AM9" s="64" t="s">
        <v>684</v>
      </c>
      <c r="AN9" s="64">
        <f t="shared" si="11"/>
        <v>3</v>
      </c>
      <c r="AP9" s="96" t="s">
        <v>793</v>
      </c>
      <c r="AQ9" s="64">
        <f t="shared" si="12"/>
        <v>0.8</v>
      </c>
    </row>
    <row r="10" spans="1:45" ht="18.75" customHeight="1" x14ac:dyDescent="0.25">
      <c r="A10" s="88" t="s">
        <v>2</v>
      </c>
      <c r="B10" s="43">
        <v>0.8</v>
      </c>
      <c r="D10" s="7">
        <v>8</v>
      </c>
      <c r="E10" s="93">
        <f t="shared" si="0"/>
        <v>9.2806866084761033E-2</v>
      </c>
      <c r="F10" s="94">
        <f t="shared" si="1"/>
        <v>10.585512547442677</v>
      </c>
      <c r="G10" s="68" t="s">
        <v>52</v>
      </c>
      <c r="H10" s="75">
        <f t="shared" si="13"/>
        <v>176.03914583393453</v>
      </c>
      <c r="I10" s="10" t="s">
        <v>153</v>
      </c>
      <c r="J10" s="15">
        <f t="shared" si="14"/>
        <v>15684.135775762254</v>
      </c>
      <c r="K10" s="10" t="s">
        <v>254</v>
      </c>
      <c r="L10" s="17">
        <f t="shared" si="15"/>
        <v>46</v>
      </c>
      <c r="M10" s="10" t="s">
        <v>355</v>
      </c>
      <c r="N10" s="15">
        <f t="shared" si="20"/>
        <v>1120</v>
      </c>
      <c r="O10" s="46">
        <f t="shared" si="16"/>
        <v>831.56104387286462</v>
      </c>
      <c r="P10" s="47">
        <f t="shared" si="17"/>
        <v>156.84135775762255</v>
      </c>
      <c r="Q10" s="19">
        <f t="shared" si="2"/>
        <v>1.4849098573561765</v>
      </c>
      <c r="R10" s="92">
        <f t="shared" si="3"/>
        <v>71362.817779718258</v>
      </c>
      <c r="S10" s="25">
        <f t="shared" si="4"/>
        <v>313839.55687300267</v>
      </c>
      <c r="T10" s="25">
        <f t="shared" si="5"/>
        <v>385202.37465272093</v>
      </c>
      <c r="U10" s="33"/>
      <c r="V10" s="33">
        <f t="shared" si="6"/>
        <v>0.88172043010752688</v>
      </c>
      <c r="W10" s="46">
        <f t="shared" si="18"/>
        <v>0.11827956989247312</v>
      </c>
      <c r="X10" s="19"/>
      <c r="Y10" s="19"/>
      <c r="Z10" s="21">
        <f t="shared" si="7"/>
        <v>24</v>
      </c>
      <c r="AA10" s="22"/>
      <c r="AB10" s="60" t="s">
        <v>582</v>
      </c>
      <c r="AC10" s="95">
        <f t="shared" si="8"/>
        <v>260.08804800000001</v>
      </c>
      <c r="AD10" s="23" t="s">
        <v>480</v>
      </c>
      <c r="AE10" s="2">
        <f t="shared" si="21"/>
        <v>16154.327056000002</v>
      </c>
      <c r="AF10" s="24">
        <f t="shared" si="19"/>
        <v>6.9331269332201143E-2</v>
      </c>
      <c r="AG10" s="32">
        <f t="shared" si="9"/>
        <v>17.546666666666667</v>
      </c>
      <c r="AH10" s="22"/>
      <c r="AI10" s="22"/>
      <c r="AJ10" s="33">
        <f t="shared" si="10"/>
        <v>93.29721331351989</v>
      </c>
      <c r="AK10" s="79"/>
      <c r="AM10" s="64" t="s">
        <v>685</v>
      </c>
      <c r="AN10" s="64">
        <f t="shared" si="11"/>
        <v>3</v>
      </c>
      <c r="AP10" s="96" t="s">
        <v>794</v>
      </c>
      <c r="AQ10" s="64">
        <f t="shared" si="12"/>
        <v>0.8</v>
      </c>
    </row>
    <row r="11" spans="1:45" x14ac:dyDescent="0.25">
      <c r="D11" s="7">
        <v>9</v>
      </c>
      <c r="E11" s="104">
        <f t="shared" si="0"/>
        <v>9.1308804459444087E-2</v>
      </c>
      <c r="F11" s="105">
        <f t="shared" si="1"/>
        <v>10.680128997615695</v>
      </c>
      <c r="G11" s="69" t="s">
        <v>53</v>
      </c>
      <c r="H11" s="75">
        <f t="shared" si="13"/>
        <v>186.6246583813772</v>
      </c>
      <c r="I11" s="31" t="s">
        <v>154</v>
      </c>
      <c r="J11" s="15">
        <f t="shared" si="14"/>
        <v>16358.855461877496</v>
      </c>
      <c r="K11" s="31" t="s">
        <v>255</v>
      </c>
      <c r="L11" s="119">
        <f t="shared" si="15"/>
        <v>49</v>
      </c>
      <c r="M11" s="31" t="s">
        <v>356</v>
      </c>
      <c r="N11" s="15">
        <f t="shared" si="20"/>
        <v>1044</v>
      </c>
      <c r="O11" s="46">
        <f t="shared" si="16"/>
        <v>807.05363606476965</v>
      </c>
      <c r="P11" s="47">
        <f t="shared" si="17"/>
        <v>163.58855461877496</v>
      </c>
      <c r="Q11" s="19">
        <f t="shared" si="2"/>
        <v>1.4609408713511054</v>
      </c>
      <c r="R11" s="106">
        <f t="shared" si="3"/>
        <v>74432.792351542608</v>
      </c>
      <c r="S11" s="25">
        <f t="shared" si="4"/>
        <v>327340.69779216871</v>
      </c>
      <c r="T11" s="25">
        <f t="shared" si="5"/>
        <v>401773.49014371133</v>
      </c>
      <c r="U11" s="33"/>
      <c r="V11" s="33">
        <f t="shared" si="6"/>
        <v>0.86206896551724133</v>
      </c>
      <c r="W11" s="46">
        <f t="shared" si="18"/>
        <v>0.13793103448275862</v>
      </c>
      <c r="X11" s="19"/>
      <c r="Y11" s="19"/>
      <c r="Z11" s="21">
        <f t="shared" si="7"/>
        <v>27</v>
      </c>
      <c r="AA11" s="22"/>
      <c r="AB11" s="107" t="s">
        <v>583</v>
      </c>
      <c r="AC11" s="95">
        <f t="shared" si="8"/>
        <v>277.05031200000002</v>
      </c>
      <c r="AD11" s="23" t="s">
        <v>481</v>
      </c>
      <c r="AE11" s="2">
        <f t="shared" si="21"/>
        <v>15894.239008000002</v>
      </c>
      <c r="AF11" s="24">
        <f t="shared" si="19"/>
        <v>6.5684176478944756E-2</v>
      </c>
      <c r="AG11" s="32">
        <f t="shared" si="9"/>
        <v>17.017200000000003</v>
      </c>
      <c r="AH11" s="22"/>
      <c r="AI11" s="22"/>
      <c r="AJ11" s="33">
        <f t="shared" si="10"/>
        <v>105.47308838153324</v>
      </c>
      <c r="AK11" s="79"/>
      <c r="AM11" s="64" t="s">
        <v>686</v>
      </c>
      <c r="AN11" s="64">
        <f t="shared" si="11"/>
        <v>3</v>
      </c>
      <c r="AP11" s="96" t="s">
        <v>795</v>
      </c>
      <c r="AQ11" s="64">
        <f t="shared" si="12"/>
        <v>0.8</v>
      </c>
    </row>
    <row r="12" spans="1:45" x14ac:dyDescent="0.25">
      <c r="A12" s="42" t="s">
        <v>16</v>
      </c>
      <c r="B12" s="44">
        <f>AA2+Z2</f>
        <v>22</v>
      </c>
      <c r="D12" s="9">
        <v>10</v>
      </c>
      <c r="E12" s="93">
        <f t="shared" si="0"/>
        <v>8.976341021032741E-2</v>
      </c>
      <c r="F12" s="94">
        <f t="shared" si="1"/>
        <v>10.72191881648296</v>
      </c>
      <c r="G12" s="68" t="s">
        <v>54</v>
      </c>
      <c r="H12" s="76">
        <f t="shared" si="13"/>
        <v>197.3047873789929</v>
      </c>
      <c r="I12" s="10" t="s">
        <v>155</v>
      </c>
      <c r="J12" s="73">
        <f t="shared" si="14"/>
        <v>17002.320543323491</v>
      </c>
      <c r="K12" s="10" t="s">
        <v>256</v>
      </c>
      <c r="L12" s="16">
        <f t="shared" si="15"/>
        <v>52</v>
      </c>
      <c r="M12" s="10" t="s">
        <v>357</v>
      </c>
      <c r="N12" s="108">
        <f t="shared" si="20"/>
        <v>955</v>
      </c>
      <c r="O12" s="109">
        <f t="shared" si="16"/>
        <v>771.89803503483972</v>
      </c>
      <c r="P12" s="48">
        <f t="shared" si="17"/>
        <v>170.02320543323492</v>
      </c>
      <c r="Q12" s="18">
        <f t="shared" si="2"/>
        <v>1.4362145633652386</v>
      </c>
      <c r="R12" s="92">
        <f t="shared" si="3"/>
        <v>77360.558472121891</v>
      </c>
      <c r="S12" s="10">
        <f t="shared" si="4"/>
        <v>340216.43407190306</v>
      </c>
      <c r="T12" s="10">
        <f t="shared" si="5"/>
        <v>417576.99254402495</v>
      </c>
      <c r="U12" s="20"/>
      <c r="V12" s="20">
        <f t="shared" si="6"/>
        <v>0.83544303797468356</v>
      </c>
      <c r="W12" s="109">
        <f t="shared" si="18"/>
        <v>0.16455696202531644</v>
      </c>
      <c r="X12" s="18"/>
      <c r="Y12" s="18"/>
      <c r="Z12" s="49">
        <f t="shared" si="7"/>
        <v>30</v>
      </c>
      <c r="AA12" s="11"/>
      <c r="AB12" s="60" t="s">
        <v>584</v>
      </c>
      <c r="AC12" s="110">
        <f t="shared" si="8"/>
        <v>294.01257600000002</v>
      </c>
      <c r="AD12" s="111" t="s">
        <v>482</v>
      </c>
      <c r="AE12" s="112">
        <f t="shared" si="21"/>
        <v>15617.188696000003</v>
      </c>
      <c r="AF12" s="113">
        <f t="shared" si="19"/>
        <v>6.1150570604593009E-2</v>
      </c>
      <c r="AG12" s="114">
        <f t="shared" si="9"/>
        <v>16.274791666666665</v>
      </c>
      <c r="AH12" s="11"/>
      <c r="AI12" s="11"/>
      <c r="AJ12" s="20">
        <f t="shared" si="10"/>
        <v>115.13498558037766</v>
      </c>
      <c r="AK12" s="102"/>
      <c r="AL12" s="11"/>
      <c r="AM12" s="83" t="s">
        <v>687</v>
      </c>
      <c r="AN12" s="87">
        <f t="shared" si="11"/>
        <v>3</v>
      </c>
      <c r="AP12" s="86" t="s">
        <v>796</v>
      </c>
      <c r="AQ12" s="64">
        <f t="shared" si="12"/>
        <v>0.8</v>
      </c>
    </row>
    <row r="13" spans="1:45" x14ac:dyDescent="0.25">
      <c r="A13" s="42" t="s">
        <v>17</v>
      </c>
      <c r="B13" s="43">
        <v>3</v>
      </c>
      <c r="D13" s="7">
        <v>11</v>
      </c>
      <c r="E13" s="97">
        <f t="shared" si="0"/>
        <v>8.8150717995949548E-2</v>
      </c>
      <c r="F13" s="98">
        <f t="shared" si="1"/>
        <v>10.708239391273551</v>
      </c>
      <c r="G13" s="67" t="s">
        <v>55</v>
      </c>
      <c r="H13" s="75">
        <f t="shared" si="13"/>
        <v>208.02670619547587</v>
      </c>
      <c r="I13" s="26" t="s">
        <v>156</v>
      </c>
      <c r="J13" s="15">
        <f t="shared" si="14"/>
        <v>17604.195372925096</v>
      </c>
      <c r="K13" s="26" t="s">
        <v>257</v>
      </c>
      <c r="L13" s="17">
        <f t="shared" si="15"/>
        <v>55</v>
      </c>
      <c r="M13" s="26" t="s">
        <v>358</v>
      </c>
      <c r="N13" s="15">
        <f t="shared" si="20"/>
        <v>856</v>
      </c>
      <c r="O13" s="46">
        <f t="shared" si="16"/>
        <v>740.26088744342337</v>
      </c>
      <c r="P13" s="47">
        <f t="shared" si="17"/>
        <v>176.04195372925096</v>
      </c>
      <c r="Q13" s="19">
        <f t="shared" si="2"/>
        <v>1.4104114879351928</v>
      </c>
      <c r="R13" s="99">
        <f t="shared" si="3"/>
        <v>80099.088946809192</v>
      </c>
      <c r="S13" s="25">
        <f t="shared" si="4"/>
        <v>352259.94941223116</v>
      </c>
      <c r="T13" s="25">
        <f t="shared" si="5"/>
        <v>432359.03835904034</v>
      </c>
      <c r="U13" s="33"/>
      <c r="V13" s="33">
        <f t="shared" si="6"/>
        <v>0.81690140845070425</v>
      </c>
      <c r="W13" s="46">
        <f t="shared" si="18"/>
        <v>0.18309859154929578</v>
      </c>
      <c r="X13" s="19"/>
      <c r="Y13" s="19"/>
      <c r="Z13" s="21">
        <f t="shared" si="7"/>
        <v>33</v>
      </c>
      <c r="AA13" s="22"/>
      <c r="AB13" s="100" t="s">
        <v>585</v>
      </c>
      <c r="AC13" s="95">
        <f t="shared" si="8"/>
        <v>310.97484000000003</v>
      </c>
      <c r="AD13" s="23" t="s">
        <v>483</v>
      </c>
      <c r="AE13" s="2">
        <f t="shared" si="21"/>
        <v>15323.176120000004</v>
      </c>
      <c r="AF13" s="24">
        <f t="shared" si="19"/>
        <v>5.5863092174652872E-2</v>
      </c>
      <c r="AG13" s="32">
        <f t="shared" si="9"/>
        <v>15.293866666666668</v>
      </c>
      <c r="AH13" s="22"/>
      <c r="AI13" s="22"/>
      <c r="AJ13" s="33">
        <f t="shared" si="10"/>
        <v>121.60411305642529</v>
      </c>
      <c r="AK13" s="101"/>
      <c r="AM13" s="64" t="s">
        <v>688</v>
      </c>
      <c r="AN13" s="64">
        <f t="shared" si="11"/>
        <v>3</v>
      </c>
      <c r="AP13" s="96" t="s">
        <v>797</v>
      </c>
      <c r="AQ13" s="64">
        <f t="shared" si="12"/>
        <v>0.8</v>
      </c>
    </row>
    <row r="14" spans="1:45" x14ac:dyDescent="0.25">
      <c r="A14" s="83" t="s">
        <v>15</v>
      </c>
      <c r="B14" s="85">
        <v>200</v>
      </c>
      <c r="D14" s="7">
        <v>12</v>
      </c>
      <c r="E14" s="93">
        <f t="shared" si="0"/>
        <v>8.6522213076877338E-2</v>
      </c>
      <c r="F14" s="94">
        <f t="shared" si="1"/>
        <v>10.646125080332027</v>
      </c>
      <c r="G14" s="68" t="s">
        <v>56</v>
      </c>
      <c r="H14" s="75">
        <f t="shared" si="13"/>
        <v>218.7349455867494</v>
      </c>
      <c r="I14" s="10" t="s">
        <v>157</v>
      </c>
      <c r="J14" s="15">
        <f t="shared" si="14"/>
        <v>18168.414306639268</v>
      </c>
      <c r="K14" s="10" t="s">
        <v>258</v>
      </c>
      <c r="L14" s="17">
        <f t="shared" si="15"/>
        <v>58</v>
      </c>
      <c r="M14" s="10" t="s">
        <v>359</v>
      </c>
      <c r="N14" s="15">
        <f t="shared" si="20"/>
        <v>749</v>
      </c>
      <c r="O14" s="46">
        <f t="shared" si="16"/>
        <v>684.60483912606389</v>
      </c>
      <c r="P14" s="47">
        <f t="shared" si="17"/>
        <v>181.68414306639269</v>
      </c>
      <c r="Q14" s="19">
        <f t="shared" si="2"/>
        <v>1.3843554092300374</v>
      </c>
      <c r="R14" s="92">
        <f t="shared" si="3"/>
        <v>82666.285095208674</v>
      </c>
      <c r="S14" s="25">
        <f t="shared" si="4"/>
        <v>363549.97027585178</v>
      </c>
      <c r="T14" s="25">
        <f t="shared" si="5"/>
        <v>446216.25537106046</v>
      </c>
      <c r="U14" s="33"/>
      <c r="V14" s="33">
        <f t="shared" si="6"/>
        <v>0.77419354838709675</v>
      </c>
      <c r="W14" s="46">
        <f t="shared" si="18"/>
        <v>0.22580645161290322</v>
      </c>
      <c r="X14" s="19"/>
      <c r="Y14" s="19"/>
      <c r="Z14" s="21">
        <f t="shared" si="7"/>
        <v>36</v>
      </c>
      <c r="AA14" s="22"/>
      <c r="AB14" s="60" t="s">
        <v>586</v>
      </c>
      <c r="AC14" s="95">
        <f t="shared" si="8"/>
        <v>327.93710400000003</v>
      </c>
      <c r="AD14" s="23" t="s">
        <v>484</v>
      </c>
      <c r="AE14" s="2">
        <f t="shared" si="21"/>
        <v>15012.201280000003</v>
      </c>
      <c r="AF14" s="24">
        <f t="shared" si="19"/>
        <v>4.9892749639445275E-2</v>
      </c>
      <c r="AG14" s="32">
        <f t="shared" si="9"/>
        <v>14.049991666666667</v>
      </c>
      <c r="AH14" s="22"/>
      <c r="AI14" s="22"/>
      <c r="AJ14" s="33">
        <f t="shared" si="10"/>
        <v>124.12311869029227</v>
      </c>
      <c r="AK14" s="79"/>
      <c r="AM14" s="64" t="s">
        <v>689</v>
      </c>
      <c r="AN14" s="64">
        <f t="shared" si="11"/>
        <v>3</v>
      </c>
      <c r="AP14" s="96" t="s">
        <v>798</v>
      </c>
      <c r="AQ14" s="64">
        <f t="shared" si="12"/>
        <v>0.8</v>
      </c>
    </row>
    <row r="15" spans="1:45" x14ac:dyDescent="0.25">
      <c r="A15" s="83" t="s">
        <v>18</v>
      </c>
      <c r="B15" s="43">
        <v>0.8</v>
      </c>
      <c r="D15" s="7">
        <v>13</v>
      </c>
      <c r="E15" s="93">
        <f t="shared" si="0"/>
        <v>8.4790376284825844E-2</v>
      </c>
      <c r="F15" s="94">
        <f t="shared" si="1"/>
        <v>10.526701432597152</v>
      </c>
      <c r="G15" s="68" t="s">
        <v>57</v>
      </c>
      <c r="H15" s="75">
        <f t="shared" si="13"/>
        <v>229.38107066708142</v>
      </c>
      <c r="I15" s="10" t="s">
        <v>158</v>
      </c>
      <c r="J15" s="15">
        <f t="shared" si="14"/>
        <v>18671.335002698939</v>
      </c>
      <c r="K15" s="10" t="s">
        <v>259</v>
      </c>
      <c r="L15" s="17">
        <f t="shared" si="15"/>
        <v>61</v>
      </c>
      <c r="M15" s="10" t="s">
        <v>360</v>
      </c>
      <c r="N15" s="116">
        <f t="shared" si="20"/>
        <v>638</v>
      </c>
      <c r="O15" s="46">
        <f t="shared" si="16"/>
        <v>614.35278012319259</v>
      </c>
      <c r="P15" s="47">
        <f t="shared" si="17"/>
        <v>186.71335002698939</v>
      </c>
      <c r="Q15" s="19">
        <f t="shared" si="2"/>
        <v>1.3566460205572135</v>
      </c>
      <c r="R15" s="92">
        <f t="shared" si="3"/>
        <v>84954.574262280177</v>
      </c>
      <c r="S15" s="25">
        <f t="shared" si="4"/>
        <v>373613.41340400575</v>
      </c>
      <c r="T15" s="25">
        <f t="shared" si="5"/>
        <v>458567.98766628595</v>
      </c>
      <c r="U15" s="33"/>
      <c r="V15" s="33">
        <f t="shared" si="6"/>
        <v>0.71698113207547176</v>
      </c>
      <c r="W15" s="46">
        <f t="shared" si="18"/>
        <v>0.28301886792452829</v>
      </c>
      <c r="X15" s="19"/>
      <c r="Y15" s="19"/>
      <c r="Z15" s="21">
        <f t="shared" si="7"/>
        <v>39</v>
      </c>
      <c r="AA15" s="22"/>
      <c r="AB15" s="60" t="s">
        <v>587</v>
      </c>
      <c r="AC15" s="95">
        <f t="shared" si="8"/>
        <v>344.89936800000004</v>
      </c>
      <c r="AD15" s="23" t="s">
        <v>485</v>
      </c>
      <c r="AE15" s="2">
        <f t="shared" si="21"/>
        <v>14684.264176000002</v>
      </c>
      <c r="AF15" s="24">
        <f t="shared" si="19"/>
        <v>4.3447869934317089E-2</v>
      </c>
      <c r="AG15" s="32">
        <f t="shared" si="9"/>
        <v>12.557966666666667</v>
      </c>
      <c r="AH15" s="22"/>
      <c r="AI15" s="22"/>
      <c r="AJ15" s="33">
        <f t="shared" si="10"/>
        <v>122.33772385054905</v>
      </c>
      <c r="AK15" s="79"/>
      <c r="AM15" s="64" t="s">
        <v>690</v>
      </c>
      <c r="AN15" s="64">
        <f t="shared" si="11"/>
        <v>3</v>
      </c>
      <c r="AP15" s="96" t="s">
        <v>799</v>
      </c>
      <c r="AQ15" s="64">
        <f t="shared" si="12"/>
        <v>0.8</v>
      </c>
    </row>
    <row r="16" spans="1:45" x14ac:dyDescent="0.25">
      <c r="A16" s="83" t="s">
        <v>21</v>
      </c>
      <c r="B16" s="43">
        <v>50</v>
      </c>
      <c r="D16" s="7">
        <v>14</v>
      </c>
      <c r="E16" s="104">
        <f t="shared" si="0"/>
        <v>8.2926721631575939E-2</v>
      </c>
      <c r="F16" s="105">
        <f t="shared" si="1"/>
        <v>10.348947522577012</v>
      </c>
      <c r="G16" s="69" t="s">
        <v>58</v>
      </c>
      <c r="H16" s="75">
        <f t="shared" si="13"/>
        <v>239.90777209967857</v>
      </c>
      <c r="I16" s="31" t="s">
        <v>159</v>
      </c>
      <c r="J16" s="15">
        <f t="shared" si="14"/>
        <v>19098.974432795141</v>
      </c>
      <c r="K16" s="31" t="s">
        <v>260</v>
      </c>
      <c r="L16" s="17">
        <f t="shared" si="15"/>
        <v>64</v>
      </c>
      <c r="M16" s="31" t="s">
        <v>361</v>
      </c>
      <c r="N16" s="15">
        <f t="shared" si="20"/>
        <v>528</v>
      </c>
      <c r="O16" s="46">
        <f t="shared" si="16"/>
        <v>524.28480285309547</v>
      </c>
      <c r="P16" s="47">
        <f t="shared" si="17"/>
        <v>190.98974432795143</v>
      </c>
      <c r="Q16" s="19">
        <f t="shared" si="2"/>
        <v>1.326827546105215</v>
      </c>
      <c r="R16" s="106">
        <f t="shared" si="3"/>
        <v>86900.3336692179</v>
      </c>
      <c r="S16" s="25">
        <f t="shared" si="4"/>
        <v>382170.47840023076</v>
      </c>
      <c r="T16" s="25">
        <f t="shared" si="5"/>
        <v>469070.81206944864</v>
      </c>
      <c r="U16" s="33"/>
      <c r="V16" s="33">
        <f t="shared" si="6"/>
        <v>0.63636363636363635</v>
      </c>
      <c r="W16" s="46">
        <f t="shared" si="18"/>
        <v>0.36363636363636365</v>
      </c>
      <c r="X16" s="19"/>
      <c r="Y16" s="19"/>
      <c r="Z16" s="21">
        <f t="shared" si="7"/>
        <v>42</v>
      </c>
      <c r="AA16" s="22"/>
      <c r="AB16" s="107" t="s">
        <v>588</v>
      </c>
      <c r="AC16" s="95">
        <f t="shared" si="8"/>
        <v>361.86163200000004</v>
      </c>
      <c r="AD16" s="23" t="s">
        <v>486</v>
      </c>
      <c r="AE16" s="2">
        <f t="shared" si="21"/>
        <v>14339.364808000002</v>
      </c>
      <c r="AF16" s="24">
        <f t="shared" si="19"/>
        <v>3.6821714704226384E-2</v>
      </c>
      <c r="AG16" s="32">
        <f t="shared" si="9"/>
        <v>10.876800000000001</v>
      </c>
      <c r="AH16" s="22"/>
      <c r="AI16" s="22"/>
      <c r="AJ16" s="33">
        <f t="shared" si="10"/>
        <v>116.38000732396171</v>
      </c>
      <c r="AK16" s="79"/>
      <c r="AM16" s="64" t="s">
        <v>691</v>
      </c>
      <c r="AN16" s="64">
        <f t="shared" si="11"/>
        <v>3</v>
      </c>
      <c r="AP16" s="96" t="s">
        <v>800</v>
      </c>
      <c r="AQ16" s="64">
        <f t="shared" si="12"/>
        <v>0.8</v>
      </c>
    </row>
    <row r="17" spans="1:43" x14ac:dyDescent="0.25">
      <c r="D17" s="9">
        <v>15</v>
      </c>
      <c r="E17" s="93">
        <f t="shared" si="0"/>
        <v>8.0884730757063053E-2</v>
      </c>
      <c r="F17" s="94">
        <f t="shared" si="1"/>
        <v>10.11058068322227</v>
      </c>
      <c r="G17" s="68" t="s">
        <v>59</v>
      </c>
      <c r="H17" s="76">
        <f t="shared" si="13"/>
        <v>250.25671962225559</v>
      </c>
      <c r="I17" s="10" t="s">
        <v>160</v>
      </c>
      <c r="J17" s="73">
        <f t="shared" si="14"/>
        <v>19432.269491320287</v>
      </c>
      <c r="K17" s="10" t="s">
        <v>261</v>
      </c>
      <c r="L17" s="16">
        <f t="shared" si="15"/>
        <v>67</v>
      </c>
      <c r="M17" s="10" t="s">
        <v>362</v>
      </c>
      <c r="N17" s="108">
        <f t="shared" si="20"/>
        <v>422</v>
      </c>
      <c r="O17" s="109">
        <f t="shared" si="16"/>
        <v>426.18624907446662</v>
      </c>
      <c r="P17" s="48">
        <f t="shared" si="17"/>
        <v>194.32269491320287</v>
      </c>
      <c r="Q17" s="18">
        <f t="shared" si="2"/>
        <v>1.2941556921130091</v>
      </c>
      <c r="R17" s="92">
        <f t="shared" si="3"/>
        <v>88416.826185507307</v>
      </c>
      <c r="S17" s="10">
        <f t="shared" si="4"/>
        <v>388839.71252131893</v>
      </c>
      <c r="T17" s="10">
        <f t="shared" si="5"/>
        <v>477256.53870682622</v>
      </c>
      <c r="U17" s="20"/>
      <c r="V17" s="20">
        <f t="shared" si="6"/>
        <v>0.54285714285714293</v>
      </c>
      <c r="W17" s="109">
        <f t="shared" si="18"/>
        <v>0.45714285714285713</v>
      </c>
      <c r="X17" s="18"/>
      <c r="Y17" s="18"/>
      <c r="Z17" s="49">
        <f t="shared" si="7"/>
        <v>45</v>
      </c>
      <c r="AA17" s="11"/>
      <c r="AB17" s="60" t="s">
        <v>589</v>
      </c>
      <c r="AC17" s="110">
        <f t="shared" si="8"/>
        <v>378.82389600000005</v>
      </c>
      <c r="AD17" s="111" t="s">
        <v>487</v>
      </c>
      <c r="AE17" s="112">
        <f t="shared" si="21"/>
        <v>13977.503176000002</v>
      </c>
      <c r="AF17" s="113">
        <f t="shared" si="19"/>
        <v>3.0191372141813774E-2</v>
      </c>
      <c r="AG17" s="114">
        <f t="shared" si="9"/>
        <v>9.0659666666666663</v>
      </c>
      <c r="AH17" s="11"/>
      <c r="AI17" s="11"/>
      <c r="AJ17" s="20">
        <f t="shared" si="10"/>
        <v>106.34901248174104</v>
      </c>
      <c r="AK17" s="102"/>
      <c r="AL17" s="11"/>
      <c r="AM17" s="86" t="s">
        <v>692</v>
      </c>
      <c r="AN17" s="87">
        <f t="shared" si="11"/>
        <v>3</v>
      </c>
      <c r="AP17" s="86" t="s">
        <v>801</v>
      </c>
      <c r="AQ17" s="64">
        <f t="shared" si="12"/>
        <v>0.8</v>
      </c>
    </row>
    <row r="18" spans="1:43" x14ac:dyDescent="0.25">
      <c r="A18" s="89" t="s">
        <v>460</v>
      </c>
      <c r="B18" s="71">
        <v>2.5000000000000001E-2</v>
      </c>
      <c r="D18" s="7">
        <v>16</v>
      </c>
      <c r="E18" s="97">
        <f t="shared" si="0"/>
        <v>7.8671445678256166E-2</v>
      </c>
      <c r="F18" s="98">
        <f t="shared" si="1"/>
        <v>9.8170193517521014</v>
      </c>
      <c r="G18" s="67" t="s">
        <v>60</v>
      </c>
      <c r="H18" s="75">
        <f t="shared" si="13"/>
        <v>260.36730030547784</v>
      </c>
      <c r="I18" s="26" t="s">
        <v>161</v>
      </c>
      <c r="J18" s="15">
        <f t="shared" si="14"/>
        <v>19664.133045481551</v>
      </c>
      <c r="K18" s="26" t="s">
        <v>262</v>
      </c>
      <c r="L18" s="17">
        <f t="shared" si="15"/>
        <v>70</v>
      </c>
      <c r="M18" s="26" t="s">
        <v>363</v>
      </c>
      <c r="N18" s="15">
        <f t="shared" si="20"/>
        <v>324</v>
      </c>
      <c r="O18" s="46">
        <f t="shared" si="16"/>
        <v>274.60234832133517</v>
      </c>
      <c r="P18" s="47">
        <f t="shared" si="17"/>
        <v>196.64133045481552</v>
      </c>
      <c r="Q18" s="19">
        <f t="shared" si="2"/>
        <v>1.2587431308520989</v>
      </c>
      <c r="R18" s="99">
        <f t="shared" si="3"/>
        <v>89471.805356941069</v>
      </c>
      <c r="S18" s="25">
        <f t="shared" si="4"/>
        <v>393479.30224008579</v>
      </c>
      <c r="T18" s="25">
        <f t="shared" si="5"/>
        <v>482951.10759702686</v>
      </c>
      <c r="U18" s="33"/>
      <c r="V18" s="33">
        <f t="shared" si="6"/>
        <v>0.37037037037037035</v>
      </c>
      <c r="W18" s="46">
        <f t="shared" si="18"/>
        <v>0.62962962962962965</v>
      </c>
      <c r="X18" s="19"/>
      <c r="Y18" s="19"/>
      <c r="Z18" s="21">
        <f t="shared" si="7"/>
        <v>48</v>
      </c>
      <c r="AA18" s="22"/>
      <c r="AB18" s="100" t="s">
        <v>590</v>
      </c>
      <c r="AC18" s="95">
        <f t="shared" si="8"/>
        <v>395.78616000000005</v>
      </c>
      <c r="AD18" s="23" t="s">
        <v>488</v>
      </c>
      <c r="AE18" s="2">
        <f t="shared" si="21"/>
        <v>13598.679280000002</v>
      </c>
      <c r="AF18" s="24">
        <f t="shared" si="19"/>
        <v>2.3825843181441656E-2</v>
      </c>
      <c r="AG18" s="32">
        <f t="shared" si="9"/>
        <v>7.2252000000000001</v>
      </c>
      <c r="AH18" s="22"/>
      <c r="AI18" s="22"/>
      <c r="AJ18" s="33">
        <f t="shared" si="10"/>
        <v>92.952255675228997</v>
      </c>
      <c r="AK18" s="101"/>
      <c r="AM18" s="64" t="s">
        <v>693</v>
      </c>
      <c r="AN18" s="64">
        <f t="shared" si="11"/>
        <v>3</v>
      </c>
      <c r="AP18" s="96" t="s">
        <v>802</v>
      </c>
      <c r="AQ18" s="64">
        <f t="shared" si="12"/>
        <v>0.8</v>
      </c>
    </row>
    <row r="19" spans="1:43" x14ac:dyDescent="0.25">
      <c r="A19" s="89" t="s">
        <v>459</v>
      </c>
      <c r="B19" s="91">
        <v>3000</v>
      </c>
      <c r="D19" s="7">
        <v>17</v>
      </c>
      <c r="E19" s="93">
        <f t="shared" si="0"/>
        <v>7.6113526284859956E-2</v>
      </c>
      <c r="F19" s="94">
        <f t="shared" si="1"/>
        <v>9.4521724553318727</v>
      </c>
      <c r="G19" s="68" t="s">
        <v>61</v>
      </c>
      <c r="H19" s="75">
        <f t="shared" si="13"/>
        <v>270.18431965722993</v>
      </c>
      <c r="I19" s="10" t="s">
        <v>162</v>
      </c>
      <c r="J19" s="15">
        <f t="shared" si="14"/>
        <v>19742.094063348071</v>
      </c>
      <c r="K19" s="10" t="s">
        <v>263</v>
      </c>
      <c r="L19" s="17">
        <f t="shared" si="15"/>
        <v>73</v>
      </c>
      <c r="M19" s="10" t="s">
        <v>364</v>
      </c>
      <c r="N19" s="15">
        <f t="shared" si="20"/>
        <v>238</v>
      </c>
      <c r="O19" s="46">
        <f t="shared" si="16"/>
        <v>36.350560503306063</v>
      </c>
      <c r="P19" s="47">
        <f t="shared" si="17"/>
        <v>197.42094063348071</v>
      </c>
      <c r="Q19" s="19">
        <f t="shared" si="2"/>
        <v>1.2178164205577593</v>
      </c>
      <c r="R19" s="92">
        <f t="shared" si="3"/>
        <v>89826.527988233735</v>
      </c>
      <c r="S19" s="25">
        <f t="shared" si="4"/>
        <v>395039.30220759491</v>
      </c>
      <c r="T19" s="25">
        <f t="shared" si="5"/>
        <v>484865.83019582863</v>
      </c>
      <c r="U19" s="33"/>
      <c r="V19" s="33">
        <f t="shared" si="6"/>
        <v>5.2631578947368474E-2</v>
      </c>
      <c r="W19" s="46">
        <f t="shared" si="18"/>
        <v>0.94736842105263153</v>
      </c>
      <c r="X19" s="19"/>
      <c r="Y19" s="19"/>
      <c r="Z19" s="21">
        <f t="shared" si="7"/>
        <v>51</v>
      </c>
      <c r="AA19" s="22"/>
      <c r="AB19" s="60" t="s">
        <v>591</v>
      </c>
      <c r="AC19" s="95">
        <f t="shared" si="8"/>
        <v>412.748424</v>
      </c>
      <c r="AD19" s="23" t="s">
        <v>489</v>
      </c>
      <c r="AE19" s="2">
        <f t="shared" si="21"/>
        <v>13202.893120000002</v>
      </c>
      <c r="AF19" s="24">
        <f t="shared" si="19"/>
        <v>1.8026352090927171E-2</v>
      </c>
      <c r="AG19" s="32">
        <f t="shared" si="9"/>
        <v>5.4779666666666662</v>
      </c>
      <c r="AH19" s="22"/>
      <c r="AI19" s="22"/>
      <c r="AJ19" s="33">
        <f t="shared" si="10"/>
        <v>77.46116159122549</v>
      </c>
      <c r="AK19" s="79"/>
      <c r="AM19" s="64" t="s">
        <v>694</v>
      </c>
      <c r="AN19" s="64">
        <f t="shared" si="11"/>
        <v>3</v>
      </c>
      <c r="AP19" s="96" t="s">
        <v>803</v>
      </c>
      <c r="AQ19" s="64">
        <f t="shared" si="12"/>
        <v>0.8</v>
      </c>
    </row>
    <row r="20" spans="1:43" x14ac:dyDescent="0.25">
      <c r="A20" s="45" t="s">
        <v>461</v>
      </c>
      <c r="B20" s="82">
        <v>1240</v>
      </c>
      <c r="D20" s="7">
        <v>18</v>
      </c>
      <c r="E20" s="93">
        <f t="shared" si="0"/>
        <v>7.2940765047961958E-2</v>
      </c>
      <c r="F20" s="94">
        <f t="shared" si="1"/>
        <v>8.9894647226268773</v>
      </c>
      <c r="G20" s="68" t="s">
        <v>62</v>
      </c>
      <c r="H20" s="75">
        <f t="shared" si="13"/>
        <v>279.63649211256183</v>
      </c>
      <c r="I20" s="10" t="s">
        <v>163</v>
      </c>
      <c r="J20" s="15">
        <f t="shared" si="14"/>
        <v>19581.023683217896</v>
      </c>
      <c r="K20" s="10" t="s">
        <v>264</v>
      </c>
      <c r="L20" s="17">
        <f t="shared" si="15"/>
        <v>73</v>
      </c>
      <c r="M20" s="10" t="s">
        <v>365</v>
      </c>
      <c r="N20" s="15">
        <f t="shared" si="20"/>
        <v>166</v>
      </c>
      <c r="O20" s="46">
        <f t="shared" si="16"/>
        <v>0</v>
      </c>
      <c r="P20" s="47">
        <f t="shared" si="17"/>
        <v>195.81023683217896</v>
      </c>
      <c r="Q20" s="19">
        <f t="shared" si="2"/>
        <v>1.1670522407673913</v>
      </c>
      <c r="R20" s="92">
        <f t="shared" si="3"/>
        <v>89093.657758641421</v>
      </c>
      <c r="S20" s="25">
        <f t="shared" si="4"/>
        <v>391816.28390119009</v>
      </c>
      <c r="T20" s="25">
        <f t="shared" si="5"/>
        <v>480909.9416598315</v>
      </c>
      <c r="U20" s="33"/>
      <c r="V20" s="33">
        <f t="shared" si="6"/>
        <v>0</v>
      </c>
      <c r="W20" s="46">
        <f t="shared" si="18"/>
        <v>1</v>
      </c>
      <c r="X20" s="19"/>
      <c r="Y20" s="19"/>
      <c r="Z20" s="21">
        <f t="shared" si="7"/>
        <v>51</v>
      </c>
      <c r="AA20" s="22"/>
      <c r="AB20" s="60" t="s">
        <v>592</v>
      </c>
      <c r="AC20" s="95">
        <f t="shared" si="8"/>
        <v>412.748424</v>
      </c>
      <c r="AD20" s="23" t="s">
        <v>490</v>
      </c>
      <c r="AE20" s="2">
        <f t="shared" si="21"/>
        <v>12790.144696000003</v>
      </c>
      <c r="AF20" s="24">
        <f t="shared" si="19"/>
        <v>1.2978742926334127E-2</v>
      </c>
      <c r="AG20" s="32">
        <f t="shared" si="9"/>
        <v>3.9203666666666668</v>
      </c>
      <c r="AH20" s="22"/>
      <c r="AI20" s="22"/>
      <c r="AJ20" s="33">
        <f t="shared" si="10"/>
        <v>61.128001210847231</v>
      </c>
      <c r="AK20" s="79"/>
      <c r="AM20" s="64" t="s">
        <v>695</v>
      </c>
      <c r="AN20" s="64">
        <f t="shared" si="11"/>
        <v>3</v>
      </c>
      <c r="AP20" s="96" t="s">
        <v>804</v>
      </c>
      <c r="AQ20" s="64">
        <f t="shared" si="12"/>
        <v>0.8</v>
      </c>
    </row>
    <row r="21" spans="1:43" x14ac:dyDescent="0.25">
      <c r="D21" s="7">
        <v>19</v>
      </c>
      <c r="E21" s="104">
        <f t="shared" si="0"/>
        <v>7.2211357397482343E-2</v>
      </c>
      <c r="F21" s="105">
        <f t="shared" si="1"/>
        <v>8.8995700754006073</v>
      </c>
      <c r="G21" s="69" t="s">
        <v>63</v>
      </c>
      <c r="H21" s="75">
        <f t="shared" si="13"/>
        <v>279.63649211256183</v>
      </c>
      <c r="I21" s="31" t="s">
        <v>164</v>
      </c>
      <c r="J21" s="15">
        <f t="shared" si="14"/>
        <v>19385.213446385718</v>
      </c>
      <c r="K21" s="31" t="s">
        <v>265</v>
      </c>
      <c r="L21" s="17">
        <f t="shared" si="15"/>
        <v>73</v>
      </c>
      <c r="M21" s="31" t="s">
        <v>366</v>
      </c>
      <c r="N21" s="15">
        <f t="shared" si="20"/>
        <v>108</v>
      </c>
      <c r="O21" s="46">
        <f t="shared" si="16"/>
        <v>0</v>
      </c>
      <c r="P21" s="47">
        <f t="shared" si="17"/>
        <v>193.8521344638572</v>
      </c>
      <c r="Q21" s="19">
        <f t="shared" si="2"/>
        <v>1.1553817183597175</v>
      </c>
      <c r="R21" s="106">
        <f t="shared" si="3"/>
        <v>88202.721181055022</v>
      </c>
      <c r="S21" s="25">
        <f t="shared" si="4"/>
        <v>387898.12106217822</v>
      </c>
      <c r="T21" s="25">
        <f t="shared" si="5"/>
        <v>476100.84224323323</v>
      </c>
      <c r="U21" s="33"/>
      <c r="V21" s="33">
        <f t="shared" si="6"/>
        <v>0</v>
      </c>
      <c r="W21" s="46">
        <f t="shared" si="18"/>
        <v>1</v>
      </c>
      <c r="X21" s="19"/>
      <c r="Y21" s="19"/>
      <c r="Z21" s="21">
        <f t="shared" si="7"/>
        <v>51</v>
      </c>
      <c r="AA21" s="22"/>
      <c r="AB21" s="107" t="s">
        <v>593</v>
      </c>
      <c r="AC21" s="95">
        <f t="shared" si="8"/>
        <v>412.748424</v>
      </c>
      <c r="AD21" s="23" t="s">
        <v>491</v>
      </c>
      <c r="AE21" s="2">
        <f t="shared" si="21"/>
        <v>12377.396272000004</v>
      </c>
      <c r="AF21" s="24">
        <f t="shared" si="19"/>
        <v>8.7255831215743082E-3</v>
      </c>
      <c r="AG21" s="32">
        <f t="shared" si="9"/>
        <v>2.6028000000000002</v>
      </c>
      <c r="AH21" s="22"/>
      <c r="AI21" s="22"/>
      <c r="AJ21" s="33">
        <f t="shared" si="10"/>
        <v>44.697704627550394</v>
      </c>
      <c r="AK21" s="79"/>
      <c r="AM21" s="64" t="s">
        <v>696</v>
      </c>
      <c r="AN21" s="64">
        <f t="shared" si="11"/>
        <v>3</v>
      </c>
      <c r="AP21" s="96" t="s">
        <v>805</v>
      </c>
      <c r="AQ21" s="64">
        <f t="shared" si="12"/>
        <v>0.8</v>
      </c>
    </row>
    <row r="22" spans="1:43" ht="18" customHeight="1" x14ac:dyDescent="0.25">
      <c r="A22" s="96"/>
      <c r="B22" s="121"/>
      <c r="D22" s="9">
        <v>20</v>
      </c>
      <c r="E22" s="93">
        <f t="shared" si="0"/>
        <v>7.148924382350752E-2</v>
      </c>
      <c r="F22" s="94">
        <f t="shared" si="1"/>
        <v>8.8105743746466008</v>
      </c>
      <c r="G22" s="68" t="s">
        <v>64</v>
      </c>
      <c r="H22" s="76">
        <f t="shared" si="13"/>
        <v>279.63649211256183</v>
      </c>
      <c r="I22" s="10" t="s">
        <v>165</v>
      </c>
      <c r="J22" s="73">
        <f t="shared" si="14"/>
        <v>19191.361311921861</v>
      </c>
      <c r="K22" s="10" t="s">
        <v>266</v>
      </c>
      <c r="L22" s="16">
        <f t="shared" si="15"/>
        <v>73</v>
      </c>
      <c r="M22" s="10" t="s">
        <v>367</v>
      </c>
      <c r="N22" s="108">
        <f t="shared" si="20"/>
        <v>65</v>
      </c>
      <c r="O22" s="109">
        <f t="shared" si="16"/>
        <v>0</v>
      </c>
      <c r="P22" s="48">
        <f t="shared" si="17"/>
        <v>191.91361311921861</v>
      </c>
      <c r="Q22" s="18">
        <f t="shared" si="2"/>
        <v>1.1438279011761203</v>
      </c>
      <c r="R22" s="92">
        <f t="shared" si="3"/>
        <v>87320.693969244472</v>
      </c>
      <c r="S22" s="10">
        <f t="shared" si="4"/>
        <v>384019.13985155645</v>
      </c>
      <c r="T22" s="10">
        <f t="shared" si="5"/>
        <v>471339.83382080094</v>
      </c>
      <c r="U22" s="20"/>
      <c r="V22" s="20">
        <f t="shared" si="6"/>
        <v>0</v>
      </c>
      <c r="W22" s="109">
        <f t="shared" si="18"/>
        <v>1</v>
      </c>
      <c r="X22" s="18"/>
      <c r="Y22" s="18"/>
      <c r="Z22" s="49">
        <f t="shared" si="7"/>
        <v>51</v>
      </c>
      <c r="AA22" s="11"/>
      <c r="AB22" s="60" t="s">
        <v>594</v>
      </c>
      <c r="AC22" s="110">
        <f t="shared" si="8"/>
        <v>412.748424</v>
      </c>
      <c r="AD22" s="111" t="s">
        <v>492</v>
      </c>
      <c r="AE22" s="112">
        <f t="shared" si="21"/>
        <v>11964.647848000004</v>
      </c>
      <c r="AF22" s="113">
        <f t="shared" si="19"/>
        <v>5.4326713853818376E-3</v>
      </c>
      <c r="AG22" s="114">
        <f t="shared" si="9"/>
        <v>1.5897916666666665</v>
      </c>
      <c r="AH22" s="11"/>
      <c r="AI22" s="11"/>
      <c r="AJ22" s="20">
        <f t="shared" si="10"/>
        <v>30.071749244182154</v>
      </c>
      <c r="AK22" s="102"/>
      <c r="AL22" s="11"/>
      <c r="AM22" s="83" t="s">
        <v>697</v>
      </c>
      <c r="AN22" s="87">
        <f t="shared" si="11"/>
        <v>3</v>
      </c>
      <c r="AP22" s="86" t="s">
        <v>806</v>
      </c>
      <c r="AQ22" s="64">
        <f t="shared" si="12"/>
        <v>0.8</v>
      </c>
    </row>
    <row r="23" spans="1:43" s="3" customFormat="1" x14ac:dyDescent="0.25">
      <c r="A23" s="90" t="s">
        <v>19</v>
      </c>
      <c r="B23" s="72">
        <v>10000</v>
      </c>
      <c r="D23" s="7">
        <v>21</v>
      </c>
      <c r="E23" s="97">
        <f t="shared" si="0"/>
        <v>7.0774351385272452E-2</v>
      </c>
      <c r="F23" s="98">
        <f t="shared" si="1"/>
        <v>8.7224686309001367</v>
      </c>
      <c r="G23" s="67" t="s">
        <v>65</v>
      </c>
      <c r="H23" s="75">
        <f t="shared" si="13"/>
        <v>279.63649211256183</v>
      </c>
      <c r="I23" s="26" t="s">
        <v>166</v>
      </c>
      <c r="J23" s="15">
        <f t="shared" si="14"/>
        <v>18999.447698802644</v>
      </c>
      <c r="K23" s="26" t="s">
        <v>267</v>
      </c>
      <c r="L23" s="17">
        <f t="shared" si="15"/>
        <v>73</v>
      </c>
      <c r="M23" s="26" t="s">
        <v>368</v>
      </c>
      <c r="N23" s="15">
        <f t="shared" si="20"/>
        <v>36</v>
      </c>
      <c r="O23" s="46">
        <f t="shared" si="16"/>
        <v>0</v>
      </c>
      <c r="P23" s="47">
        <f t="shared" si="17"/>
        <v>189.99447698802643</v>
      </c>
      <c r="Q23" s="19">
        <f t="shared" si="2"/>
        <v>1.1323896221643592</v>
      </c>
      <c r="R23" s="99">
        <f t="shared" si="3"/>
        <v>86447.487029552038</v>
      </c>
      <c r="S23" s="25">
        <f t="shared" si="4"/>
        <v>380178.94845304091</v>
      </c>
      <c r="T23" s="25">
        <f t="shared" si="5"/>
        <v>466626.43548259296</v>
      </c>
      <c r="U23" s="33"/>
      <c r="V23" s="33">
        <f t="shared" si="6"/>
        <v>0</v>
      </c>
      <c r="W23" s="46">
        <f t="shared" si="18"/>
        <v>1</v>
      </c>
      <c r="X23" s="19"/>
      <c r="Y23" s="19"/>
      <c r="Z23" s="21">
        <f t="shared" si="7"/>
        <v>51</v>
      </c>
      <c r="AA23" s="23"/>
      <c r="AB23" s="100" t="s">
        <v>595</v>
      </c>
      <c r="AC23" s="95">
        <f t="shared" si="8"/>
        <v>412.748424</v>
      </c>
      <c r="AD23" s="23" t="s">
        <v>493</v>
      </c>
      <c r="AE23" s="2">
        <f t="shared" si="21"/>
        <v>11551.899424000005</v>
      </c>
      <c r="AF23" s="24">
        <f t="shared" si="19"/>
        <v>3.1163706225841173E-3</v>
      </c>
      <c r="AG23" s="32">
        <f t="shared" si="9"/>
        <v>0.88919999999999999</v>
      </c>
      <c r="AH23" s="23"/>
      <c r="AI23" s="23"/>
      <c r="AJ23" s="33">
        <f t="shared" si="10"/>
        <v>18.536485895222054</v>
      </c>
      <c r="AK23" s="101"/>
      <c r="AM23" s="64" t="s">
        <v>698</v>
      </c>
      <c r="AN23" s="64">
        <f t="shared" si="11"/>
        <v>3</v>
      </c>
      <c r="AP23" s="96" t="s">
        <v>807</v>
      </c>
      <c r="AQ23" s="64">
        <f t="shared" si="12"/>
        <v>0.8</v>
      </c>
    </row>
    <row r="24" spans="1:43" x14ac:dyDescent="0.25">
      <c r="A24" s="42" t="s">
        <v>20</v>
      </c>
      <c r="B24" s="44">
        <v>100</v>
      </c>
      <c r="D24" s="7">
        <v>22</v>
      </c>
      <c r="E24" s="93">
        <f t="shared" si="0"/>
        <v>7.0066607871419717E-2</v>
      </c>
      <c r="F24" s="94">
        <f t="shared" si="1"/>
        <v>8.6352439445911333</v>
      </c>
      <c r="G24" s="68" t="s">
        <v>66</v>
      </c>
      <c r="H24" s="75">
        <f t="shared" si="13"/>
        <v>279.63649211256183</v>
      </c>
      <c r="I24" s="10" t="s">
        <v>167</v>
      </c>
      <c r="J24" s="15">
        <f t="shared" si="14"/>
        <v>18809.453221814616</v>
      </c>
      <c r="K24" s="10" t="s">
        <v>268</v>
      </c>
      <c r="L24" s="17">
        <f t="shared" si="15"/>
        <v>73</v>
      </c>
      <c r="M24" s="10" t="s">
        <v>369</v>
      </c>
      <c r="N24" s="15">
        <f t="shared" si="20"/>
        <v>18</v>
      </c>
      <c r="O24" s="46">
        <f t="shared" si="16"/>
        <v>0</v>
      </c>
      <c r="P24" s="47">
        <f t="shared" si="17"/>
        <v>188.09453221814616</v>
      </c>
      <c r="Q24" s="19">
        <f t="shared" si="2"/>
        <v>1.1210657259427155</v>
      </c>
      <c r="R24" s="92">
        <f t="shared" si="3"/>
        <v>85583.012159256497</v>
      </c>
      <c r="S24" s="25">
        <f t="shared" si="4"/>
        <v>376377.15896851046</v>
      </c>
      <c r="T24" s="25">
        <f t="shared" si="5"/>
        <v>461960.17112776695</v>
      </c>
      <c r="U24" s="33"/>
      <c r="V24" s="33">
        <f t="shared" si="6"/>
        <v>0</v>
      </c>
      <c r="W24" s="46">
        <f t="shared" si="18"/>
        <v>1</v>
      </c>
      <c r="X24" s="19"/>
      <c r="Y24" s="19"/>
      <c r="Z24" s="21">
        <f t="shared" si="7"/>
        <v>51</v>
      </c>
      <c r="AA24" s="22"/>
      <c r="AB24" s="60" t="s">
        <v>596</v>
      </c>
      <c r="AC24" s="95">
        <f t="shared" si="8"/>
        <v>412.748424</v>
      </c>
      <c r="AD24" s="23" t="s">
        <v>494</v>
      </c>
      <c r="AE24" s="2">
        <f t="shared" si="21"/>
        <v>11139.151000000005</v>
      </c>
      <c r="AF24" s="24">
        <f t="shared" si="19"/>
        <v>1.6159220752102195E-3</v>
      </c>
      <c r="AG24" s="32">
        <f t="shared" si="9"/>
        <v>0.44730000000000003</v>
      </c>
      <c r="AH24" s="22"/>
      <c r="AI24" s="22"/>
      <c r="AJ24" s="33">
        <f t="shared" si="10"/>
        <v>10.27863631617884</v>
      </c>
      <c r="AK24" s="79"/>
      <c r="AM24" s="64" t="s">
        <v>699</v>
      </c>
      <c r="AN24" s="64">
        <f t="shared" si="11"/>
        <v>3</v>
      </c>
      <c r="AP24" s="96" t="s">
        <v>808</v>
      </c>
      <c r="AQ24" s="64">
        <f t="shared" si="12"/>
        <v>0.8</v>
      </c>
    </row>
    <row r="25" spans="1:43" x14ac:dyDescent="0.25">
      <c r="A25" s="90" t="s">
        <v>676</v>
      </c>
      <c r="B25" s="84">
        <v>3</v>
      </c>
      <c r="D25" s="7">
        <v>23</v>
      </c>
      <c r="E25" s="93">
        <f t="shared" si="0"/>
        <v>6.9365941792705527E-2</v>
      </c>
      <c r="F25" s="94">
        <f t="shared" si="1"/>
        <v>8.5488915051452246</v>
      </c>
      <c r="G25" s="68" t="s">
        <v>67</v>
      </c>
      <c r="H25" s="75">
        <f t="shared" si="13"/>
        <v>279.63649211256183</v>
      </c>
      <c r="I25" s="10" t="s">
        <v>168</v>
      </c>
      <c r="J25" s="15">
        <f t="shared" si="14"/>
        <v>18621.358689596469</v>
      </c>
      <c r="K25" s="10" t="s">
        <v>269</v>
      </c>
      <c r="L25" s="17">
        <f t="shared" si="15"/>
        <v>73</v>
      </c>
      <c r="M25" s="10" t="s">
        <v>370</v>
      </c>
      <c r="N25" s="15">
        <f t="shared" si="20"/>
        <v>8</v>
      </c>
      <c r="O25" s="46">
        <f t="shared" si="16"/>
        <v>0</v>
      </c>
      <c r="P25" s="47">
        <f t="shared" si="17"/>
        <v>186.21358689596468</v>
      </c>
      <c r="Q25" s="19">
        <f t="shared" si="2"/>
        <v>1.1098550686832884</v>
      </c>
      <c r="R25" s="92">
        <f t="shared" si="3"/>
        <v>84727.182037663937</v>
      </c>
      <c r="S25" s="25">
        <f t="shared" si="4"/>
        <v>372613.38737882534</v>
      </c>
      <c r="T25" s="25">
        <f t="shared" si="5"/>
        <v>457340.56941648928</v>
      </c>
      <c r="U25" s="33"/>
      <c r="V25" s="33">
        <f t="shared" si="6"/>
        <v>0</v>
      </c>
      <c r="W25" s="46">
        <f t="shared" si="18"/>
        <v>1</v>
      </c>
      <c r="X25" s="19"/>
      <c r="Y25" s="19"/>
      <c r="Z25" s="21">
        <f t="shared" si="7"/>
        <v>51</v>
      </c>
      <c r="AA25" s="22"/>
      <c r="AB25" s="60" t="s">
        <v>597</v>
      </c>
      <c r="AC25" s="95">
        <f t="shared" si="8"/>
        <v>412.748424</v>
      </c>
      <c r="AD25" s="23" t="s">
        <v>495</v>
      </c>
      <c r="AE25" s="2">
        <f t="shared" si="21"/>
        <v>10726.402576000006</v>
      </c>
      <c r="AF25" s="24">
        <f t="shared" si="19"/>
        <v>7.4582320990820839E-4</v>
      </c>
      <c r="AG25" s="32">
        <f t="shared" si="9"/>
        <v>0.19946666666666668</v>
      </c>
      <c r="AH25" s="22"/>
      <c r="AI25" s="22"/>
      <c r="AJ25" s="33">
        <f t="shared" si="10"/>
        <v>5.0519061733936477</v>
      </c>
      <c r="AK25" s="79"/>
      <c r="AM25" s="64" t="s">
        <v>700</v>
      </c>
      <c r="AN25" s="64">
        <f t="shared" si="11"/>
        <v>3</v>
      </c>
      <c r="AP25" s="96" t="s">
        <v>809</v>
      </c>
      <c r="AQ25" s="64">
        <f t="shared" si="12"/>
        <v>0.8</v>
      </c>
    </row>
    <row r="26" spans="1:43" x14ac:dyDescent="0.25">
      <c r="D26" s="7">
        <v>24</v>
      </c>
      <c r="E26" s="104">
        <f t="shared" si="0"/>
        <v>6.8672282374778473E-2</v>
      </c>
      <c r="F26" s="105">
        <f t="shared" si="1"/>
        <v>8.4634025900937715</v>
      </c>
      <c r="G26" s="69" t="s">
        <v>68</v>
      </c>
      <c r="H26" s="75">
        <f t="shared" si="13"/>
        <v>279.63649211256183</v>
      </c>
      <c r="I26" s="31" t="s">
        <v>169</v>
      </c>
      <c r="J26" s="15">
        <f t="shared" si="14"/>
        <v>18435.145102700506</v>
      </c>
      <c r="K26" s="31" t="s">
        <v>270</v>
      </c>
      <c r="L26" s="17">
        <f t="shared" si="15"/>
        <v>73</v>
      </c>
      <c r="M26" s="31" t="s">
        <v>371</v>
      </c>
      <c r="N26" s="15">
        <f t="shared" si="20"/>
        <v>3</v>
      </c>
      <c r="O26" s="46">
        <f t="shared" si="16"/>
        <v>0</v>
      </c>
      <c r="P26" s="47">
        <f t="shared" si="17"/>
        <v>184.35145102700506</v>
      </c>
      <c r="Q26" s="19">
        <f t="shared" si="2"/>
        <v>1.0987565179964556</v>
      </c>
      <c r="R26" s="106">
        <f t="shared" si="3"/>
        <v>83879.91021728731</v>
      </c>
      <c r="S26" s="25">
        <f t="shared" si="4"/>
        <v>368887.25350503711</v>
      </c>
      <c r="T26" s="25">
        <f t="shared" si="5"/>
        <v>452767.16372232442</v>
      </c>
      <c r="U26" s="33"/>
      <c r="V26" s="33">
        <f t="shared" si="6"/>
        <v>0</v>
      </c>
      <c r="W26" s="46">
        <f t="shared" si="18"/>
        <v>1</v>
      </c>
      <c r="X26" s="19"/>
      <c r="Y26" s="19"/>
      <c r="Z26" s="21">
        <f t="shared" si="7"/>
        <v>51</v>
      </c>
      <c r="AA26" s="22"/>
      <c r="AB26" s="107" t="s">
        <v>598</v>
      </c>
      <c r="AC26" s="95">
        <f t="shared" si="8"/>
        <v>412.748424</v>
      </c>
      <c r="AD26" s="23" t="s">
        <v>496</v>
      </c>
      <c r="AE26" s="2">
        <f t="shared" si="21"/>
        <v>10313.654152000006</v>
      </c>
      <c r="AF26" s="24">
        <f t="shared" si="19"/>
        <v>2.9087653665585102E-4</v>
      </c>
      <c r="AG26" s="32">
        <f t="shared" si="9"/>
        <v>7.4925000000000005E-2</v>
      </c>
      <c r="AH26" s="22"/>
      <c r="AI26" s="22"/>
      <c r="AJ26" s="33">
        <f t="shared" si="10"/>
        <v>2.0903393914773929</v>
      </c>
      <c r="AK26" s="79"/>
      <c r="AM26" s="64" t="s">
        <v>701</v>
      </c>
      <c r="AN26" s="64">
        <f t="shared" si="11"/>
        <v>3</v>
      </c>
      <c r="AP26" s="96" t="s">
        <v>810</v>
      </c>
      <c r="AQ26" s="64">
        <f t="shared" si="12"/>
        <v>0.8</v>
      </c>
    </row>
    <row r="27" spans="1:43" x14ac:dyDescent="0.25">
      <c r="D27" s="50">
        <v>25</v>
      </c>
      <c r="E27" s="93">
        <f t="shared" si="0"/>
        <v>6.7985559551030694E-2</v>
      </c>
      <c r="F27" s="94">
        <f t="shared" si="1"/>
        <v>8.3787685641928338</v>
      </c>
      <c r="G27" s="66" t="s">
        <v>69</v>
      </c>
      <c r="H27" s="74">
        <f t="shared" si="13"/>
        <v>279.63649211256183</v>
      </c>
      <c r="I27" s="52" t="s">
        <v>170</v>
      </c>
      <c r="J27" s="62">
        <f t="shared" si="14"/>
        <v>18250.793651673503</v>
      </c>
      <c r="K27" s="52" t="s">
        <v>271</v>
      </c>
      <c r="L27" s="53">
        <f t="shared" si="15"/>
        <v>73</v>
      </c>
      <c r="M27" s="52" t="s">
        <v>372</v>
      </c>
      <c r="N27" s="108">
        <f t="shared" si="20"/>
        <v>0</v>
      </c>
      <c r="O27" s="109">
        <f t="shared" si="16"/>
        <v>0</v>
      </c>
      <c r="P27" s="54">
        <f t="shared" si="17"/>
        <v>182.50793651673504</v>
      </c>
      <c r="Q27" s="55">
        <f t="shared" si="2"/>
        <v>1.0877689528164911</v>
      </c>
      <c r="R27" s="92">
        <f t="shared" si="3"/>
        <v>83041.111115114429</v>
      </c>
      <c r="S27" s="10">
        <f t="shared" si="4"/>
        <v>365198.38096998679</v>
      </c>
      <c r="T27" s="52">
        <f t="shared" si="5"/>
        <v>448239.4920851012</v>
      </c>
      <c r="U27" s="56"/>
      <c r="V27" s="56">
        <f t="shared" si="6"/>
        <v>0</v>
      </c>
      <c r="W27" s="109">
        <f t="shared" si="18"/>
        <v>1</v>
      </c>
      <c r="X27" s="55"/>
      <c r="Y27" s="55"/>
      <c r="Z27" s="57">
        <f t="shared" si="7"/>
        <v>51</v>
      </c>
      <c r="AA27" s="58"/>
      <c r="AB27" s="60" t="s">
        <v>599</v>
      </c>
      <c r="AC27" s="110">
        <f t="shared" si="8"/>
        <v>412.748424</v>
      </c>
      <c r="AD27" s="111" t="s">
        <v>497</v>
      </c>
      <c r="AE27" s="112">
        <f t="shared" si="21"/>
        <v>9900.905728000007</v>
      </c>
      <c r="AF27" s="113">
        <f t="shared" si="19"/>
        <v>0</v>
      </c>
      <c r="AG27" s="114">
        <f t="shared" si="9"/>
        <v>0</v>
      </c>
      <c r="AH27" s="58"/>
      <c r="AI27" s="58"/>
      <c r="AJ27" s="20">
        <f t="shared" si="10"/>
        <v>0</v>
      </c>
      <c r="AK27" s="102"/>
      <c r="AL27" s="11"/>
      <c r="AM27" s="83" t="s">
        <v>702</v>
      </c>
      <c r="AN27" s="87">
        <f t="shared" si="11"/>
        <v>3</v>
      </c>
      <c r="AP27" s="86" t="s">
        <v>811</v>
      </c>
      <c r="AQ27" s="64">
        <f t="shared" si="12"/>
        <v>0.8</v>
      </c>
    </row>
    <row r="28" spans="1:43" x14ac:dyDescent="0.25">
      <c r="D28" s="7">
        <v>26</v>
      </c>
      <c r="E28" s="97">
        <f t="shared" si="0"/>
        <v>6.730570395552038E-2</v>
      </c>
      <c r="F28" s="98">
        <f t="shared" si="1"/>
        <v>8.2949808785509056</v>
      </c>
      <c r="G28" s="67" t="s">
        <v>70</v>
      </c>
      <c r="H28" s="75">
        <f t="shared" si="13"/>
        <v>279.63649211256183</v>
      </c>
      <c r="I28" s="26" t="s">
        <v>171</v>
      </c>
      <c r="J28" s="15">
        <f t="shared" si="14"/>
        <v>18068.285715156766</v>
      </c>
      <c r="K28" s="26" t="s">
        <v>272</v>
      </c>
      <c r="L28" s="17">
        <f t="shared" si="15"/>
        <v>73</v>
      </c>
      <c r="M28" s="26" t="s">
        <v>373</v>
      </c>
      <c r="N28" s="15">
        <f t="shared" si="20"/>
        <v>0</v>
      </c>
      <c r="O28" s="46">
        <f t="shared" si="16"/>
        <v>0</v>
      </c>
      <c r="P28" s="47">
        <f t="shared" si="17"/>
        <v>180.68285715156767</v>
      </c>
      <c r="Q28" s="19">
        <f t="shared" si="2"/>
        <v>1.0768912632883261</v>
      </c>
      <c r="R28" s="99">
        <f t="shared" si="3"/>
        <v>82210.700003963284</v>
      </c>
      <c r="S28" s="25">
        <f t="shared" si="4"/>
        <v>361546.3971602869</v>
      </c>
      <c r="T28" s="25">
        <f t="shared" si="5"/>
        <v>443757.09716425021</v>
      </c>
      <c r="U28" s="33"/>
      <c r="V28" s="33">
        <f t="shared" si="6"/>
        <v>0</v>
      </c>
      <c r="W28" s="46">
        <f t="shared" si="18"/>
        <v>1</v>
      </c>
      <c r="X28" s="19"/>
      <c r="Y28" s="19"/>
      <c r="Z28" s="21">
        <f t="shared" si="7"/>
        <v>51</v>
      </c>
      <c r="AA28" s="22"/>
      <c r="AB28" s="100" t="s">
        <v>600</v>
      </c>
      <c r="AC28" s="95">
        <f t="shared" si="8"/>
        <v>412.748424</v>
      </c>
      <c r="AD28" s="23" t="s">
        <v>498</v>
      </c>
      <c r="AE28" s="2">
        <f t="shared" si="21"/>
        <v>9488.1573040000076</v>
      </c>
      <c r="AF28" s="24">
        <f t="shared" si="19"/>
        <v>0</v>
      </c>
      <c r="AG28" s="32">
        <f t="shared" si="9"/>
        <v>0</v>
      </c>
      <c r="AH28" s="22"/>
      <c r="AI28" s="22"/>
      <c r="AJ28" s="33">
        <f t="shared" si="10"/>
        <v>0</v>
      </c>
      <c r="AK28" s="101"/>
      <c r="AM28" s="64" t="s">
        <v>703</v>
      </c>
      <c r="AN28" s="64">
        <f t="shared" si="11"/>
        <v>3</v>
      </c>
      <c r="AP28" s="96" t="s">
        <v>812</v>
      </c>
      <c r="AQ28" s="64">
        <f t="shared" si="12"/>
        <v>0.8</v>
      </c>
    </row>
    <row r="29" spans="1:43" x14ac:dyDescent="0.25">
      <c r="B29" s="8"/>
      <c r="D29" s="7">
        <v>27</v>
      </c>
      <c r="E29" s="93">
        <f t="shared" si="0"/>
        <v>6.6632646915965169E-2</v>
      </c>
      <c r="F29" s="94">
        <f t="shared" si="1"/>
        <v>8.2120310697653949</v>
      </c>
      <c r="G29" s="68" t="s">
        <v>71</v>
      </c>
      <c r="H29" s="75">
        <f t="shared" si="13"/>
        <v>279.63649211256183</v>
      </c>
      <c r="I29" s="10" t="s">
        <v>172</v>
      </c>
      <c r="J29" s="15">
        <f t="shared" si="14"/>
        <v>17887.602858005197</v>
      </c>
      <c r="K29" s="10" t="s">
        <v>273</v>
      </c>
      <c r="L29" s="17">
        <f t="shared" si="15"/>
        <v>73</v>
      </c>
      <c r="M29" s="10" t="s">
        <v>374</v>
      </c>
      <c r="N29" s="15">
        <f t="shared" si="20"/>
        <v>0</v>
      </c>
      <c r="O29" s="46">
        <f t="shared" si="16"/>
        <v>0</v>
      </c>
      <c r="P29" s="47">
        <f t="shared" si="17"/>
        <v>178.87602858005198</v>
      </c>
      <c r="Q29" s="19">
        <f t="shared" si="2"/>
        <v>1.0661223506554427</v>
      </c>
      <c r="R29" s="92">
        <f t="shared" si="3"/>
        <v>81388.593003923641</v>
      </c>
      <c r="S29" s="25">
        <f t="shared" si="4"/>
        <v>357930.93318868399</v>
      </c>
      <c r="T29" s="25">
        <f t="shared" si="5"/>
        <v>439319.52619260765</v>
      </c>
      <c r="U29" s="33"/>
      <c r="V29" s="33">
        <f t="shared" si="6"/>
        <v>0</v>
      </c>
      <c r="W29" s="46">
        <f t="shared" si="18"/>
        <v>1</v>
      </c>
      <c r="X29" s="19"/>
      <c r="Y29" s="19"/>
      <c r="Z29" s="21">
        <f t="shared" si="7"/>
        <v>51</v>
      </c>
      <c r="AA29" s="22"/>
      <c r="AB29" s="60" t="s">
        <v>601</v>
      </c>
      <c r="AC29" s="95">
        <f t="shared" si="8"/>
        <v>412.748424</v>
      </c>
      <c r="AD29" s="23" t="s">
        <v>499</v>
      </c>
      <c r="AE29" s="2">
        <f t="shared" si="21"/>
        <v>9075.4088800000081</v>
      </c>
      <c r="AF29" s="24">
        <f t="shared" si="19"/>
        <v>0</v>
      </c>
      <c r="AG29" s="32">
        <f t="shared" si="9"/>
        <v>0</v>
      </c>
      <c r="AH29" s="22"/>
      <c r="AI29" s="22"/>
      <c r="AJ29" s="33">
        <f t="shared" si="10"/>
        <v>0</v>
      </c>
      <c r="AK29" s="79"/>
      <c r="AM29" s="64" t="s">
        <v>704</v>
      </c>
      <c r="AN29" s="64">
        <f t="shared" si="11"/>
        <v>3</v>
      </c>
      <c r="AP29" s="96" t="s">
        <v>813</v>
      </c>
      <c r="AQ29" s="64">
        <f t="shared" si="12"/>
        <v>0.8</v>
      </c>
    </row>
    <row r="30" spans="1:43" x14ac:dyDescent="0.25">
      <c r="D30" s="7">
        <v>28</v>
      </c>
      <c r="E30" s="93">
        <f t="shared" si="0"/>
        <v>6.5966320446805518E-2</v>
      </c>
      <c r="F30" s="94">
        <f t="shared" si="1"/>
        <v>8.1299107590677409</v>
      </c>
      <c r="G30" s="68" t="s">
        <v>72</v>
      </c>
      <c r="H30" s="75">
        <f t="shared" si="13"/>
        <v>279.63649211256183</v>
      </c>
      <c r="I30" s="10" t="s">
        <v>173</v>
      </c>
      <c r="J30" s="15">
        <f t="shared" si="14"/>
        <v>17708.726829425144</v>
      </c>
      <c r="K30" s="10" t="s">
        <v>274</v>
      </c>
      <c r="L30" s="17">
        <f t="shared" si="15"/>
        <v>73</v>
      </c>
      <c r="M30" s="10" t="s">
        <v>375</v>
      </c>
      <c r="N30" s="15">
        <f t="shared" si="20"/>
        <v>0</v>
      </c>
      <c r="O30" s="46">
        <f t="shared" si="16"/>
        <v>0</v>
      </c>
      <c r="P30" s="47">
        <f t="shared" si="17"/>
        <v>177.08726829425146</v>
      </c>
      <c r="Q30" s="19">
        <f t="shared" si="2"/>
        <v>1.0554611271488883</v>
      </c>
      <c r="R30" s="92">
        <f t="shared" si="3"/>
        <v>80574.70707388442</v>
      </c>
      <c r="S30" s="25">
        <f t="shared" si="4"/>
        <v>354351.62385679712</v>
      </c>
      <c r="T30" s="25">
        <f t="shared" si="5"/>
        <v>434926.33093068155</v>
      </c>
      <c r="U30" s="33"/>
      <c r="V30" s="33">
        <f t="shared" si="6"/>
        <v>0</v>
      </c>
      <c r="W30" s="46">
        <f t="shared" si="18"/>
        <v>1</v>
      </c>
      <c r="X30" s="19"/>
      <c r="Y30" s="19"/>
      <c r="Z30" s="21">
        <f t="shared" si="7"/>
        <v>51</v>
      </c>
      <c r="AA30" s="22"/>
      <c r="AB30" s="60" t="s">
        <v>602</v>
      </c>
      <c r="AC30" s="95">
        <f t="shared" si="8"/>
        <v>412.748424</v>
      </c>
      <c r="AD30" s="23" t="s">
        <v>500</v>
      </c>
      <c r="AE30" s="2">
        <f t="shared" si="21"/>
        <v>8662.6604560000087</v>
      </c>
      <c r="AF30" s="24">
        <f t="shared" si="19"/>
        <v>0</v>
      </c>
      <c r="AG30" s="32">
        <f t="shared" si="9"/>
        <v>0</v>
      </c>
      <c r="AH30" s="22"/>
      <c r="AI30" s="22"/>
      <c r="AJ30" s="33">
        <f t="shared" si="10"/>
        <v>0</v>
      </c>
      <c r="AK30" s="79"/>
      <c r="AM30" s="64" t="s">
        <v>705</v>
      </c>
      <c r="AN30" s="64">
        <f t="shared" si="11"/>
        <v>3</v>
      </c>
      <c r="AP30" s="96" t="s">
        <v>814</v>
      </c>
      <c r="AQ30" s="64">
        <f t="shared" si="12"/>
        <v>0.8</v>
      </c>
    </row>
    <row r="31" spans="1:43" x14ac:dyDescent="0.25">
      <c r="D31" s="7">
        <v>29</v>
      </c>
      <c r="E31" s="104">
        <f t="shared" si="0"/>
        <v>6.5306657242337474E-2</v>
      </c>
      <c r="F31" s="105">
        <f t="shared" si="1"/>
        <v>8.0486116514770654</v>
      </c>
      <c r="G31" s="69" t="s">
        <v>73</v>
      </c>
      <c r="H31" s="75">
        <f t="shared" si="13"/>
        <v>279.63649211256183</v>
      </c>
      <c r="I31" s="31" t="s">
        <v>174</v>
      </c>
      <c r="J31" s="15">
        <f t="shared" si="14"/>
        <v>17531.639561130894</v>
      </c>
      <c r="K31" s="31" t="s">
        <v>275</v>
      </c>
      <c r="L31" s="17">
        <f t="shared" si="15"/>
        <v>73</v>
      </c>
      <c r="M31" s="31" t="s">
        <v>376</v>
      </c>
      <c r="N31" s="15">
        <f t="shared" si="20"/>
        <v>0</v>
      </c>
      <c r="O31" s="46">
        <f t="shared" si="16"/>
        <v>0</v>
      </c>
      <c r="P31" s="47">
        <f t="shared" si="17"/>
        <v>175.31639561130893</v>
      </c>
      <c r="Q31" s="19">
        <f t="shared" si="2"/>
        <v>1.0449065158773996</v>
      </c>
      <c r="R31" s="106">
        <f t="shared" si="3"/>
        <v>79768.960003145578</v>
      </c>
      <c r="S31" s="25">
        <f t="shared" si="4"/>
        <v>350808.10761822917</v>
      </c>
      <c r="T31" s="25">
        <f t="shared" si="5"/>
        <v>430577.06762137474</v>
      </c>
      <c r="U31" s="33"/>
      <c r="V31" s="33">
        <f t="shared" si="6"/>
        <v>0</v>
      </c>
      <c r="W31" s="46">
        <f t="shared" si="18"/>
        <v>1</v>
      </c>
      <c r="X31" s="19"/>
      <c r="Y31" s="19"/>
      <c r="Z31" s="21">
        <f t="shared" si="7"/>
        <v>51</v>
      </c>
      <c r="AA31" s="22"/>
      <c r="AB31" s="107" t="s">
        <v>603</v>
      </c>
      <c r="AC31" s="95">
        <f t="shared" si="8"/>
        <v>412.748424</v>
      </c>
      <c r="AD31" s="23" t="s">
        <v>501</v>
      </c>
      <c r="AE31" s="2">
        <f t="shared" si="21"/>
        <v>8249.9120320000093</v>
      </c>
      <c r="AF31" s="24">
        <f t="shared" si="19"/>
        <v>0</v>
      </c>
      <c r="AG31" s="32">
        <f t="shared" si="9"/>
        <v>0</v>
      </c>
      <c r="AH31" s="22"/>
      <c r="AI31" s="22"/>
      <c r="AJ31" s="33">
        <f t="shared" si="10"/>
        <v>0</v>
      </c>
      <c r="AK31" s="79"/>
      <c r="AM31" s="64" t="s">
        <v>706</v>
      </c>
      <c r="AN31" s="64">
        <f t="shared" si="11"/>
        <v>3</v>
      </c>
      <c r="AP31" s="96" t="s">
        <v>815</v>
      </c>
      <c r="AQ31" s="64">
        <f t="shared" si="12"/>
        <v>0.8</v>
      </c>
    </row>
    <row r="32" spans="1:43" x14ac:dyDescent="0.25">
      <c r="D32" s="9">
        <v>30</v>
      </c>
      <c r="E32" s="93">
        <f t="shared" si="0"/>
        <v>6.4653590669914093E-2</v>
      </c>
      <c r="F32" s="94">
        <f t="shared" si="1"/>
        <v>7.9681255349622946</v>
      </c>
      <c r="G32" s="68" t="s">
        <v>74</v>
      </c>
      <c r="H32" s="77">
        <f t="shared" si="13"/>
        <v>279.63649211256183</v>
      </c>
      <c r="I32" s="10" t="s">
        <v>175</v>
      </c>
      <c r="J32" s="73">
        <f t="shared" si="14"/>
        <v>17356.323165519585</v>
      </c>
      <c r="K32" s="10" t="s">
        <v>276</v>
      </c>
      <c r="L32" s="16">
        <f t="shared" si="15"/>
        <v>73</v>
      </c>
      <c r="M32" s="10" t="s">
        <v>377</v>
      </c>
      <c r="N32" s="108">
        <f t="shared" si="20"/>
        <v>0</v>
      </c>
      <c r="O32" s="68">
        <f t="shared" si="16"/>
        <v>0</v>
      </c>
      <c r="P32" s="48">
        <f t="shared" si="17"/>
        <v>173.56323165519586</v>
      </c>
      <c r="Q32" s="18">
        <f t="shared" si="2"/>
        <v>1.0344574507186255</v>
      </c>
      <c r="R32" s="92">
        <f t="shared" si="3"/>
        <v>78971.270403114118</v>
      </c>
      <c r="S32" s="10">
        <f t="shared" si="4"/>
        <v>347300.02654204686</v>
      </c>
      <c r="T32" s="10">
        <f t="shared" si="5"/>
        <v>426271.29694516095</v>
      </c>
      <c r="U32" s="20"/>
      <c r="V32" s="20">
        <f t="shared" si="6"/>
        <v>0</v>
      </c>
      <c r="W32" s="109">
        <f t="shared" si="18"/>
        <v>1</v>
      </c>
      <c r="X32" s="18"/>
      <c r="Y32" s="18"/>
      <c r="Z32" s="49">
        <f t="shared" si="7"/>
        <v>51</v>
      </c>
      <c r="AA32" s="11"/>
      <c r="AB32" s="60" t="s">
        <v>604</v>
      </c>
      <c r="AC32" s="110">
        <f t="shared" si="8"/>
        <v>412.748424</v>
      </c>
      <c r="AD32" s="111" t="s">
        <v>502</v>
      </c>
      <c r="AE32" s="112">
        <f t="shared" si="21"/>
        <v>7837.1636080000089</v>
      </c>
      <c r="AF32" s="113">
        <f t="shared" si="19"/>
        <v>0</v>
      </c>
      <c r="AG32" s="114">
        <f t="shared" si="9"/>
        <v>0</v>
      </c>
      <c r="AH32" s="11"/>
      <c r="AI32" s="11"/>
      <c r="AJ32" s="20">
        <f t="shared" si="10"/>
        <v>0</v>
      </c>
      <c r="AK32" s="102"/>
      <c r="AL32" s="11"/>
      <c r="AM32" s="83" t="s">
        <v>707</v>
      </c>
      <c r="AN32" s="87">
        <f t="shared" si="11"/>
        <v>3</v>
      </c>
      <c r="AP32" s="86" t="s">
        <v>816</v>
      </c>
      <c r="AQ32" s="64">
        <f t="shared" si="12"/>
        <v>0.8</v>
      </c>
    </row>
    <row r="33" spans="4:43" x14ac:dyDescent="0.25">
      <c r="D33" s="7">
        <v>31</v>
      </c>
      <c r="E33" s="97">
        <f t="shared" si="0"/>
        <v>6.4007054763214943E-2</v>
      </c>
      <c r="F33" s="98">
        <f t="shared" si="1"/>
        <v>7.8884442796126697</v>
      </c>
      <c r="G33" s="67" t="s">
        <v>75</v>
      </c>
      <c r="H33" s="75">
        <f t="shared" si="13"/>
        <v>279.63649211256183</v>
      </c>
      <c r="I33" s="26" t="s">
        <v>176</v>
      </c>
      <c r="J33" s="15">
        <f t="shared" si="14"/>
        <v>17182.759933864389</v>
      </c>
      <c r="K33" s="26" t="s">
        <v>277</v>
      </c>
      <c r="L33" s="17">
        <f t="shared" si="15"/>
        <v>73</v>
      </c>
      <c r="M33" s="26" t="s">
        <v>378</v>
      </c>
      <c r="N33" s="15">
        <f t="shared" si="20"/>
        <v>0</v>
      </c>
      <c r="O33" s="46">
        <f t="shared" si="16"/>
        <v>0</v>
      </c>
      <c r="P33" s="47">
        <f t="shared" si="17"/>
        <v>171.82759933864389</v>
      </c>
      <c r="Q33" s="19">
        <f t="shared" si="2"/>
        <v>1.0241128762114391</v>
      </c>
      <c r="R33" s="99">
        <f t="shared" si="3"/>
        <v>78181.557699082972</v>
      </c>
      <c r="S33" s="25">
        <f t="shared" si="4"/>
        <v>343827.02627662645</v>
      </c>
      <c r="T33" s="25">
        <f t="shared" si="5"/>
        <v>422008.58397570939</v>
      </c>
      <c r="U33" s="33"/>
      <c r="V33" s="33">
        <f t="shared" si="6"/>
        <v>0</v>
      </c>
      <c r="W33" s="46">
        <f t="shared" si="18"/>
        <v>1</v>
      </c>
      <c r="X33" s="19"/>
      <c r="Y33" s="19"/>
      <c r="Z33" s="21">
        <f t="shared" si="7"/>
        <v>51</v>
      </c>
      <c r="AA33" s="22"/>
      <c r="AB33" s="100" t="s">
        <v>605</v>
      </c>
      <c r="AC33" s="95">
        <f t="shared" si="8"/>
        <v>412.748424</v>
      </c>
      <c r="AD33" s="23" t="s">
        <v>503</v>
      </c>
      <c r="AE33" s="2">
        <f t="shared" si="21"/>
        <v>7424.4151840000086</v>
      </c>
      <c r="AF33" s="24">
        <f t="shared" si="19"/>
        <v>0</v>
      </c>
      <c r="AG33" s="32">
        <f t="shared" si="9"/>
        <v>0</v>
      </c>
      <c r="AH33" s="22"/>
      <c r="AI33" s="22"/>
      <c r="AJ33" s="33">
        <f t="shared" si="10"/>
        <v>0</v>
      </c>
      <c r="AK33" s="101"/>
      <c r="AM33" s="64" t="s">
        <v>708</v>
      </c>
      <c r="AN33" s="64">
        <f t="shared" si="11"/>
        <v>3</v>
      </c>
      <c r="AP33" s="96" t="s">
        <v>817</v>
      </c>
      <c r="AQ33" s="64">
        <f t="shared" si="12"/>
        <v>0.8</v>
      </c>
    </row>
    <row r="34" spans="4:43" x14ac:dyDescent="0.25">
      <c r="D34" s="7">
        <v>32</v>
      </c>
      <c r="E34" s="93">
        <f t="shared" si="0"/>
        <v>6.3366984215582789E-2</v>
      </c>
      <c r="F34" s="94">
        <f t="shared" si="1"/>
        <v>7.8095598368165424</v>
      </c>
      <c r="G34" s="68" t="s">
        <v>76</v>
      </c>
      <c r="H34" s="75">
        <f t="shared" si="13"/>
        <v>279.63649211256183</v>
      </c>
      <c r="I34" s="10" t="s">
        <v>177</v>
      </c>
      <c r="J34" s="15">
        <f t="shared" si="14"/>
        <v>17010.932334525743</v>
      </c>
      <c r="K34" s="10" t="s">
        <v>278</v>
      </c>
      <c r="L34" s="17">
        <f t="shared" si="15"/>
        <v>73</v>
      </c>
      <c r="M34" s="10" t="s">
        <v>379</v>
      </c>
      <c r="N34" s="15">
        <f t="shared" si="20"/>
        <v>0</v>
      </c>
      <c r="O34" s="46">
        <f t="shared" si="16"/>
        <v>0</v>
      </c>
      <c r="P34" s="47">
        <f t="shared" si="17"/>
        <v>170.10932334525745</v>
      </c>
      <c r="Q34" s="19">
        <f t="shared" si="2"/>
        <v>1.0138717474493246</v>
      </c>
      <c r="R34" s="92">
        <f t="shared" si="3"/>
        <v>77399.742122092139</v>
      </c>
      <c r="S34" s="25">
        <f t="shared" si="4"/>
        <v>340388.75601386011</v>
      </c>
      <c r="T34" s="25">
        <f t="shared" si="5"/>
        <v>417788.49813595228</v>
      </c>
      <c r="U34" s="33"/>
      <c r="V34" s="33">
        <f t="shared" si="6"/>
        <v>0</v>
      </c>
      <c r="W34" s="46">
        <f t="shared" si="18"/>
        <v>1</v>
      </c>
      <c r="X34" s="19"/>
      <c r="Y34" s="19"/>
      <c r="Z34" s="21">
        <f t="shared" si="7"/>
        <v>51</v>
      </c>
      <c r="AA34" s="22"/>
      <c r="AB34" s="60" t="s">
        <v>606</v>
      </c>
      <c r="AC34" s="95">
        <f t="shared" si="8"/>
        <v>412.748424</v>
      </c>
      <c r="AD34" s="23" t="s">
        <v>504</v>
      </c>
      <c r="AE34" s="2">
        <f t="shared" si="21"/>
        <v>7011.6667600000083</v>
      </c>
      <c r="AF34" s="24">
        <f t="shared" si="19"/>
        <v>0</v>
      </c>
      <c r="AG34" s="32">
        <f t="shared" si="9"/>
        <v>0</v>
      </c>
      <c r="AH34" s="22"/>
      <c r="AI34" s="22"/>
      <c r="AJ34" s="33">
        <f t="shared" si="10"/>
        <v>0</v>
      </c>
      <c r="AK34" s="79"/>
      <c r="AM34" s="64" t="s">
        <v>709</v>
      </c>
      <c r="AN34" s="64">
        <f t="shared" si="11"/>
        <v>3</v>
      </c>
      <c r="AP34" s="96" t="s">
        <v>818</v>
      </c>
      <c r="AQ34" s="64">
        <f t="shared" si="12"/>
        <v>0.8</v>
      </c>
    </row>
    <row r="35" spans="4:43" x14ac:dyDescent="0.25">
      <c r="D35" s="7">
        <v>33</v>
      </c>
      <c r="E35" s="93">
        <f t="shared" ref="E35:E66" si="22">(rOTinicial*Q35)/Tasa_relativa_ocupación_stdt</f>
        <v>6.2733314373426968E-2</v>
      </c>
      <c r="F35" s="94">
        <f t="shared" ref="F35:F66" si="23">E35*H35*(1-(H35/K_turismo))</f>
        <v>7.7314642384483783</v>
      </c>
      <c r="G35" s="68" t="s">
        <v>77</v>
      </c>
      <c r="H35" s="75">
        <f t="shared" si="13"/>
        <v>279.63649211256183</v>
      </c>
      <c r="I35" s="10" t="s">
        <v>178</v>
      </c>
      <c r="J35" s="15">
        <f t="shared" si="14"/>
        <v>16840.823011180488</v>
      </c>
      <c r="K35" s="10" t="s">
        <v>279</v>
      </c>
      <c r="L35" s="17">
        <f t="shared" ref="L35:L66" si="24">$AA$2+Z35</f>
        <v>73</v>
      </c>
      <c r="M35" s="10" t="s">
        <v>380</v>
      </c>
      <c r="N35" s="15">
        <f t="shared" si="20"/>
        <v>0</v>
      </c>
      <c r="O35" s="46">
        <f t="shared" si="16"/>
        <v>0</v>
      </c>
      <c r="P35" s="47">
        <f t="shared" si="17"/>
        <v>168.40823011180487</v>
      </c>
      <c r="Q35" s="19">
        <f t="shared" si="2"/>
        <v>1.0037330299748315</v>
      </c>
      <c r="R35" s="92">
        <f t="shared" ref="R35:R66" si="25">(J35*0.13)*Gasto_medio_turistas_1día</f>
        <v>76625.744700871219</v>
      </c>
      <c r="S35" s="25">
        <f t="shared" ref="S35:S66" si="26">(J35*0.87)*Gasto_medio_turistas_pernoctan</f>
        <v>336984.86845372157</v>
      </c>
      <c r="T35" s="25">
        <f t="shared" si="5"/>
        <v>413610.61315459281</v>
      </c>
      <c r="U35" s="33"/>
      <c r="V35" s="33">
        <f t="shared" si="6"/>
        <v>0</v>
      </c>
      <c r="W35" s="46">
        <f t="shared" si="18"/>
        <v>1</v>
      </c>
      <c r="X35" s="19"/>
      <c r="Y35" s="19"/>
      <c r="Z35" s="21">
        <f t="shared" ref="Z35:Z66" si="27">IF(O34&gt;$B$14,Z34+$B$13,Z34)</f>
        <v>51</v>
      </c>
      <c r="AA35" s="22"/>
      <c r="AB35" s="60" t="s">
        <v>607</v>
      </c>
      <c r="AC35" s="95">
        <f t="shared" ref="AC35:AC66" si="28">IF(L35&gt;Banderas_iniciales,((3.14116*(R_afectación*c_)*(R_afectación*c_))/10000)*L35*E_embarcación,0)</f>
        <v>412.748424</v>
      </c>
      <c r="AD35" s="23" t="s">
        <v>505</v>
      </c>
      <c r="AE35" s="2">
        <f t="shared" si="21"/>
        <v>6598.9183360000079</v>
      </c>
      <c r="AF35" s="24">
        <f t="shared" si="19"/>
        <v>0</v>
      </c>
      <c r="AG35" s="32">
        <f t="shared" ref="AG35:AG66" si="29">r_ballenas*N35*(1-(N35/K_ballenas))</f>
        <v>0</v>
      </c>
      <c r="AH35" s="22"/>
      <c r="AI35" s="22"/>
      <c r="AJ35" s="33">
        <f t="shared" ref="AJ35:AJ66" si="30">((ZO_inicial+ZR_inicial)-AE35)*AF35</f>
        <v>0</v>
      </c>
      <c r="AK35" s="79"/>
      <c r="AM35" s="64" t="s">
        <v>710</v>
      </c>
      <c r="AN35" s="64">
        <f t="shared" si="11"/>
        <v>3</v>
      </c>
      <c r="AP35" s="96" t="s">
        <v>819</v>
      </c>
      <c r="AQ35" s="64">
        <f t="shared" si="12"/>
        <v>0.8</v>
      </c>
    </row>
    <row r="36" spans="4:43" x14ac:dyDescent="0.25">
      <c r="D36" s="7">
        <v>34</v>
      </c>
      <c r="E36" s="93">
        <f t="shared" si="22"/>
        <v>6.2105981229692714E-2</v>
      </c>
      <c r="F36" s="94">
        <f t="shared" si="23"/>
        <v>7.6541495960638954</v>
      </c>
      <c r="G36" s="69" t="s">
        <v>78</v>
      </c>
      <c r="H36" s="75">
        <f t="shared" si="13"/>
        <v>279.63649211256183</v>
      </c>
      <c r="I36" s="31" t="s">
        <v>179</v>
      </c>
      <c r="J36" s="15">
        <f t="shared" si="14"/>
        <v>16672.414781068685</v>
      </c>
      <c r="K36" s="31" t="s">
        <v>280</v>
      </c>
      <c r="L36" s="17">
        <f t="shared" si="24"/>
        <v>73</v>
      </c>
      <c r="M36" s="31" t="s">
        <v>381</v>
      </c>
      <c r="N36" s="15">
        <f t="shared" si="20"/>
        <v>0</v>
      </c>
      <c r="O36" s="46">
        <f t="shared" si="16"/>
        <v>0</v>
      </c>
      <c r="P36" s="47">
        <f t="shared" si="17"/>
        <v>166.72414781068684</v>
      </c>
      <c r="Q36" s="19">
        <f t="shared" si="2"/>
        <v>0.99369569967508331</v>
      </c>
      <c r="R36" s="92">
        <f t="shared" si="25"/>
        <v>75859.48725386252</v>
      </c>
      <c r="S36" s="25">
        <f t="shared" si="26"/>
        <v>333615.01976918435</v>
      </c>
      <c r="T36" s="25">
        <f t="shared" si="5"/>
        <v>409474.50702304684</v>
      </c>
      <c r="U36" s="33"/>
      <c r="V36" s="33">
        <f t="shared" si="6"/>
        <v>0</v>
      </c>
      <c r="W36" s="46">
        <f t="shared" si="18"/>
        <v>1</v>
      </c>
      <c r="X36" s="19"/>
      <c r="Y36" s="19"/>
      <c r="Z36" s="21">
        <f t="shared" si="27"/>
        <v>51</v>
      </c>
      <c r="AA36" s="22"/>
      <c r="AB36" s="60" t="s">
        <v>608</v>
      </c>
      <c r="AC36" s="95">
        <f t="shared" si="28"/>
        <v>412.748424</v>
      </c>
      <c r="AD36" s="23" t="s">
        <v>506</v>
      </c>
      <c r="AE36" s="2">
        <f t="shared" si="21"/>
        <v>6186.1699120000076</v>
      </c>
      <c r="AF36" s="24">
        <f t="shared" si="19"/>
        <v>0</v>
      </c>
      <c r="AG36" s="32">
        <f t="shared" si="29"/>
        <v>0</v>
      </c>
      <c r="AH36" s="22"/>
      <c r="AI36" s="22"/>
      <c r="AJ36" s="33">
        <f t="shared" si="30"/>
        <v>0</v>
      </c>
      <c r="AK36" s="79"/>
      <c r="AM36" s="64" t="s">
        <v>711</v>
      </c>
      <c r="AN36" s="64">
        <f t="shared" si="11"/>
        <v>3</v>
      </c>
      <c r="AP36" s="96" t="s">
        <v>820</v>
      </c>
      <c r="AQ36" s="64">
        <f t="shared" si="12"/>
        <v>0.8</v>
      </c>
    </row>
    <row r="37" spans="4:43" x14ac:dyDescent="0.25">
      <c r="D37" s="9">
        <v>35</v>
      </c>
      <c r="E37" s="93">
        <f t="shared" si="22"/>
        <v>6.1484921417395776E-2</v>
      </c>
      <c r="F37" s="94">
        <f t="shared" si="23"/>
        <v>7.577608100103256</v>
      </c>
      <c r="G37" s="68" t="s">
        <v>79</v>
      </c>
      <c r="H37" s="77">
        <f t="shared" si="13"/>
        <v>279.63649211256183</v>
      </c>
      <c r="I37" s="10" t="s">
        <v>180</v>
      </c>
      <c r="J37" s="73">
        <f t="shared" si="14"/>
        <v>16505.690633257997</v>
      </c>
      <c r="K37" s="10" t="s">
        <v>281</v>
      </c>
      <c r="L37" s="16">
        <f t="shared" si="24"/>
        <v>73</v>
      </c>
      <c r="M37" s="10" t="s">
        <v>382</v>
      </c>
      <c r="N37" s="108">
        <f t="shared" si="20"/>
        <v>0</v>
      </c>
      <c r="O37" s="68">
        <f t="shared" si="16"/>
        <v>0</v>
      </c>
      <c r="P37" s="48">
        <f t="shared" si="17"/>
        <v>165.05690633257996</v>
      </c>
      <c r="Q37" s="18">
        <f t="shared" si="2"/>
        <v>0.98375874267833241</v>
      </c>
      <c r="R37" s="92">
        <f t="shared" si="25"/>
        <v>75100.892381323894</v>
      </c>
      <c r="S37" s="108">
        <f t="shared" si="26"/>
        <v>330278.86957149254</v>
      </c>
      <c r="T37" s="10">
        <f t="shared" si="5"/>
        <v>405379.76195281645</v>
      </c>
      <c r="U37" s="20"/>
      <c r="V37" s="20">
        <f t="shared" si="6"/>
        <v>0</v>
      </c>
      <c r="W37" s="115">
        <f t="shared" si="18"/>
        <v>1</v>
      </c>
      <c r="X37" s="18"/>
      <c r="Y37" s="18"/>
      <c r="Z37" s="49">
        <f t="shared" si="27"/>
        <v>51</v>
      </c>
      <c r="AA37" s="11"/>
      <c r="AB37" s="60" t="s">
        <v>609</v>
      </c>
      <c r="AC37" s="95">
        <f t="shared" si="28"/>
        <v>412.748424</v>
      </c>
      <c r="AD37" s="23" t="s">
        <v>507</v>
      </c>
      <c r="AE37" s="2">
        <f t="shared" si="21"/>
        <v>5773.4214880000072</v>
      </c>
      <c r="AF37" s="24">
        <f t="shared" si="19"/>
        <v>0</v>
      </c>
      <c r="AG37" s="32">
        <f t="shared" si="29"/>
        <v>0</v>
      </c>
      <c r="AH37" s="11"/>
      <c r="AI37" s="11"/>
      <c r="AJ37" s="33">
        <f t="shared" si="30"/>
        <v>0</v>
      </c>
      <c r="AK37" s="79"/>
      <c r="AM37" s="86" t="s">
        <v>712</v>
      </c>
      <c r="AN37" s="87">
        <f t="shared" si="11"/>
        <v>3</v>
      </c>
      <c r="AP37" s="86" t="s">
        <v>821</v>
      </c>
      <c r="AQ37" s="64">
        <f t="shared" si="12"/>
        <v>0.8</v>
      </c>
    </row>
    <row r="38" spans="4:43" x14ac:dyDescent="0.25">
      <c r="D38" s="7">
        <v>36</v>
      </c>
      <c r="E38" s="93">
        <f t="shared" si="22"/>
        <v>6.0870072203221826E-2</v>
      </c>
      <c r="F38" s="94">
        <f t="shared" si="23"/>
        <v>7.5018320191022241</v>
      </c>
      <c r="G38" s="67" t="s">
        <v>80</v>
      </c>
      <c r="H38" s="75">
        <f t="shared" si="13"/>
        <v>279.63649211256183</v>
      </c>
      <c r="I38" s="26" t="s">
        <v>181</v>
      </c>
      <c r="J38" s="15">
        <f t="shared" si="14"/>
        <v>16340.633726925416</v>
      </c>
      <c r="K38" s="26" t="s">
        <v>282</v>
      </c>
      <c r="L38" s="17">
        <f t="shared" si="24"/>
        <v>73</v>
      </c>
      <c r="M38" s="26" t="s">
        <v>383</v>
      </c>
      <c r="N38" s="15">
        <f t="shared" si="20"/>
        <v>0</v>
      </c>
      <c r="O38" s="46">
        <f t="shared" si="16"/>
        <v>0</v>
      </c>
      <c r="P38" s="47">
        <f t="shared" si="17"/>
        <v>163.40633726925418</v>
      </c>
      <c r="Q38" s="19">
        <f t="shared" si="2"/>
        <v>0.9739211552515491</v>
      </c>
      <c r="R38" s="92">
        <f t="shared" si="25"/>
        <v>74349.883457510645</v>
      </c>
      <c r="S38" s="25">
        <f t="shared" si="26"/>
        <v>326976.08087577758</v>
      </c>
      <c r="T38" s="25">
        <f t="shared" si="5"/>
        <v>401325.96433328826</v>
      </c>
      <c r="U38" s="33"/>
      <c r="V38" s="33">
        <f t="shared" si="6"/>
        <v>0</v>
      </c>
      <c r="W38" s="46">
        <f t="shared" si="18"/>
        <v>1</v>
      </c>
      <c r="X38" s="19"/>
      <c r="Y38" s="19"/>
      <c r="Z38" s="21">
        <f t="shared" si="27"/>
        <v>51</v>
      </c>
      <c r="AA38" s="22"/>
      <c r="AB38" s="60" t="s">
        <v>610</v>
      </c>
      <c r="AC38" s="95">
        <f t="shared" si="28"/>
        <v>412.748424</v>
      </c>
      <c r="AD38" s="23" t="s">
        <v>508</v>
      </c>
      <c r="AE38" s="2">
        <f t="shared" si="21"/>
        <v>5360.6730640000069</v>
      </c>
      <c r="AF38" s="24">
        <f t="shared" si="19"/>
        <v>0</v>
      </c>
      <c r="AG38" s="32">
        <f t="shared" si="29"/>
        <v>0</v>
      </c>
      <c r="AH38" s="22"/>
      <c r="AI38" s="22"/>
      <c r="AJ38" s="33">
        <f t="shared" si="30"/>
        <v>0</v>
      </c>
      <c r="AK38" s="79"/>
      <c r="AM38" s="64" t="s">
        <v>713</v>
      </c>
      <c r="AN38" s="64">
        <f t="shared" si="11"/>
        <v>3</v>
      </c>
      <c r="AP38" s="96" t="s">
        <v>822</v>
      </c>
      <c r="AQ38" s="64">
        <f t="shared" si="12"/>
        <v>0.8</v>
      </c>
    </row>
    <row r="39" spans="4:43" x14ac:dyDescent="0.25">
      <c r="D39" s="7">
        <v>37</v>
      </c>
      <c r="E39" s="93">
        <f t="shared" si="22"/>
        <v>6.0261371481189603E-2</v>
      </c>
      <c r="F39" s="94">
        <f t="shared" si="23"/>
        <v>7.4268136989112019</v>
      </c>
      <c r="G39" s="68" t="s">
        <v>81</v>
      </c>
      <c r="H39" s="75">
        <f t="shared" si="13"/>
        <v>279.63649211256183</v>
      </c>
      <c r="I39" s="10" t="s">
        <v>182</v>
      </c>
      <c r="J39" s="15">
        <f t="shared" si="14"/>
        <v>16177.227389656162</v>
      </c>
      <c r="K39" s="10" t="s">
        <v>283</v>
      </c>
      <c r="L39" s="17">
        <f t="shared" si="24"/>
        <v>73</v>
      </c>
      <c r="M39" s="10" t="s">
        <v>384</v>
      </c>
      <c r="N39" s="15">
        <f t="shared" si="20"/>
        <v>0</v>
      </c>
      <c r="O39" s="46">
        <f t="shared" si="16"/>
        <v>0</v>
      </c>
      <c r="P39" s="47">
        <f t="shared" si="17"/>
        <v>161.77227389656161</v>
      </c>
      <c r="Q39" s="19">
        <f t="shared" si="2"/>
        <v>0.96418194369903365</v>
      </c>
      <c r="R39" s="92">
        <f t="shared" si="25"/>
        <v>73606.38462293554</v>
      </c>
      <c r="S39" s="25">
        <f t="shared" si="26"/>
        <v>323706.32006701978</v>
      </c>
      <c r="T39" s="25">
        <f t="shared" si="5"/>
        <v>397312.70468995534</v>
      </c>
      <c r="U39" s="33"/>
      <c r="V39" s="33">
        <f t="shared" si="6"/>
        <v>0</v>
      </c>
      <c r="W39" s="46">
        <f t="shared" si="18"/>
        <v>1</v>
      </c>
      <c r="X39" s="19"/>
      <c r="Y39" s="19"/>
      <c r="Z39" s="21">
        <f t="shared" si="27"/>
        <v>51</v>
      </c>
      <c r="AA39" s="22"/>
      <c r="AB39" s="60" t="s">
        <v>611</v>
      </c>
      <c r="AC39" s="95">
        <f t="shared" si="28"/>
        <v>412.748424</v>
      </c>
      <c r="AD39" s="23" t="s">
        <v>509</v>
      </c>
      <c r="AE39" s="2">
        <f t="shared" si="21"/>
        <v>4947.9246400000065</v>
      </c>
      <c r="AF39" s="24">
        <f t="shared" si="19"/>
        <v>0</v>
      </c>
      <c r="AG39" s="32">
        <f t="shared" si="29"/>
        <v>0</v>
      </c>
      <c r="AH39" s="22"/>
      <c r="AI39" s="22"/>
      <c r="AJ39" s="33">
        <f t="shared" si="30"/>
        <v>0</v>
      </c>
      <c r="AK39" s="79"/>
      <c r="AM39" s="64" t="s">
        <v>714</v>
      </c>
      <c r="AN39" s="64">
        <f t="shared" si="11"/>
        <v>3</v>
      </c>
      <c r="AP39" s="96" t="s">
        <v>823</v>
      </c>
      <c r="AQ39" s="64">
        <f t="shared" si="12"/>
        <v>0.8</v>
      </c>
    </row>
    <row r="40" spans="4:43" x14ac:dyDescent="0.25">
      <c r="D40" s="7">
        <v>38</v>
      </c>
      <c r="E40" s="93">
        <f t="shared" si="22"/>
        <v>5.9658757766377704E-2</v>
      </c>
      <c r="F40" s="94">
        <f t="shared" si="23"/>
        <v>7.3525455619220894</v>
      </c>
      <c r="G40" s="68" t="s">
        <v>82</v>
      </c>
      <c r="H40" s="75">
        <f t="shared" si="13"/>
        <v>279.63649211256183</v>
      </c>
      <c r="I40" s="10" t="s">
        <v>183</v>
      </c>
      <c r="J40" s="15">
        <f t="shared" si="14"/>
        <v>16015.4551157596</v>
      </c>
      <c r="K40" s="10" t="s">
        <v>284</v>
      </c>
      <c r="L40" s="17">
        <f t="shared" si="24"/>
        <v>73</v>
      </c>
      <c r="M40" s="10" t="s">
        <v>385</v>
      </c>
      <c r="N40" s="15">
        <f t="shared" si="20"/>
        <v>0</v>
      </c>
      <c r="O40" s="46">
        <f t="shared" si="16"/>
        <v>0</v>
      </c>
      <c r="P40" s="47">
        <f t="shared" si="17"/>
        <v>160.15455115759599</v>
      </c>
      <c r="Q40" s="19">
        <f t="shared" si="2"/>
        <v>0.95454012426204327</v>
      </c>
      <c r="R40" s="92">
        <f t="shared" si="25"/>
        <v>72870.320776706183</v>
      </c>
      <c r="S40" s="25">
        <f t="shared" si="26"/>
        <v>320469.25686634961</v>
      </c>
      <c r="T40" s="25">
        <f t="shared" si="5"/>
        <v>393339.57764305582</v>
      </c>
      <c r="U40" s="33"/>
      <c r="V40" s="33">
        <f t="shared" si="6"/>
        <v>0</v>
      </c>
      <c r="W40" s="46">
        <f t="shared" si="18"/>
        <v>1</v>
      </c>
      <c r="X40" s="19"/>
      <c r="Y40" s="19"/>
      <c r="Z40" s="21">
        <f t="shared" si="27"/>
        <v>51</v>
      </c>
      <c r="AA40" s="22"/>
      <c r="AB40" s="60" t="s">
        <v>612</v>
      </c>
      <c r="AC40" s="95">
        <f t="shared" si="28"/>
        <v>412.748424</v>
      </c>
      <c r="AD40" s="23" t="s">
        <v>510</v>
      </c>
      <c r="AE40" s="2">
        <f t="shared" si="21"/>
        <v>4535.1762160000062</v>
      </c>
      <c r="AF40" s="24">
        <f t="shared" si="19"/>
        <v>0</v>
      </c>
      <c r="AG40" s="32">
        <f t="shared" si="29"/>
        <v>0</v>
      </c>
      <c r="AH40" s="22"/>
      <c r="AI40" s="22"/>
      <c r="AJ40" s="33">
        <f t="shared" si="30"/>
        <v>0</v>
      </c>
      <c r="AK40" s="79"/>
      <c r="AM40" s="64" t="s">
        <v>715</v>
      </c>
      <c r="AN40" s="64">
        <f t="shared" si="11"/>
        <v>3</v>
      </c>
      <c r="AP40" s="96" t="s">
        <v>824</v>
      </c>
      <c r="AQ40" s="64">
        <f t="shared" si="12"/>
        <v>0.8</v>
      </c>
    </row>
    <row r="41" spans="4:43" x14ac:dyDescent="0.25">
      <c r="D41" s="7">
        <v>39</v>
      </c>
      <c r="E41" s="93">
        <f t="shared" si="22"/>
        <v>5.9062170188713924E-2</v>
      </c>
      <c r="F41" s="94">
        <f t="shared" si="23"/>
        <v>7.2790201063028679</v>
      </c>
      <c r="G41" s="69" t="s">
        <v>83</v>
      </c>
      <c r="H41" s="75">
        <f t="shared" si="13"/>
        <v>279.63649211256183</v>
      </c>
      <c r="I41" s="31" t="s">
        <v>184</v>
      </c>
      <c r="J41" s="15">
        <f t="shared" si="14"/>
        <v>15855.300564602003</v>
      </c>
      <c r="K41" s="31" t="s">
        <v>285</v>
      </c>
      <c r="L41" s="17">
        <f t="shared" si="24"/>
        <v>73</v>
      </c>
      <c r="M41" s="31" t="s">
        <v>386</v>
      </c>
      <c r="N41" s="15">
        <f t="shared" si="20"/>
        <v>0</v>
      </c>
      <c r="O41" s="46">
        <f t="shared" si="16"/>
        <v>0</v>
      </c>
      <c r="P41" s="47">
        <f t="shared" si="17"/>
        <v>158.55300564602004</v>
      </c>
      <c r="Q41" s="19">
        <f t="shared" si="2"/>
        <v>0.94499472301942278</v>
      </c>
      <c r="R41" s="92">
        <f t="shared" si="25"/>
        <v>72141.617568939109</v>
      </c>
      <c r="S41" s="25">
        <f t="shared" si="26"/>
        <v>317264.5642976861</v>
      </c>
      <c r="T41" s="25">
        <f t="shared" si="5"/>
        <v>389406.18186662521</v>
      </c>
      <c r="U41" s="33"/>
      <c r="V41" s="33">
        <f t="shared" si="6"/>
        <v>0</v>
      </c>
      <c r="W41" s="46">
        <f t="shared" si="18"/>
        <v>1</v>
      </c>
      <c r="X41" s="19"/>
      <c r="Y41" s="19"/>
      <c r="Z41" s="21">
        <f t="shared" si="27"/>
        <v>51</v>
      </c>
      <c r="AA41" s="22"/>
      <c r="AB41" s="60" t="s">
        <v>613</v>
      </c>
      <c r="AC41" s="95">
        <f t="shared" si="28"/>
        <v>412.748424</v>
      </c>
      <c r="AD41" s="23" t="s">
        <v>511</v>
      </c>
      <c r="AE41" s="2">
        <f t="shared" si="21"/>
        <v>4122.4277920000059</v>
      </c>
      <c r="AF41" s="24">
        <f t="shared" si="19"/>
        <v>0</v>
      </c>
      <c r="AG41" s="32">
        <f t="shared" si="29"/>
        <v>0</v>
      </c>
      <c r="AH41" s="22"/>
      <c r="AI41" s="22"/>
      <c r="AJ41" s="33">
        <f t="shared" si="30"/>
        <v>0</v>
      </c>
      <c r="AK41" s="79"/>
      <c r="AM41" s="64" t="s">
        <v>716</v>
      </c>
      <c r="AN41" s="64">
        <f t="shared" si="11"/>
        <v>3</v>
      </c>
      <c r="AP41" s="96" t="s">
        <v>825</v>
      </c>
      <c r="AQ41" s="64">
        <f t="shared" si="12"/>
        <v>0.8</v>
      </c>
    </row>
    <row r="42" spans="4:43" x14ac:dyDescent="0.25">
      <c r="D42" s="9">
        <v>40</v>
      </c>
      <c r="E42" s="93">
        <f t="shared" si="22"/>
        <v>5.8471548486826785E-2</v>
      </c>
      <c r="F42" s="94">
        <f t="shared" si="23"/>
        <v>7.20622990523984</v>
      </c>
      <c r="G42" s="68" t="s">
        <v>84</v>
      </c>
      <c r="H42" s="77">
        <f t="shared" si="13"/>
        <v>279.63649211256183</v>
      </c>
      <c r="I42" s="10" t="s">
        <v>185</v>
      </c>
      <c r="J42" s="73">
        <f t="shared" si="14"/>
        <v>15696.747558955984</v>
      </c>
      <c r="K42" s="10" t="s">
        <v>286</v>
      </c>
      <c r="L42" s="16">
        <f t="shared" si="24"/>
        <v>73</v>
      </c>
      <c r="M42" s="10" t="s">
        <v>387</v>
      </c>
      <c r="N42" s="118">
        <f t="shared" si="20"/>
        <v>0</v>
      </c>
      <c r="O42" s="68">
        <f t="shared" si="16"/>
        <v>0</v>
      </c>
      <c r="P42" s="48">
        <f t="shared" si="17"/>
        <v>156.96747558955983</v>
      </c>
      <c r="Q42" s="18">
        <f t="shared" si="2"/>
        <v>0.93554477578922857</v>
      </c>
      <c r="R42" s="92">
        <f t="shared" si="25"/>
        <v>71420.201393249721</v>
      </c>
      <c r="S42" s="108">
        <f t="shared" si="26"/>
        <v>314091.91865470924</v>
      </c>
      <c r="T42" s="10">
        <f t="shared" si="5"/>
        <v>385512.12004795898</v>
      </c>
      <c r="U42" s="20"/>
      <c r="V42" s="20">
        <f t="shared" si="6"/>
        <v>0</v>
      </c>
      <c r="W42" s="115">
        <f t="shared" si="18"/>
        <v>1</v>
      </c>
      <c r="X42" s="18"/>
      <c r="Y42" s="18"/>
      <c r="Z42" s="49">
        <f t="shared" si="27"/>
        <v>51</v>
      </c>
      <c r="AA42" s="11"/>
      <c r="AB42" s="60" t="s">
        <v>614</v>
      </c>
      <c r="AC42" s="95">
        <f t="shared" si="28"/>
        <v>412.748424</v>
      </c>
      <c r="AD42" s="23" t="s">
        <v>512</v>
      </c>
      <c r="AE42" s="2">
        <f t="shared" si="21"/>
        <v>3709.679368000006</v>
      </c>
      <c r="AF42" s="24">
        <f t="shared" si="19"/>
        <v>0</v>
      </c>
      <c r="AG42" s="32">
        <f t="shared" si="29"/>
        <v>0</v>
      </c>
      <c r="AH42" s="11"/>
      <c r="AI42" s="11"/>
      <c r="AJ42" s="33">
        <f t="shared" si="30"/>
        <v>0</v>
      </c>
      <c r="AK42" s="79"/>
      <c r="AM42" s="86" t="s">
        <v>717</v>
      </c>
      <c r="AN42" s="87">
        <f t="shared" si="11"/>
        <v>3</v>
      </c>
      <c r="AP42" s="86" t="s">
        <v>826</v>
      </c>
      <c r="AQ42" s="64">
        <f t="shared" si="12"/>
        <v>0.8</v>
      </c>
    </row>
    <row r="43" spans="4:43" x14ac:dyDescent="0.25">
      <c r="D43" s="7">
        <v>41</v>
      </c>
      <c r="E43" s="93">
        <f t="shared" si="22"/>
        <v>5.7886833001958522E-2</v>
      </c>
      <c r="F43" s="94">
        <f t="shared" si="23"/>
        <v>7.1341676061874413</v>
      </c>
      <c r="G43" s="67" t="s">
        <v>85</v>
      </c>
      <c r="H43" s="75">
        <f t="shared" si="13"/>
        <v>279.63649211256183</v>
      </c>
      <c r="I43" s="26" t="s">
        <v>186</v>
      </c>
      <c r="J43" s="15">
        <f t="shared" si="14"/>
        <v>15539.780083366424</v>
      </c>
      <c r="K43" s="26" t="s">
        <v>287</v>
      </c>
      <c r="L43" s="17">
        <f t="shared" si="24"/>
        <v>73</v>
      </c>
      <c r="M43" s="26" t="s">
        <v>388</v>
      </c>
      <c r="N43" s="15">
        <f t="shared" si="20"/>
        <v>0</v>
      </c>
      <c r="O43" s="46">
        <f t="shared" si="16"/>
        <v>0</v>
      </c>
      <c r="P43" s="47">
        <f t="shared" si="17"/>
        <v>155.39780083366423</v>
      </c>
      <c r="Q43" s="19">
        <f t="shared" si="2"/>
        <v>0.92618932803133636</v>
      </c>
      <c r="R43" s="92">
        <f t="shared" si="25"/>
        <v>70705.999379317233</v>
      </c>
      <c r="S43" s="25">
        <f t="shared" si="26"/>
        <v>310950.99946816219</v>
      </c>
      <c r="T43" s="25">
        <f t="shared" si="5"/>
        <v>381656.99884747941</v>
      </c>
      <c r="U43" s="33"/>
      <c r="V43" s="33">
        <f t="shared" si="6"/>
        <v>0</v>
      </c>
      <c r="W43" s="46">
        <f t="shared" si="18"/>
        <v>1</v>
      </c>
      <c r="X43" s="19"/>
      <c r="Y43" s="19"/>
      <c r="Z43" s="21">
        <f t="shared" si="27"/>
        <v>51</v>
      </c>
      <c r="AA43" s="22"/>
      <c r="AB43" s="60" t="s">
        <v>615</v>
      </c>
      <c r="AC43" s="95">
        <f t="shared" si="28"/>
        <v>412.748424</v>
      </c>
      <c r="AD43" s="23" t="s">
        <v>513</v>
      </c>
      <c r="AE43" s="2">
        <f t="shared" si="21"/>
        <v>3296.9309440000061</v>
      </c>
      <c r="AF43" s="24">
        <f t="shared" si="19"/>
        <v>0</v>
      </c>
      <c r="AG43" s="32">
        <f t="shared" si="29"/>
        <v>0</v>
      </c>
      <c r="AH43" s="22"/>
      <c r="AI43" s="22"/>
      <c r="AJ43" s="33">
        <f t="shared" si="30"/>
        <v>0</v>
      </c>
      <c r="AK43" s="79"/>
      <c r="AM43" s="64" t="s">
        <v>718</v>
      </c>
      <c r="AN43" s="64">
        <f t="shared" si="11"/>
        <v>3</v>
      </c>
      <c r="AP43" s="96" t="s">
        <v>827</v>
      </c>
      <c r="AQ43" s="64">
        <f t="shared" si="12"/>
        <v>0.8</v>
      </c>
    </row>
    <row r="44" spans="4:43" x14ac:dyDescent="0.25">
      <c r="D44" s="7">
        <v>42</v>
      </c>
      <c r="E44" s="93">
        <f t="shared" si="22"/>
        <v>5.7307964671938945E-2</v>
      </c>
      <c r="F44" s="94">
        <f t="shared" si="23"/>
        <v>7.0628259301255678</v>
      </c>
      <c r="G44" s="68" t="s">
        <v>86</v>
      </c>
      <c r="H44" s="75">
        <f t="shared" si="13"/>
        <v>279.63649211256183</v>
      </c>
      <c r="I44" s="10" t="s">
        <v>187</v>
      </c>
      <c r="J44" s="15">
        <f t="shared" si="14"/>
        <v>15384.382282532761</v>
      </c>
      <c r="K44" s="10" t="s">
        <v>288</v>
      </c>
      <c r="L44" s="17">
        <f t="shared" si="24"/>
        <v>73</v>
      </c>
      <c r="M44" s="10" t="s">
        <v>389</v>
      </c>
      <c r="N44" s="15">
        <f t="shared" si="20"/>
        <v>0</v>
      </c>
      <c r="O44" s="46">
        <f t="shared" si="16"/>
        <v>0</v>
      </c>
      <c r="P44" s="47">
        <f t="shared" si="17"/>
        <v>153.84382282532761</v>
      </c>
      <c r="Q44" s="19">
        <f t="shared" si="2"/>
        <v>0.91692743475102301</v>
      </c>
      <c r="R44" s="92">
        <f t="shared" si="25"/>
        <v>69998.939385524063</v>
      </c>
      <c r="S44" s="25">
        <f t="shared" si="26"/>
        <v>307841.48947348056</v>
      </c>
      <c r="T44" s="25">
        <f t="shared" si="5"/>
        <v>377840.42885900463</v>
      </c>
      <c r="U44" s="33"/>
      <c r="V44" s="33">
        <f t="shared" si="6"/>
        <v>0</v>
      </c>
      <c r="W44" s="46">
        <f t="shared" si="18"/>
        <v>1</v>
      </c>
      <c r="X44" s="19"/>
      <c r="Y44" s="19"/>
      <c r="Z44" s="21">
        <f t="shared" si="27"/>
        <v>51</v>
      </c>
      <c r="AA44" s="22"/>
      <c r="AB44" s="60" t="s">
        <v>616</v>
      </c>
      <c r="AC44" s="95">
        <f t="shared" si="28"/>
        <v>412.748424</v>
      </c>
      <c r="AD44" s="23" t="s">
        <v>514</v>
      </c>
      <c r="AE44" s="2">
        <f t="shared" si="21"/>
        <v>2884.1825200000062</v>
      </c>
      <c r="AF44" s="24">
        <f t="shared" si="19"/>
        <v>0</v>
      </c>
      <c r="AG44" s="32">
        <f t="shared" si="29"/>
        <v>0</v>
      </c>
      <c r="AH44" s="22"/>
      <c r="AI44" s="22"/>
      <c r="AJ44" s="33">
        <f t="shared" si="30"/>
        <v>0</v>
      </c>
      <c r="AK44" s="79"/>
      <c r="AM44" s="64" t="s">
        <v>719</v>
      </c>
      <c r="AN44" s="64">
        <f t="shared" si="11"/>
        <v>3</v>
      </c>
      <c r="AP44" s="96" t="s">
        <v>828</v>
      </c>
      <c r="AQ44" s="64">
        <f t="shared" si="12"/>
        <v>0.8</v>
      </c>
    </row>
    <row r="45" spans="4:43" x14ac:dyDescent="0.25">
      <c r="D45" s="7">
        <v>43</v>
      </c>
      <c r="E45" s="93">
        <f t="shared" si="22"/>
        <v>5.6734885025219554E-2</v>
      </c>
      <c r="F45" s="94">
        <f t="shared" si="23"/>
        <v>6.9921976708243117</v>
      </c>
      <c r="G45" s="68" t="s">
        <v>87</v>
      </c>
      <c r="H45" s="75">
        <f t="shared" si="13"/>
        <v>279.63649211256183</v>
      </c>
      <c r="I45" s="10" t="s">
        <v>188</v>
      </c>
      <c r="J45" s="15">
        <f t="shared" si="14"/>
        <v>15230.538459707434</v>
      </c>
      <c r="K45" s="10" t="s">
        <v>289</v>
      </c>
      <c r="L45" s="17">
        <f t="shared" si="24"/>
        <v>73</v>
      </c>
      <c r="M45" s="10" t="s">
        <v>390</v>
      </c>
      <c r="N45" s="15">
        <f t="shared" si="20"/>
        <v>0</v>
      </c>
      <c r="O45" s="46">
        <f t="shared" si="16"/>
        <v>0</v>
      </c>
      <c r="P45" s="47">
        <f t="shared" si="17"/>
        <v>152.30538459707435</v>
      </c>
      <c r="Q45" s="19">
        <f t="shared" si="2"/>
        <v>0.90775816040351276</v>
      </c>
      <c r="R45" s="92">
        <f t="shared" si="25"/>
        <v>69298.949991668822</v>
      </c>
      <c r="S45" s="25">
        <f t="shared" si="26"/>
        <v>304763.07457874576</v>
      </c>
      <c r="T45" s="25">
        <f t="shared" si="5"/>
        <v>374062.02457041456</v>
      </c>
      <c r="U45" s="33"/>
      <c r="V45" s="33">
        <f t="shared" si="6"/>
        <v>0</v>
      </c>
      <c r="W45" s="46">
        <f t="shared" si="18"/>
        <v>1</v>
      </c>
      <c r="X45" s="19"/>
      <c r="Y45" s="19"/>
      <c r="Z45" s="21">
        <f t="shared" si="27"/>
        <v>51</v>
      </c>
      <c r="AA45" s="22"/>
      <c r="AB45" s="60" t="s">
        <v>617</v>
      </c>
      <c r="AC45" s="95">
        <f t="shared" si="28"/>
        <v>412.748424</v>
      </c>
      <c r="AD45" s="23" t="s">
        <v>515</v>
      </c>
      <c r="AE45" s="2">
        <f t="shared" si="21"/>
        <v>2471.4340960000063</v>
      </c>
      <c r="AF45" s="24">
        <f t="shared" si="19"/>
        <v>0</v>
      </c>
      <c r="AG45" s="32">
        <f t="shared" si="29"/>
        <v>0</v>
      </c>
      <c r="AH45" s="22"/>
      <c r="AI45" s="22"/>
      <c r="AJ45" s="33">
        <f t="shared" si="30"/>
        <v>0</v>
      </c>
      <c r="AK45" s="79"/>
      <c r="AM45" s="64" t="s">
        <v>720</v>
      </c>
      <c r="AN45" s="64">
        <f t="shared" si="11"/>
        <v>3</v>
      </c>
      <c r="AP45" s="96" t="s">
        <v>829</v>
      </c>
      <c r="AQ45" s="64">
        <f t="shared" si="12"/>
        <v>0.8</v>
      </c>
    </row>
    <row r="46" spans="4:43" x14ac:dyDescent="0.25">
      <c r="D46" s="7">
        <v>44</v>
      </c>
      <c r="E46" s="93">
        <f t="shared" si="22"/>
        <v>5.6167536174967364E-2</v>
      </c>
      <c r="F46" s="94">
        <f t="shared" si="23"/>
        <v>6.9222756941160695</v>
      </c>
      <c r="G46" s="69" t="s">
        <v>88</v>
      </c>
      <c r="H46" s="75">
        <f t="shared" si="13"/>
        <v>279.63649211256183</v>
      </c>
      <c r="I46" s="31" t="s">
        <v>189</v>
      </c>
      <c r="J46" s="15">
        <f t="shared" si="14"/>
        <v>15078.23307511036</v>
      </c>
      <c r="K46" s="31" t="s">
        <v>290</v>
      </c>
      <c r="L46" s="17">
        <f t="shared" si="24"/>
        <v>73</v>
      </c>
      <c r="M46" s="31" t="s">
        <v>391</v>
      </c>
      <c r="N46" s="15">
        <f t="shared" si="20"/>
        <v>0</v>
      </c>
      <c r="O46" s="46">
        <f t="shared" si="16"/>
        <v>0</v>
      </c>
      <c r="P46" s="47">
        <f t="shared" si="17"/>
        <v>150.78233075110361</v>
      </c>
      <c r="Q46" s="19">
        <f t="shared" si="2"/>
        <v>0.89868057879947771</v>
      </c>
      <c r="R46" s="92">
        <f t="shared" si="25"/>
        <v>68605.96049175215</v>
      </c>
      <c r="S46" s="25">
        <f t="shared" si="26"/>
        <v>301715.44383295835</v>
      </c>
      <c r="T46" s="25">
        <f t="shared" si="5"/>
        <v>370321.40432471049</v>
      </c>
      <c r="U46" s="33"/>
      <c r="V46" s="33">
        <f t="shared" si="6"/>
        <v>0</v>
      </c>
      <c r="W46" s="46">
        <f t="shared" si="18"/>
        <v>1</v>
      </c>
      <c r="X46" s="19"/>
      <c r="Y46" s="19"/>
      <c r="Z46" s="21">
        <f t="shared" si="27"/>
        <v>51</v>
      </c>
      <c r="AA46" s="22"/>
      <c r="AB46" s="60" t="s">
        <v>618</v>
      </c>
      <c r="AC46" s="95">
        <f t="shared" si="28"/>
        <v>412.748424</v>
      </c>
      <c r="AD46" s="23" t="s">
        <v>516</v>
      </c>
      <c r="AE46" s="2">
        <f t="shared" si="21"/>
        <v>2058.6856720000064</v>
      </c>
      <c r="AF46" s="24">
        <f t="shared" si="19"/>
        <v>0</v>
      </c>
      <c r="AG46" s="32">
        <f t="shared" si="29"/>
        <v>0</v>
      </c>
      <c r="AH46" s="22"/>
      <c r="AI46" s="22"/>
      <c r="AJ46" s="33">
        <f t="shared" si="30"/>
        <v>0</v>
      </c>
      <c r="AK46" s="79"/>
      <c r="AM46" s="64" t="s">
        <v>721</v>
      </c>
      <c r="AN46" s="64">
        <f t="shared" si="11"/>
        <v>3</v>
      </c>
      <c r="AP46" s="96" t="s">
        <v>830</v>
      </c>
      <c r="AQ46" s="64">
        <f t="shared" si="12"/>
        <v>0.8</v>
      </c>
    </row>
    <row r="47" spans="4:43" x14ac:dyDescent="0.25">
      <c r="D47" s="9">
        <v>45</v>
      </c>
      <c r="E47" s="93">
        <f t="shared" si="22"/>
        <v>5.5605860813217681E-2</v>
      </c>
      <c r="F47" s="94">
        <f t="shared" si="23"/>
        <v>6.8530529371749074</v>
      </c>
      <c r="G47" s="68" t="s">
        <v>89</v>
      </c>
      <c r="H47" s="77">
        <f t="shared" si="13"/>
        <v>279.63649211256183</v>
      </c>
      <c r="I47" s="10" t="s">
        <v>190</v>
      </c>
      <c r="J47" s="73">
        <f t="shared" si="14"/>
        <v>14927.450744359256</v>
      </c>
      <c r="K47" s="10" t="s">
        <v>291</v>
      </c>
      <c r="L47" s="16">
        <f t="shared" si="24"/>
        <v>73</v>
      </c>
      <c r="M47" s="10" t="s">
        <v>392</v>
      </c>
      <c r="N47" s="108">
        <f t="shared" si="20"/>
        <v>0</v>
      </c>
      <c r="O47" s="68">
        <f t="shared" si="16"/>
        <v>0</v>
      </c>
      <c r="P47" s="48">
        <f t="shared" si="17"/>
        <v>149.27450744359257</v>
      </c>
      <c r="Q47" s="18">
        <f t="shared" si="2"/>
        <v>0.88969377301148289</v>
      </c>
      <c r="R47" s="92">
        <f t="shared" si="25"/>
        <v>67919.900886834614</v>
      </c>
      <c r="S47" s="108">
        <f t="shared" si="26"/>
        <v>298698.28939462872</v>
      </c>
      <c r="T47" s="10">
        <f t="shared" si="5"/>
        <v>366618.19028146332</v>
      </c>
      <c r="U47" s="20"/>
      <c r="V47" s="20">
        <f t="shared" si="6"/>
        <v>0</v>
      </c>
      <c r="W47" s="115">
        <f t="shared" si="18"/>
        <v>1</v>
      </c>
      <c r="X47" s="18"/>
      <c r="Y47" s="18"/>
      <c r="Z47" s="49">
        <f t="shared" si="27"/>
        <v>51</v>
      </c>
      <c r="AA47" s="11"/>
      <c r="AB47" s="60" t="s">
        <v>619</v>
      </c>
      <c r="AC47" s="95">
        <f t="shared" si="28"/>
        <v>412.748424</v>
      </c>
      <c r="AD47" s="23" t="s">
        <v>517</v>
      </c>
      <c r="AE47" s="2">
        <f t="shared" si="21"/>
        <v>1645.9372480000065</v>
      </c>
      <c r="AF47" s="24">
        <f t="shared" si="19"/>
        <v>0</v>
      </c>
      <c r="AG47" s="32">
        <f t="shared" si="29"/>
        <v>0</v>
      </c>
      <c r="AH47" s="11"/>
      <c r="AI47" s="11"/>
      <c r="AJ47" s="33">
        <f t="shared" si="30"/>
        <v>0</v>
      </c>
      <c r="AK47" s="79"/>
      <c r="AM47" s="86" t="s">
        <v>722</v>
      </c>
      <c r="AN47" s="87">
        <f t="shared" si="11"/>
        <v>3</v>
      </c>
      <c r="AP47" s="86" t="s">
        <v>831</v>
      </c>
      <c r="AQ47" s="64">
        <f t="shared" si="12"/>
        <v>0.8</v>
      </c>
    </row>
    <row r="48" spans="4:43" x14ac:dyDescent="0.25">
      <c r="D48" s="7">
        <v>46</v>
      </c>
      <c r="E48" s="93">
        <f t="shared" si="22"/>
        <v>5.5049802205085499E-2</v>
      </c>
      <c r="F48" s="94">
        <f t="shared" si="23"/>
        <v>6.7845224078031583</v>
      </c>
      <c r="G48" s="67" t="s">
        <v>90</v>
      </c>
      <c r="H48" s="75">
        <f t="shared" si="13"/>
        <v>279.63649211256183</v>
      </c>
      <c r="I48" s="26" t="s">
        <v>191</v>
      </c>
      <c r="J48" s="15">
        <f t="shared" si="14"/>
        <v>14778.176236915662</v>
      </c>
      <c r="K48" s="26" t="s">
        <v>292</v>
      </c>
      <c r="L48" s="17">
        <f t="shared" si="24"/>
        <v>73</v>
      </c>
      <c r="M48" s="26" t="s">
        <v>393</v>
      </c>
      <c r="N48" s="15">
        <f t="shared" si="20"/>
        <v>0</v>
      </c>
      <c r="O48" s="46">
        <f t="shared" si="16"/>
        <v>0</v>
      </c>
      <c r="P48" s="47">
        <f t="shared" si="17"/>
        <v>147.78176236915664</v>
      </c>
      <c r="Q48" s="19">
        <f t="shared" si="2"/>
        <v>0.88079683528136798</v>
      </c>
      <c r="R48" s="92">
        <f t="shared" si="25"/>
        <v>67240.701877966261</v>
      </c>
      <c r="S48" s="25">
        <f t="shared" si="26"/>
        <v>295711.30650068243</v>
      </c>
      <c r="T48" s="25">
        <f t="shared" si="5"/>
        <v>362952.00837864866</v>
      </c>
      <c r="U48" s="33"/>
      <c r="V48" s="33">
        <f t="shared" si="6"/>
        <v>0</v>
      </c>
      <c r="W48" s="46">
        <f t="shared" si="18"/>
        <v>1</v>
      </c>
      <c r="X48" s="19"/>
      <c r="Y48" s="19"/>
      <c r="Z48" s="21">
        <f t="shared" si="27"/>
        <v>51</v>
      </c>
      <c r="AA48" s="22"/>
      <c r="AB48" s="60" t="s">
        <v>620</v>
      </c>
      <c r="AC48" s="95">
        <f t="shared" si="28"/>
        <v>412.748424</v>
      </c>
      <c r="AD48" s="23" t="s">
        <v>518</v>
      </c>
      <c r="AE48" s="2">
        <f t="shared" si="21"/>
        <v>1233.1888240000067</v>
      </c>
      <c r="AF48" s="24">
        <f t="shared" si="19"/>
        <v>0</v>
      </c>
      <c r="AG48" s="32">
        <f t="shared" si="29"/>
        <v>0</v>
      </c>
      <c r="AH48" s="22"/>
      <c r="AI48" s="22"/>
      <c r="AJ48" s="33">
        <f t="shared" si="30"/>
        <v>0</v>
      </c>
      <c r="AK48" s="79"/>
      <c r="AM48" s="64" t="s">
        <v>723</v>
      </c>
      <c r="AN48" s="64">
        <f t="shared" si="11"/>
        <v>3</v>
      </c>
      <c r="AP48" s="96" t="s">
        <v>832</v>
      </c>
      <c r="AQ48" s="64">
        <f t="shared" si="12"/>
        <v>0.8</v>
      </c>
    </row>
    <row r="49" spans="4:43" x14ac:dyDescent="0.25">
      <c r="D49" s="7">
        <v>47</v>
      </c>
      <c r="E49" s="93">
        <f t="shared" si="22"/>
        <v>5.4499304183034641E-2</v>
      </c>
      <c r="F49" s="94">
        <f t="shared" si="23"/>
        <v>6.7166771837251256</v>
      </c>
      <c r="G49" s="68" t="s">
        <v>91</v>
      </c>
      <c r="H49" s="75">
        <f t="shared" si="13"/>
        <v>279.63649211256183</v>
      </c>
      <c r="I49" s="10" t="s">
        <v>192</v>
      </c>
      <c r="J49" s="15">
        <f t="shared" si="14"/>
        <v>14630.394474546505</v>
      </c>
      <c r="K49" s="10" t="s">
        <v>293</v>
      </c>
      <c r="L49" s="17">
        <f t="shared" si="24"/>
        <v>73</v>
      </c>
      <c r="M49" s="10" t="s">
        <v>394</v>
      </c>
      <c r="N49" s="15">
        <f t="shared" si="20"/>
        <v>0</v>
      </c>
      <c r="O49" s="46">
        <f t="shared" si="16"/>
        <v>0</v>
      </c>
      <c r="P49" s="47">
        <f t="shared" si="17"/>
        <v>146.30394474546506</v>
      </c>
      <c r="Q49" s="19">
        <f t="shared" si="2"/>
        <v>0.87198886692855426</v>
      </c>
      <c r="R49" s="92">
        <f t="shared" si="25"/>
        <v>66568.294859186601</v>
      </c>
      <c r="S49" s="25">
        <f t="shared" si="26"/>
        <v>292754.19343567552</v>
      </c>
      <c r="T49" s="25">
        <f t="shared" si="5"/>
        <v>359322.48829486209</v>
      </c>
      <c r="U49" s="33"/>
      <c r="V49" s="33">
        <f t="shared" si="6"/>
        <v>0</v>
      </c>
      <c r="W49" s="46">
        <f t="shared" si="18"/>
        <v>1</v>
      </c>
      <c r="X49" s="19"/>
      <c r="Y49" s="19"/>
      <c r="Z49" s="21">
        <f t="shared" si="27"/>
        <v>51</v>
      </c>
      <c r="AA49" s="22"/>
      <c r="AB49" s="60" t="s">
        <v>621</v>
      </c>
      <c r="AC49" s="95">
        <f t="shared" si="28"/>
        <v>412.748424</v>
      </c>
      <c r="AD49" s="23" t="s">
        <v>519</v>
      </c>
      <c r="AE49" s="2">
        <f t="shared" si="21"/>
        <v>820.44040000000666</v>
      </c>
      <c r="AF49" s="24">
        <f t="shared" si="19"/>
        <v>0</v>
      </c>
      <c r="AG49" s="32">
        <f t="shared" si="29"/>
        <v>0</v>
      </c>
      <c r="AH49" s="22"/>
      <c r="AI49" s="22"/>
      <c r="AJ49" s="33">
        <f t="shared" si="30"/>
        <v>0</v>
      </c>
      <c r="AK49" s="79"/>
      <c r="AM49" s="64" t="s">
        <v>724</v>
      </c>
      <c r="AN49" s="64">
        <f t="shared" si="11"/>
        <v>3</v>
      </c>
      <c r="AP49" s="96" t="s">
        <v>833</v>
      </c>
      <c r="AQ49" s="64">
        <f t="shared" si="12"/>
        <v>0.8</v>
      </c>
    </row>
    <row r="50" spans="4:43" x14ac:dyDescent="0.25">
      <c r="D50" s="7">
        <v>48</v>
      </c>
      <c r="E50" s="93">
        <f t="shared" si="22"/>
        <v>5.3954311141204296E-2</v>
      </c>
      <c r="F50" s="94">
        <f t="shared" si="23"/>
        <v>6.6495104118878752</v>
      </c>
      <c r="G50" s="68" t="s">
        <v>92</v>
      </c>
      <c r="H50" s="75">
        <f t="shared" si="13"/>
        <v>279.63649211256183</v>
      </c>
      <c r="I50" s="10" t="s">
        <v>193</v>
      </c>
      <c r="J50" s="15">
        <f t="shared" si="14"/>
        <v>14484.09052980104</v>
      </c>
      <c r="K50" s="10" t="s">
        <v>294</v>
      </c>
      <c r="L50" s="17">
        <f t="shared" si="24"/>
        <v>73</v>
      </c>
      <c r="M50" s="10" t="s">
        <v>395</v>
      </c>
      <c r="N50" s="15">
        <f t="shared" si="20"/>
        <v>0</v>
      </c>
      <c r="O50" s="46">
        <f t="shared" si="16"/>
        <v>0</v>
      </c>
      <c r="P50" s="47">
        <f t="shared" si="17"/>
        <v>144.8409052980104</v>
      </c>
      <c r="Q50" s="19">
        <f t="shared" si="2"/>
        <v>0.86326897825926874</v>
      </c>
      <c r="R50" s="92">
        <f t="shared" si="25"/>
        <v>65902.611910594729</v>
      </c>
      <c r="S50" s="25">
        <f t="shared" si="26"/>
        <v>289826.65150131879</v>
      </c>
      <c r="T50" s="25">
        <f t="shared" si="5"/>
        <v>355729.26341191353</v>
      </c>
      <c r="U50" s="33"/>
      <c r="V50" s="33">
        <f t="shared" si="6"/>
        <v>0</v>
      </c>
      <c r="W50" s="46">
        <f t="shared" si="18"/>
        <v>1</v>
      </c>
      <c r="X50" s="19"/>
      <c r="Y50" s="19"/>
      <c r="Z50" s="21">
        <f t="shared" si="27"/>
        <v>51</v>
      </c>
      <c r="AA50" s="22"/>
      <c r="AB50" s="60" t="s">
        <v>622</v>
      </c>
      <c r="AC50" s="95">
        <f t="shared" si="28"/>
        <v>412.748424</v>
      </c>
      <c r="AD50" s="23" t="s">
        <v>520</v>
      </c>
      <c r="AE50" s="2">
        <f t="shared" si="21"/>
        <v>407.69197600000666</v>
      </c>
      <c r="AF50" s="24">
        <f t="shared" si="19"/>
        <v>0</v>
      </c>
      <c r="AG50" s="32">
        <f t="shared" si="29"/>
        <v>0</v>
      </c>
      <c r="AH50" s="22"/>
      <c r="AI50" s="22"/>
      <c r="AJ50" s="33">
        <f t="shared" si="30"/>
        <v>0</v>
      </c>
      <c r="AK50" s="79"/>
      <c r="AM50" s="64" t="s">
        <v>725</v>
      </c>
      <c r="AN50" s="64">
        <f t="shared" si="11"/>
        <v>3</v>
      </c>
      <c r="AP50" s="96" t="s">
        <v>834</v>
      </c>
      <c r="AQ50" s="64">
        <f t="shared" si="12"/>
        <v>0.8</v>
      </c>
    </row>
    <row r="51" spans="4:43" x14ac:dyDescent="0.25">
      <c r="D51" s="7">
        <v>49</v>
      </c>
      <c r="E51" s="104">
        <f t="shared" si="22"/>
        <v>5.341476802979226E-2</v>
      </c>
      <c r="F51" s="105">
        <f t="shared" si="23"/>
        <v>6.5830153077689975</v>
      </c>
      <c r="G51" s="69" t="s">
        <v>93</v>
      </c>
      <c r="H51" s="75">
        <f t="shared" si="13"/>
        <v>279.63649211256183</v>
      </c>
      <c r="I51" s="31" t="s">
        <v>194</v>
      </c>
      <c r="J51" s="15">
        <f t="shared" si="14"/>
        <v>14339.249624503031</v>
      </c>
      <c r="K51" s="31" t="s">
        <v>295</v>
      </c>
      <c r="L51" s="17">
        <f t="shared" si="24"/>
        <v>73</v>
      </c>
      <c r="M51" s="31" t="s">
        <v>396</v>
      </c>
      <c r="N51" s="15">
        <f t="shared" si="20"/>
        <v>0</v>
      </c>
      <c r="O51" s="46">
        <f t="shared" si="16"/>
        <v>0</v>
      </c>
      <c r="P51" s="47">
        <f t="shared" si="17"/>
        <v>143.39249624503032</v>
      </c>
      <c r="Q51" s="19">
        <f t="shared" si="2"/>
        <v>0.85463628847667616</v>
      </c>
      <c r="R51" s="106">
        <f t="shared" si="25"/>
        <v>65243.585791488797</v>
      </c>
      <c r="S51" s="25">
        <f t="shared" si="26"/>
        <v>286928.38498630567</v>
      </c>
      <c r="T51" s="25">
        <f t="shared" si="5"/>
        <v>352171.97077779449</v>
      </c>
      <c r="U51" s="33"/>
      <c r="V51" s="33">
        <f t="shared" si="6"/>
        <v>0</v>
      </c>
      <c r="W51" s="46">
        <f t="shared" si="18"/>
        <v>1</v>
      </c>
      <c r="X51" s="19"/>
      <c r="Y51" s="19"/>
      <c r="Z51" s="21">
        <f t="shared" si="27"/>
        <v>51</v>
      </c>
      <c r="AA51" s="22"/>
      <c r="AB51" s="107" t="s">
        <v>623</v>
      </c>
      <c r="AC51" s="95">
        <f t="shared" si="28"/>
        <v>412.748424</v>
      </c>
      <c r="AD51" s="23" t="s">
        <v>521</v>
      </c>
      <c r="AE51" s="2">
        <f t="shared" si="21"/>
        <v>0</v>
      </c>
      <c r="AF51" s="24">
        <f t="shared" si="19"/>
        <v>0</v>
      </c>
      <c r="AG51" s="32">
        <f t="shared" si="29"/>
        <v>0</v>
      </c>
      <c r="AH51" s="22"/>
      <c r="AI51" s="22"/>
      <c r="AJ51" s="33">
        <f t="shared" si="30"/>
        <v>0</v>
      </c>
      <c r="AK51" s="79"/>
      <c r="AM51" s="64" t="s">
        <v>726</v>
      </c>
      <c r="AN51" s="64">
        <f t="shared" si="11"/>
        <v>3</v>
      </c>
      <c r="AP51" s="96" t="s">
        <v>835</v>
      </c>
      <c r="AQ51" s="64">
        <f t="shared" si="12"/>
        <v>0.8</v>
      </c>
    </row>
    <row r="52" spans="4:43" x14ac:dyDescent="0.25">
      <c r="D52" s="50">
        <v>50</v>
      </c>
      <c r="E52" s="93">
        <f t="shared" si="22"/>
        <v>5.2880620349494332E-2</v>
      </c>
      <c r="F52" s="94">
        <f t="shared" si="23"/>
        <v>6.5171851546913064</v>
      </c>
      <c r="G52" s="66" t="s">
        <v>94</v>
      </c>
      <c r="H52" s="78">
        <f t="shared" si="13"/>
        <v>279.63649211256183</v>
      </c>
      <c r="I52" s="52" t="s">
        <v>195</v>
      </c>
      <c r="J52" s="62">
        <f t="shared" si="14"/>
        <v>14195.857128258</v>
      </c>
      <c r="K52" s="52" t="s">
        <v>296</v>
      </c>
      <c r="L52" s="53">
        <f t="shared" si="24"/>
        <v>73</v>
      </c>
      <c r="M52" s="52" t="s">
        <v>397</v>
      </c>
      <c r="N52" s="108">
        <f t="shared" si="20"/>
        <v>0</v>
      </c>
      <c r="O52" s="109">
        <f t="shared" si="16"/>
        <v>0</v>
      </c>
      <c r="P52" s="54">
        <f t="shared" si="17"/>
        <v>141.95857128258001</v>
      </c>
      <c r="Q52" s="55">
        <f t="shared" si="2"/>
        <v>0.84608992559190932</v>
      </c>
      <c r="R52" s="92">
        <f t="shared" si="25"/>
        <v>64591.149933573899</v>
      </c>
      <c r="S52" s="10">
        <f t="shared" si="26"/>
        <v>284059.10113644256</v>
      </c>
      <c r="T52" s="52">
        <f t="shared" si="5"/>
        <v>348650.25107001647</v>
      </c>
      <c r="U52" s="56"/>
      <c r="V52" s="56">
        <f t="shared" si="6"/>
        <v>0</v>
      </c>
      <c r="W52" s="109">
        <f t="shared" si="18"/>
        <v>1</v>
      </c>
      <c r="X52" s="55"/>
      <c r="Y52" s="55"/>
      <c r="Z52" s="57">
        <f t="shared" si="27"/>
        <v>51</v>
      </c>
      <c r="AA52" s="58"/>
      <c r="AB52" s="60" t="s">
        <v>624</v>
      </c>
      <c r="AC52" s="110">
        <f t="shared" si="28"/>
        <v>412.748424</v>
      </c>
      <c r="AD52" s="111" t="s">
        <v>522</v>
      </c>
      <c r="AE52" s="112">
        <f t="shared" si="21"/>
        <v>0</v>
      </c>
      <c r="AF52" s="113">
        <f t="shared" si="19"/>
        <v>0</v>
      </c>
      <c r="AG52" s="114">
        <f t="shared" si="29"/>
        <v>0</v>
      </c>
      <c r="AH52" s="58"/>
      <c r="AI52" s="58"/>
      <c r="AJ52" s="20">
        <f t="shared" si="30"/>
        <v>0</v>
      </c>
      <c r="AK52" s="102"/>
      <c r="AL52" s="11"/>
      <c r="AM52" s="83" t="s">
        <v>727</v>
      </c>
      <c r="AN52" s="87">
        <f t="shared" si="11"/>
        <v>3</v>
      </c>
      <c r="AP52" s="86" t="s">
        <v>836</v>
      </c>
      <c r="AQ52" s="64">
        <f t="shared" si="12"/>
        <v>0.8</v>
      </c>
    </row>
    <row r="53" spans="4:43" x14ac:dyDescent="0.25">
      <c r="D53" s="7">
        <v>51</v>
      </c>
      <c r="E53" s="97">
        <f t="shared" si="22"/>
        <v>5.2351814145999397E-2</v>
      </c>
      <c r="F53" s="98">
        <f t="shared" si="23"/>
        <v>6.452013303144394</v>
      </c>
      <c r="G53" s="67" t="s">
        <v>95</v>
      </c>
      <c r="H53" s="75">
        <f t="shared" si="13"/>
        <v>279.63649211256183</v>
      </c>
      <c r="I53" s="26" t="s">
        <v>196</v>
      </c>
      <c r="J53" s="15">
        <f t="shared" si="14"/>
        <v>14053.89855697542</v>
      </c>
      <c r="K53" s="26" t="s">
        <v>297</v>
      </c>
      <c r="L53" s="17">
        <f t="shared" si="24"/>
        <v>73</v>
      </c>
      <c r="M53" s="26" t="s">
        <v>398</v>
      </c>
      <c r="N53" s="15">
        <f t="shared" si="20"/>
        <v>0</v>
      </c>
      <c r="O53" s="46">
        <f t="shared" si="16"/>
        <v>0</v>
      </c>
      <c r="P53" s="47">
        <f t="shared" si="17"/>
        <v>140.5389855697542</v>
      </c>
      <c r="Q53" s="19">
        <f t="shared" si="2"/>
        <v>0.83762902633599023</v>
      </c>
      <c r="R53" s="99">
        <f t="shared" si="25"/>
        <v>63945.23843423817</v>
      </c>
      <c r="S53" s="25">
        <f t="shared" si="26"/>
        <v>281218.5101250782</v>
      </c>
      <c r="T53" s="25">
        <f t="shared" si="5"/>
        <v>345163.74855931639</v>
      </c>
      <c r="U53" s="33"/>
      <c r="V53" s="33">
        <f t="shared" si="6"/>
        <v>0</v>
      </c>
      <c r="W53" s="46">
        <f t="shared" si="18"/>
        <v>1</v>
      </c>
      <c r="X53" s="19"/>
      <c r="Y53" s="19"/>
      <c r="Z53" s="21">
        <f t="shared" si="27"/>
        <v>51</v>
      </c>
      <c r="AA53" s="22"/>
      <c r="AB53" s="100" t="s">
        <v>625</v>
      </c>
      <c r="AC53" s="95">
        <f t="shared" si="28"/>
        <v>412.748424</v>
      </c>
      <c r="AD53" s="23" t="s">
        <v>523</v>
      </c>
      <c r="AE53" s="2">
        <f t="shared" si="21"/>
        <v>0</v>
      </c>
      <c r="AF53" s="24">
        <f t="shared" si="19"/>
        <v>0</v>
      </c>
      <c r="AG53" s="32">
        <f t="shared" si="29"/>
        <v>0</v>
      </c>
      <c r="AH53" s="22"/>
      <c r="AI53" s="22"/>
      <c r="AJ53" s="33">
        <f t="shared" si="30"/>
        <v>0</v>
      </c>
      <c r="AK53" s="101"/>
      <c r="AM53" s="64" t="s">
        <v>728</v>
      </c>
      <c r="AN53" s="64">
        <f t="shared" si="11"/>
        <v>3</v>
      </c>
      <c r="AP53" s="96" t="s">
        <v>837</v>
      </c>
      <c r="AQ53" s="64">
        <f t="shared" si="12"/>
        <v>0.8</v>
      </c>
    </row>
    <row r="54" spans="4:43" x14ac:dyDescent="0.25">
      <c r="D54" s="7">
        <v>52</v>
      </c>
      <c r="E54" s="93">
        <f t="shared" si="22"/>
        <v>5.1828296004539399E-2</v>
      </c>
      <c r="F54" s="94">
        <f t="shared" si="23"/>
        <v>6.3874931701129496</v>
      </c>
      <c r="G54" s="68" t="s">
        <v>96</v>
      </c>
      <c r="H54" s="75">
        <f t="shared" si="13"/>
        <v>279.63649211256183</v>
      </c>
      <c r="I54" s="10" t="s">
        <v>197</v>
      </c>
      <c r="J54" s="15">
        <f t="shared" si="14"/>
        <v>13913.359571405666</v>
      </c>
      <c r="K54" s="10" t="s">
        <v>298</v>
      </c>
      <c r="L54" s="17">
        <f t="shared" si="24"/>
        <v>73</v>
      </c>
      <c r="M54" s="10" t="s">
        <v>399</v>
      </c>
      <c r="N54" s="15">
        <f t="shared" si="20"/>
        <v>0</v>
      </c>
      <c r="O54" s="46">
        <f t="shared" si="16"/>
        <v>0</v>
      </c>
      <c r="P54" s="47">
        <f t="shared" si="17"/>
        <v>139.13359571405667</v>
      </c>
      <c r="Q54" s="19">
        <f t="shared" si="2"/>
        <v>0.82925273607263039</v>
      </c>
      <c r="R54" s="92">
        <f t="shared" si="25"/>
        <v>63305.786049895782</v>
      </c>
      <c r="S54" s="25">
        <f t="shared" si="26"/>
        <v>278406.32502382738</v>
      </c>
      <c r="T54" s="25">
        <f t="shared" si="5"/>
        <v>341712.11107372318</v>
      </c>
      <c r="U54" s="33"/>
      <c r="V54" s="33">
        <f t="shared" si="6"/>
        <v>0</v>
      </c>
      <c r="W54" s="46">
        <f t="shared" si="18"/>
        <v>1</v>
      </c>
      <c r="X54" s="19"/>
      <c r="Y54" s="19"/>
      <c r="Z54" s="21">
        <f t="shared" si="27"/>
        <v>51</v>
      </c>
      <c r="AA54" s="22"/>
      <c r="AB54" s="60" t="s">
        <v>626</v>
      </c>
      <c r="AC54" s="95">
        <f t="shared" si="28"/>
        <v>412.748424</v>
      </c>
      <c r="AD54" s="23" t="s">
        <v>524</v>
      </c>
      <c r="AE54" s="2">
        <f t="shared" si="21"/>
        <v>0</v>
      </c>
      <c r="AF54" s="24">
        <f t="shared" si="19"/>
        <v>0</v>
      </c>
      <c r="AG54" s="32">
        <f t="shared" si="29"/>
        <v>0</v>
      </c>
      <c r="AH54" s="22"/>
      <c r="AI54" s="22"/>
      <c r="AJ54" s="33">
        <f t="shared" si="30"/>
        <v>0</v>
      </c>
      <c r="AK54" s="79"/>
      <c r="AM54" s="64" t="s">
        <v>729</v>
      </c>
      <c r="AN54" s="64">
        <f t="shared" si="11"/>
        <v>3</v>
      </c>
      <c r="AP54" s="96" t="s">
        <v>838</v>
      </c>
      <c r="AQ54" s="64">
        <f t="shared" si="12"/>
        <v>0.8</v>
      </c>
    </row>
    <row r="55" spans="4:43" x14ac:dyDescent="0.25">
      <c r="D55" s="7">
        <v>53</v>
      </c>
      <c r="E55" s="93">
        <f t="shared" si="22"/>
        <v>5.1310013044494007E-2</v>
      </c>
      <c r="F55" s="94">
        <f t="shared" si="23"/>
        <v>6.3236182384118207</v>
      </c>
      <c r="G55" s="68" t="s">
        <v>97</v>
      </c>
      <c r="H55" s="75">
        <f t="shared" si="13"/>
        <v>279.63649211256183</v>
      </c>
      <c r="I55" s="10" t="s">
        <v>198</v>
      </c>
      <c r="J55" s="15">
        <f t="shared" si="14"/>
        <v>13774.22597569161</v>
      </c>
      <c r="K55" s="10" t="s">
        <v>299</v>
      </c>
      <c r="L55" s="17">
        <f t="shared" si="24"/>
        <v>73</v>
      </c>
      <c r="M55" s="10" t="s">
        <v>400</v>
      </c>
      <c r="N55" s="15">
        <f t="shared" si="20"/>
        <v>0</v>
      </c>
      <c r="O55" s="46">
        <f t="shared" si="16"/>
        <v>0</v>
      </c>
      <c r="P55" s="47">
        <f t="shared" si="17"/>
        <v>137.7422597569161</v>
      </c>
      <c r="Q55" s="19">
        <f t="shared" si="2"/>
        <v>0.82096020871190412</v>
      </c>
      <c r="R55" s="92">
        <f t="shared" si="25"/>
        <v>62672.728189396825</v>
      </c>
      <c r="S55" s="25">
        <f t="shared" si="26"/>
        <v>275622.26177358913</v>
      </c>
      <c r="T55" s="25">
        <f t="shared" si="5"/>
        <v>338294.98996298597</v>
      </c>
      <c r="U55" s="33"/>
      <c r="V55" s="33">
        <f t="shared" si="6"/>
        <v>0</v>
      </c>
      <c r="W55" s="46">
        <f t="shared" si="18"/>
        <v>1</v>
      </c>
      <c r="X55" s="19"/>
      <c r="Y55" s="19"/>
      <c r="Z55" s="21">
        <f t="shared" si="27"/>
        <v>51</v>
      </c>
      <c r="AA55" s="22"/>
      <c r="AB55" s="60" t="s">
        <v>627</v>
      </c>
      <c r="AC55" s="95">
        <f t="shared" si="28"/>
        <v>412.748424</v>
      </c>
      <c r="AD55" s="23" t="s">
        <v>525</v>
      </c>
      <c r="AE55" s="2">
        <f t="shared" si="21"/>
        <v>0</v>
      </c>
      <c r="AF55" s="24">
        <f t="shared" si="19"/>
        <v>0</v>
      </c>
      <c r="AG55" s="32">
        <f t="shared" si="29"/>
        <v>0</v>
      </c>
      <c r="AH55" s="22"/>
      <c r="AI55" s="22"/>
      <c r="AJ55" s="33">
        <f t="shared" si="30"/>
        <v>0</v>
      </c>
      <c r="AK55" s="79"/>
      <c r="AM55" s="64" t="s">
        <v>730</v>
      </c>
      <c r="AN55" s="64">
        <f t="shared" si="11"/>
        <v>3</v>
      </c>
      <c r="AP55" s="96" t="s">
        <v>839</v>
      </c>
      <c r="AQ55" s="64">
        <f t="shared" si="12"/>
        <v>0.8</v>
      </c>
    </row>
    <row r="56" spans="4:43" x14ac:dyDescent="0.25">
      <c r="D56" s="7">
        <v>54</v>
      </c>
      <c r="E56" s="93">
        <f t="shared" si="22"/>
        <v>5.0796912914049065E-2</v>
      </c>
      <c r="F56" s="94">
        <f t="shared" si="23"/>
        <v>6.2603820560277024</v>
      </c>
      <c r="G56" s="69" t="s">
        <v>98</v>
      </c>
      <c r="H56" s="75">
        <f t="shared" si="13"/>
        <v>279.63649211256183</v>
      </c>
      <c r="I56" s="31" t="s">
        <v>199</v>
      </c>
      <c r="J56" s="15">
        <f t="shared" si="14"/>
        <v>13636.483715934693</v>
      </c>
      <c r="K56" s="31" t="s">
        <v>300</v>
      </c>
      <c r="L56" s="17">
        <f t="shared" si="24"/>
        <v>73</v>
      </c>
      <c r="M56" s="31" t="s">
        <v>401</v>
      </c>
      <c r="N56" s="15">
        <f t="shared" si="20"/>
        <v>0</v>
      </c>
      <c r="O56" s="46">
        <f t="shared" si="16"/>
        <v>0</v>
      </c>
      <c r="P56" s="47">
        <f t="shared" si="17"/>
        <v>136.36483715934693</v>
      </c>
      <c r="Q56" s="19">
        <f t="shared" si="2"/>
        <v>0.81275060662478504</v>
      </c>
      <c r="R56" s="92">
        <f t="shared" si="25"/>
        <v>62046.000907502857</v>
      </c>
      <c r="S56" s="25">
        <f t="shared" si="26"/>
        <v>272866.03915585321</v>
      </c>
      <c r="T56" s="25">
        <f t="shared" si="5"/>
        <v>334912.04006335605</v>
      </c>
      <c r="U56" s="33"/>
      <c r="V56" s="33">
        <f t="shared" si="6"/>
        <v>0</v>
      </c>
      <c r="W56" s="46">
        <f t="shared" si="18"/>
        <v>1</v>
      </c>
      <c r="X56" s="19"/>
      <c r="Y56" s="19"/>
      <c r="Z56" s="21">
        <f t="shared" si="27"/>
        <v>51</v>
      </c>
      <c r="AA56" s="22"/>
      <c r="AB56" s="60" t="s">
        <v>628</v>
      </c>
      <c r="AC56" s="95">
        <f t="shared" si="28"/>
        <v>412.748424</v>
      </c>
      <c r="AD56" s="23" t="s">
        <v>526</v>
      </c>
      <c r="AE56" s="2">
        <f t="shared" si="21"/>
        <v>0</v>
      </c>
      <c r="AF56" s="24">
        <f t="shared" si="19"/>
        <v>0</v>
      </c>
      <c r="AG56" s="32">
        <f t="shared" si="29"/>
        <v>0</v>
      </c>
      <c r="AH56" s="22"/>
      <c r="AI56" s="22"/>
      <c r="AJ56" s="33">
        <f t="shared" si="30"/>
        <v>0</v>
      </c>
      <c r="AK56" s="79"/>
      <c r="AM56" s="64" t="s">
        <v>731</v>
      </c>
      <c r="AN56" s="64">
        <f t="shared" si="11"/>
        <v>3</v>
      </c>
      <c r="AP56" s="96" t="s">
        <v>840</v>
      </c>
      <c r="AQ56" s="64">
        <f t="shared" si="12"/>
        <v>0.8</v>
      </c>
    </row>
    <row r="57" spans="4:43" x14ac:dyDescent="0.25">
      <c r="D57" s="9">
        <v>55</v>
      </c>
      <c r="E57" s="93">
        <f t="shared" si="22"/>
        <v>5.0288943784908578E-2</v>
      </c>
      <c r="F57" s="94">
        <f t="shared" si="23"/>
        <v>6.1977782354674256</v>
      </c>
      <c r="G57" s="68" t="s">
        <v>99</v>
      </c>
      <c r="H57" s="77">
        <f t="shared" si="13"/>
        <v>279.63649211256183</v>
      </c>
      <c r="I57" s="10" t="s">
        <v>200</v>
      </c>
      <c r="J57" s="73">
        <f t="shared" si="14"/>
        <v>13500.118878775347</v>
      </c>
      <c r="K57" s="10" t="s">
        <v>301</v>
      </c>
      <c r="L57" s="16">
        <f t="shared" si="24"/>
        <v>73</v>
      </c>
      <c r="M57" s="10" t="s">
        <v>402</v>
      </c>
      <c r="N57" s="118">
        <f t="shared" si="20"/>
        <v>0</v>
      </c>
      <c r="O57" s="68">
        <f t="shared" si="16"/>
        <v>0</v>
      </c>
      <c r="P57" s="48">
        <f t="shared" si="17"/>
        <v>135.00118878775348</v>
      </c>
      <c r="Q57" s="18">
        <f t="shared" si="2"/>
        <v>0.80462310055853725</v>
      </c>
      <c r="R57" s="92">
        <f t="shared" si="25"/>
        <v>61425.540898427833</v>
      </c>
      <c r="S57" s="108">
        <f t="shared" si="26"/>
        <v>270137.37876429473</v>
      </c>
      <c r="T57" s="10">
        <f t="shared" si="5"/>
        <v>331562.91966272256</v>
      </c>
      <c r="U57" s="20"/>
      <c r="V57" s="20">
        <f t="shared" si="6"/>
        <v>0</v>
      </c>
      <c r="W57" s="115">
        <f t="shared" si="18"/>
        <v>1</v>
      </c>
      <c r="X57" s="18"/>
      <c r="Y57" s="18"/>
      <c r="Z57" s="49">
        <f t="shared" si="27"/>
        <v>51</v>
      </c>
      <c r="AA57" s="11"/>
      <c r="AB57" s="60" t="s">
        <v>629</v>
      </c>
      <c r="AC57" s="95">
        <f t="shared" si="28"/>
        <v>412.748424</v>
      </c>
      <c r="AD57" s="23" t="s">
        <v>527</v>
      </c>
      <c r="AE57" s="2">
        <f t="shared" si="21"/>
        <v>0</v>
      </c>
      <c r="AF57" s="24">
        <f t="shared" si="19"/>
        <v>0</v>
      </c>
      <c r="AG57" s="32">
        <f t="shared" si="29"/>
        <v>0</v>
      </c>
      <c r="AH57" s="11"/>
      <c r="AI57" s="11"/>
      <c r="AJ57" s="33">
        <f t="shared" si="30"/>
        <v>0</v>
      </c>
      <c r="AK57" s="79"/>
      <c r="AM57" s="86" t="s">
        <v>732</v>
      </c>
      <c r="AN57" s="87">
        <f t="shared" si="11"/>
        <v>3</v>
      </c>
      <c r="AP57" s="86" t="s">
        <v>841</v>
      </c>
      <c r="AQ57" s="64">
        <f t="shared" si="12"/>
        <v>0.8</v>
      </c>
    </row>
    <row r="58" spans="4:43" x14ac:dyDescent="0.25">
      <c r="D58" s="7">
        <v>56</v>
      </c>
      <c r="E58" s="93">
        <f t="shared" si="22"/>
        <v>4.9786054347059489E-2</v>
      </c>
      <c r="F58" s="94">
        <f t="shared" si="23"/>
        <v>6.1358004531127506</v>
      </c>
      <c r="G58" s="67" t="s">
        <v>100</v>
      </c>
      <c r="H58" s="75">
        <f t="shared" si="13"/>
        <v>279.63649211256183</v>
      </c>
      <c r="I58" s="26" t="s">
        <v>201</v>
      </c>
      <c r="J58" s="15">
        <f t="shared" si="14"/>
        <v>13365.117689987594</v>
      </c>
      <c r="K58" s="26" t="s">
        <v>302</v>
      </c>
      <c r="L58" s="17">
        <f t="shared" si="24"/>
        <v>73</v>
      </c>
      <c r="M58" s="26" t="s">
        <v>403</v>
      </c>
      <c r="N58" s="15">
        <f t="shared" si="20"/>
        <v>0</v>
      </c>
      <c r="O58" s="46">
        <f t="shared" si="16"/>
        <v>0</v>
      </c>
      <c r="P58" s="47">
        <f t="shared" si="17"/>
        <v>133.65117689987594</v>
      </c>
      <c r="Q58" s="19">
        <f t="shared" si="2"/>
        <v>0.79657686955295182</v>
      </c>
      <c r="R58" s="92">
        <f t="shared" si="25"/>
        <v>60811.285489443559</v>
      </c>
      <c r="S58" s="25">
        <f t="shared" si="26"/>
        <v>267436.00497665175</v>
      </c>
      <c r="T58" s="25">
        <f t="shared" si="5"/>
        <v>328247.29046609532</v>
      </c>
      <c r="U58" s="33"/>
      <c r="V58" s="33">
        <f t="shared" si="6"/>
        <v>0</v>
      </c>
      <c r="W58" s="46">
        <f t="shared" si="18"/>
        <v>1</v>
      </c>
      <c r="X58" s="19"/>
      <c r="Y58" s="19"/>
      <c r="Z58" s="21">
        <f t="shared" si="27"/>
        <v>51</v>
      </c>
      <c r="AA58" s="22"/>
      <c r="AB58" s="60" t="s">
        <v>630</v>
      </c>
      <c r="AC58" s="95">
        <f t="shared" si="28"/>
        <v>412.748424</v>
      </c>
      <c r="AD58" s="23" t="s">
        <v>528</v>
      </c>
      <c r="AE58" s="2">
        <f t="shared" si="21"/>
        <v>0</v>
      </c>
      <c r="AF58" s="24">
        <f t="shared" si="19"/>
        <v>0</v>
      </c>
      <c r="AG58" s="32">
        <f t="shared" si="29"/>
        <v>0</v>
      </c>
      <c r="AH58" s="22"/>
      <c r="AI58" s="22"/>
      <c r="AJ58" s="33">
        <f t="shared" si="30"/>
        <v>0</v>
      </c>
      <c r="AK58" s="79"/>
      <c r="AM58" s="64" t="s">
        <v>733</v>
      </c>
      <c r="AN58" s="64">
        <f t="shared" si="11"/>
        <v>3</v>
      </c>
      <c r="AP58" s="96" t="s">
        <v>842</v>
      </c>
      <c r="AQ58" s="64">
        <f t="shared" si="12"/>
        <v>0.8</v>
      </c>
    </row>
    <row r="59" spans="4:43" x14ac:dyDescent="0.25">
      <c r="D59" s="7">
        <v>57</v>
      </c>
      <c r="E59" s="93">
        <f t="shared" si="22"/>
        <v>4.9288193803588898E-2</v>
      </c>
      <c r="F59" s="94">
        <f t="shared" si="23"/>
        <v>6.0744424485816237</v>
      </c>
      <c r="G59" s="68" t="s">
        <v>101</v>
      </c>
      <c r="H59" s="75">
        <f t="shared" si="13"/>
        <v>279.63649211256183</v>
      </c>
      <c r="I59" s="10" t="s">
        <v>202</v>
      </c>
      <c r="J59" s="15">
        <f t="shared" si="14"/>
        <v>13231.466513087718</v>
      </c>
      <c r="K59" s="10" t="s">
        <v>303</v>
      </c>
      <c r="L59" s="17">
        <f t="shared" si="24"/>
        <v>73</v>
      </c>
      <c r="M59" s="10" t="s">
        <v>404</v>
      </c>
      <c r="N59" s="15">
        <f t="shared" si="20"/>
        <v>0</v>
      </c>
      <c r="O59" s="46">
        <f t="shared" si="16"/>
        <v>0</v>
      </c>
      <c r="P59" s="47">
        <f t="shared" si="17"/>
        <v>132.31466513087719</v>
      </c>
      <c r="Q59" s="19">
        <f t="shared" si="2"/>
        <v>0.78861110085742236</v>
      </c>
      <c r="R59" s="92">
        <f t="shared" si="25"/>
        <v>60203.172634549119</v>
      </c>
      <c r="S59" s="25">
        <f t="shared" si="26"/>
        <v>264761.64492688526</v>
      </c>
      <c r="T59" s="25">
        <f t="shared" si="5"/>
        <v>324964.81756143435</v>
      </c>
      <c r="U59" s="33"/>
      <c r="V59" s="33">
        <f t="shared" si="6"/>
        <v>0</v>
      </c>
      <c r="W59" s="46">
        <f t="shared" si="18"/>
        <v>1</v>
      </c>
      <c r="X59" s="19"/>
      <c r="Y59" s="19"/>
      <c r="Z59" s="21">
        <f t="shared" si="27"/>
        <v>51</v>
      </c>
      <c r="AA59" s="22"/>
      <c r="AB59" s="60" t="s">
        <v>631</v>
      </c>
      <c r="AC59" s="95">
        <f t="shared" si="28"/>
        <v>412.748424</v>
      </c>
      <c r="AD59" s="23" t="s">
        <v>529</v>
      </c>
      <c r="AE59" s="2">
        <f t="shared" si="21"/>
        <v>0</v>
      </c>
      <c r="AF59" s="24">
        <f t="shared" si="19"/>
        <v>0</v>
      </c>
      <c r="AG59" s="32">
        <f t="shared" si="29"/>
        <v>0</v>
      </c>
      <c r="AH59" s="22"/>
      <c r="AI59" s="22"/>
      <c r="AJ59" s="33">
        <f t="shared" si="30"/>
        <v>0</v>
      </c>
      <c r="AK59" s="79"/>
      <c r="AM59" s="64" t="s">
        <v>734</v>
      </c>
      <c r="AN59" s="64">
        <f t="shared" si="11"/>
        <v>3</v>
      </c>
      <c r="AP59" s="96" t="s">
        <v>843</v>
      </c>
      <c r="AQ59" s="64">
        <f t="shared" si="12"/>
        <v>0.8</v>
      </c>
    </row>
    <row r="60" spans="4:43" x14ac:dyDescent="0.25">
      <c r="D60" s="7">
        <v>58</v>
      </c>
      <c r="E60" s="93">
        <f t="shared" si="22"/>
        <v>4.8795311865553005E-2</v>
      </c>
      <c r="F60" s="94">
        <f t="shared" si="23"/>
        <v>6.0136980240958078</v>
      </c>
      <c r="G60" s="68" t="s">
        <v>102</v>
      </c>
      <c r="H60" s="75">
        <f t="shared" si="13"/>
        <v>279.63649211256183</v>
      </c>
      <c r="I60" s="10" t="s">
        <v>203</v>
      </c>
      <c r="J60" s="15">
        <f t="shared" si="14"/>
        <v>13099.15184795684</v>
      </c>
      <c r="K60" s="10" t="s">
        <v>304</v>
      </c>
      <c r="L60" s="17">
        <f t="shared" si="24"/>
        <v>73</v>
      </c>
      <c r="M60" s="10" t="s">
        <v>405</v>
      </c>
      <c r="N60" s="15">
        <f t="shared" si="20"/>
        <v>0</v>
      </c>
      <c r="O60" s="46">
        <f t="shared" si="16"/>
        <v>0</v>
      </c>
      <c r="P60" s="47">
        <f t="shared" si="17"/>
        <v>130.99151847956841</v>
      </c>
      <c r="Q60" s="19">
        <f t="shared" si="2"/>
        <v>0.78072498984884808</v>
      </c>
      <c r="R60" s="92">
        <f t="shared" si="25"/>
        <v>59601.140908203626</v>
      </c>
      <c r="S60" s="25">
        <f t="shared" si="26"/>
        <v>262114.02847761635</v>
      </c>
      <c r="T60" s="25">
        <f t="shared" si="5"/>
        <v>321715.16938581999</v>
      </c>
      <c r="U60" s="33"/>
      <c r="V60" s="33">
        <f t="shared" si="6"/>
        <v>0</v>
      </c>
      <c r="W60" s="46">
        <f t="shared" si="18"/>
        <v>1</v>
      </c>
      <c r="X60" s="19"/>
      <c r="Y60" s="19"/>
      <c r="Z60" s="21">
        <f t="shared" si="27"/>
        <v>51</v>
      </c>
      <c r="AA60" s="22"/>
      <c r="AB60" s="60" t="s">
        <v>632</v>
      </c>
      <c r="AC60" s="95">
        <f t="shared" si="28"/>
        <v>412.748424</v>
      </c>
      <c r="AD60" s="23" t="s">
        <v>530</v>
      </c>
      <c r="AE60" s="2">
        <f t="shared" si="21"/>
        <v>0</v>
      </c>
      <c r="AF60" s="24">
        <f t="shared" si="19"/>
        <v>0</v>
      </c>
      <c r="AG60" s="32">
        <f t="shared" si="29"/>
        <v>0</v>
      </c>
      <c r="AH60" s="22"/>
      <c r="AI60" s="22"/>
      <c r="AJ60" s="33">
        <f t="shared" si="30"/>
        <v>0</v>
      </c>
      <c r="AK60" s="79"/>
      <c r="AM60" s="64" t="s">
        <v>735</v>
      </c>
      <c r="AN60" s="64">
        <f t="shared" si="11"/>
        <v>3</v>
      </c>
      <c r="AP60" s="96" t="s">
        <v>844</v>
      </c>
      <c r="AQ60" s="64">
        <f t="shared" si="12"/>
        <v>0.8</v>
      </c>
    </row>
    <row r="61" spans="4:43" x14ac:dyDescent="0.25">
      <c r="D61" s="7">
        <v>59</v>
      </c>
      <c r="E61" s="93">
        <f t="shared" si="22"/>
        <v>4.8307358746897476E-2</v>
      </c>
      <c r="F61" s="94">
        <f t="shared" si="23"/>
        <v>5.9535610438548492</v>
      </c>
      <c r="G61" s="69" t="s">
        <v>103</v>
      </c>
      <c r="H61" s="75">
        <f t="shared" si="13"/>
        <v>279.63649211256183</v>
      </c>
      <c r="I61" s="31" t="s">
        <v>204</v>
      </c>
      <c r="J61" s="15">
        <f t="shared" si="14"/>
        <v>12968.160329477272</v>
      </c>
      <c r="K61" s="31" t="s">
        <v>305</v>
      </c>
      <c r="L61" s="17">
        <f t="shared" si="24"/>
        <v>73</v>
      </c>
      <c r="M61" s="31" t="s">
        <v>406</v>
      </c>
      <c r="N61" s="15">
        <f t="shared" si="20"/>
        <v>0</v>
      </c>
      <c r="O61" s="46">
        <f t="shared" si="16"/>
        <v>0</v>
      </c>
      <c r="P61" s="47">
        <f t="shared" si="17"/>
        <v>129.68160329477271</v>
      </c>
      <c r="Q61" s="19">
        <f t="shared" si="2"/>
        <v>0.77291773995035962</v>
      </c>
      <c r="R61" s="92">
        <f t="shared" si="25"/>
        <v>59005.129499121591</v>
      </c>
      <c r="S61" s="25">
        <f t="shared" si="26"/>
        <v>259492.88819284021</v>
      </c>
      <c r="T61" s="25">
        <f t="shared" si="5"/>
        <v>318498.01769196178</v>
      </c>
      <c r="U61" s="33"/>
      <c r="V61" s="33">
        <f t="shared" si="6"/>
        <v>0</v>
      </c>
      <c r="W61" s="46">
        <f t="shared" si="18"/>
        <v>1</v>
      </c>
      <c r="X61" s="19"/>
      <c r="Y61" s="19"/>
      <c r="Z61" s="21">
        <f t="shared" si="27"/>
        <v>51</v>
      </c>
      <c r="AA61" s="22"/>
      <c r="AB61" s="60" t="s">
        <v>633</v>
      </c>
      <c r="AC61" s="95">
        <f t="shared" si="28"/>
        <v>412.748424</v>
      </c>
      <c r="AD61" s="23" t="s">
        <v>531</v>
      </c>
      <c r="AE61" s="2">
        <f t="shared" si="21"/>
        <v>0</v>
      </c>
      <c r="AF61" s="24">
        <f t="shared" si="19"/>
        <v>0</v>
      </c>
      <c r="AG61" s="32">
        <f t="shared" si="29"/>
        <v>0</v>
      </c>
      <c r="AH61" s="22"/>
      <c r="AI61" s="22"/>
      <c r="AJ61" s="33">
        <f t="shared" si="30"/>
        <v>0</v>
      </c>
      <c r="AK61" s="79"/>
      <c r="AM61" s="64" t="s">
        <v>736</v>
      </c>
      <c r="AN61" s="64">
        <f t="shared" si="11"/>
        <v>3</v>
      </c>
      <c r="AP61" s="96" t="s">
        <v>845</v>
      </c>
      <c r="AQ61" s="64">
        <f t="shared" si="12"/>
        <v>0.8</v>
      </c>
    </row>
    <row r="62" spans="4:43" x14ac:dyDescent="0.25">
      <c r="D62" s="9">
        <v>60</v>
      </c>
      <c r="E62" s="93">
        <f t="shared" si="22"/>
        <v>4.7824285159428499E-2</v>
      </c>
      <c r="F62" s="94">
        <f t="shared" si="23"/>
        <v>5.8940254334163011</v>
      </c>
      <c r="G62" s="68" t="s">
        <v>104</v>
      </c>
      <c r="H62" s="77">
        <f t="shared" si="13"/>
        <v>279.63649211256183</v>
      </c>
      <c r="I62" s="10" t="s">
        <v>205</v>
      </c>
      <c r="J62" s="73">
        <f t="shared" si="14"/>
        <v>12838.478726182499</v>
      </c>
      <c r="K62" s="10" t="s">
        <v>306</v>
      </c>
      <c r="L62" s="16">
        <f t="shared" si="24"/>
        <v>73</v>
      </c>
      <c r="M62" s="10" t="s">
        <v>407</v>
      </c>
      <c r="N62" s="118">
        <f t="shared" si="20"/>
        <v>0</v>
      </c>
      <c r="O62" s="68">
        <f t="shared" si="16"/>
        <v>0</v>
      </c>
      <c r="P62" s="48">
        <f t="shared" si="17"/>
        <v>128.38478726182498</v>
      </c>
      <c r="Q62" s="18">
        <f t="shared" si="2"/>
        <v>0.76518856255085599</v>
      </c>
      <c r="R62" s="92">
        <f t="shared" si="25"/>
        <v>58415.078204130376</v>
      </c>
      <c r="S62" s="108">
        <f t="shared" si="26"/>
        <v>256897.9593109118</v>
      </c>
      <c r="T62" s="10">
        <f t="shared" si="5"/>
        <v>315313.03751504218</v>
      </c>
      <c r="U62" s="20"/>
      <c r="V62" s="20">
        <f t="shared" si="6"/>
        <v>0</v>
      </c>
      <c r="W62" s="46">
        <f t="shared" si="18"/>
        <v>1</v>
      </c>
      <c r="X62" s="18"/>
      <c r="Y62" s="18"/>
      <c r="Z62" s="49">
        <f t="shared" si="27"/>
        <v>51</v>
      </c>
      <c r="AA62" s="11"/>
      <c r="AB62" s="60" t="s">
        <v>634</v>
      </c>
      <c r="AC62" s="95">
        <f t="shared" si="28"/>
        <v>412.748424</v>
      </c>
      <c r="AD62" s="23" t="s">
        <v>532</v>
      </c>
      <c r="AE62" s="2">
        <f t="shared" si="21"/>
        <v>0</v>
      </c>
      <c r="AF62" s="24">
        <f t="shared" si="19"/>
        <v>0</v>
      </c>
      <c r="AG62" s="32">
        <f t="shared" si="29"/>
        <v>0</v>
      </c>
      <c r="AH62" s="11"/>
      <c r="AI62" s="11"/>
      <c r="AJ62" s="33">
        <f t="shared" si="30"/>
        <v>0</v>
      </c>
      <c r="AK62" s="79"/>
      <c r="AM62" s="86" t="s">
        <v>737</v>
      </c>
      <c r="AN62" s="87">
        <f t="shared" si="11"/>
        <v>3</v>
      </c>
      <c r="AP62" s="86" t="s">
        <v>846</v>
      </c>
      <c r="AQ62" s="64">
        <f t="shared" si="12"/>
        <v>0.8</v>
      </c>
    </row>
    <row r="63" spans="4:43" x14ac:dyDescent="0.25">
      <c r="D63" s="7">
        <v>61</v>
      </c>
      <c r="E63" s="93">
        <f t="shared" si="22"/>
        <v>4.7346042307834214E-2</v>
      </c>
      <c r="F63" s="94">
        <f t="shared" si="23"/>
        <v>5.8350851790821379</v>
      </c>
      <c r="G63" s="67" t="s">
        <v>105</v>
      </c>
      <c r="H63" s="75">
        <f t="shared" si="13"/>
        <v>279.63649211256183</v>
      </c>
      <c r="I63" s="26" t="s">
        <v>206</v>
      </c>
      <c r="J63" s="15">
        <f t="shared" si="14"/>
        <v>12710.093938920674</v>
      </c>
      <c r="K63" s="26" t="s">
        <v>307</v>
      </c>
      <c r="L63" s="17">
        <f t="shared" si="24"/>
        <v>73</v>
      </c>
      <c r="M63" s="26" t="s">
        <v>408</v>
      </c>
      <c r="N63" s="15">
        <f t="shared" si="20"/>
        <v>0</v>
      </c>
      <c r="O63" s="46">
        <f t="shared" si="16"/>
        <v>0</v>
      </c>
      <c r="P63" s="47">
        <f t="shared" si="17"/>
        <v>127.10093938920674</v>
      </c>
      <c r="Q63" s="19">
        <f t="shared" si="2"/>
        <v>0.75753667692534743</v>
      </c>
      <c r="R63" s="92">
        <f t="shared" si="25"/>
        <v>57830.927422089066</v>
      </c>
      <c r="S63" s="25">
        <f t="shared" si="26"/>
        <v>254328.97971780269</v>
      </c>
      <c r="T63" s="25">
        <f t="shared" si="5"/>
        <v>312159.90713989176</v>
      </c>
      <c r="U63" s="33"/>
      <c r="V63" s="33">
        <f t="shared" si="6"/>
        <v>0</v>
      </c>
      <c r="W63" s="46">
        <f t="shared" si="18"/>
        <v>1</v>
      </c>
      <c r="X63" s="19"/>
      <c r="Y63" s="19"/>
      <c r="Z63" s="21">
        <f t="shared" si="27"/>
        <v>51</v>
      </c>
      <c r="AA63" s="22"/>
      <c r="AB63" s="60" t="s">
        <v>635</v>
      </c>
      <c r="AC63" s="95">
        <f t="shared" si="28"/>
        <v>412.748424</v>
      </c>
      <c r="AD63" s="23" t="s">
        <v>533</v>
      </c>
      <c r="AE63" s="2">
        <f t="shared" si="21"/>
        <v>0</v>
      </c>
      <c r="AF63" s="24">
        <f t="shared" si="19"/>
        <v>0</v>
      </c>
      <c r="AG63" s="32">
        <f t="shared" si="29"/>
        <v>0</v>
      </c>
      <c r="AH63" s="22"/>
      <c r="AI63" s="22"/>
      <c r="AJ63" s="33">
        <f t="shared" si="30"/>
        <v>0</v>
      </c>
      <c r="AK63" s="79"/>
      <c r="AM63" s="64" t="s">
        <v>738</v>
      </c>
      <c r="AN63" s="64">
        <f t="shared" si="11"/>
        <v>3</v>
      </c>
      <c r="AP63" s="96" t="s">
        <v>847</v>
      </c>
      <c r="AQ63" s="64">
        <f t="shared" si="12"/>
        <v>0.8</v>
      </c>
    </row>
    <row r="64" spans="4:43" x14ac:dyDescent="0.25">
      <c r="D64" s="7">
        <v>62</v>
      </c>
      <c r="E64" s="93">
        <f t="shared" si="22"/>
        <v>4.6872581884755869E-2</v>
      </c>
      <c r="F64" s="94">
        <f t="shared" si="23"/>
        <v>5.7767343272913161</v>
      </c>
      <c r="G64" s="68" t="s">
        <v>106</v>
      </c>
      <c r="H64" s="75">
        <f t="shared" si="13"/>
        <v>279.63649211256183</v>
      </c>
      <c r="I64" s="10" t="s">
        <v>207</v>
      </c>
      <c r="J64" s="15">
        <f t="shared" si="14"/>
        <v>12582.992999531467</v>
      </c>
      <c r="K64" s="10" t="s">
        <v>308</v>
      </c>
      <c r="L64" s="17">
        <f t="shared" si="24"/>
        <v>73</v>
      </c>
      <c r="M64" s="10" t="s">
        <v>409</v>
      </c>
      <c r="N64" s="15">
        <f t="shared" si="20"/>
        <v>0</v>
      </c>
      <c r="O64" s="46">
        <f t="shared" si="16"/>
        <v>0</v>
      </c>
      <c r="P64" s="47">
        <f t="shared" si="17"/>
        <v>125.82992999531467</v>
      </c>
      <c r="Q64" s="19">
        <f t="shared" si="2"/>
        <v>0.74996131015609391</v>
      </c>
      <c r="R64" s="92">
        <f t="shared" si="25"/>
        <v>57252.618147868176</v>
      </c>
      <c r="S64" s="25">
        <f t="shared" si="26"/>
        <v>251785.68992062463</v>
      </c>
      <c r="T64" s="25">
        <f t="shared" si="5"/>
        <v>309038.3080684928</v>
      </c>
      <c r="U64" s="33"/>
      <c r="V64" s="33">
        <f t="shared" si="6"/>
        <v>0</v>
      </c>
      <c r="W64" s="46">
        <f t="shared" si="18"/>
        <v>1</v>
      </c>
      <c r="X64" s="19"/>
      <c r="Y64" s="19"/>
      <c r="Z64" s="21">
        <f t="shared" si="27"/>
        <v>51</v>
      </c>
      <c r="AA64" s="22"/>
      <c r="AB64" s="60" t="s">
        <v>636</v>
      </c>
      <c r="AC64" s="95">
        <f t="shared" si="28"/>
        <v>412.748424</v>
      </c>
      <c r="AD64" s="23" t="s">
        <v>534</v>
      </c>
      <c r="AE64" s="2">
        <f t="shared" si="21"/>
        <v>0</v>
      </c>
      <c r="AF64" s="24">
        <f t="shared" si="19"/>
        <v>0</v>
      </c>
      <c r="AG64" s="32">
        <f t="shared" si="29"/>
        <v>0</v>
      </c>
      <c r="AH64" s="22"/>
      <c r="AI64" s="22"/>
      <c r="AJ64" s="33">
        <f t="shared" si="30"/>
        <v>0</v>
      </c>
      <c r="AK64" s="79"/>
      <c r="AM64" s="64" t="s">
        <v>739</v>
      </c>
      <c r="AN64" s="64">
        <f t="shared" si="11"/>
        <v>3</v>
      </c>
      <c r="AP64" s="96" t="s">
        <v>848</v>
      </c>
      <c r="AQ64" s="64">
        <f t="shared" si="12"/>
        <v>0.8</v>
      </c>
    </row>
    <row r="65" spans="1:45" x14ac:dyDescent="0.25">
      <c r="D65" s="7">
        <v>63</v>
      </c>
      <c r="E65" s="93">
        <f t="shared" si="22"/>
        <v>4.6403856065908314E-2</v>
      </c>
      <c r="F65" s="94">
        <f t="shared" si="23"/>
        <v>5.7189669840184028</v>
      </c>
      <c r="G65" s="68" t="s">
        <v>107</v>
      </c>
      <c r="H65" s="75">
        <f t="shared" si="13"/>
        <v>279.63649211256183</v>
      </c>
      <c r="I65" s="10" t="s">
        <v>208</v>
      </c>
      <c r="J65" s="15">
        <f t="shared" si="14"/>
        <v>12457.163069536153</v>
      </c>
      <c r="K65" s="10" t="s">
        <v>309</v>
      </c>
      <c r="L65" s="17">
        <f t="shared" si="24"/>
        <v>73</v>
      </c>
      <c r="M65" s="10" t="s">
        <v>410</v>
      </c>
      <c r="N65" s="15">
        <f t="shared" si="20"/>
        <v>0</v>
      </c>
      <c r="O65" s="46">
        <f t="shared" si="16"/>
        <v>0</v>
      </c>
      <c r="P65" s="47">
        <f t="shared" si="17"/>
        <v>124.57163069536153</v>
      </c>
      <c r="Q65" s="19">
        <f t="shared" si="2"/>
        <v>0.74246169705453302</v>
      </c>
      <c r="R65" s="92">
        <f t="shared" si="25"/>
        <v>56680.091966389504</v>
      </c>
      <c r="S65" s="25">
        <f t="shared" si="26"/>
        <v>249267.83302141842</v>
      </c>
      <c r="T65" s="25">
        <f t="shared" si="5"/>
        <v>305947.92498780793</v>
      </c>
      <c r="U65" s="33"/>
      <c r="V65" s="33">
        <f t="shared" si="6"/>
        <v>0</v>
      </c>
      <c r="W65" s="46">
        <f t="shared" si="18"/>
        <v>1</v>
      </c>
      <c r="X65" s="19"/>
      <c r="Y65" s="19"/>
      <c r="Z65" s="21">
        <f t="shared" si="27"/>
        <v>51</v>
      </c>
      <c r="AA65" s="22"/>
      <c r="AB65" s="60" t="s">
        <v>637</v>
      </c>
      <c r="AC65" s="95">
        <f t="shared" si="28"/>
        <v>412.748424</v>
      </c>
      <c r="AD65" s="23" t="s">
        <v>535</v>
      </c>
      <c r="AE65" s="2">
        <f t="shared" si="21"/>
        <v>0</v>
      </c>
      <c r="AF65" s="24">
        <f t="shared" si="19"/>
        <v>0</v>
      </c>
      <c r="AG65" s="32">
        <f t="shared" si="29"/>
        <v>0</v>
      </c>
      <c r="AH65" s="22"/>
      <c r="AI65" s="22"/>
      <c r="AJ65" s="33">
        <f t="shared" si="30"/>
        <v>0</v>
      </c>
      <c r="AK65" s="79"/>
      <c r="AM65" s="64" t="s">
        <v>740</v>
      </c>
      <c r="AN65" s="64">
        <f t="shared" si="11"/>
        <v>3</v>
      </c>
      <c r="AP65" s="96" t="s">
        <v>849</v>
      </c>
      <c r="AQ65" s="64">
        <f t="shared" si="12"/>
        <v>0.8</v>
      </c>
    </row>
    <row r="66" spans="1:45" x14ac:dyDescent="0.25">
      <c r="D66" s="7">
        <v>64</v>
      </c>
      <c r="E66" s="93">
        <f t="shared" si="22"/>
        <v>4.5939817505249225E-2</v>
      </c>
      <c r="F66" s="94">
        <f t="shared" si="23"/>
        <v>5.6617773141782184</v>
      </c>
      <c r="G66" s="69" t="s">
        <v>108</v>
      </c>
      <c r="H66" s="75">
        <f t="shared" si="13"/>
        <v>279.63649211256183</v>
      </c>
      <c r="I66" s="31" t="s">
        <v>209</v>
      </c>
      <c r="J66" s="15">
        <f t="shared" si="14"/>
        <v>12332.591438840791</v>
      </c>
      <c r="K66" s="31" t="s">
        <v>310</v>
      </c>
      <c r="L66" s="17">
        <f t="shared" si="24"/>
        <v>73</v>
      </c>
      <c r="M66" s="31" t="s">
        <v>411</v>
      </c>
      <c r="N66" s="15">
        <f t="shared" si="20"/>
        <v>0</v>
      </c>
      <c r="O66" s="46">
        <f t="shared" si="16"/>
        <v>0</v>
      </c>
      <c r="P66" s="47">
        <f t="shared" si="17"/>
        <v>123.32591438840791</v>
      </c>
      <c r="Q66" s="19">
        <f t="shared" si="2"/>
        <v>0.73503708008398772</v>
      </c>
      <c r="R66" s="92">
        <f t="shared" si="25"/>
        <v>56113.291046725601</v>
      </c>
      <c r="S66" s="25">
        <f t="shared" si="26"/>
        <v>246775.15469120422</v>
      </c>
      <c r="T66" s="25">
        <f t="shared" si="5"/>
        <v>302888.44573792984</v>
      </c>
      <c r="U66" s="33"/>
      <c r="V66" s="33">
        <f t="shared" si="6"/>
        <v>0</v>
      </c>
      <c r="W66" s="46">
        <f t="shared" si="18"/>
        <v>1</v>
      </c>
      <c r="X66" s="19"/>
      <c r="Y66" s="19"/>
      <c r="Z66" s="21">
        <f t="shared" si="27"/>
        <v>51</v>
      </c>
      <c r="AA66" s="22"/>
      <c r="AB66" s="60" t="s">
        <v>638</v>
      </c>
      <c r="AC66" s="95">
        <f t="shared" si="28"/>
        <v>412.748424</v>
      </c>
      <c r="AD66" s="23" t="s">
        <v>536</v>
      </c>
      <c r="AE66" s="2">
        <f t="shared" si="21"/>
        <v>0</v>
      </c>
      <c r="AF66" s="24">
        <f t="shared" si="19"/>
        <v>0</v>
      </c>
      <c r="AG66" s="32">
        <f t="shared" si="29"/>
        <v>0</v>
      </c>
      <c r="AH66" s="22"/>
      <c r="AI66" s="22"/>
      <c r="AJ66" s="33">
        <f t="shared" si="30"/>
        <v>0</v>
      </c>
      <c r="AK66" s="79"/>
      <c r="AM66" s="64" t="s">
        <v>741</v>
      </c>
      <c r="AN66" s="64">
        <f t="shared" si="11"/>
        <v>3</v>
      </c>
      <c r="AP66" s="96" t="s">
        <v>850</v>
      </c>
      <c r="AQ66" s="64">
        <f t="shared" si="12"/>
        <v>0.8</v>
      </c>
    </row>
    <row r="67" spans="1:45" x14ac:dyDescent="0.25">
      <c r="D67" s="9">
        <v>65</v>
      </c>
      <c r="E67" s="93">
        <f t="shared" ref="E67:E102" si="31">(rOTinicial*Q67)/Tasa_relativa_ocupación_stdt</f>
        <v>4.5480419330196732E-2</v>
      </c>
      <c r="F67" s="94">
        <f t="shared" ref="F67:F98" si="32">E67*H67*(1-(H67/K_turismo))</f>
        <v>5.6051595410364357</v>
      </c>
      <c r="G67" s="68" t="s">
        <v>109</v>
      </c>
      <c r="H67" s="77">
        <f t="shared" si="13"/>
        <v>279.63649211256183</v>
      </c>
      <c r="I67" s="10" t="s">
        <v>210</v>
      </c>
      <c r="J67" s="73">
        <f t="shared" si="14"/>
        <v>12209.265524452383</v>
      </c>
      <c r="K67" s="10" t="s">
        <v>311</v>
      </c>
      <c r="L67" s="16">
        <f t="shared" ref="L67:L102" si="33">$AA$2+Z67</f>
        <v>73</v>
      </c>
      <c r="M67" s="10" t="s">
        <v>412</v>
      </c>
      <c r="N67" s="118">
        <f t="shared" si="20"/>
        <v>0</v>
      </c>
      <c r="O67" s="68">
        <f t="shared" si="16"/>
        <v>0</v>
      </c>
      <c r="P67" s="48">
        <f t="shared" si="17"/>
        <v>122.09265524452383</v>
      </c>
      <c r="Q67" s="18">
        <f t="shared" ref="Q67:Q102" si="34">J67/(H67*$B$9)</f>
        <v>0.72768670928314783</v>
      </c>
      <c r="R67" s="92">
        <f t="shared" ref="R67:R102" si="35">(J67*0.13)*Gasto_medio_turistas_1día</f>
        <v>55552.158136258346</v>
      </c>
      <c r="S67" s="108">
        <f t="shared" ref="S67:S102" si="36">(J67*0.87)*Gasto_medio_turistas_pernoctan</f>
        <v>244307.40314429216</v>
      </c>
      <c r="T67" s="10">
        <f t="shared" ref="T67:T102" si="37">R67+S67</f>
        <v>299859.56128055049</v>
      </c>
      <c r="U67" s="20"/>
      <c r="V67" s="20">
        <f t="shared" ref="V67:V102" si="38">$U$2-W67</f>
        <v>0</v>
      </c>
      <c r="W67" s="46">
        <f t="shared" si="18"/>
        <v>1</v>
      </c>
      <c r="X67" s="18"/>
      <c r="Y67" s="18"/>
      <c r="Z67" s="49">
        <f t="shared" ref="Z67:Z102" si="39">IF(O66&gt;$B$14,Z66+$B$13,Z66)</f>
        <v>51</v>
      </c>
      <c r="AA67" s="11"/>
      <c r="AB67" s="60" t="s">
        <v>639</v>
      </c>
      <c r="AC67" s="95">
        <f t="shared" ref="AC67:AC102" si="40">IF(L67&gt;Banderas_iniciales,((3.14116*(R_afectación*c_)*(R_afectación*c_))/10000)*L67*E_embarcación,0)</f>
        <v>412.748424</v>
      </c>
      <c r="AD67" s="23" t="s">
        <v>537</v>
      </c>
      <c r="AE67" s="2">
        <f t="shared" si="21"/>
        <v>0</v>
      </c>
      <c r="AF67" s="24">
        <f t="shared" si="19"/>
        <v>0</v>
      </c>
      <c r="AG67" s="32">
        <f t="shared" ref="AG67:AG102" si="41">r_ballenas*N67*(1-(N67/K_ballenas))</f>
        <v>0</v>
      </c>
      <c r="AH67" s="11"/>
      <c r="AI67" s="11"/>
      <c r="AJ67" s="33">
        <f t="shared" ref="AJ67:AJ102" si="42">((ZO_inicial+ZR_inicial)-AE67)*AF67</f>
        <v>0</v>
      </c>
      <c r="AK67" s="79"/>
      <c r="AM67" s="86" t="s">
        <v>742</v>
      </c>
      <c r="AN67" s="87">
        <f t="shared" ref="AN67:AN102" si="43">$B$25</f>
        <v>3</v>
      </c>
      <c r="AP67" s="86" t="s">
        <v>851</v>
      </c>
      <c r="AQ67" s="64">
        <f t="shared" ref="AQ67:AQ102" si="44">$B$15</f>
        <v>0.8</v>
      </c>
    </row>
    <row r="68" spans="1:45" x14ac:dyDescent="0.25">
      <c r="D68" s="7">
        <v>66</v>
      </c>
      <c r="E68" s="93">
        <f t="shared" si="31"/>
        <v>4.5025615136894771E-2</v>
      </c>
      <c r="F68" s="94">
        <f t="shared" si="32"/>
        <v>5.5491079456260728</v>
      </c>
      <c r="G68" s="67" t="s">
        <v>110</v>
      </c>
      <c r="H68" s="75">
        <f t="shared" ref="H68:H102" si="45">IF(O67&gt;0,H67+F67,H67)</f>
        <v>279.63649211256183</v>
      </c>
      <c r="I68" s="26" t="s">
        <v>211</v>
      </c>
      <c r="J68" s="15">
        <f t="shared" ref="J68:J102" si="46">J67+(O67-P67)</f>
        <v>12087.17286920786</v>
      </c>
      <c r="K68" s="26" t="s">
        <v>312</v>
      </c>
      <c r="L68" s="17">
        <f t="shared" si="33"/>
        <v>73</v>
      </c>
      <c r="M68" s="26" t="s">
        <v>413</v>
      </c>
      <c r="N68" s="15">
        <f t="shared" si="20"/>
        <v>0</v>
      </c>
      <c r="O68" s="46">
        <f t="shared" ref="O68:O102" si="47">IF(F68&gt;0,F68*Q68*$B$9*V68,0)</f>
        <v>0</v>
      </c>
      <c r="P68" s="47">
        <f t="shared" ref="P68:P102" si="48">J68*$B$8</f>
        <v>120.87172869207859</v>
      </c>
      <c r="Q68" s="19">
        <f t="shared" si="34"/>
        <v>0.72040984219031634</v>
      </c>
      <c r="R68" s="92">
        <f t="shared" si="35"/>
        <v>54996.636554895762</v>
      </c>
      <c r="S68" s="25">
        <f t="shared" si="36"/>
        <v>241864.32911284929</v>
      </c>
      <c r="T68" s="25">
        <f t="shared" si="37"/>
        <v>296860.96566774504</v>
      </c>
      <c r="U68" s="33"/>
      <c r="V68" s="33">
        <f t="shared" si="38"/>
        <v>0</v>
      </c>
      <c r="W68" s="46">
        <f t="shared" ref="W68:W102" si="49">IFERROR(IF((L68/$Y$2)/((N68/$X$2)/$Y$2)&lt;=1,INT(L68/$Y$2)/INT((N68/$X$2)/$Y$2),1),1)</f>
        <v>1</v>
      </c>
      <c r="X68" s="19"/>
      <c r="Y68" s="19"/>
      <c r="Z68" s="21">
        <f t="shared" si="39"/>
        <v>51</v>
      </c>
      <c r="AA68" s="22"/>
      <c r="AB68" s="60" t="s">
        <v>640</v>
      </c>
      <c r="AC68" s="95">
        <f t="shared" si="40"/>
        <v>412.748424</v>
      </c>
      <c r="AD68" s="23" t="s">
        <v>538</v>
      </c>
      <c r="AE68" s="2">
        <f t="shared" si="21"/>
        <v>0</v>
      </c>
      <c r="AF68" s="24">
        <f t="shared" ref="AF68:AF102" si="50">IF(AE68&gt;0,N68/AE68,0)</f>
        <v>0</v>
      </c>
      <c r="AG68" s="32">
        <f t="shared" si="41"/>
        <v>0</v>
      </c>
      <c r="AH68" s="22"/>
      <c r="AI68" s="22"/>
      <c r="AJ68" s="33">
        <f t="shared" si="42"/>
        <v>0</v>
      </c>
      <c r="AK68" s="79"/>
      <c r="AM68" s="64" t="s">
        <v>743</v>
      </c>
      <c r="AN68" s="64">
        <f t="shared" si="43"/>
        <v>3</v>
      </c>
      <c r="AP68" s="96" t="s">
        <v>852</v>
      </c>
      <c r="AQ68" s="64">
        <f t="shared" si="44"/>
        <v>0.8</v>
      </c>
    </row>
    <row r="69" spans="1:45" x14ac:dyDescent="0.25">
      <c r="D69" s="7">
        <v>67</v>
      </c>
      <c r="E69" s="93">
        <f t="shared" si="31"/>
        <v>4.4575358985525823E-2</v>
      </c>
      <c r="F69" s="94">
        <f t="shared" si="32"/>
        <v>5.4936168661698117</v>
      </c>
      <c r="G69" s="68" t="s">
        <v>111</v>
      </c>
      <c r="H69" s="75">
        <f t="shared" si="45"/>
        <v>279.63649211256183</v>
      </c>
      <c r="I69" s="10" t="s">
        <v>212</v>
      </c>
      <c r="J69" s="15">
        <f t="shared" si="46"/>
        <v>11966.301140515781</v>
      </c>
      <c r="K69" s="10" t="s">
        <v>313</v>
      </c>
      <c r="L69" s="17">
        <f t="shared" si="33"/>
        <v>73</v>
      </c>
      <c r="M69" s="10" t="s">
        <v>414</v>
      </c>
      <c r="N69" s="15">
        <f t="shared" ref="N69:N102" si="51">INT(IF(N68&gt;0,N68+(AG68-AJ68),0))</f>
        <v>0</v>
      </c>
      <c r="O69" s="46">
        <f t="shared" si="47"/>
        <v>0</v>
      </c>
      <c r="P69" s="47">
        <f t="shared" si="48"/>
        <v>119.66301140515782</v>
      </c>
      <c r="Q69" s="19">
        <f t="shared" si="34"/>
        <v>0.71320574376841317</v>
      </c>
      <c r="R69" s="92">
        <f t="shared" si="35"/>
        <v>54446.670189346805</v>
      </c>
      <c r="S69" s="25">
        <f t="shared" si="36"/>
        <v>239445.68582172081</v>
      </c>
      <c r="T69" s="25">
        <f t="shared" si="37"/>
        <v>293892.35601106763</v>
      </c>
      <c r="U69" s="33"/>
      <c r="V69" s="33">
        <f t="shared" si="38"/>
        <v>0</v>
      </c>
      <c r="W69" s="46">
        <f t="shared" si="49"/>
        <v>1</v>
      </c>
      <c r="X69" s="19"/>
      <c r="Y69" s="19"/>
      <c r="Z69" s="21">
        <f t="shared" si="39"/>
        <v>51</v>
      </c>
      <c r="AA69" s="22"/>
      <c r="AB69" s="60" t="s">
        <v>641</v>
      </c>
      <c r="AC69" s="95">
        <f t="shared" si="40"/>
        <v>412.748424</v>
      </c>
      <c r="AD69" s="23" t="s">
        <v>539</v>
      </c>
      <c r="AE69" s="2">
        <f t="shared" ref="AE69:AE102" si="52">IF(AE68-AC68&gt;=0,AE68-AC68,0)</f>
        <v>0</v>
      </c>
      <c r="AF69" s="24">
        <f t="shared" si="50"/>
        <v>0</v>
      </c>
      <c r="AG69" s="32">
        <f t="shared" si="41"/>
        <v>0</v>
      </c>
      <c r="AH69" s="22"/>
      <c r="AI69" s="22"/>
      <c r="AJ69" s="33">
        <f t="shared" si="42"/>
        <v>0</v>
      </c>
      <c r="AK69" s="79"/>
      <c r="AM69" s="64" t="s">
        <v>744</v>
      </c>
      <c r="AN69" s="64">
        <f t="shared" si="43"/>
        <v>3</v>
      </c>
      <c r="AP69" s="96" t="s">
        <v>853</v>
      </c>
      <c r="AQ69" s="64">
        <f t="shared" si="44"/>
        <v>0.8</v>
      </c>
    </row>
    <row r="70" spans="1:45" x14ac:dyDescent="0.25">
      <c r="D70" s="7">
        <v>68</v>
      </c>
      <c r="E70" s="93">
        <f t="shared" si="31"/>
        <v>4.4129605395670561E-2</v>
      </c>
      <c r="F70" s="94">
        <f t="shared" si="32"/>
        <v>5.4386806975081132</v>
      </c>
      <c r="G70" s="68" t="s">
        <v>112</v>
      </c>
      <c r="H70" s="75">
        <f t="shared" si="45"/>
        <v>279.63649211256183</v>
      </c>
      <c r="I70" s="10" t="s">
        <v>213</v>
      </c>
      <c r="J70" s="15">
        <f t="shared" si="46"/>
        <v>11846.638129110623</v>
      </c>
      <c r="K70" s="10" t="s">
        <v>314</v>
      </c>
      <c r="L70" s="17">
        <f t="shared" si="33"/>
        <v>73</v>
      </c>
      <c r="M70" s="10" t="s">
        <v>415</v>
      </c>
      <c r="N70" s="15">
        <f t="shared" si="51"/>
        <v>0</v>
      </c>
      <c r="O70" s="46">
        <f t="shared" si="47"/>
        <v>0</v>
      </c>
      <c r="P70" s="47">
        <f t="shared" si="48"/>
        <v>118.46638129110623</v>
      </c>
      <c r="Q70" s="19">
        <f t="shared" si="34"/>
        <v>0.70607368633072898</v>
      </c>
      <c r="R70" s="92">
        <f t="shared" si="35"/>
        <v>53902.203487453335</v>
      </c>
      <c r="S70" s="25">
        <f t="shared" si="36"/>
        <v>237051.22896350356</v>
      </c>
      <c r="T70" s="25">
        <f t="shared" si="37"/>
        <v>290953.4324509569</v>
      </c>
      <c r="U70" s="33"/>
      <c r="V70" s="33">
        <f t="shared" si="38"/>
        <v>0</v>
      </c>
      <c r="W70" s="46">
        <f t="shared" si="49"/>
        <v>1</v>
      </c>
      <c r="X70" s="19"/>
      <c r="Y70" s="19"/>
      <c r="Z70" s="21">
        <f t="shared" si="39"/>
        <v>51</v>
      </c>
      <c r="AA70" s="22"/>
      <c r="AB70" s="60" t="s">
        <v>642</v>
      </c>
      <c r="AC70" s="95">
        <f t="shared" si="40"/>
        <v>412.748424</v>
      </c>
      <c r="AD70" s="23" t="s">
        <v>540</v>
      </c>
      <c r="AE70" s="2">
        <f t="shared" si="52"/>
        <v>0</v>
      </c>
      <c r="AF70" s="24">
        <f t="shared" si="50"/>
        <v>0</v>
      </c>
      <c r="AG70" s="32">
        <f t="shared" si="41"/>
        <v>0</v>
      </c>
      <c r="AH70" s="22"/>
      <c r="AI70" s="22"/>
      <c r="AJ70" s="33">
        <f t="shared" si="42"/>
        <v>0</v>
      </c>
      <c r="AK70" s="79"/>
      <c r="AM70" s="64" t="s">
        <v>745</v>
      </c>
      <c r="AN70" s="64">
        <f t="shared" si="43"/>
        <v>3</v>
      </c>
      <c r="AP70" s="96" t="s">
        <v>854</v>
      </c>
      <c r="AQ70" s="64">
        <f t="shared" si="44"/>
        <v>0.8</v>
      </c>
    </row>
    <row r="71" spans="1:45" x14ac:dyDescent="0.25">
      <c r="D71" s="7">
        <v>69</v>
      </c>
      <c r="E71" s="93">
        <f t="shared" si="31"/>
        <v>4.3688309341713853E-2</v>
      </c>
      <c r="F71" s="94">
        <f t="shared" si="32"/>
        <v>5.3842938905330318</v>
      </c>
      <c r="G71" s="69" t="s">
        <v>113</v>
      </c>
      <c r="H71" s="75">
        <f t="shared" si="45"/>
        <v>279.63649211256183</v>
      </c>
      <c r="I71" s="31" t="s">
        <v>214</v>
      </c>
      <c r="J71" s="15">
        <f t="shared" si="46"/>
        <v>11728.171747819517</v>
      </c>
      <c r="K71" s="31" t="s">
        <v>315</v>
      </c>
      <c r="L71" s="17">
        <f t="shared" si="33"/>
        <v>73</v>
      </c>
      <c r="M71" s="31" t="s">
        <v>416</v>
      </c>
      <c r="N71" s="15">
        <f t="shared" si="51"/>
        <v>0</v>
      </c>
      <c r="O71" s="46">
        <f t="shared" si="47"/>
        <v>0</v>
      </c>
      <c r="P71" s="47">
        <f t="shared" si="48"/>
        <v>117.28171747819518</v>
      </c>
      <c r="Q71" s="19">
        <f t="shared" si="34"/>
        <v>0.69901294946742176</v>
      </c>
      <c r="R71" s="92">
        <f t="shared" si="35"/>
        <v>53363.181452578807</v>
      </c>
      <c r="S71" s="25">
        <f t="shared" si="36"/>
        <v>234680.7166738685</v>
      </c>
      <c r="T71" s="25">
        <f t="shared" si="37"/>
        <v>288043.89812644734</v>
      </c>
      <c r="U71" s="33"/>
      <c r="V71" s="33">
        <f t="shared" si="38"/>
        <v>0</v>
      </c>
      <c r="W71" s="46">
        <f t="shared" si="49"/>
        <v>1</v>
      </c>
      <c r="X71" s="19"/>
      <c r="Y71" s="19"/>
      <c r="Z71" s="21">
        <f t="shared" si="39"/>
        <v>51</v>
      </c>
      <c r="AA71" s="22"/>
      <c r="AB71" s="60" t="s">
        <v>643</v>
      </c>
      <c r="AC71" s="95">
        <f t="shared" si="40"/>
        <v>412.748424</v>
      </c>
      <c r="AD71" s="23" t="s">
        <v>541</v>
      </c>
      <c r="AE71" s="2">
        <f t="shared" si="52"/>
        <v>0</v>
      </c>
      <c r="AF71" s="24">
        <f t="shared" si="50"/>
        <v>0</v>
      </c>
      <c r="AG71" s="32">
        <f t="shared" si="41"/>
        <v>0</v>
      </c>
      <c r="AH71" s="22"/>
      <c r="AI71" s="22"/>
      <c r="AJ71" s="33">
        <f t="shared" si="42"/>
        <v>0</v>
      </c>
      <c r="AK71" s="79"/>
      <c r="AM71" s="64" t="s">
        <v>746</v>
      </c>
      <c r="AN71" s="64">
        <f t="shared" si="43"/>
        <v>3</v>
      </c>
      <c r="AP71" s="96" t="s">
        <v>855</v>
      </c>
      <c r="AQ71" s="64">
        <f t="shared" si="44"/>
        <v>0.8</v>
      </c>
    </row>
    <row r="72" spans="1:45" x14ac:dyDescent="0.25">
      <c r="A72" s="11"/>
      <c r="D72" s="9">
        <v>70</v>
      </c>
      <c r="E72" s="93">
        <f t="shared" si="31"/>
        <v>4.3251426248296719E-2</v>
      </c>
      <c r="F72" s="94">
        <f t="shared" si="32"/>
        <v>5.3304509516277019</v>
      </c>
      <c r="G72" s="68" t="s">
        <v>114</v>
      </c>
      <c r="H72" s="77">
        <f t="shared" si="45"/>
        <v>279.63649211256183</v>
      </c>
      <c r="I72" s="10" t="s">
        <v>215</v>
      </c>
      <c r="J72" s="73">
        <f t="shared" si="46"/>
        <v>11610.890030341321</v>
      </c>
      <c r="K72" s="10" t="s">
        <v>316</v>
      </c>
      <c r="L72" s="16">
        <f t="shared" si="33"/>
        <v>73</v>
      </c>
      <c r="M72" s="10" t="s">
        <v>417</v>
      </c>
      <c r="N72" s="108">
        <f t="shared" si="51"/>
        <v>0</v>
      </c>
      <c r="O72" s="46">
        <f t="shared" si="47"/>
        <v>0</v>
      </c>
      <c r="P72" s="48">
        <f t="shared" si="48"/>
        <v>116.10890030341321</v>
      </c>
      <c r="Q72" s="18">
        <f t="shared" si="34"/>
        <v>0.6920228199727475</v>
      </c>
      <c r="R72" s="92">
        <f t="shared" si="35"/>
        <v>52829.549638053017</v>
      </c>
      <c r="S72" s="25">
        <f t="shared" si="36"/>
        <v>232333.90950712981</v>
      </c>
      <c r="T72" s="10">
        <f t="shared" si="37"/>
        <v>285163.4591451828</v>
      </c>
      <c r="U72" s="20"/>
      <c r="V72" s="20">
        <f t="shared" si="38"/>
        <v>0</v>
      </c>
      <c r="W72" s="46">
        <f t="shared" si="49"/>
        <v>1</v>
      </c>
      <c r="X72" s="18"/>
      <c r="Y72" s="18"/>
      <c r="Z72" s="49">
        <f t="shared" si="39"/>
        <v>51</v>
      </c>
      <c r="AA72" s="11"/>
      <c r="AB72" s="60" t="s">
        <v>644</v>
      </c>
      <c r="AC72" s="95">
        <f t="shared" si="40"/>
        <v>412.748424</v>
      </c>
      <c r="AD72" s="23" t="s">
        <v>542</v>
      </c>
      <c r="AE72" s="2">
        <f t="shared" si="52"/>
        <v>0</v>
      </c>
      <c r="AF72" s="24">
        <f t="shared" si="50"/>
        <v>0</v>
      </c>
      <c r="AG72" s="32">
        <f t="shared" si="41"/>
        <v>0</v>
      </c>
      <c r="AH72" s="11"/>
      <c r="AI72" s="11"/>
      <c r="AJ72" s="33">
        <f t="shared" si="42"/>
        <v>0</v>
      </c>
      <c r="AK72" s="79"/>
      <c r="AM72" s="86" t="s">
        <v>747</v>
      </c>
      <c r="AN72" s="87">
        <f t="shared" si="43"/>
        <v>3</v>
      </c>
      <c r="AP72" s="86" t="s">
        <v>856</v>
      </c>
      <c r="AQ72" s="64">
        <f t="shared" si="44"/>
        <v>0.8</v>
      </c>
    </row>
    <row r="73" spans="1:45" x14ac:dyDescent="0.25">
      <c r="D73" s="7">
        <v>71</v>
      </c>
      <c r="E73" s="93">
        <f t="shared" si="31"/>
        <v>4.2818911985813751E-2</v>
      </c>
      <c r="F73" s="94">
        <f t="shared" si="32"/>
        <v>5.2771464421114249</v>
      </c>
      <c r="G73" s="67" t="s">
        <v>115</v>
      </c>
      <c r="H73" s="75">
        <f t="shared" si="45"/>
        <v>279.63649211256183</v>
      </c>
      <c r="I73" s="26" t="s">
        <v>216</v>
      </c>
      <c r="J73" s="15">
        <f t="shared" si="46"/>
        <v>11494.781130037907</v>
      </c>
      <c r="K73" s="26" t="s">
        <v>317</v>
      </c>
      <c r="L73" s="17">
        <f t="shared" si="33"/>
        <v>73</v>
      </c>
      <c r="M73" s="26" t="s">
        <v>418</v>
      </c>
      <c r="N73" s="15">
        <f t="shared" si="51"/>
        <v>0</v>
      </c>
      <c r="O73" s="46">
        <f t="shared" si="47"/>
        <v>0</v>
      </c>
      <c r="P73" s="47">
        <f t="shared" si="48"/>
        <v>114.94781130037907</v>
      </c>
      <c r="Q73" s="19">
        <f t="shared" si="34"/>
        <v>0.68510259177302002</v>
      </c>
      <c r="R73" s="92">
        <f t="shared" si="35"/>
        <v>52301.254141672478</v>
      </c>
      <c r="S73" s="25">
        <f t="shared" si="36"/>
        <v>230010.5704120585</v>
      </c>
      <c r="T73" s="25">
        <f t="shared" si="37"/>
        <v>282311.82455373096</v>
      </c>
      <c r="U73" s="33"/>
      <c r="V73" s="33">
        <f t="shared" si="38"/>
        <v>0</v>
      </c>
      <c r="W73" s="46">
        <f t="shared" si="49"/>
        <v>1</v>
      </c>
      <c r="X73" s="19"/>
      <c r="Y73" s="19"/>
      <c r="Z73" s="21">
        <f t="shared" si="39"/>
        <v>51</v>
      </c>
      <c r="AA73" s="22"/>
      <c r="AB73" s="60" t="s">
        <v>645</v>
      </c>
      <c r="AC73" s="95">
        <f t="shared" si="40"/>
        <v>412.748424</v>
      </c>
      <c r="AD73" s="23" t="s">
        <v>543</v>
      </c>
      <c r="AE73" s="2">
        <f t="shared" si="52"/>
        <v>0</v>
      </c>
      <c r="AF73" s="24">
        <f t="shared" si="50"/>
        <v>0</v>
      </c>
      <c r="AG73" s="32">
        <f t="shared" si="41"/>
        <v>0</v>
      </c>
      <c r="AH73" s="22"/>
      <c r="AI73" s="22"/>
      <c r="AJ73" s="33">
        <f t="shared" si="42"/>
        <v>0</v>
      </c>
      <c r="AK73" s="79"/>
      <c r="AM73" s="64" t="s">
        <v>748</v>
      </c>
      <c r="AN73" s="64">
        <f t="shared" si="43"/>
        <v>3</v>
      </c>
      <c r="AP73" s="96" t="s">
        <v>857</v>
      </c>
      <c r="AQ73" s="64">
        <f t="shared" si="44"/>
        <v>0.8</v>
      </c>
      <c r="AS73" s="38"/>
    </row>
    <row r="74" spans="1:45" x14ac:dyDescent="0.25">
      <c r="D74" s="7">
        <v>72</v>
      </c>
      <c r="E74" s="93">
        <f t="shared" si="31"/>
        <v>4.2390722865955612E-2</v>
      </c>
      <c r="F74" s="94">
        <f t="shared" si="32"/>
        <v>5.224374977690311</v>
      </c>
      <c r="G74" s="68" t="s">
        <v>116</v>
      </c>
      <c r="H74" s="75">
        <f t="shared" si="45"/>
        <v>279.63649211256183</v>
      </c>
      <c r="I74" s="10" t="s">
        <v>217</v>
      </c>
      <c r="J74" s="15">
        <f t="shared" si="46"/>
        <v>11379.833318737528</v>
      </c>
      <c r="K74" s="10" t="s">
        <v>318</v>
      </c>
      <c r="L74" s="17">
        <f t="shared" si="33"/>
        <v>73</v>
      </c>
      <c r="M74" s="10" t="s">
        <v>419</v>
      </c>
      <c r="N74" s="15">
        <f t="shared" si="51"/>
        <v>0</v>
      </c>
      <c r="O74" s="46">
        <f t="shared" si="47"/>
        <v>0</v>
      </c>
      <c r="P74" s="47">
        <f t="shared" si="48"/>
        <v>113.79833318737529</v>
      </c>
      <c r="Q74" s="19">
        <f t="shared" si="34"/>
        <v>0.67825156585528978</v>
      </c>
      <c r="R74" s="92">
        <f t="shared" si="35"/>
        <v>51778.241600255751</v>
      </c>
      <c r="S74" s="25">
        <f t="shared" si="36"/>
        <v>227710.46470793794</v>
      </c>
      <c r="T74" s="25">
        <f t="shared" si="37"/>
        <v>279488.70630819368</v>
      </c>
      <c r="U74" s="33"/>
      <c r="V74" s="33">
        <f t="shared" si="38"/>
        <v>0</v>
      </c>
      <c r="W74" s="46">
        <f t="shared" si="49"/>
        <v>1</v>
      </c>
      <c r="X74" s="19"/>
      <c r="Y74" s="19"/>
      <c r="Z74" s="21">
        <f t="shared" si="39"/>
        <v>51</v>
      </c>
      <c r="AA74" s="22"/>
      <c r="AB74" s="60" t="s">
        <v>646</v>
      </c>
      <c r="AC74" s="95">
        <f t="shared" si="40"/>
        <v>412.748424</v>
      </c>
      <c r="AD74" s="23" t="s">
        <v>544</v>
      </c>
      <c r="AE74" s="2">
        <f t="shared" si="52"/>
        <v>0</v>
      </c>
      <c r="AF74" s="24">
        <f t="shared" si="50"/>
        <v>0</v>
      </c>
      <c r="AG74" s="32">
        <f t="shared" si="41"/>
        <v>0</v>
      </c>
      <c r="AH74" s="22"/>
      <c r="AI74" s="22"/>
      <c r="AJ74" s="33">
        <f t="shared" si="42"/>
        <v>0</v>
      </c>
      <c r="AK74" s="79"/>
      <c r="AM74" s="64" t="s">
        <v>749</v>
      </c>
      <c r="AN74" s="64">
        <f t="shared" si="43"/>
        <v>3</v>
      </c>
      <c r="AP74" s="96" t="s">
        <v>858</v>
      </c>
      <c r="AQ74" s="64">
        <f t="shared" si="44"/>
        <v>0.8</v>
      </c>
    </row>
    <row r="75" spans="1:45" x14ac:dyDescent="0.25">
      <c r="D75" s="7">
        <v>73</v>
      </c>
      <c r="E75" s="93">
        <f t="shared" si="31"/>
        <v>4.1966815637296061E-2</v>
      </c>
      <c r="F75" s="94">
        <f t="shared" si="32"/>
        <v>5.1721312279134084</v>
      </c>
      <c r="G75" s="68" t="s">
        <v>117</v>
      </c>
      <c r="H75" s="75">
        <f t="shared" si="45"/>
        <v>279.63649211256183</v>
      </c>
      <c r="I75" s="10" t="s">
        <v>218</v>
      </c>
      <c r="J75" s="15">
        <f t="shared" si="46"/>
        <v>11266.034985550154</v>
      </c>
      <c r="K75" s="10" t="s">
        <v>319</v>
      </c>
      <c r="L75" s="17">
        <f t="shared" si="33"/>
        <v>73</v>
      </c>
      <c r="M75" s="10" t="s">
        <v>420</v>
      </c>
      <c r="N75" s="15">
        <f t="shared" si="51"/>
        <v>0</v>
      </c>
      <c r="O75" s="46">
        <f t="shared" si="47"/>
        <v>0</v>
      </c>
      <c r="P75" s="47">
        <f t="shared" si="48"/>
        <v>112.66034985550154</v>
      </c>
      <c r="Q75" s="19">
        <f t="shared" si="34"/>
        <v>0.67146905019673697</v>
      </c>
      <c r="R75" s="92">
        <f t="shared" si="35"/>
        <v>51260.459184253203</v>
      </c>
      <c r="S75" s="25">
        <f t="shared" si="36"/>
        <v>225433.36006085857</v>
      </c>
      <c r="T75" s="25">
        <f t="shared" si="37"/>
        <v>276693.81924511178</v>
      </c>
      <c r="U75" s="33"/>
      <c r="V75" s="33">
        <f t="shared" si="38"/>
        <v>0</v>
      </c>
      <c r="W75" s="46">
        <f t="shared" si="49"/>
        <v>1</v>
      </c>
      <c r="X75" s="19"/>
      <c r="Y75" s="19"/>
      <c r="Z75" s="21">
        <f t="shared" si="39"/>
        <v>51</v>
      </c>
      <c r="AA75" s="22"/>
      <c r="AB75" s="60" t="s">
        <v>647</v>
      </c>
      <c r="AC75" s="95">
        <f t="shared" si="40"/>
        <v>412.748424</v>
      </c>
      <c r="AD75" s="23" t="s">
        <v>545</v>
      </c>
      <c r="AE75" s="2">
        <f t="shared" si="52"/>
        <v>0</v>
      </c>
      <c r="AF75" s="24">
        <f t="shared" si="50"/>
        <v>0</v>
      </c>
      <c r="AG75" s="32">
        <f t="shared" si="41"/>
        <v>0</v>
      </c>
      <c r="AH75" s="22"/>
      <c r="AI75" s="22"/>
      <c r="AJ75" s="33">
        <f t="shared" si="42"/>
        <v>0</v>
      </c>
      <c r="AK75" s="79"/>
      <c r="AM75" s="64" t="s">
        <v>750</v>
      </c>
      <c r="AN75" s="64">
        <f t="shared" si="43"/>
        <v>3</v>
      </c>
      <c r="AP75" s="96" t="s">
        <v>859</v>
      </c>
      <c r="AQ75" s="64">
        <f t="shared" si="44"/>
        <v>0.8</v>
      </c>
    </row>
    <row r="76" spans="1:45" x14ac:dyDescent="0.25">
      <c r="D76" s="7">
        <v>74</v>
      </c>
      <c r="E76" s="104">
        <f t="shared" si="31"/>
        <v>4.1547147480923093E-2</v>
      </c>
      <c r="F76" s="105">
        <f t="shared" si="32"/>
        <v>5.1204099156342728</v>
      </c>
      <c r="G76" s="69" t="s">
        <v>118</v>
      </c>
      <c r="H76" s="75">
        <f t="shared" si="45"/>
        <v>279.63649211256183</v>
      </c>
      <c r="I76" s="31" t="s">
        <v>219</v>
      </c>
      <c r="J76" s="15">
        <f t="shared" si="46"/>
        <v>11153.374635694652</v>
      </c>
      <c r="K76" s="31" t="s">
        <v>320</v>
      </c>
      <c r="L76" s="17">
        <f t="shared" si="33"/>
        <v>73</v>
      </c>
      <c r="M76" s="31" t="s">
        <v>421</v>
      </c>
      <c r="N76" s="15">
        <f t="shared" si="51"/>
        <v>0</v>
      </c>
      <c r="O76" s="46">
        <f t="shared" si="47"/>
        <v>0</v>
      </c>
      <c r="P76" s="47">
        <f t="shared" si="48"/>
        <v>111.53374635694652</v>
      </c>
      <c r="Q76" s="19">
        <f t="shared" si="34"/>
        <v>0.66475435969476959</v>
      </c>
      <c r="R76" s="106">
        <f t="shared" si="35"/>
        <v>50747.854592410673</v>
      </c>
      <c r="S76" s="25">
        <f t="shared" si="36"/>
        <v>223179.02646024997</v>
      </c>
      <c r="T76" s="25">
        <f t="shared" si="37"/>
        <v>273926.88105266064</v>
      </c>
      <c r="U76" s="33"/>
      <c r="V76" s="33">
        <f t="shared" si="38"/>
        <v>0</v>
      </c>
      <c r="W76" s="46">
        <f t="shared" si="49"/>
        <v>1</v>
      </c>
      <c r="X76" s="19"/>
      <c r="Y76" s="19"/>
      <c r="Z76" s="21">
        <f t="shared" si="39"/>
        <v>51</v>
      </c>
      <c r="AA76" s="22"/>
      <c r="AB76" s="107" t="s">
        <v>648</v>
      </c>
      <c r="AC76" s="95">
        <f t="shared" si="40"/>
        <v>412.748424</v>
      </c>
      <c r="AD76" s="23" t="s">
        <v>546</v>
      </c>
      <c r="AE76" s="2">
        <f t="shared" si="52"/>
        <v>0</v>
      </c>
      <c r="AF76" s="24">
        <f t="shared" si="50"/>
        <v>0</v>
      </c>
      <c r="AG76" s="32">
        <f t="shared" si="41"/>
        <v>0</v>
      </c>
      <c r="AH76" s="22"/>
      <c r="AI76" s="22"/>
      <c r="AJ76" s="33">
        <f t="shared" si="42"/>
        <v>0</v>
      </c>
      <c r="AK76" s="79"/>
      <c r="AM76" s="64" t="s">
        <v>751</v>
      </c>
      <c r="AN76" s="64">
        <f t="shared" si="43"/>
        <v>3</v>
      </c>
      <c r="AP76" s="96" t="s">
        <v>860</v>
      </c>
      <c r="AQ76" s="64">
        <f t="shared" si="44"/>
        <v>0.8</v>
      </c>
    </row>
    <row r="77" spans="1:45" x14ac:dyDescent="0.25">
      <c r="D77" s="50">
        <v>75</v>
      </c>
      <c r="E77" s="93">
        <f t="shared" si="31"/>
        <v>4.1131676006113865E-2</v>
      </c>
      <c r="F77" s="94">
        <f t="shared" si="32"/>
        <v>5.0692058164779308</v>
      </c>
      <c r="G77" s="66" t="s">
        <v>119</v>
      </c>
      <c r="H77" s="78">
        <f t="shared" si="45"/>
        <v>279.63649211256183</v>
      </c>
      <c r="I77" s="52" t="s">
        <v>220</v>
      </c>
      <c r="J77" s="62">
        <f t="shared" si="46"/>
        <v>11041.840889337705</v>
      </c>
      <c r="K77" s="52" t="s">
        <v>321</v>
      </c>
      <c r="L77" s="53">
        <f t="shared" si="33"/>
        <v>73</v>
      </c>
      <c r="M77" s="52" t="s">
        <v>422</v>
      </c>
      <c r="N77" s="108">
        <f t="shared" si="51"/>
        <v>0</v>
      </c>
      <c r="O77" s="109">
        <f t="shared" si="47"/>
        <v>0</v>
      </c>
      <c r="P77" s="54">
        <f t="shared" si="48"/>
        <v>110.41840889337706</v>
      </c>
      <c r="Q77" s="55">
        <f t="shared" si="34"/>
        <v>0.65810681609782185</v>
      </c>
      <c r="R77" s="92">
        <f t="shared" si="35"/>
        <v>50240.376046486563</v>
      </c>
      <c r="S77" s="10">
        <f t="shared" si="36"/>
        <v>220947.23619564751</v>
      </c>
      <c r="T77" s="52">
        <f t="shared" si="37"/>
        <v>271187.61224213406</v>
      </c>
      <c r="U77" s="56"/>
      <c r="V77" s="56">
        <f t="shared" si="38"/>
        <v>0</v>
      </c>
      <c r="W77" s="109">
        <f t="shared" si="49"/>
        <v>1</v>
      </c>
      <c r="X77" s="55"/>
      <c r="Y77" s="55"/>
      <c r="Z77" s="57">
        <f t="shared" si="39"/>
        <v>51</v>
      </c>
      <c r="AA77" s="58"/>
      <c r="AB77" s="60" t="s">
        <v>649</v>
      </c>
      <c r="AC77" s="110">
        <f t="shared" si="40"/>
        <v>412.748424</v>
      </c>
      <c r="AD77" s="111" t="s">
        <v>547</v>
      </c>
      <c r="AE77" s="112">
        <f t="shared" si="52"/>
        <v>0</v>
      </c>
      <c r="AF77" s="113">
        <f t="shared" si="50"/>
        <v>0</v>
      </c>
      <c r="AG77" s="114">
        <f t="shared" si="41"/>
        <v>0</v>
      </c>
      <c r="AH77" s="58"/>
      <c r="AI77" s="58"/>
      <c r="AJ77" s="20">
        <f t="shared" si="42"/>
        <v>0</v>
      </c>
      <c r="AK77" s="102"/>
      <c r="AL77" s="11"/>
      <c r="AM77" s="86" t="s">
        <v>752</v>
      </c>
      <c r="AN77" s="87">
        <f t="shared" si="43"/>
        <v>3</v>
      </c>
      <c r="AP77" s="86" t="s">
        <v>861</v>
      </c>
      <c r="AQ77" s="64">
        <f t="shared" si="44"/>
        <v>0.8</v>
      </c>
    </row>
    <row r="78" spans="1:45" x14ac:dyDescent="0.25">
      <c r="D78" s="7">
        <v>76</v>
      </c>
      <c r="E78" s="97">
        <f t="shared" si="31"/>
        <v>4.0720359246052731E-2</v>
      </c>
      <c r="F78" s="98">
        <f t="shared" si="32"/>
        <v>5.0185137583131514</v>
      </c>
      <c r="G78" s="67" t="s">
        <v>120</v>
      </c>
      <c r="H78" s="75">
        <f t="shared" si="45"/>
        <v>279.63649211256183</v>
      </c>
      <c r="I78" s="26" t="s">
        <v>221</v>
      </c>
      <c r="J78" s="15">
        <f t="shared" si="46"/>
        <v>10931.422480444329</v>
      </c>
      <c r="K78" s="26" t="s">
        <v>322</v>
      </c>
      <c r="L78" s="17">
        <f t="shared" si="33"/>
        <v>73</v>
      </c>
      <c r="M78" s="26" t="s">
        <v>423</v>
      </c>
      <c r="N78" s="15">
        <f t="shared" si="51"/>
        <v>0</v>
      </c>
      <c r="O78" s="46">
        <f t="shared" si="47"/>
        <v>0</v>
      </c>
      <c r="P78" s="47">
        <f t="shared" si="48"/>
        <v>109.3142248044433</v>
      </c>
      <c r="Q78" s="19">
        <f t="shared" si="34"/>
        <v>0.6515257479368437</v>
      </c>
      <c r="R78" s="99">
        <f t="shared" si="35"/>
        <v>49737.972286021701</v>
      </c>
      <c r="S78" s="25">
        <f t="shared" si="36"/>
        <v>218737.76383369102</v>
      </c>
      <c r="T78" s="25">
        <f t="shared" si="37"/>
        <v>268475.7361197127</v>
      </c>
      <c r="U78" s="33"/>
      <c r="V78" s="33">
        <f t="shared" si="38"/>
        <v>0</v>
      </c>
      <c r="W78" s="46">
        <f t="shared" si="49"/>
        <v>1</v>
      </c>
      <c r="X78" s="19"/>
      <c r="Y78" s="19"/>
      <c r="Z78" s="21">
        <f t="shared" si="39"/>
        <v>51</v>
      </c>
      <c r="AA78" s="22"/>
      <c r="AB78" s="100" t="s">
        <v>650</v>
      </c>
      <c r="AC78" s="95">
        <f t="shared" si="40"/>
        <v>412.748424</v>
      </c>
      <c r="AD78" s="23" t="s">
        <v>548</v>
      </c>
      <c r="AE78" s="2">
        <f t="shared" si="52"/>
        <v>0</v>
      </c>
      <c r="AF78" s="24">
        <f t="shared" si="50"/>
        <v>0</v>
      </c>
      <c r="AG78" s="32">
        <f t="shared" si="41"/>
        <v>0</v>
      </c>
      <c r="AH78" s="22"/>
      <c r="AI78" s="22"/>
      <c r="AJ78" s="33">
        <f t="shared" si="42"/>
        <v>0</v>
      </c>
      <c r="AK78" s="101"/>
      <c r="AM78" s="64" t="s">
        <v>753</v>
      </c>
      <c r="AN78" s="64">
        <f t="shared" si="43"/>
        <v>3</v>
      </c>
      <c r="AP78" s="96" t="s">
        <v>862</v>
      </c>
      <c r="AQ78" s="64">
        <f t="shared" si="44"/>
        <v>0.8</v>
      </c>
    </row>
    <row r="79" spans="1:45" x14ac:dyDescent="0.25">
      <c r="D79" s="7">
        <v>77</v>
      </c>
      <c r="E79" s="93">
        <f t="shared" si="31"/>
        <v>4.0313155653592198E-2</v>
      </c>
      <c r="F79" s="94">
        <f t="shared" si="32"/>
        <v>4.9683286207300199</v>
      </c>
      <c r="G79" s="68" t="s">
        <v>121</v>
      </c>
      <c r="H79" s="75">
        <f t="shared" si="45"/>
        <v>279.63649211256183</v>
      </c>
      <c r="I79" s="10" t="s">
        <v>222</v>
      </c>
      <c r="J79" s="15">
        <f t="shared" si="46"/>
        <v>10822.108255639885</v>
      </c>
      <c r="K79" s="10" t="s">
        <v>323</v>
      </c>
      <c r="L79" s="17">
        <f t="shared" si="33"/>
        <v>73</v>
      </c>
      <c r="M79" s="10" t="s">
        <v>424</v>
      </c>
      <c r="N79" s="15">
        <f t="shared" si="51"/>
        <v>0</v>
      </c>
      <c r="O79" s="46">
        <f t="shared" si="47"/>
        <v>0</v>
      </c>
      <c r="P79" s="47">
        <f t="shared" si="48"/>
        <v>108.22108255639885</v>
      </c>
      <c r="Q79" s="19">
        <f t="shared" si="34"/>
        <v>0.64501049045747516</v>
      </c>
      <c r="R79" s="92">
        <f t="shared" si="35"/>
        <v>49240.592563161481</v>
      </c>
      <c r="S79" s="25">
        <f t="shared" si="36"/>
        <v>216550.38619535411</v>
      </c>
      <c r="T79" s="25">
        <f t="shared" si="37"/>
        <v>265790.97875851556</v>
      </c>
      <c r="U79" s="33"/>
      <c r="V79" s="33">
        <f t="shared" si="38"/>
        <v>0</v>
      </c>
      <c r="W79" s="46">
        <f t="shared" si="49"/>
        <v>1</v>
      </c>
      <c r="X79" s="19"/>
      <c r="Y79" s="19"/>
      <c r="Z79" s="21">
        <f t="shared" si="39"/>
        <v>51</v>
      </c>
      <c r="AA79" s="22"/>
      <c r="AB79" s="60" t="s">
        <v>651</v>
      </c>
      <c r="AC79" s="95">
        <f t="shared" si="40"/>
        <v>412.748424</v>
      </c>
      <c r="AD79" s="23" t="s">
        <v>549</v>
      </c>
      <c r="AE79" s="2">
        <f t="shared" si="52"/>
        <v>0</v>
      </c>
      <c r="AF79" s="24">
        <f t="shared" si="50"/>
        <v>0</v>
      </c>
      <c r="AG79" s="32">
        <f t="shared" si="41"/>
        <v>0</v>
      </c>
      <c r="AH79" s="22"/>
      <c r="AI79" s="22"/>
      <c r="AJ79" s="33">
        <f t="shared" si="42"/>
        <v>0</v>
      </c>
      <c r="AK79" s="79"/>
      <c r="AM79" s="64" t="s">
        <v>754</v>
      </c>
      <c r="AN79" s="64">
        <f t="shared" si="43"/>
        <v>3</v>
      </c>
      <c r="AP79" s="96" t="s">
        <v>863</v>
      </c>
      <c r="AQ79" s="64">
        <f t="shared" si="44"/>
        <v>0.8</v>
      </c>
    </row>
    <row r="80" spans="1:45" x14ac:dyDescent="0.25">
      <c r="D80" s="7">
        <v>78</v>
      </c>
      <c r="E80" s="93">
        <f t="shared" si="31"/>
        <v>3.9910024097056282E-2</v>
      </c>
      <c r="F80" s="94">
        <f t="shared" si="32"/>
        <v>4.9186453345227195</v>
      </c>
      <c r="G80" s="68" t="s">
        <v>122</v>
      </c>
      <c r="H80" s="75">
        <f t="shared" si="45"/>
        <v>279.63649211256183</v>
      </c>
      <c r="I80" s="10" t="s">
        <v>223</v>
      </c>
      <c r="J80" s="15">
        <f t="shared" si="46"/>
        <v>10713.887173083487</v>
      </c>
      <c r="K80" s="10" t="s">
        <v>324</v>
      </c>
      <c r="L80" s="17">
        <f t="shared" si="33"/>
        <v>73</v>
      </c>
      <c r="M80" s="10" t="s">
        <v>425</v>
      </c>
      <c r="N80" s="15">
        <f t="shared" si="51"/>
        <v>0</v>
      </c>
      <c r="O80" s="46">
        <f t="shared" si="47"/>
        <v>0</v>
      </c>
      <c r="P80" s="47">
        <f t="shared" si="48"/>
        <v>107.13887173083488</v>
      </c>
      <c r="Q80" s="19">
        <f t="shared" si="34"/>
        <v>0.63856038555290051</v>
      </c>
      <c r="R80" s="92">
        <f t="shared" si="35"/>
        <v>48748.18663752987</v>
      </c>
      <c r="S80" s="25">
        <f t="shared" si="36"/>
        <v>214384.88233340057</v>
      </c>
      <c r="T80" s="25">
        <f t="shared" si="37"/>
        <v>263133.06897093041</v>
      </c>
      <c r="U80" s="33"/>
      <c r="V80" s="33">
        <f t="shared" si="38"/>
        <v>0</v>
      </c>
      <c r="W80" s="46">
        <f t="shared" si="49"/>
        <v>1</v>
      </c>
      <c r="X80" s="19"/>
      <c r="Y80" s="19"/>
      <c r="Z80" s="21">
        <f t="shared" si="39"/>
        <v>51</v>
      </c>
      <c r="AA80" s="22"/>
      <c r="AB80" s="60" t="s">
        <v>652</v>
      </c>
      <c r="AC80" s="95">
        <f t="shared" si="40"/>
        <v>412.748424</v>
      </c>
      <c r="AD80" s="23" t="s">
        <v>550</v>
      </c>
      <c r="AE80" s="2">
        <f t="shared" si="52"/>
        <v>0</v>
      </c>
      <c r="AF80" s="24">
        <f t="shared" si="50"/>
        <v>0</v>
      </c>
      <c r="AG80" s="32">
        <f t="shared" si="41"/>
        <v>0</v>
      </c>
      <c r="AH80" s="22"/>
      <c r="AI80" s="22"/>
      <c r="AJ80" s="33">
        <f t="shared" si="42"/>
        <v>0</v>
      </c>
      <c r="AK80" s="79"/>
      <c r="AM80" s="64" t="s">
        <v>755</v>
      </c>
      <c r="AN80" s="64">
        <f t="shared" si="43"/>
        <v>3</v>
      </c>
      <c r="AP80" s="96" t="s">
        <v>864</v>
      </c>
      <c r="AQ80" s="64">
        <f t="shared" si="44"/>
        <v>0.8</v>
      </c>
    </row>
    <row r="81" spans="4:43" x14ac:dyDescent="0.25">
      <c r="D81" s="7">
        <v>79</v>
      </c>
      <c r="E81" s="93">
        <f t="shared" si="31"/>
        <v>3.9510923856085713E-2</v>
      </c>
      <c r="F81" s="94">
        <f t="shared" si="32"/>
        <v>4.8694588811774917</v>
      </c>
      <c r="G81" s="69" t="s">
        <v>123</v>
      </c>
      <c r="H81" s="75">
        <f t="shared" si="45"/>
        <v>279.63649211256183</v>
      </c>
      <c r="I81" s="31" t="s">
        <v>224</v>
      </c>
      <c r="J81" s="15">
        <f t="shared" si="46"/>
        <v>10606.748301352653</v>
      </c>
      <c r="K81" s="31" t="s">
        <v>325</v>
      </c>
      <c r="L81" s="17">
        <f t="shared" si="33"/>
        <v>73</v>
      </c>
      <c r="M81" s="31" t="s">
        <v>426</v>
      </c>
      <c r="N81" s="15">
        <f t="shared" si="51"/>
        <v>0</v>
      </c>
      <c r="O81" s="46">
        <f t="shared" si="47"/>
        <v>0</v>
      </c>
      <c r="P81" s="47">
        <f t="shared" si="48"/>
        <v>106.06748301352653</v>
      </c>
      <c r="Q81" s="19">
        <f t="shared" si="34"/>
        <v>0.63217478169737151</v>
      </c>
      <c r="R81" s="92">
        <f t="shared" si="35"/>
        <v>48260.704771154575</v>
      </c>
      <c r="S81" s="25">
        <f t="shared" si="36"/>
        <v>212241.03351006657</v>
      </c>
      <c r="T81" s="25">
        <f t="shared" si="37"/>
        <v>260501.73828122113</v>
      </c>
      <c r="U81" s="33"/>
      <c r="V81" s="33">
        <f t="shared" si="38"/>
        <v>0</v>
      </c>
      <c r="W81" s="46">
        <f t="shared" si="49"/>
        <v>1</v>
      </c>
      <c r="X81" s="19"/>
      <c r="Y81" s="19"/>
      <c r="Z81" s="21">
        <f t="shared" si="39"/>
        <v>51</v>
      </c>
      <c r="AA81" s="22"/>
      <c r="AB81" s="60" t="s">
        <v>653</v>
      </c>
      <c r="AC81" s="95">
        <f t="shared" si="40"/>
        <v>412.748424</v>
      </c>
      <c r="AD81" s="23" t="s">
        <v>551</v>
      </c>
      <c r="AE81" s="2">
        <f t="shared" si="52"/>
        <v>0</v>
      </c>
      <c r="AF81" s="24">
        <f t="shared" si="50"/>
        <v>0</v>
      </c>
      <c r="AG81" s="32">
        <f t="shared" si="41"/>
        <v>0</v>
      </c>
      <c r="AH81" s="22"/>
      <c r="AI81" s="22"/>
      <c r="AJ81" s="33">
        <f t="shared" si="42"/>
        <v>0</v>
      </c>
      <c r="AK81" s="79"/>
      <c r="AM81" s="64" t="s">
        <v>756</v>
      </c>
      <c r="AN81" s="64">
        <f t="shared" si="43"/>
        <v>3</v>
      </c>
      <c r="AP81" s="96" t="s">
        <v>865</v>
      </c>
      <c r="AQ81" s="64">
        <f t="shared" si="44"/>
        <v>0.8</v>
      </c>
    </row>
    <row r="82" spans="4:43" x14ac:dyDescent="0.25">
      <c r="D82" s="9">
        <v>80</v>
      </c>
      <c r="E82" s="93">
        <f t="shared" si="31"/>
        <v>3.9115814617524863E-2</v>
      </c>
      <c r="F82" s="94">
        <f t="shared" si="32"/>
        <v>4.8207642923657188</v>
      </c>
      <c r="G82" s="68" t="s">
        <v>124</v>
      </c>
      <c r="H82" s="77">
        <f t="shared" si="45"/>
        <v>279.63649211256183</v>
      </c>
      <c r="I82" s="10" t="s">
        <v>225</v>
      </c>
      <c r="J82" s="73">
        <f t="shared" si="46"/>
        <v>10500.680818339126</v>
      </c>
      <c r="K82" s="10" t="s">
        <v>326</v>
      </c>
      <c r="L82" s="16">
        <f t="shared" si="33"/>
        <v>73</v>
      </c>
      <c r="M82" s="10" t="s">
        <v>427</v>
      </c>
      <c r="N82" s="118">
        <f t="shared" si="51"/>
        <v>0</v>
      </c>
      <c r="O82" s="68">
        <f t="shared" si="47"/>
        <v>0</v>
      </c>
      <c r="P82" s="48">
        <f t="shared" si="48"/>
        <v>105.00680818339126</v>
      </c>
      <c r="Q82" s="18">
        <f t="shared" si="34"/>
        <v>0.62585303388039781</v>
      </c>
      <c r="R82" s="92">
        <f t="shared" si="35"/>
        <v>47778.097723443025</v>
      </c>
      <c r="S82" s="25">
        <f t="shared" si="36"/>
        <v>210118.62317496591</v>
      </c>
      <c r="T82" s="10">
        <f t="shared" si="37"/>
        <v>257896.72089840894</v>
      </c>
      <c r="U82" s="20"/>
      <c r="V82" s="20">
        <f t="shared" si="38"/>
        <v>0</v>
      </c>
      <c r="W82" s="68">
        <f t="shared" si="49"/>
        <v>1</v>
      </c>
      <c r="X82" s="18"/>
      <c r="Y82" s="18"/>
      <c r="Z82" s="49">
        <f t="shared" si="39"/>
        <v>51</v>
      </c>
      <c r="AA82" s="11"/>
      <c r="AB82" s="60" t="s">
        <v>654</v>
      </c>
      <c r="AC82" s="95">
        <f t="shared" si="40"/>
        <v>412.748424</v>
      </c>
      <c r="AD82" s="23" t="s">
        <v>552</v>
      </c>
      <c r="AE82" s="2">
        <f t="shared" si="52"/>
        <v>0</v>
      </c>
      <c r="AF82" s="24">
        <f t="shared" si="50"/>
        <v>0</v>
      </c>
      <c r="AG82" s="32">
        <f t="shared" si="41"/>
        <v>0</v>
      </c>
      <c r="AH82" s="11"/>
      <c r="AI82" s="11"/>
      <c r="AJ82" s="33">
        <f t="shared" si="42"/>
        <v>0</v>
      </c>
      <c r="AK82" s="79"/>
      <c r="AM82" s="86" t="s">
        <v>757</v>
      </c>
      <c r="AN82" s="87">
        <f t="shared" si="43"/>
        <v>3</v>
      </c>
      <c r="AP82" s="86" t="s">
        <v>866</v>
      </c>
      <c r="AQ82" s="64">
        <f t="shared" si="44"/>
        <v>0.8</v>
      </c>
    </row>
    <row r="83" spans="4:43" x14ac:dyDescent="0.25">
      <c r="D83" s="7">
        <v>81</v>
      </c>
      <c r="E83" s="93">
        <f t="shared" si="31"/>
        <v>3.8724656471349615E-2</v>
      </c>
      <c r="F83" s="94">
        <f t="shared" si="32"/>
        <v>4.7725566494420608</v>
      </c>
      <c r="G83" s="67" t="s">
        <v>125</v>
      </c>
      <c r="H83" s="75">
        <f t="shared" si="45"/>
        <v>279.63649211256183</v>
      </c>
      <c r="I83" s="26" t="s">
        <v>226</v>
      </c>
      <c r="J83" s="15">
        <f t="shared" si="46"/>
        <v>10395.674010155735</v>
      </c>
      <c r="K83" s="26" t="s">
        <v>327</v>
      </c>
      <c r="L83" s="17">
        <f t="shared" si="33"/>
        <v>73</v>
      </c>
      <c r="M83" s="26" t="s">
        <v>428</v>
      </c>
      <c r="N83" s="15">
        <f t="shared" si="51"/>
        <v>0</v>
      </c>
      <c r="O83" s="46">
        <f t="shared" si="47"/>
        <v>0</v>
      </c>
      <c r="P83" s="47">
        <f t="shared" si="48"/>
        <v>103.95674010155736</v>
      </c>
      <c r="Q83" s="19">
        <f t="shared" si="34"/>
        <v>0.61959450354159384</v>
      </c>
      <c r="R83" s="92">
        <f t="shared" si="35"/>
        <v>47300.316746208598</v>
      </c>
      <c r="S83" s="25">
        <f t="shared" si="36"/>
        <v>208017.43694321628</v>
      </c>
      <c r="T83" s="25">
        <f t="shared" si="37"/>
        <v>255317.75368942489</v>
      </c>
      <c r="U83" s="33"/>
      <c r="V83" s="33">
        <f t="shared" si="38"/>
        <v>0</v>
      </c>
      <c r="W83" s="46">
        <f t="shared" si="49"/>
        <v>1</v>
      </c>
      <c r="X83" s="19"/>
      <c r="Y83" s="19"/>
      <c r="Z83" s="21">
        <f t="shared" si="39"/>
        <v>51</v>
      </c>
      <c r="AA83" s="22"/>
      <c r="AB83" s="60" t="s">
        <v>655</v>
      </c>
      <c r="AC83" s="95">
        <f t="shared" si="40"/>
        <v>412.748424</v>
      </c>
      <c r="AD83" s="23" t="s">
        <v>553</v>
      </c>
      <c r="AE83" s="2">
        <f t="shared" si="52"/>
        <v>0</v>
      </c>
      <c r="AF83" s="24">
        <f t="shared" si="50"/>
        <v>0</v>
      </c>
      <c r="AG83" s="32">
        <f t="shared" si="41"/>
        <v>0</v>
      </c>
      <c r="AH83" s="22"/>
      <c r="AI83" s="22"/>
      <c r="AJ83" s="33">
        <f t="shared" si="42"/>
        <v>0</v>
      </c>
      <c r="AK83" s="79"/>
      <c r="AM83" s="64" t="s">
        <v>758</v>
      </c>
      <c r="AN83" s="64">
        <f t="shared" si="43"/>
        <v>3</v>
      </c>
      <c r="AP83" s="96" t="s">
        <v>867</v>
      </c>
      <c r="AQ83" s="64">
        <f t="shared" si="44"/>
        <v>0.8</v>
      </c>
    </row>
    <row r="84" spans="4:43" x14ac:dyDescent="0.25">
      <c r="D84" s="7">
        <v>82</v>
      </c>
      <c r="E84" s="93">
        <f t="shared" si="31"/>
        <v>3.8337409906636116E-2</v>
      </c>
      <c r="F84" s="94">
        <f t="shared" si="32"/>
        <v>4.7248310829476408</v>
      </c>
      <c r="G84" s="68" t="s">
        <v>126</v>
      </c>
      <c r="H84" s="75">
        <f t="shared" si="45"/>
        <v>279.63649211256183</v>
      </c>
      <c r="I84" s="10" t="s">
        <v>227</v>
      </c>
      <c r="J84" s="15">
        <f t="shared" si="46"/>
        <v>10291.717270054178</v>
      </c>
      <c r="K84" s="10" t="s">
        <v>328</v>
      </c>
      <c r="L84" s="17">
        <f t="shared" si="33"/>
        <v>73</v>
      </c>
      <c r="M84" s="10" t="s">
        <v>429</v>
      </c>
      <c r="N84" s="15">
        <f t="shared" si="51"/>
        <v>0</v>
      </c>
      <c r="O84" s="46">
        <f t="shared" si="47"/>
        <v>0</v>
      </c>
      <c r="P84" s="47">
        <f t="shared" si="48"/>
        <v>102.91717270054178</v>
      </c>
      <c r="Q84" s="19">
        <f t="shared" si="34"/>
        <v>0.61339855850617786</v>
      </c>
      <c r="R84" s="92">
        <f t="shared" si="35"/>
        <v>46827.313578746507</v>
      </c>
      <c r="S84" s="25">
        <f t="shared" si="36"/>
        <v>205937.26257378407</v>
      </c>
      <c r="T84" s="25">
        <f t="shared" si="37"/>
        <v>252764.57615253059</v>
      </c>
      <c r="U84" s="33"/>
      <c r="V84" s="33">
        <f t="shared" si="38"/>
        <v>0</v>
      </c>
      <c r="W84" s="46">
        <f t="shared" si="49"/>
        <v>1</v>
      </c>
      <c r="X84" s="19"/>
      <c r="Y84" s="19"/>
      <c r="Z84" s="21">
        <f t="shared" si="39"/>
        <v>51</v>
      </c>
      <c r="AA84" s="22"/>
      <c r="AB84" s="60" t="s">
        <v>656</v>
      </c>
      <c r="AC84" s="95">
        <f t="shared" si="40"/>
        <v>412.748424</v>
      </c>
      <c r="AD84" s="23" t="s">
        <v>554</v>
      </c>
      <c r="AE84" s="2">
        <f t="shared" si="52"/>
        <v>0</v>
      </c>
      <c r="AF84" s="24">
        <f t="shared" si="50"/>
        <v>0</v>
      </c>
      <c r="AG84" s="32">
        <f t="shared" si="41"/>
        <v>0</v>
      </c>
      <c r="AH84" s="22"/>
      <c r="AI84" s="22"/>
      <c r="AJ84" s="33">
        <f t="shared" si="42"/>
        <v>0</v>
      </c>
      <c r="AK84" s="79"/>
      <c r="AM84" s="64" t="s">
        <v>759</v>
      </c>
      <c r="AN84" s="64">
        <f t="shared" si="43"/>
        <v>3</v>
      </c>
      <c r="AP84" s="96" t="s">
        <v>868</v>
      </c>
      <c r="AQ84" s="64">
        <f t="shared" si="44"/>
        <v>0.8</v>
      </c>
    </row>
    <row r="85" spans="4:43" x14ac:dyDescent="0.25">
      <c r="D85" s="7">
        <v>83</v>
      </c>
      <c r="E85" s="93">
        <f t="shared" si="31"/>
        <v>3.7954035807569758E-2</v>
      </c>
      <c r="F85" s="94">
        <f t="shared" si="32"/>
        <v>4.6775827721181642</v>
      </c>
      <c r="G85" s="68" t="s">
        <v>127</v>
      </c>
      <c r="H85" s="75">
        <f t="shared" si="45"/>
        <v>279.63649211256183</v>
      </c>
      <c r="I85" s="10" t="s">
        <v>228</v>
      </c>
      <c r="J85" s="15">
        <f t="shared" si="46"/>
        <v>10188.800097353636</v>
      </c>
      <c r="K85" s="10" t="s">
        <v>329</v>
      </c>
      <c r="L85" s="17">
        <f t="shared" si="33"/>
        <v>73</v>
      </c>
      <c r="M85" s="10" t="s">
        <v>430</v>
      </c>
      <c r="N85" s="15">
        <f t="shared" si="51"/>
        <v>0</v>
      </c>
      <c r="O85" s="46">
        <f t="shared" si="47"/>
        <v>0</v>
      </c>
      <c r="P85" s="47">
        <f t="shared" si="48"/>
        <v>101.88800097353636</v>
      </c>
      <c r="Q85" s="117">
        <f t="shared" si="34"/>
        <v>0.60726457292111613</v>
      </c>
      <c r="R85" s="92">
        <f t="shared" si="35"/>
        <v>46359.040442959042</v>
      </c>
      <c r="S85" s="25">
        <f t="shared" si="36"/>
        <v>203877.88994804624</v>
      </c>
      <c r="T85" s="25">
        <f t="shared" si="37"/>
        <v>250236.9303910053</v>
      </c>
      <c r="U85" s="33"/>
      <c r="V85" s="33">
        <f t="shared" si="38"/>
        <v>0</v>
      </c>
      <c r="W85" s="46">
        <f t="shared" si="49"/>
        <v>1</v>
      </c>
      <c r="X85" s="19"/>
      <c r="Y85" s="19"/>
      <c r="Z85" s="21">
        <f t="shared" si="39"/>
        <v>51</v>
      </c>
      <c r="AA85" s="22"/>
      <c r="AB85" s="60" t="s">
        <v>657</v>
      </c>
      <c r="AC85" s="95">
        <f t="shared" si="40"/>
        <v>412.748424</v>
      </c>
      <c r="AD85" s="23" t="s">
        <v>555</v>
      </c>
      <c r="AE85" s="2">
        <f t="shared" si="52"/>
        <v>0</v>
      </c>
      <c r="AF85" s="24">
        <f t="shared" si="50"/>
        <v>0</v>
      </c>
      <c r="AG85" s="32">
        <f t="shared" si="41"/>
        <v>0</v>
      </c>
      <c r="AH85" s="22"/>
      <c r="AI85" s="22"/>
      <c r="AJ85" s="33">
        <f t="shared" si="42"/>
        <v>0</v>
      </c>
      <c r="AK85" s="79"/>
      <c r="AM85" s="64" t="s">
        <v>760</v>
      </c>
      <c r="AN85" s="64">
        <f t="shared" si="43"/>
        <v>3</v>
      </c>
      <c r="AP85" s="96" t="s">
        <v>869</v>
      </c>
      <c r="AQ85" s="64">
        <f t="shared" si="44"/>
        <v>0.8</v>
      </c>
    </row>
    <row r="86" spans="4:43" x14ac:dyDescent="0.25">
      <c r="D86" s="7">
        <v>84</v>
      </c>
      <c r="E86" s="93">
        <f t="shared" si="31"/>
        <v>3.7574495449494059E-2</v>
      </c>
      <c r="F86" s="94">
        <f t="shared" si="32"/>
        <v>4.6308069443969826</v>
      </c>
      <c r="G86" s="69" t="s">
        <v>128</v>
      </c>
      <c r="H86" s="75">
        <f t="shared" si="45"/>
        <v>279.63649211256183</v>
      </c>
      <c r="I86" s="31" t="s">
        <v>229</v>
      </c>
      <c r="J86" s="15">
        <f t="shared" si="46"/>
        <v>10086.9120963801</v>
      </c>
      <c r="K86" s="31" t="s">
        <v>330</v>
      </c>
      <c r="L86" s="17">
        <f t="shared" si="33"/>
        <v>73</v>
      </c>
      <c r="M86" s="31" t="s">
        <v>431</v>
      </c>
      <c r="N86" s="15">
        <f t="shared" si="51"/>
        <v>0</v>
      </c>
      <c r="O86" s="46">
        <f t="shared" si="47"/>
        <v>0</v>
      </c>
      <c r="P86" s="47">
        <f t="shared" si="48"/>
        <v>100.869120963801</v>
      </c>
      <c r="Q86" s="19">
        <f t="shared" si="34"/>
        <v>0.60119192719190495</v>
      </c>
      <c r="R86" s="92">
        <f t="shared" si="35"/>
        <v>45895.450038529452</v>
      </c>
      <c r="S86" s="25">
        <f t="shared" si="36"/>
        <v>201839.1110485658</v>
      </c>
      <c r="T86" s="25">
        <f t="shared" si="37"/>
        <v>247734.56108709524</v>
      </c>
      <c r="U86" s="33"/>
      <c r="V86" s="33">
        <f t="shared" si="38"/>
        <v>0</v>
      </c>
      <c r="W86" s="46">
        <f t="shared" si="49"/>
        <v>1</v>
      </c>
      <c r="X86" s="19"/>
      <c r="Y86" s="19"/>
      <c r="Z86" s="21">
        <f t="shared" si="39"/>
        <v>51</v>
      </c>
      <c r="AA86" s="22"/>
      <c r="AB86" s="60" t="s">
        <v>658</v>
      </c>
      <c r="AC86" s="95">
        <f t="shared" si="40"/>
        <v>412.748424</v>
      </c>
      <c r="AD86" s="23" t="s">
        <v>556</v>
      </c>
      <c r="AE86" s="2">
        <f t="shared" si="52"/>
        <v>0</v>
      </c>
      <c r="AF86" s="24">
        <f t="shared" si="50"/>
        <v>0</v>
      </c>
      <c r="AG86" s="32">
        <f t="shared" si="41"/>
        <v>0</v>
      </c>
      <c r="AH86" s="22"/>
      <c r="AI86" s="22"/>
      <c r="AJ86" s="33">
        <f t="shared" si="42"/>
        <v>0</v>
      </c>
      <c r="AK86" s="79"/>
      <c r="AM86" s="64" t="s">
        <v>761</v>
      </c>
      <c r="AN86" s="64">
        <f t="shared" si="43"/>
        <v>3</v>
      </c>
      <c r="AP86" s="96" t="s">
        <v>870</v>
      </c>
      <c r="AQ86" s="64">
        <f t="shared" si="44"/>
        <v>0.8</v>
      </c>
    </row>
    <row r="87" spans="4:43" x14ac:dyDescent="0.25">
      <c r="D87" s="9">
        <v>85</v>
      </c>
      <c r="E87" s="93">
        <f t="shared" si="31"/>
        <v>3.7198750494999114E-2</v>
      </c>
      <c r="F87" s="94">
        <f t="shared" si="32"/>
        <v>4.5844988749530122</v>
      </c>
      <c r="G87" s="68" t="s">
        <v>129</v>
      </c>
      <c r="H87" s="77">
        <f t="shared" si="45"/>
        <v>279.63649211256183</v>
      </c>
      <c r="I87" s="10" t="s">
        <v>230</v>
      </c>
      <c r="J87" s="73">
        <f t="shared" si="46"/>
        <v>9986.0429754162978</v>
      </c>
      <c r="K87" s="10" t="s">
        <v>331</v>
      </c>
      <c r="L87" s="16">
        <f t="shared" si="33"/>
        <v>73</v>
      </c>
      <c r="M87" s="10" t="s">
        <v>432</v>
      </c>
      <c r="N87" s="118">
        <f t="shared" si="51"/>
        <v>0</v>
      </c>
      <c r="O87" s="68">
        <f t="shared" si="47"/>
        <v>0</v>
      </c>
      <c r="P87" s="48">
        <f t="shared" si="48"/>
        <v>99.860429754162979</v>
      </c>
      <c r="Q87" s="18">
        <f t="shared" si="34"/>
        <v>0.59518000791998582</v>
      </c>
      <c r="R87" s="92">
        <f t="shared" si="35"/>
        <v>45436.495538144154</v>
      </c>
      <c r="S87" s="25">
        <f t="shared" si="36"/>
        <v>199820.71993808012</v>
      </c>
      <c r="T87" s="10">
        <f t="shared" si="37"/>
        <v>245257.21547622426</v>
      </c>
      <c r="U87" s="20"/>
      <c r="V87" s="20">
        <f t="shared" si="38"/>
        <v>0</v>
      </c>
      <c r="W87" s="68">
        <f t="shared" si="49"/>
        <v>1</v>
      </c>
      <c r="X87" s="18"/>
      <c r="Y87" s="18"/>
      <c r="Z87" s="49">
        <f t="shared" si="39"/>
        <v>51</v>
      </c>
      <c r="AA87" s="11"/>
      <c r="AB87" s="60" t="s">
        <v>659</v>
      </c>
      <c r="AC87" s="95">
        <f t="shared" si="40"/>
        <v>412.748424</v>
      </c>
      <c r="AD87" s="23" t="s">
        <v>557</v>
      </c>
      <c r="AE87" s="2">
        <f t="shared" si="52"/>
        <v>0</v>
      </c>
      <c r="AF87" s="24">
        <f t="shared" si="50"/>
        <v>0</v>
      </c>
      <c r="AG87" s="32">
        <f t="shared" si="41"/>
        <v>0</v>
      </c>
      <c r="AH87" s="11"/>
      <c r="AI87" s="11"/>
      <c r="AJ87" s="33">
        <f t="shared" si="42"/>
        <v>0</v>
      </c>
      <c r="AK87" s="79"/>
      <c r="AM87" s="86" t="s">
        <v>762</v>
      </c>
      <c r="AN87" s="87">
        <f t="shared" si="43"/>
        <v>3</v>
      </c>
      <c r="AP87" s="86" t="s">
        <v>871</v>
      </c>
      <c r="AQ87" s="64">
        <f t="shared" si="44"/>
        <v>0.8</v>
      </c>
    </row>
    <row r="88" spans="4:43" x14ac:dyDescent="0.25">
      <c r="D88" s="7">
        <v>86</v>
      </c>
      <c r="E88" s="93">
        <f t="shared" si="31"/>
        <v>3.6826762990049125E-2</v>
      </c>
      <c r="F88" s="94">
        <f t="shared" si="32"/>
        <v>4.5386538862034822</v>
      </c>
      <c r="G88" s="67" t="s">
        <v>130</v>
      </c>
      <c r="H88" s="75">
        <f t="shared" si="45"/>
        <v>279.63649211256183</v>
      </c>
      <c r="I88" s="26" t="s">
        <v>231</v>
      </c>
      <c r="J88" s="15">
        <f t="shared" si="46"/>
        <v>9886.1825456621355</v>
      </c>
      <c r="K88" s="26" t="s">
        <v>332</v>
      </c>
      <c r="L88" s="17">
        <f t="shared" si="33"/>
        <v>73</v>
      </c>
      <c r="M88" s="26" t="s">
        <v>433</v>
      </c>
      <c r="N88" s="15">
        <f t="shared" si="51"/>
        <v>0</v>
      </c>
      <c r="O88" s="46">
        <f t="shared" si="47"/>
        <v>0</v>
      </c>
      <c r="P88" s="47">
        <f t="shared" si="48"/>
        <v>98.861825456621361</v>
      </c>
      <c r="Q88" s="19">
        <f t="shared" si="34"/>
        <v>0.589228207840786</v>
      </c>
      <c r="R88" s="92">
        <f t="shared" si="35"/>
        <v>44982.130582762715</v>
      </c>
      <c r="S88" s="25">
        <f t="shared" si="36"/>
        <v>197822.5127386993</v>
      </c>
      <c r="T88" s="25">
        <f t="shared" si="37"/>
        <v>242804.643321462</v>
      </c>
      <c r="U88" s="33"/>
      <c r="V88" s="33">
        <f t="shared" si="38"/>
        <v>0</v>
      </c>
      <c r="W88" s="46">
        <f t="shared" si="49"/>
        <v>1</v>
      </c>
      <c r="X88" s="19"/>
      <c r="Y88" s="19"/>
      <c r="Z88" s="21">
        <f t="shared" si="39"/>
        <v>51</v>
      </c>
      <c r="AA88" s="22"/>
      <c r="AB88" s="60" t="s">
        <v>660</v>
      </c>
      <c r="AC88" s="95">
        <f t="shared" si="40"/>
        <v>412.748424</v>
      </c>
      <c r="AD88" s="23" t="s">
        <v>558</v>
      </c>
      <c r="AE88" s="2">
        <f t="shared" si="52"/>
        <v>0</v>
      </c>
      <c r="AF88" s="24">
        <f t="shared" si="50"/>
        <v>0</v>
      </c>
      <c r="AG88" s="32">
        <f t="shared" si="41"/>
        <v>0</v>
      </c>
      <c r="AH88" s="22"/>
      <c r="AI88" s="22"/>
      <c r="AJ88" s="33">
        <f t="shared" si="42"/>
        <v>0</v>
      </c>
      <c r="AK88" s="79"/>
      <c r="AM88" s="64" t="s">
        <v>763</v>
      </c>
      <c r="AN88" s="64">
        <f t="shared" si="43"/>
        <v>3</v>
      </c>
      <c r="AP88" s="96" t="s">
        <v>872</v>
      </c>
      <c r="AQ88" s="64">
        <f t="shared" si="44"/>
        <v>0.8</v>
      </c>
    </row>
    <row r="89" spans="4:43" x14ac:dyDescent="0.25">
      <c r="D89" s="7">
        <v>87</v>
      </c>
      <c r="E89" s="93">
        <f t="shared" si="31"/>
        <v>3.6458495360148641E-2</v>
      </c>
      <c r="F89" s="94">
        <f t="shared" si="32"/>
        <v>4.4932673473414475</v>
      </c>
      <c r="G89" s="68" t="s">
        <v>131</v>
      </c>
      <c r="H89" s="75">
        <f t="shared" si="45"/>
        <v>279.63649211256183</v>
      </c>
      <c r="I89" s="10" t="s">
        <v>232</v>
      </c>
      <c r="J89" s="15">
        <f t="shared" si="46"/>
        <v>9787.3207202055146</v>
      </c>
      <c r="K89" s="10" t="s">
        <v>333</v>
      </c>
      <c r="L89" s="17">
        <f t="shared" si="33"/>
        <v>73</v>
      </c>
      <c r="M89" s="10" t="s">
        <v>434</v>
      </c>
      <c r="N89" s="15">
        <f t="shared" si="51"/>
        <v>0</v>
      </c>
      <c r="O89" s="46">
        <f t="shared" si="47"/>
        <v>0</v>
      </c>
      <c r="P89" s="47">
        <f t="shared" si="48"/>
        <v>97.873207202055141</v>
      </c>
      <c r="Q89" s="19">
        <f t="shared" si="34"/>
        <v>0.58333592576237825</v>
      </c>
      <c r="R89" s="92">
        <f t="shared" si="35"/>
        <v>44532.309276935091</v>
      </c>
      <c r="S89" s="25">
        <f t="shared" si="36"/>
        <v>195844.28761131235</v>
      </c>
      <c r="T89" s="25">
        <f t="shared" si="37"/>
        <v>240376.59688824744</v>
      </c>
      <c r="U89" s="33"/>
      <c r="V89" s="33">
        <f t="shared" si="38"/>
        <v>0</v>
      </c>
      <c r="W89" s="46">
        <f t="shared" si="49"/>
        <v>1</v>
      </c>
      <c r="X89" s="19"/>
      <c r="Y89" s="19"/>
      <c r="Z89" s="21">
        <f t="shared" si="39"/>
        <v>51</v>
      </c>
      <c r="AA89" s="22"/>
      <c r="AB89" s="60" t="s">
        <v>661</v>
      </c>
      <c r="AC89" s="95">
        <f t="shared" si="40"/>
        <v>412.748424</v>
      </c>
      <c r="AD89" s="23" t="s">
        <v>559</v>
      </c>
      <c r="AE89" s="2">
        <f t="shared" si="52"/>
        <v>0</v>
      </c>
      <c r="AF89" s="24">
        <f t="shared" si="50"/>
        <v>0</v>
      </c>
      <c r="AG89" s="32">
        <f t="shared" si="41"/>
        <v>0</v>
      </c>
      <c r="AH89" s="22"/>
      <c r="AI89" s="22"/>
      <c r="AJ89" s="33">
        <f t="shared" si="42"/>
        <v>0</v>
      </c>
      <c r="AK89" s="79"/>
      <c r="AM89" s="64" t="s">
        <v>764</v>
      </c>
      <c r="AN89" s="64">
        <f t="shared" si="43"/>
        <v>3</v>
      </c>
      <c r="AP89" s="96" t="s">
        <v>873</v>
      </c>
      <c r="AQ89" s="64">
        <f t="shared" si="44"/>
        <v>0.8</v>
      </c>
    </row>
    <row r="90" spans="4:43" x14ac:dyDescent="0.25">
      <c r="D90" s="7">
        <v>88</v>
      </c>
      <c r="E90" s="93">
        <f t="shared" si="31"/>
        <v>3.609391040654715E-2</v>
      </c>
      <c r="F90" s="94">
        <f t="shared" si="32"/>
        <v>4.4483346738680325</v>
      </c>
      <c r="G90" s="68" t="s">
        <v>132</v>
      </c>
      <c r="H90" s="75">
        <f t="shared" si="45"/>
        <v>279.63649211256183</v>
      </c>
      <c r="I90" s="10" t="s">
        <v>233</v>
      </c>
      <c r="J90" s="15">
        <f t="shared" si="46"/>
        <v>9689.4475130034589</v>
      </c>
      <c r="K90" s="10" t="s">
        <v>334</v>
      </c>
      <c r="L90" s="17">
        <f t="shared" si="33"/>
        <v>73</v>
      </c>
      <c r="M90" s="10" t="s">
        <v>435</v>
      </c>
      <c r="N90" s="15">
        <f t="shared" si="51"/>
        <v>0</v>
      </c>
      <c r="O90" s="46">
        <f t="shared" si="47"/>
        <v>0</v>
      </c>
      <c r="P90" s="47">
        <f t="shared" si="48"/>
        <v>96.894475130034593</v>
      </c>
      <c r="Q90" s="19">
        <f t="shared" si="34"/>
        <v>0.5775025665047544</v>
      </c>
      <c r="R90" s="92">
        <f t="shared" si="35"/>
        <v>44086.98618416574</v>
      </c>
      <c r="S90" s="25">
        <f t="shared" si="36"/>
        <v>193885.84473519921</v>
      </c>
      <c r="T90" s="25">
        <f t="shared" si="37"/>
        <v>237972.83091936493</v>
      </c>
      <c r="U90" s="33"/>
      <c r="V90" s="33">
        <f t="shared" si="38"/>
        <v>0</v>
      </c>
      <c r="W90" s="46">
        <f t="shared" si="49"/>
        <v>1</v>
      </c>
      <c r="X90" s="19"/>
      <c r="Y90" s="19"/>
      <c r="Z90" s="21">
        <f t="shared" si="39"/>
        <v>51</v>
      </c>
      <c r="AA90" s="22"/>
      <c r="AB90" s="60" t="s">
        <v>662</v>
      </c>
      <c r="AC90" s="95">
        <f t="shared" si="40"/>
        <v>412.748424</v>
      </c>
      <c r="AD90" s="23" t="s">
        <v>560</v>
      </c>
      <c r="AE90" s="2">
        <f t="shared" si="52"/>
        <v>0</v>
      </c>
      <c r="AF90" s="24">
        <f t="shared" si="50"/>
        <v>0</v>
      </c>
      <c r="AG90" s="32">
        <f t="shared" si="41"/>
        <v>0</v>
      </c>
      <c r="AH90" s="22"/>
      <c r="AI90" s="22"/>
      <c r="AJ90" s="33">
        <f t="shared" si="42"/>
        <v>0</v>
      </c>
      <c r="AK90" s="79"/>
      <c r="AM90" s="64" t="s">
        <v>765</v>
      </c>
      <c r="AN90" s="64">
        <f t="shared" si="43"/>
        <v>3</v>
      </c>
      <c r="AP90" s="96" t="s">
        <v>874</v>
      </c>
      <c r="AQ90" s="64">
        <f t="shared" si="44"/>
        <v>0.8</v>
      </c>
    </row>
    <row r="91" spans="4:43" x14ac:dyDescent="0.25">
      <c r="D91" s="7">
        <v>89</v>
      </c>
      <c r="E91" s="93">
        <f t="shared" si="31"/>
        <v>3.5732971302481674E-2</v>
      </c>
      <c r="F91" s="94">
        <f t="shared" si="32"/>
        <v>4.4038513271293525</v>
      </c>
      <c r="G91" s="69" t="s">
        <v>133</v>
      </c>
      <c r="H91" s="75">
        <f t="shared" si="45"/>
        <v>279.63649211256183</v>
      </c>
      <c r="I91" s="31" t="s">
        <v>234</v>
      </c>
      <c r="J91" s="15">
        <f t="shared" si="46"/>
        <v>9592.5530378734238</v>
      </c>
      <c r="K91" s="31" t="s">
        <v>335</v>
      </c>
      <c r="L91" s="17">
        <f t="shared" si="33"/>
        <v>73</v>
      </c>
      <c r="M91" s="31" t="s">
        <v>436</v>
      </c>
      <c r="N91" s="15">
        <f t="shared" si="51"/>
        <v>0</v>
      </c>
      <c r="O91" s="46">
        <f t="shared" si="47"/>
        <v>0</v>
      </c>
      <c r="P91" s="47">
        <f t="shared" si="48"/>
        <v>95.925530378734237</v>
      </c>
      <c r="Q91" s="19">
        <f t="shared" si="34"/>
        <v>0.57172754083970678</v>
      </c>
      <c r="R91" s="92">
        <f t="shared" si="35"/>
        <v>43646.11632232408</v>
      </c>
      <c r="S91" s="25">
        <f t="shared" si="36"/>
        <v>191946.98628784722</v>
      </c>
      <c r="T91" s="25">
        <f t="shared" si="37"/>
        <v>235593.10261017131</v>
      </c>
      <c r="U91" s="33"/>
      <c r="V91" s="33">
        <f t="shared" si="38"/>
        <v>0</v>
      </c>
      <c r="W91" s="46">
        <f t="shared" si="49"/>
        <v>1</v>
      </c>
      <c r="X91" s="19"/>
      <c r="Y91" s="19"/>
      <c r="Z91" s="21">
        <f t="shared" si="39"/>
        <v>51</v>
      </c>
      <c r="AA91" s="22"/>
      <c r="AB91" s="60" t="s">
        <v>663</v>
      </c>
      <c r="AC91" s="95">
        <f t="shared" si="40"/>
        <v>412.748424</v>
      </c>
      <c r="AD91" s="23" t="s">
        <v>561</v>
      </c>
      <c r="AE91" s="2">
        <f t="shared" si="52"/>
        <v>0</v>
      </c>
      <c r="AF91" s="24">
        <f t="shared" si="50"/>
        <v>0</v>
      </c>
      <c r="AG91" s="32">
        <f t="shared" si="41"/>
        <v>0</v>
      </c>
      <c r="AH91" s="22"/>
      <c r="AI91" s="22"/>
      <c r="AJ91" s="33">
        <f t="shared" si="42"/>
        <v>0</v>
      </c>
      <c r="AK91" s="79"/>
      <c r="AM91" s="64" t="s">
        <v>766</v>
      </c>
      <c r="AN91" s="64">
        <f t="shared" si="43"/>
        <v>3</v>
      </c>
      <c r="AP91" s="96" t="s">
        <v>875</v>
      </c>
      <c r="AQ91" s="64">
        <f t="shared" si="44"/>
        <v>0.8</v>
      </c>
    </row>
    <row r="92" spans="4:43" x14ac:dyDescent="0.25">
      <c r="D92" s="9">
        <v>90</v>
      </c>
      <c r="E92" s="93">
        <f t="shared" si="31"/>
        <v>3.5375641589456858E-2</v>
      </c>
      <c r="F92" s="94">
        <f t="shared" si="32"/>
        <v>4.359812813858059</v>
      </c>
      <c r="G92" s="68" t="s">
        <v>134</v>
      </c>
      <c r="H92" s="77">
        <f t="shared" si="45"/>
        <v>279.63649211256183</v>
      </c>
      <c r="I92" s="10" t="s">
        <v>235</v>
      </c>
      <c r="J92" s="73">
        <f t="shared" si="46"/>
        <v>9496.6275074946898</v>
      </c>
      <c r="K92" s="10" t="s">
        <v>336</v>
      </c>
      <c r="L92" s="16">
        <f t="shared" si="33"/>
        <v>73</v>
      </c>
      <c r="M92" s="10" t="s">
        <v>437</v>
      </c>
      <c r="N92" s="118">
        <f t="shared" si="51"/>
        <v>0</v>
      </c>
      <c r="O92" s="68">
        <f t="shared" si="47"/>
        <v>0</v>
      </c>
      <c r="P92" s="48">
        <f t="shared" si="48"/>
        <v>94.966275074946893</v>
      </c>
      <c r="Q92" s="18">
        <f t="shared" si="34"/>
        <v>0.56601026543130972</v>
      </c>
      <c r="R92" s="92">
        <f t="shared" si="35"/>
        <v>43209.655159100839</v>
      </c>
      <c r="S92" s="25">
        <f t="shared" si="36"/>
        <v>190027.51642496872</v>
      </c>
      <c r="T92" s="10">
        <f t="shared" si="37"/>
        <v>233237.17158406955</v>
      </c>
      <c r="U92" s="20"/>
      <c r="V92" s="20">
        <f t="shared" si="38"/>
        <v>0</v>
      </c>
      <c r="W92" s="68">
        <f t="shared" si="49"/>
        <v>1</v>
      </c>
      <c r="X92" s="18"/>
      <c r="Y92" s="18"/>
      <c r="Z92" s="49">
        <f t="shared" si="39"/>
        <v>51</v>
      </c>
      <c r="AA92" s="11"/>
      <c r="AB92" s="60" t="s">
        <v>664</v>
      </c>
      <c r="AC92" s="95">
        <f t="shared" si="40"/>
        <v>412.748424</v>
      </c>
      <c r="AD92" s="23" t="s">
        <v>562</v>
      </c>
      <c r="AE92" s="2">
        <f t="shared" si="52"/>
        <v>0</v>
      </c>
      <c r="AF92" s="24">
        <f t="shared" si="50"/>
        <v>0</v>
      </c>
      <c r="AG92" s="32">
        <f t="shared" si="41"/>
        <v>0</v>
      </c>
      <c r="AH92" s="11"/>
      <c r="AI92" s="11"/>
      <c r="AJ92" s="33">
        <f t="shared" si="42"/>
        <v>0</v>
      </c>
      <c r="AK92" s="79"/>
      <c r="AM92" s="86" t="s">
        <v>767</v>
      </c>
      <c r="AN92" s="87">
        <f t="shared" si="43"/>
        <v>3</v>
      </c>
      <c r="AP92" s="86" t="s">
        <v>876</v>
      </c>
      <c r="AQ92" s="64">
        <f t="shared" si="44"/>
        <v>0.8</v>
      </c>
    </row>
    <row r="93" spans="4:43" x14ac:dyDescent="0.25">
      <c r="D93" s="7">
        <v>91</v>
      </c>
      <c r="E93" s="93">
        <f t="shared" si="31"/>
        <v>3.5021885173562292E-2</v>
      </c>
      <c r="F93" s="94">
        <f t="shared" si="32"/>
        <v>4.316214685719479</v>
      </c>
      <c r="G93" s="67" t="s">
        <v>135</v>
      </c>
      <c r="H93" s="75">
        <f t="shared" si="45"/>
        <v>279.63649211256183</v>
      </c>
      <c r="I93" s="26" t="s">
        <v>236</v>
      </c>
      <c r="J93" s="15">
        <f t="shared" si="46"/>
        <v>9401.6612324197431</v>
      </c>
      <c r="K93" s="26" t="s">
        <v>337</v>
      </c>
      <c r="L93" s="17">
        <f t="shared" si="33"/>
        <v>73</v>
      </c>
      <c r="M93" s="26" t="s">
        <v>438</v>
      </c>
      <c r="N93" s="15">
        <f t="shared" si="51"/>
        <v>0</v>
      </c>
      <c r="O93" s="46">
        <f t="shared" si="47"/>
        <v>0</v>
      </c>
      <c r="P93" s="47">
        <f t="shared" si="48"/>
        <v>94.016612324197439</v>
      </c>
      <c r="Q93" s="19">
        <f t="shared" si="34"/>
        <v>0.56035016277699667</v>
      </c>
      <c r="R93" s="92">
        <f t="shared" si="35"/>
        <v>42777.558607509833</v>
      </c>
      <c r="S93" s="25">
        <f t="shared" si="36"/>
        <v>188127.24126071905</v>
      </c>
      <c r="T93" s="25">
        <f t="shared" si="37"/>
        <v>230904.79986822887</v>
      </c>
      <c r="U93" s="33"/>
      <c r="V93" s="33">
        <f t="shared" si="38"/>
        <v>0</v>
      </c>
      <c r="W93" s="46">
        <f t="shared" si="49"/>
        <v>1</v>
      </c>
      <c r="X93" s="19"/>
      <c r="Y93" s="19"/>
      <c r="Z93" s="21">
        <f t="shared" si="39"/>
        <v>51</v>
      </c>
      <c r="AA93" s="22"/>
      <c r="AB93" s="60" t="s">
        <v>665</v>
      </c>
      <c r="AC93" s="95">
        <f t="shared" si="40"/>
        <v>412.748424</v>
      </c>
      <c r="AD93" s="23" t="s">
        <v>563</v>
      </c>
      <c r="AE93" s="2">
        <f t="shared" si="52"/>
        <v>0</v>
      </c>
      <c r="AF93" s="24">
        <f t="shared" si="50"/>
        <v>0</v>
      </c>
      <c r="AG93" s="32">
        <f t="shared" si="41"/>
        <v>0</v>
      </c>
      <c r="AH93" s="22"/>
      <c r="AI93" s="22"/>
      <c r="AJ93" s="33">
        <f t="shared" si="42"/>
        <v>0</v>
      </c>
      <c r="AK93" s="79"/>
      <c r="AM93" s="64" t="s">
        <v>768</v>
      </c>
      <c r="AN93" s="64">
        <f t="shared" si="43"/>
        <v>3</v>
      </c>
      <c r="AP93" s="96" t="s">
        <v>877</v>
      </c>
      <c r="AQ93" s="64">
        <f t="shared" si="44"/>
        <v>0.8</v>
      </c>
    </row>
    <row r="94" spans="4:43" x14ac:dyDescent="0.25">
      <c r="D94" s="7">
        <v>92</v>
      </c>
      <c r="E94" s="93">
        <f t="shared" si="31"/>
        <v>3.4671666321826666E-2</v>
      </c>
      <c r="F94" s="94">
        <f t="shared" si="32"/>
        <v>4.2730525388622835</v>
      </c>
      <c r="G94" s="68" t="s">
        <v>136</v>
      </c>
      <c r="H94" s="75">
        <f t="shared" si="45"/>
        <v>279.63649211256183</v>
      </c>
      <c r="I94" s="10" t="s">
        <v>237</v>
      </c>
      <c r="J94" s="15">
        <f t="shared" si="46"/>
        <v>9307.6446200955452</v>
      </c>
      <c r="K94" s="10" t="s">
        <v>338</v>
      </c>
      <c r="L94" s="17">
        <f t="shared" si="33"/>
        <v>73</v>
      </c>
      <c r="M94" s="10" t="s">
        <v>439</v>
      </c>
      <c r="N94" s="15">
        <f t="shared" si="51"/>
        <v>0</v>
      </c>
      <c r="O94" s="46">
        <f t="shared" si="47"/>
        <v>0</v>
      </c>
      <c r="P94" s="47">
        <f t="shared" si="48"/>
        <v>93.076446200955459</v>
      </c>
      <c r="Q94" s="19">
        <f t="shared" si="34"/>
        <v>0.55474666114922666</v>
      </c>
      <c r="R94" s="92">
        <f t="shared" si="35"/>
        <v>42349.783021434734</v>
      </c>
      <c r="S94" s="25">
        <f t="shared" si="36"/>
        <v>186245.96884811186</v>
      </c>
      <c r="T94" s="25">
        <f t="shared" si="37"/>
        <v>228595.7518695466</v>
      </c>
      <c r="U94" s="33"/>
      <c r="V94" s="33">
        <f t="shared" si="38"/>
        <v>0</v>
      </c>
      <c r="W94" s="46">
        <f t="shared" si="49"/>
        <v>1</v>
      </c>
      <c r="X94" s="19"/>
      <c r="Y94" s="19"/>
      <c r="Z94" s="21">
        <f t="shared" si="39"/>
        <v>51</v>
      </c>
      <c r="AA94" s="22"/>
      <c r="AB94" s="60" t="s">
        <v>666</v>
      </c>
      <c r="AC94" s="95">
        <f t="shared" si="40"/>
        <v>412.748424</v>
      </c>
      <c r="AD94" s="23" t="s">
        <v>564</v>
      </c>
      <c r="AE94" s="2">
        <f t="shared" si="52"/>
        <v>0</v>
      </c>
      <c r="AF94" s="24">
        <f t="shared" si="50"/>
        <v>0</v>
      </c>
      <c r="AG94" s="32">
        <f t="shared" si="41"/>
        <v>0</v>
      </c>
      <c r="AH94" s="22"/>
      <c r="AI94" s="22"/>
      <c r="AJ94" s="33">
        <f t="shared" si="42"/>
        <v>0</v>
      </c>
      <c r="AK94" s="79"/>
      <c r="AM94" s="64" t="s">
        <v>769</v>
      </c>
      <c r="AN94" s="64">
        <f t="shared" si="43"/>
        <v>3</v>
      </c>
      <c r="AP94" s="96" t="s">
        <v>878</v>
      </c>
      <c r="AQ94" s="64">
        <f t="shared" si="44"/>
        <v>0.8</v>
      </c>
    </row>
    <row r="95" spans="4:43" x14ac:dyDescent="0.25">
      <c r="D95" s="7">
        <v>93</v>
      </c>
      <c r="E95" s="93">
        <f t="shared" si="31"/>
        <v>3.4324949658608404E-2</v>
      </c>
      <c r="F95" s="94">
        <f t="shared" si="32"/>
        <v>4.2303220134736614</v>
      </c>
      <c r="G95" s="68" t="s">
        <v>137</v>
      </c>
      <c r="H95" s="75">
        <f t="shared" si="45"/>
        <v>279.63649211256183</v>
      </c>
      <c r="I95" s="10" t="s">
        <v>238</v>
      </c>
      <c r="J95" s="15">
        <f t="shared" si="46"/>
        <v>9214.5681738945896</v>
      </c>
      <c r="K95" s="10" t="s">
        <v>339</v>
      </c>
      <c r="L95" s="17">
        <f t="shared" si="33"/>
        <v>73</v>
      </c>
      <c r="M95" s="10" t="s">
        <v>440</v>
      </c>
      <c r="N95" s="15">
        <f t="shared" si="51"/>
        <v>0</v>
      </c>
      <c r="O95" s="46">
        <f t="shared" si="47"/>
        <v>0</v>
      </c>
      <c r="P95" s="47">
        <f t="shared" si="48"/>
        <v>92.145681738945896</v>
      </c>
      <c r="Q95" s="19">
        <f t="shared" si="34"/>
        <v>0.54919919453773447</v>
      </c>
      <c r="R95" s="92">
        <f t="shared" si="35"/>
        <v>41926.285191220377</v>
      </c>
      <c r="S95" s="25">
        <f t="shared" si="36"/>
        <v>184383.50915963075</v>
      </c>
      <c r="T95" s="25">
        <f t="shared" si="37"/>
        <v>226309.79435085112</v>
      </c>
      <c r="U95" s="33"/>
      <c r="V95" s="33">
        <f t="shared" si="38"/>
        <v>0</v>
      </c>
      <c r="W95" s="46">
        <f t="shared" si="49"/>
        <v>1</v>
      </c>
      <c r="X95" s="19"/>
      <c r="Y95" s="19"/>
      <c r="Z95" s="21">
        <f t="shared" si="39"/>
        <v>51</v>
      </c>
      <c r="AA95" s="22"/>
      <c r="AB95" s="60" t="s">
        <v>667</v>
      </c>
      <c r="AC95" s="95">
        <f t="shared" si="40"/>
        <v>412.748424</v>
      </c>
      <c r="AD95" s="23" t="s">
        <v>565</v>
      </c>
      <c r="AE95" s="2">
        <f t="shared" si="52"/>
        <v>0</v>
      </c>
      <c r="AF95" s="24">
        <f t="shared" si="50"/>
        <v>0</v>
      </c>
      <c r="AG95" s="32">
        <f t="shared" si="41"/>
        <v>0</v>
      </c>
      <c r="AH95" s="22"/>
      <c r="AI95" s="22"/>
      <c r="AJ95" s="33">
        <f t="shared" si="42"/>
        <v>0</v>
      </c>
      <c r="AK95" s="79"/>
      <c r="AM95" s="64" t="s">
        <v>770</v>
      </c>
      <c r="AN95" s="64">
        <f t="shared" si="43"/>
        <v>3</v>
      </c>
      <c r="AP95" s="96" t="s">
        <v>879</v>
      </c>
      <c r="AQ95" s="64">
        <f t="shared" si="44"/>
        <v>0.8</v>
      </c>
    </row>
    <row r="96" spans="4:43" x14ac:dyDescent="0.25">
      <c r="D96" s="7">
        <v>94</v>
      </c>
      <c r="E96" s="93">
        <f t="shared" si="31"/>
        <v>3.3981700162022316E-2</v>
      </c>
      <c r="F96" s="94">
        <f t="shared" si="32"/>
        <v>4.1880187933389239</v>
      </c>
      <c r="G96" s="69" t="s">
        <v>138</v>
      </c>
      <c r="H96" s="75">
        <f t="shared" si="45"/>
        <v>279.63649211256183</v>
      </c>
      <c r="I96" s="31" t="s">
        <v>239</v>
      </c>
      <c r="J96" s="15">
        <f t="shared" si="46"/>
        <v>9122.4224921556433</v>
      </c>
      <c r="K96" s="31" t="s">
        <v>340</v>
      </c>
      <c r="L96" s="17">
        <f t="shared" si="33"/>
        <v>73</v>
      </c>
      <c r="M96" s="31" t="s">
        <v>441</v>
      </c>
      <c r="N96" s="15">
        <f t="shared" si="51"/>
        <v>0</v>
      </c>
      <c r="O96" s="46">
        <f t="shared" si="47"/>
        <v>0</v>
      </c>
      <c r="P96" s="47">
        <f t="shared" si="48"/>
        <v>91.224224921556441</v>
      </c>
      <c r="Q96" s="19">
        <f t="shared" si="34"/>
        <v>0.54370720259235705</v>
      </c>
      <c r="R96" s="92">
        <f t="shared" si="35"/>
        <v>41507.022339308176</v>
      </c>
      <c r="S96" s="25">
        <f t="shared" si="36"/>
        <v>182539.67406803442</v>
      </c>
      <c r="T96" s="25">
        <f t="shared" si="37"/>
        <v>224046.69640734259</v>
      </c>
      <c r="U96" s="33"/>
      <c r="V96" s="33">
        <f t="shared" si="38"/>
        <v>0</v>
      </c>
      <c r="W96" s="46">
        <f t="shared" si="49"/>
        <v>1</v>
      </c>
      <c r="X96" s="19"/>
      <c r="Y96" s="19"/>
      <c r="Z96" s="21">
        <f t="shared" si="39"/>
        <v>51</v>
      </c>
      <c r="AA96" s="22"/>
      <c r="AB96" s="60" t="s">
        <v>668</v>
      </c>
      <c r="AC96" s="95">
        <f t="shared" si="40"/>
        <v>412.748424</v>
      </c>
      <c r="AD96" s="23" t="s">
        <v>566</v>
      </c>
      <c r="AE96" s="2">
        <f t="shared" si="52"/>
        <v>0</v>
      </c>
      <c r="AF96" s="24">
        <f t="shared" si="50"/>
        <v>0</v>
      </c>
      <c r="AG96" s="32">
        <f t="shared" si="41"/>
        <v>0</v>
      </c>
      <c r="AH96" s="22"/>
      <c r="AI96" s="22"/>
      <c r="AJ96" s="33">
        <f t="shared" si="42"/>
        <v>0</v>
      </c>
      <c r="AK96" s="79"/>
      <c r="AM96" s="64" t="s">
        <v>771</v>
      </c>
      <c r="AN96" s="64">
        <f t="shared" si="43"/>
        <v>3</v>
      </c>
      <c r="AP96" s="96" t="s">
        <v>880</v>
      </c>
      <c r="AQ96" s="64">
        <f t="shared" si="44"/>
        <v>0.8</v>
      </c>
    </row>
    <row r="97" spans="4:43" x14ac:dyDescent="0.25">
      <c r="D97" s="9">
        <v>95</v>
      </c>
      <c r="E97" s="93">
        <f t="shared" si="31"/>
        <v>3.3641883160402092E-2</v>
      </c>
      <c r="F97" s="94">
        <f t="shared" si="32"/>
        <v>4.1461386054055351</v>
      </c>
      <c r="G97" s="68" t="s">
        <v>139</v>
      </c>
      <c r="H97" s="76">
        <f t="shared" si="45"/>
        <v>279.63649211256183</v>
      </c>
      <c r="I97" s="10" t="s">
        <v>240</v>
      </c>
      <c r="J97" s="73">
        <f t="shared" si="46"/>
        <v>9031.1982672340873</v>
      </c>
      <c r="K97" s="10" t="s">
        <v>341</v>
      </c>
      <c r="L97" s="16">
        <f t="shared" si="33"/>
        <v>73</v>
      </c>
      <c r="M97" s="10" t="s">
        <v>442</v>
      </c>
      <c r="N97" s="108">
        <f t="shared" si="51"/>
        <v>0</v>
      </c>
      <c r="O97" s="68">
        <f t="shared" si="47"/>
        <v>0</v>
      </c>
      <c r="P97" s="48">
        <f t="shared" si="48"/>
        <v>90.311982672340875</v>
      </c>
      <c r="Q97" s="18">
        <f t="shared" si="34"/>
        <v>0.53827013056643347</v>
      </c>
      <c r="R97" s="92">
        <f t="shared" si="35"/>
        <v>41091.952115915097</v>
      </c>
      <c r="S97" s="25">
        <f t="shared" si="36"/>
        <v>180714.27732735407</v>
      </c>
      <c r="T97" s="10">
        <f t="shared" si="37"/>
        <v>221806.22944326917</v>
      </c>
      <c r="U97" s="20"/>
      <c r="V97" s="20">
        <f t="shared" si="38"/>
        <v>0</v>
      </c>
      <c r="W97" s="68">
        <f t="shared" si="49"/>
        <v>1</v>
      </c>
      <c r="X97" s="18"/>
      <c r="Y97" s="18"/>
      <c r="Z97" s="49">
        <f t="shared" si="39"/>
        <v>51</v>
      </c>
      <c r="AA97" s="11"/>
      <c r="AB97" s="60" t="s">
        <v>669</v>
      </c>
      <c r="AC97" s="95">
        <f t="shared" si="40"/>
        <v>412.748424</v>
      </c>
      <c r="AD97" s="23" t="s">
        <v>567</v>
      </c>
      <c r="AE97" s="2">
        <f t="shared" si="52"/>
        <v>0</v>
      </c>
      <c r="AF97" s="24">
        <f t="shared" si="50"/>
        <v>0</v>
      </c>
      <c r="AG97" s="32">
        <f t="shared" si="41"/>
        <v>0</v>
      </c>
      <c r="AH97" s="11"/>
      <c r="AI97" s="11"/>
      <c r="AJ97" s="33">
        <f t="shared" si="42"/>
        <v>0</v>
      </c>
      <c r="AK97" s="79"/>
      <c r="AM97" s="86" t="s">
        <v>772</v>
      </c>
      <c r="AN97" s="87">
        <f t="shared" si="43"/>
        <v>3</v>
      </c>
      <c r="AP97" s="86" t="s">
        <v>881</v>
      </c>
      <c r="AQ97" s="64">
        <f t="shared" si="44"/>
        <v>0.8</v>
      </c>
    </row>
    <row r="98" spans="4:43" x14ac:dyDescent="0.25">
      <c r="D98" s="7">
        <v>96</v>
      </c>
      <c r="E98" s="93">
        <f t="shared" si="31"/>
        <v>3.3305464328798072E-2</v>
      </c>
      <c r="F98" s="94">
        <f t="shared" si="32"/>
        <v>4.1046772193514798</v>
      </c>
      <c r="G98" s="67" t="s">
        <v>140</v>
      </c>
      <c r="H98" s="75">
        <f t="shared" si="45"/>
        <v>279.63649211256183</v>
      </c>
      <c r="I98" s="26" t="s">
        <v>241</v>
      </c>
      <c r="J98" s="15">
        <f t="shared" si="46"/>
        <v>8940.8862845617459</v>
      </c>
      <c r="K98" s="26" t="s">
        <v>342</v>
      </c>
      <c r="L98" s="17">
        <f t="shared" si="33"/>
        <v>73</v>
      </c>
      <c r="M98" s="26" t="s">
        <v>443</v>
      </c>
      <c r="N98" s="15">
        <f t="shared" si="51"/>
        <v>0</v>
      </c>
      <c r="O98" s="46">
        <f t="shared" si="47"/>
        <v>0</v>
      </c>
      <c r="P98" s="47">
        <f t="shared" si="48"/>
        <v>89.408862845617463</v>
      </c>
      <c r="Q98" s="19">
        <f t="shared" si="34"/>
        <v>0.53288742926076915</v>
      </c>
      <c r="R98" s="92">
        <f t="shared" si="35"/>
        <v>40681.032594755947</v>
      </c>
      <c r="S98" s="25">
        <f t="shared" si="36"/>
        <v>178907.13455408052</v>
      </c>
      <c r="T98" s="25">
        <f t="shared" si="37"/>
        <v>219588.16714883648</v>
      </c>
      <c r="U98" s="33"/>
      <c r="V98" s="33">
        <f t="shared" si="38"/>
        <v>0</v>
      </c>
      <c r="W98" s="46">
        <f t="shared" si="49"/>
        <v>1</v>
      </c>
      <c r="X98" s="19"/>
      <c r="Y98" s="19"/>
      <c r="Z98" s="21">
        <f t="shared" si="39"/>
        <v>51</v>
      </c>
      <c r="AA98" s="22"/>
      <c r="AB98" s="60" t="s">
        <v>670</v>
      </c>
      <c r="AC98" s="95">
        <f t="shared" si="40"/>
        <v>412.748424</v>
      </c>
      <c r="AD98" s="23" t="s">
        <v>568</v>
      </c>
      <c r="AE98" s="2">
        <f t="shared" si="52"/>
        <v>0</v>
      </c>
      <c r="AF98" s="24">
        <f t="shared" si="50"/>
        <v>0</v>
      </c>
      <c r="AG98" s="32">
        <f t="shared" si="41"/>
        <v>0</v>
      </c>
      <c r="AH98" s="22"/>
      <c r="AI98" s="22"/>
      <c r="AJ98" s="33">
        <f t="shared" si="42"/>
        <v>0</v>
      </c>
      <c r="AK98" s="79"/>
      <c r="AM98" s="64" t="s">
        <v>773</v>
      </c>
      <c r="AN98" s="64">
        <f t="shared" si="43"/>
        <v>3</v>
      </c>
      <c r="AP98" s="96" t="s">
        <v>882</v>
      </c>
      <c r="AQ98" s="64">
        <f t="shared" si="44"/>
        <v>0.8</v>
      </c>
    </row>
    <row r="99" spans="4:43" x14ac:dyDescent="0.25">
      <c r="D99" s="7">
        <v>97</v>
      </c>
      <c r="E99" s="93">
        <f t="shared" si="31"/>
        <v>3.2972409685510087E-2</v>
      </c>
      <c r="F99" s="94">
        <f t="shared" ref="F99:F102" si="53">E99*H99*(1-(H99/K_turismo))</f>
        <v>4.0636304471579647</v>
      </c>
      <c r="G99" s="68" t="s">
        <v>141</v>
      </c>
      <c r="H99" s="75">
        <f t="shared" si="45"/>
        <v>279.63649211256183</v>
      </c>
      <c r="I99" s="10" t="s">
        <v>242</v>
      </c>
      <c r="J99" s="15">
        <f t="shared" si="46"/>
        <v>8851.4774217161284</v>
      </c>
      <c r="K99" s="10" t="s">
        <v>343</v>
      </c>
      <c r="L99" s="17">
        <f t="shared" si="33"/>
        <v>73</v>
      </c>
      <c r="M99" s="10" t="s">
        <v>444</v>
      </c>
      <c r="N99" s="15">
        <f t="shared" si="51"/>
        <v>0</v>
      </c>
      <c r="O99" s="46">
        <f t="shared" si="47"/>
        <v>0</v>
      </c>
      <c r="P99" s="47">
        <f t="shared" si="48"/>
        <v>88.514774217161289</v>
      </c>
      <c r="Q99" s="19">
        <f t="shared" si="34"/>
        <v>0.5275585549681614</v>
      </c>
      <c r="R99" s="92">
        <f t="shared" si="35"/>
        <v>40274.222268808386</v>
      </c>
      <c r="S99" s="25">
        <f t="shared" si="36"/>
        <v>177118.06320853971</v>
      </c>
      <c r="T99" s="25">
        <f t="shared" si="37"/>
        <v>217392.28547734808</v>
      </c>
      <c r="U99" s="33"/>
      <c r="V99" s="33">
        <f t="shared" si="38"/>
        <v>0</v>
      </c>
      <c r="W99" s="46">
        <f t="shared" si="49"/>
        <v>1</v>
      </c>
      <c r="X99" s="19"/>
      <c r="Y99" s="19"/>
      <c r="Z99" s="21">
        <f t="shared" si="39"/>
        <v>51</v>
      </c>
      <c r="AA99" s="22"/>
      <c r="AB99" s="60" t="s">
        <v>671</v>
      </c>
      <c r="AC99" s="95">
        <f t="shared" si="40"/>
        <v>412.748424</v>
      </c>
      <c r="AD99" s="23" t="s">
        <v>569</v>
      </c>
      <c r="AE99" s="2">
        <f t="shared" si="52"/>
        <v>0</v>
      </c>
      <c r="AF99" s="24">
        <f t="shared" si="50"/>
        <v>0</v>
      </c>
      <c r="AG99" s="32">
        <f t="shared" si="41"/>
        <v>0</v>
      </c>
      <c r="AH99" s="22"/>
      <c r="AI99" s="22"/>
      <c r="AJ99" s="33">
        <f t="shared" si="42"/>
        <v>0</v>
      </c>
      <c r="AK99" s="79"/>
      <c r="AM99" s="64" t="s">
        <v>774</v>
      </c>
      <c r="AN99" s="64">
        <f t="shared" si="43"/>
        <v>3</v>
      </c>
      <c r="AP99" s="96" t="s">
        <v>883</v>
      </c>
      <c r="AQ99" s="64">
        <f t="shared" si="44"/>
        <v>0.8</v>
      </c>
    </row>
    <row r="100" spans="4:43" x14ac:dyDescent="0.25">
      <c r="D100" s="7">
        <v>98</v>
      </c>
      <c r="E100" s="93">
        <f t="shared" si="31"/>
        <v>3.264268558865499E-2</v>
      </c>
      <c r="F100" s="94">
        <f t="shared" si="53"/>
        <v>4.0229941426863851</v>
      </c>
      <c r="G100" s="68" t="s">
        <v>142</v>
      </c>
      <c r="H100" s="75">
        <f t="shared" si="45"/>
        <v>279.63649211256183</v>
      </c>
      <c r="I100" s="10" t="s">
        <v>243</v>
      </c>
      <c r="J100" s="15">
        <f t="shared" si="46"/>
        <v>8762.9626474989673</v>
      </c>
      <c r="K100" s="10" t="s">
        <v>344</v>
      </c>
      <c r="L100" s="17">
        <f t="shared" si="33"/>
        <v>73</v>
      </c>
      <c r="M100" s="10" t="s">
        <v>445</v>
      </c>
      <c r="N100" s="15">
        <f t="shared" si="51"/>
        <v>0</v>
      </c>
      <c r="O100" s="46">
        <f t="shared" si="47"/>
        <v>0</v>
      </c>
      <c r="P100" s="47">
        <f t="shared" si="48"/>
        <v>87.629626474989678</v>
      </c>
      <c r="Q100" s="19">
        <f t="shared" si="34"/>
        <v>0.52228296941847985</v>
      </c>
      <c r="R100" s="92">
        <f t="shared" si="35"/>
        <v>39871.480046120305</v>
      </c>
      <c r="S100" s="25">
        <f t="shared" si="36"/>
        <v>175346.88257645434</v>
      </c>
      <c r="T100" s="25">
        <f t="shared" si="37"/>
        <v>215218.36262257464</v>
      </c>
      <c r="U100" s="33"/>
      <c r="V100" s="33">
        <f t="shared" si="38"/>
        <v>0</v>
      </c>
      <c r="W100" s="46">
        <f t="shared" si="49"/>
        <v>1</v>
      </c>
      <c r="X100" s="19"/>
      <c r="Y100" s="19"/>
      <c r="Z100" s="21">
        <f t="shared" si="39"/>
        <v>51</v>
      </c>
      <c r="AA100" s="22"/>
      <c r="AB100" s="60" t="s">
        <v>672</v>
      </c>
      <c r="AC100" s="95">
        <f t="shared" si="40"/>
        <v>412.748424</v>
      </c>
      <c r="AD100" s="23" t="s">
        <v>570</v>
      </c>
      <c r="AE100" s="2">
        <f t="shared" si="52"/>
        <v>0</v>
      </c>
      <c r="AF100" s="24">
        <f t="shared" si="50"/>
        <v>0</v>
      </c>
      <c r="AG100" s="32">
        <f t="shared" si="41"/>
        <v>0</v>
      </c>
      <c r="AH100" s="22"/>
      <c r="AI100" s="22"/>
      <c r="AJ100" s="33">
        <f t="shared" si="42"/>
        <v>0</v>
      </c>
      <c r="AK100" s="79"/>
      <c r="AM100" s="64" t="s">
        <v>775</v>
      </c>
      <c r="AN100" s="64">
        <f t="shared" si="43"/>
        <v>3</v>
      </c>
      <c r="AP100" s="96" t="s">
        <v>884</v>
      </c>
      <c r="AQ100" s="64">
        <f t="shared" si="44"/>
        <v>0.8</v>
      </c>
    </row>
    <row r="101" spans="4:43" x14ac:dyDescent="0.25">
      <c r="D101" s="7">
        <v>99</v>
      </c>
      <c r="E101" s="104">
        <f t="shared" si="31"/>
        <v>3.2316258732768444E-2</v>
      </c>
      <c r="F101" s="105">
        <f t="shared" si="53"/>
        <v>3.9827642012595219</v>
      </c>
      <c r="G101" s="69" t="s">
        <v>143</v>
      </c>
      <c r="H101" s="75">
        <f t="shared" si="45"/>
        <v>279.63649211256183</v>
      </c>
      <c r="I101" s="31" t="s">
        <v>244</v>
      </c>
      <c r="J101" s="15">
        <f t="shared" si="46"/>
        <v>8675.3330210239783</v>
      </c>
      <c r="K101" s="31" t="s">
        <v>345</v>
      </c>
      <c r="L101" s="17">
        <f t="shared" si="33"/>
        <v>73</v>
      </c>
      <c r="M101" s="31" t="s">
        <v>446</v>
      </c>
      <c r="N101" s="15">
        <f t="shared" si="51"/>
        <v>0</v>
      </c>
      <c r="O101" s="46">
        <f t="shared" si="47"/>
        <v>0</v>
      </c>
      <c r="P101" s="47">
        <f t="shared" si="48"/>
        <v>86.753330210239781</v>
      </c>
      <c r="Q101" s="19">
        <f t="shared" si="34"/>
        <v>0.5170601397242951</v>
      </c>
      <c r="R101" s="106">
        <f t="shared" si="35"/>
        <v>39472.765245659102</v>
      </c>
      <c r="S101" s="25">
        <f t="shared" si="36"/>
        <v>173593.4137506898</v>
      </c>
      <c r="T101" s="25">
        <f t="shared" si="37"/>
        <v>213066.1789963489</v>
      </c>
      <c r="U101" s="33"/>
      <c r="V101" s="33">
        <f t="shared" si="38"/>
        <v>0</v>
      </c>
      <c r="W101" s="46">
        <f t="shared" si="49"/>
        <v>1</v>
      </c>
      <c r="X101" s="19"/>
      <c r="Y101" s="19"/>
      <c r="Z101" s="21">
        <f t="shared" si="39"/>
        <v>51</v>
      </c>
      <c r="AA101" s="22"/>
      <c r="AB101" s="107" t="s">
        <v>673</v>
      </c>
      <c r="AC101" s="95">
        <f t="shared" si="40"/>
        <v>412.748424</v>
      </c>
      <c r="AD101" s="23" t="s">
        <v>571</v>
      </c>
      <c r="AE101" s="2">
        <f t="shared" si="52"/>
        <v>0</v>
      </c>
      <c r="AF101" s="24">
        <f t="shared" si="50"/>
        <v>0</v>
      </c>
      <c r="AG101" s="32">
        <f t="shared" si="41"/>
        <v>0</v>
      </c>
      <c r="AH101" s="22"/>
      <c r="AI101" s="22"/>
      <c r="AJ101" s="33">
        <f t="shared" si="42"/>
        <v>0</v>
      </c>
      <c r="AK101" s="79"/>
      <c r="AM101" s="64" t="s">
        <v>776</v>
      </c>
      <c r="AN101" s="64">
        <f t="shared" si="43"/>
        <v>3</v>
      </c>
      <c r="AP101" s="96" t="s">
        <v>885</v>
      </c>
      <c r="AQ101" s="64">
        <f t="shared" si="44"/>
        <v>0.8</v>
      </c>
    </row>
    <row r="102" spans="4:43" x14ac:dyDescent="0.25">
      <c r="D102" s="50">
        <v>100</v>
      </c>
      <c r="E102" s="93">
        <f t="shared" si="31"/>
        <v>3.1993096145440755E-2</v>
      </c>
      <c r="F102" s="94">
        <f t="shared" si="53"/>
        <v>3.9429365592469261</v>
      </c>
      <c r="G102" s="66" t="s">
        <v>144</v>
      </c>
      <c r="H102" s="74">
        <f t="shared" si="45"/>
        <v>279.63649211256183</v>
      </c>
      <c r="I102" s="52" t="s">
        <v>245</v>
      </c>
      <c r="J102" s="62">
        <f t="shared" si="46"/>
        <v>8588.5796908137381</v>
      </c>
      <c r="K102" s="52" t="s">
        <v>346</v>
      </c>
      <c r="L102" s="53">
        <f t="shared" si="33"/>
        <v>73</v>
      </c>
      <c r="M102" s="52" t="s">
        <v>447</v>
      </c>
      <c r="N102" s="108">
        <f t="shared" si="51"/>
        <v>0</v>
      </c>
      <c r="O102" s="109">
        <f t="shared" si="47"/>
        <v>0</v>
      </c>
      <c r="P102" s="54">
        <f t="shared" si="48"/>
        <v>85.88579690813738</v>
      </c>
      <c r="Q102" s="55">
        <f t="shared" si="34"/>
        <v>0.51188953832705208</v>
      </c>
      <c r="R102" s="52">
        <f t="shared" si="35"/>
        <v>39078.037593202505</v>
      </c>
      <c r="S102" s="52">
        <f t="shared" si="36"/>
        <v>171857.47961318289</v>
      </c>
      <c r="T102" s="52">
        <f t="shared" si="37"/>
        <v>210935.51720638538</v>
      </c>
      <c r="U102" s="56"/>
      <c r="V102" s="56">
        <f t="shared" si="38"/>
        <v>0</v>
      </c>
      <c r="W102" s="109">
        <f t="shared" si="49"/>
        <v>1</v>
      </c>
      <c r="X102" s="55"/>
      <c r="Y102" s="55"/>
      <c r="Z102" s="57">
        <f t="shared" si="39"/>
        <v>51</v>
      </c>
      <c r="AA102" s="58"/>
      <c r="AB102" s="60" t="s">
        <v>674</v>
      </c>
      <c r="AC102" s="110">
        <f t="shared" si="40"/>
        <v>412.748424</v>
      </c>
      <c r="AD102" s="111" t="s">
        <v>572</v>
      </c>
      <c r="AE102" s="112">
        <f t="shared" si="52"/>
        <v>0</v>
      </c>
      <c r="AF102" s="113">
        <f t="shared" si="50"/>
        <v>0</v>
      </c>
      <c r="AG102" s="114">
        <f t="shared" si="41"/>
        <v>0</v>
      </c>
      <c r="AH102" s="58"/>
      <c r="AI102" s="58"/>
      <c r="AJ102" s="20">
        <f t="shared" si="42"/>
        <v>0</v>
      </c>
      <c r="AK102" s="102"/>
      <c r="AL102" s="11"/>
      <c r="AM102" s="86" t="s">
        <v>777</v>
      </c>
      <c r="AN102" s="87">
        <f t="shared" si="43"/>
        <v>3</v>
      </c>
      <c r="AO102" s="103"/>
      <c r="AP102" s="86" t="s">
        <v>886</v>
      </c>
      <c r="AQ102" s="64">
        <f t="shared" si="44"/>
        <v>0.8</v>
      </c>
    </row>
    <row r="103" spans="4:43" x14ac:dyDescent="0.25">
      <c r="E103" s="22"/>
      <c r="F103" s="22"/>
      <c r="O103" s="22"/>
      <c r="P103" s="22"/>
      <c r="Q103" s="22"/>
      <c r="R103" s="22"/>
      <c r="S103" s="22"/>
      <c r="T103" s="22"/>
      <c r="U103" s="22"/>
      <c r="V103" s="22"/>
      <c r="W103" s="22"/>
      <c r="X103" s="22"/>
      <c r="AA103" s="22"/>
      <c r="AB103" s="22"/>
      <c r="AC103" s="23"/>
      <c r="AD103" s="23"/>
      <c r="AF103" s="22"/>
      <c r="AG103" s="22"/>
      <c r="AH103" s="22"/>
      <c r="AI103" s="22"/>
      <c r="AJ103" s="22"/>
      <c r="AK103" s="22"/>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2018-02-28T21:48:42Z</dcterms:modified>
</cp:coreProperties>
</file>