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gpballs.sharepoint.com/sites/ProduzioneInterna/Documenti condivisi/Produzione Sfere Made in Italy/Calcolo costo lotti/"/>
    </mc:Choice>
  </mc:AlternateContent>
  <xr:revisionPtr revIDLastSave="70" documentId="8_{1F9931CF-D196-1942-8F56-DEA1B1C34AAE}" xr6:coauthVersionLast="47" xr6:coauthVersionMax="47" xr10:uidLastSave="{32FF4799-3529-4080-89C9-3BF581709B42}"/>
  <bookViews>
    <workbookView xWindow="-120" yWindow="-120" windowWidth="29040" windowHeight="15720" tabRatio="683" firstSheet="1" activeTab="1" xr2:uid="{B28F5F21-D701-464E-AEB8-053E9820A0AC}"/>
  </bookViews>
  <sheets>
    <sheet name="Sistemi di rilevazione costi" sheetId="1" r:id="rId1"/>
    <sheet name="Riepilogo Lotto-Commessa" sheetId="7" r:id="rId2"/>
    <sheet name="STAMPAGGIO" sheetId="2" r:id="rId3"/>
    <sheet name="SGROSSATURA" sheetId="9" r:id="rId4"/>
    <sheet name="RETTIFICA" sheetId="10" r:id="rId5"/>
    <sheet name="LAPPATURA" sheetId="11" r:id="rId6"/>
    <sheet name="Lavorazioni Esterne" sheetId="6" r:id="rId7"/>
    <sheet name="Calcolo costo orario" sheetId="8" r:id="rId8"/>
    <sheet name="NUMERO SFERE DA PESO" sheetId="12" r:id="rId9"/>
  </sheets>
  <definedNames>
    <definedName name="_xlnm._FilterDatabase" localSheetId="8" hidden="1">'NUMERO SFERE DA PESO'!$B$1:$L$3551</definedName>
    <definedName name="DIAMETRO">'NUMERO SFERE DA PESO'!$O$5:$O$159</definedName>
    <definedName name="MATERIALE">'NUMERO SFERE DA PESO'!$N$3:'NUMERO SFERE DA PESO'!$N$4:$N$87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0" l="1"/>
  <c r="E32" i="9"/>
  <c r="D127" i="12" l="1"/>
  <c r="D114" i="12"/>
  <c r="G27" i="9"/>
  <c r="G27" i="11"/>
  <c r="G27" i="2"/>
  <c r="E30" i="11" l="1"/>
  <c r="E30" i="10"/>
  <c r="E30" i="9"/>
  <c r="I8" i="8"/>
  <c r="G8" i="8"/>
  <c r="E28" i="11"/>
  <c r="E27" i="11"/>
  <c r="H21" i="11"/>
  <c r="H22" i="11"/>
  <c r="H23" i="11"/>
  <c r="E28" i="10"/>
  <c r="E27" i="10"/>
  <c r="E28" i="9"/>
  <c r="H22" i="2"/>
  <c r="H23" i="2"/>
  <c r="H21" i="9"/>
  <c r="H22" i="9"/>
  <c r="E27" i="9"/>
  <c r="E30" i="2"/>
  <c r="E27" i="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9" i="12"/>
  <c r="A20" i="12"/>
  <c r="A21" i="12"/>
  <c r="A22" i="12"/>
  <c r="A23" i="12"/>
  <c r="A24" i="12"/>
  <c r="A25" i="12"/>
  <c r="A26" i="12"/>
  <c r="A27" i="12"/>
  <c r="A28" i="12"/>
  <c r="A29" i="12"/>
  <c r="A31" i="12"/>
  <c r="A33" i="12"/>
  <c r="A35" i="12"/>
  <c r="A36" i="12"/>
  <c r="A38" i="12"/>
  <c r="A39" i="12"/>
  <c r="A40" i="12"/>
  <c r="A41" i="12"/>
  <c r="A45" i="12"/>
  <c r="A48" i="12"/>
  <c r="A50" i="12"/>
  <c r="A53" i="12"/>
  <c r="A55" i="12"/>
  <c r="A58" i="12"/>
  <c r="A60" i="12"/>
  <c r="A63" i="12"/>
  <c r="A66" i="12"/>
  <c r="A68" i="12"/>
  <c r="A74" i="12"/>
  <c r="A76" i="12"/>
  <c r="A77" i="12"/>
  <c r="A78" i="12"/>
  <c r="A79" i="12"/>
  <c r="A81" i="12"/>
  <c r="A82" i="12"/>
  <c r="A83" i="12"/>
  <c r="A84" i="12"/>
  <c r="A86" i="12"/>
  <c r="A87" i="12"/>
  <c r="A89" i="12"/>
  <c r="A91" i="12"/>
  <c r="A93" i="12"/>
  <c r="A95" i="12"/>
  <c r="A97" i="12"/>
  <c r="A99" i="12"/>
  <c r="A101" i="12"/>
  <c r="A103" i="12"/>
  <c r="A104" i="12"/>
  <c r="A106" i="12"/>
  <c r="A107" i="12"/>
  <c r="A109" i="12"/>
  <c r="A111" i="12"/>
  <c r="A112" i="12"/>
  <c r="A114" i="12"/>
  <c r="A116" i="12"/>
  <c r="A117" i="12"/>
  <c r="A119" i="12"/>
  <c r="A121" i="12"/>
  <c r="A123" i="12"/>
  <c r="A125" i="12"/>
  <c r="A128" i="12"/>
  <c r="A130" i="12"/>
  <c r="A132" i="12"/>
  <c r="A134" i="12"/>
  <c r="A138" i="12"/>
  <c r="A140" i="12"/>
  <c r="A142" i="12"/>
  <c r="A145" i="12"/>
  <c r="A147" i="12"/>
  <c r="A149" i="12"/>
  <c r="A152" i="12"/>
  <c r="A156" i="12"/>
  <c r="A158" i="12"/>
  <c r="A160" i="12"/>
  <c r="A162" i="12"/>
  <c r="A165" i="12"/>
  <c r="A167" i="12"/>
  <c r="A169" i="12"/>
  <c r="A170" i="12"/>
  <c r="A172" i="12"/>
  <c r="A175" i="12"/>
  <c r="A179" i="12"/>
  <c r="A183" i="12"/>
  <c r="A186" i="12"/>
  <c r="A188" i="12"/>
  <c r="A190" i="12"/>
  <c r="A191" i="12"/>
  <c r="A192" i="12"/>
  <c r="A193" i="12"/>
  <c r="A194" i="12"/>
  <c r="A195" i="12"/>
  <c r="A196" i="12"/>
  <c r="A200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6" i="12"/>
  <c r="A217" i="12"/>
  <c r="A222" i="12"/>
  <c r="A223" i="12"/>
  <c r="A224" i="12"/>
  <c r="A227" i="12"/>
  <c r="A230" i="12"/>
  <c r="A231" i="12"/>
  <c r="A238" i="12"/>
  <c r="A239" i="12"/>
  <c r="A240" i="12"/>
  <c r="A247" i="12"/>
  <c r="A248" i="12"/>
  <c r="A249" i="12"/>
  <c r="A250" i="12"/>
  <c r="A251" i="12"/>
  <c r="A254" i="12"/>
  <c r="A255" i="12"/>
  <c r="A256" i="12"/>
  <c r="A257" i="12"/>
  <c r="A258" i="12"/>
  <c r="A259" i="12"/>
  <c r="A262" i="12"/>
  <c r="A263" i="12"/>
  <c r="A264" i="12"/>
  <c r="A266" i="12"/>
  <c r="A268" i="12"/>
  <c r="A269" i="12"/>
  <c r="A270" i="12"/>
  <c r="A271" i="12"/>
  <c r="A272" i="12"/>
  <c r="A273" i="12"/>
  <c r="A274" i="12"/>
  <c r="A275" i="12"/>
  <c r="A282" i="12"/>
  <c r="A283" i="12"/>
  <c r="A284" i="12"/>
  <c r="A288" i="12"/>
  <c r="A289" i="12"/>
  <c r="A291" i="12"/>
  <c r="A292" i="12"/>
  <c r="A295" i="12"/>
  <c r="A296" i="12"/>
  <c r="A297" i="12"/>
  <c r="A299" i="12"/>
  <c r="A300" i="12"/>
  <c r="A301" i="12"/>
  <c r="A302" i="12"/>
  <c r="A303" i="12"/>
  <c r="A305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6" i="12"/>
  <c r="A327" i="12"/>
  <c r="A328" i="12"/>
  <c r="A329" i="12"/>
  <c r="A330" i="12"/>
  <c r="A331" i="12"/>
  <c r="A365" i="12"/>
  <c r="A366" i="12"/>
  <c r="A367" i="12"/>
  <c r="A386" i="12"/>
  <c r="A387" i="12"/>
  <c r="A388" i="12"/>
  <c r="A390" i="12"/>
  <c r="A392" i="12"/>
  <c r="A394" i="12"/>
  <c r="A395" i="12"/>
  <c r="A396" i="12"/>
  <c r="A397" i="12"/>
  <c r="A398" i="12"/>
  <c r="A400" i="12"/>
  <c r="A401" i="12"/>
  <c r="A402" i="12"/>
  <c r="A407" i="12"/>
  <c r="A408" i="12"/>
  <c r="A409" i="12"/>
  <c r="A410" i="12"/>
  <c r="A411" i="12"/>
  <c r="A412" i="12"/>
  <c r="A413" i="12"/>
  <c r="A415" i="12"/>
  <c r="A416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7" i="12"/>
  <c r="A438" i="12"/>
  <c r="A441" i="12"/>
  <c r="A442" i="12"/>
  <c r="A447" i="12"/>
  <c r="A450" i="12"/>
  <c r="A451" i="12"/>
  <c r="A452" i="12"/>
  <c r="A453" i="12"/>
  <c r="A454" i="12"/>
  <c r="A455" i="12"/>
  <c r="A460" i="12"/>
  <c r="A461" i="12"/>
  <c r="A463" i="12"/>
  <c r="A465" i="12"/>
  <c r="A466" i="12"/>
  <c r="A467" i="12"/>
  <c r="A468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5" i="12"/>
  <c r="A486" i="12"/>
  <c r="A487" i="12"/>
  <c r="A489" i="12"/>
  <c r="A490" i="12"/>
  <c r="A491" i="12"/>
  <c r="A492" i="12"/>
  <c r="A493" i="12"/>
  <c r="A495" i="12"/>
  <c r="A496" i="12"/>
  <c r="A497" i="12"/>
  <c r="A498" i="12"/>
  <c r="A499" i="12"/>
  <c r="A500" i="12"/>
  <c r="A501" i="12"/>
  <c r="A504" i="12"/>
  <c r="A505" i="12"/>
  <c r="A506" i="12"/>
  <c r="A507" i="12"/>
  <c r="A508" i="12"/>
  <c r="A509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5" i="12"/>
  <c r="A546" i="12"/>
  <c r="A547" i="12"/>
  <c r="A548" i="12"/>
  <c r="A549" i="12"/>
  <c r="A550" i="12"/>
  <c r="A551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6" i="12"/>
  <c r="A597" i="12"/>
  <c r="A598" i="12"/>
  <c r="A599" i="12"/>
  <c r="A600" i="12"/>
  <c r="A601" i="12"/>
  <c r="A602" i="12"/>
  <c r="A603" i="12"/>
  <c r="A606" i="12"/>
  <c r="A607" i="12"/>
  <c r="A608" i="12"/>
  <c r="A609" i="12"/>
  <c r="A610" i="12"/>
  <c r="A611" i="12"/>
  <c r="A612" i="12"/>
  <c r="A613" i="12"/>
  <c r="A615" i="12"/>
  <c r="A616" i="12"/>
  <c r="A618" i="12"/>
  <c r="A619" i="12"/>
  <c r="A620" i="12"/>
  <c r="A621" i="12"/>
  <c r="A622" i="12"/>
  <c r="A623" i="12"/>
  <c r="A624" i="12"/>
  <c r="A631" i="12"/>
  <c r="A632" i="12"/>
  <c r="A633" i="12"/>
  <c r="A634" i="12"/>
  <c r="A635" i="12"/>
  <c r="A637" i="12"/>
  <c r="A638" i="12"/>
  <c r="A639" i="12"/>
  <c r="A644" i="12"/>
  <c r="A645" i="12"/>
  <c r="A646" i="12"/>
  <c r="A647" i="12"/>
  <c r="A648" i="12"/>
  <c r="A649" i="12"/>
  <c r="A650" i="12"/>
  <c r="A651" i="12"/>
  <c r="A652" i="12"/>
  <c r="A653" i="12"/>
  <c r="A656" i="12"/>
  <c r="A658" i="12"/>
  <c r="A661" i="12"/>
  <c r="A663" i="12"/>
  <c r="A664" i="12"/>
  <c r="A665" i="12"/>
  <c r="A666" i="12"/>
  <c r="A668" i="12"/>
  <c r="A669" i="12"/>
  <c r="A670" i="12"/>
  <c r="A671" i="12"/>
  <c r="A672" i="12"/>
  <c r="A673" i="12"/>
  <c r="A674" i="12"/>
  <c r="A675" i="12"/>
  <c r="A676" i="12"/>
  <c r="A677" i="12"/>
  <c r="A678" i="12"/>
  <c r="A680" i="12"/>
  <c r="A681" i="12"/>
  <c r="A682" i="12"/>
  <c r="A683" i="12"/>
  <c r="A684" i="12"/>
  <c r="A685" i="12"/>
  <c r="A686" i="12"/>
  <c r="A687" i="12"/>
  <c r="A688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4" i="12"/>
  <c r="A705" i="12"/>
  <c r="A707" i="12"/>
  <c r="A708" i="12"/>
  <c r="A710" i="12"/>
  <c r="A711" i="12"/>
  <c r="A712" i="12"/>
  <c r="A713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2" i="12"/>
  <c r="A733" i="12"/>
  <c r="A734" i="12"/>
  <c r="A735" i="12"/>
  <c r="A737" i="12"/>
  <c r="A739" i="12"/>
  <c r="A740" i="12"/>
  <c r="A741" i="12"/>
  <c r="A742" i="12"/>
  <c r="A743" i="12"/>
  <c r="A745" i="12"/>
  <c r="A746" i="12"/>
  <c r="A747" i="12"/>
  <c r="A749" i="12"/>
  <c r="A750" i="12"/>
  <c r="A751" i="12"/>
  <c r="A752" i="12"/>
  <c r="A754" i="12"/>
  <c r="A755" i="12"/>
  <c r="A756" i="12"/>
  <c r="A757" i="12"/>
  <c r="A758" i="12"/>
  <c r="A759" i="12"/>
  <c r="A760" i="12"/>
  <c r="A761" i="12"/>
  <c r="A762" i="12"/>
  <c r="A763" i="12"/>
  <c r="A765" i="12"/>
  <c r="A766" i="12"/>
  <c r="A767" i="12"/>
  <c r="A768" i="12"/>
  <c r="A769" i="12"/>
  <c r="A770" i="12"/>
  <c r="A771" i="12"/>
  <c r="A773" i="12"/>
  <c r="A774" i="12"/>
  <c r="A775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4" i="12"/>
  <c r="A805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8" i="12"/>
  <c r="A830" i="12"/>
  <c r="A831" i="12"/>
  <c r="A832" i="12"/>
  <c r="A834" i="12"/>
  <c r="A835" i="12"/>
  <c r="A837" i="12"/>
  <c r="A838" i="12"/>
  <c r="A839" i="12"/>
  <c r="A840" i="12"/>
  <c r="A841" i="12"/>
  <c r="A842" i="12"/>
  <c r="A843" i="12"/>
  <c r="A844" i="12"/>
  <c r="A846" i="12"/>
  <c r="A847" i="12"/>
  <c r="A848" i="12"/>
  <c r="A849" i="12"/>
  <c r="A850" i="12"/>
  <c r="A851" i="12"/>
  <c r="A852" i="12"/>
  <c r="A853" i="12"/>
  <c r="A854" i="12"/>
  <c r="A856" i="12"/>
  <c r="A857" i="12"/>
  <c r="A858" i="12"/>
  <c r="A861" i="12"/>
  <c r="A863" i="12"/>
  <c r="A864" i="12"/>
  <c r="A865" i="12"/>
  <c r="A866" i="12"/>
  <c r="A867" i="12"/>
  <c r="A869" i="12"/>
  <c r="A870" i="12"/>
  <c r="A871" i="12"/>
  <c r="A872" i="12"/>
  <c r="A873" i="12"/>
  <c r="A874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5" i="12"/>
  <c r="A896" i="12"/>
  <c r="A898" i="12"/>
  <c r="A900" i="12"/>
  <c r="A901" i="12"/>
  <c r="A902" i="12"/>
  <c r="A903" i="12"/>
  <c r="A904" i="12"/>
  <c r="A905" i="12"/>
  <c r="A906" i="12"/>
  <c r="A907" i="12"/>
  <c r="A908" i="12"/>
  <c r="A909" i="12"/>
  <c r="A910" i="12"/>
  <c r="A913" i="12"/>
  <c r="A914" i="12"/>
  <c r="A915" i="12"/>
  <c r="A916" i="12"/>
  <c r="A920" i="12"/>
  <c r="A921" i="12"/>
  <c r="A922" i="12"/>
  <c r="A923" i="12"/>
  <c r="A924" i="12"/>
  <c r="A925" i="12"/>
  <c r="A926" i="12"/>
  <c r="A928" i="12"/>
  <c r="A929" i="12"/>
  <c r="A937" i="12"/>
  <c r="A939" i="12"/>
  <c r="A943" i="12"/>
  <c r="A944" i="12"/>
  <c r="A945" i="12"/>
  <c r="A946" i="12"/>
  <c r="A947" i="12"/>
  <c r="A948" i="12"/>
  <c r="A949" i="12"/>
  <c r="A950" i="12"/>
  <c r="A952" i="12"/>
  <c r="A953" i="12"/>
  <c r="A954" i="12"/>
  <c r="A955" i="12"/>
  <c r="A958" i="12"/>
  <c r="A959" i="12"/>
  <c r="A960" i="12"/>
  <c r="A966" i="12"/>
  <c r="A967" i="12"/>
  <c r="A968" i="12"/>
  <c r="A969" i="12"/>
  <c r="A971" i="12"/>
  <c r="A972" i="12"/>
  <c r="A973" i="12"/>
  <c r="A974" i="12"/>
  <c r="A975" i="12"/>
  <c r="A976" i="12"/>
  <c r="A977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4" i="12"/>
  <c r="A995" i="12"/>
  <c r="A996" i="12"/>
  <c r="A997" i="12"/>
  <c r="A998" i="12"/>
  <c r="A999" i="12"/>
  <c r="A1000" i="12"/>
  <c r="A1001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8" i="12"/>
  <c r="A1019" i="12"/>
  <c r="A1021" i="12"/>
  <c r="A1022" i="12"/>
  <c r="A1023" i="12"/>
  <c r="A1024" i="12"/>
  <c r="A1025" i="12"/>
  <c r="A1027" i="12"/>
  <c r="A1028" i="12"/>
  <c r="A1029" i="12"/>
  <c r="A1030" i="12"/>
  <c r="A1031" i="12"/>
  <c r="A1032" i="12"/>
  <c r="A1033" i="12"/>
  <c r="A1034" i="12"/>
  <c r="A1035" i="12"/>
  <c r="A1037" i="12"/>
  <c r="A1039" i="12"/>
  <c r="A1040" i="12"/>
  <c r="A1041" i="12"/>
  <c r="A1044" i="12"/>
  <c r="A1045" i="12"/>
  <c r="A1046" i="12"/>
  <c r="A1047" i="12"/>
  <c r="A1049" i="12"/>
  <c r="A1050" i="12"/>
  <c r="A1054" i="12"/>
  <c r="A1060" i="12"/>
  <c r="A1061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8" i="12"/>
  <c r="A1100" i="12"/>
  <c r="A1102" i="12"/>
  <c r="A1103" i="12"/>
  <c r="A1105" i="12"/>
  <c r="A1106" i="12"/>
  <c r="A1107" i="12"/>
  <c r="A1109" i="12"/>
  <c r="A1110" i="12"/>
  <c r="A1111" i="12"/>
  <c r="A1112" i="12"/>
  <c r="A1114" i="12"/>
  <c r="A1118" i="12"/>
  <c r="A1120" i="12"/>
  <c r="A1121" i="12"/>
  <c r="A1122" i="12"/>
  <c r="A1123" i="12"/>
  <c r="A1124" i="12"/>
  <c r="A1125" i="12"/>
  <c r="A1126" i="12"/>
  <c r="A1127" i="12"/>
  <c r="A1128" i="12"/>
  <c r="A1129" i="12"/>
  <c r="A1131" i="12"/>
  <c r="A1132" i="12"/>
  <c r="A1133" i="12"/>
  <c r="A1134" i="12"/>
  <c r="A1135" i="12"/>
  <c r="A1136" i="12"/>
  <c r="A1137" i="12"/>
  <c r="A1138" i="12"/>
  <c r="A1140" i="12"/>
  <c r="A1141" i="12"/>
  <c r="A1142" i="12"/>
  <c r="A1143" i="12"/>
  <c r="A1145" i="12"/>
  <c r="A1146" i="12"/>
  <c r="A1147" i="12"/>
  <c r="A1148" i="12"/>
  <c r="A1152" i="12"/>
  <c r="A1154" i="12"/>
  <c r="A1155" i="12"/>
  <c r="A1156" i="12"/>
  <c r="A1157" i="12"/>
  <c r="A1158" i="12"/>
  <c r="A1159" i="12"/>
  <c r="A1160" i="12"/>
  <c r="A1163" i="12"/>
  <c r="A1164" i="12"/>
  <c r="A1165" i="12"/>
  <c r="A1167" i="12"/>
  <c r="A1168" i="12"/>
  <c r="A1171" i="12"/>
  <c r="A1174" i="12"/>
  <c r="A1175" i="12"/>
  <c r="A1176" i="12"/>
  <c r="A1177" i="12"/>
  <c r="A1180" i="12"/>
  <c r="A1181" i="12"/>
  <c r="A1182" i="12"/>
  <c r="A1183" i="12"/>
  <c r="A1184" i="12"/>
  <c r="A1185" i="12"/>
  <c r="A1186" i="12"/>
  <c r="A1190" i="12"/>
  <c r="A1191" i="12"/>
  <c r="A1192" i="12"/>
  <c r="A1194" i="12"/>
  <c r="A1195" i="12"/>
  <c r="A1196" i="12"/>
  <c r="A1197" i="12"/>
  <c r="A1198" i="12"/>
  <c r="A1199" i="12"/>
  <c r="A1200" i="12"/>
  <c r="A1201" i="12"/>
  <c r="A1202" i="12"/>
  <c r="A1203" i="12"/>
  <c r="A1204" i="12"/>
  <c r="A1205" i="12"/>
  <c r="A1210" i="12"/>
  <c r="A1211" i="12"/>
  <c r="A1212" i="12"/>
  <c r="A1213" i="12"/>
  <c r="A1214" i="12"/>
  <c r="A1215" i="12"/>
  <c r="A1216" i="12"/>
  <c r="A1217" i="12"/>
  <c r="A1218" i="12"/>
  <c r="A1219" i="12"/>
  <c r="A1220" i="12"/>
  <c r="A1221" i="12"/>
  <c r="A1222" i="12"/>
  <c r="A1223" i="12"/>
  <c r="A1224" i="12"/>
  <c r="A1225" i="12"/>
  <c r="A1226" i="12"/>
  <c r="A1227" i="12"/>
  <c r="A1229" i="12"/>
  <c r="A1230" i="12"/>
  <c r="A1231" i="12"/>
  <c r="A1232" i="12"/>
  <c r="A1233" i="12"/>
  <c r="A1234" i="12"/>
  <c r="A1235" i="12"/>
  <c r="A1237" i="12"/>
  <c r="A1238" i="12"/>
  <c r="A1239" i="12"/>
  <c r="A1240" i="12"/>
  <c r="A1241" i="12"/>
  <c r="A1242" i="12"/>
  <c r="A1243" i="12"/>
  <c r="A1244" i="12"/>
  <c r="A1245" i="12"/>
  <c r="A1246" i="12"/>
  <c r="A1247" i="12"/>
  <c r="A1249" i="12"/>
  <c r="A1250" i="12"/>
  <c r="A1251" i="12"/>
  <c r="A1253" i="12"/>
  <c r="A1254" i="12"/>
  <c r="A1256" i="12"/>
  <c r="A1257" i="12"/>
  <c r="A1258" i="12"/>
  <c r="A1259" i="12"/>
  <c r="A1261" i="12"/>
  <c r="A1264" i="12"/>
  <c r="A1266" i="12"/>
  <c r="A1267" i="12"/>
  <c r="A1268" i="12"/>
  <c r="A1270" i="12"/>
  <c r="A1271" i="12"/>
  <c r="A1272" i="12"/>
  <c r="A1273" i="12"/>
  <c r="A1274" i="12"/>
  <c r="A1275" i="12"/>
  <c r="A1276" i="12"/>
  <c r="A1277" i="12"/>
  <c r="A1278" i="12"/>
  <c r="A1279" i="12"/>
  <c r="A1280" i="12"/>
  <c r="A1281" i="12"/>
  <c r="A1282" i="12"/>
  <c r="A1283" i="12"/>
  <c r="A1284" i="12"/>
  <c r="A1285" i="12"/>
  <c r="A1286" i="12"/>
  <c r="A1287" i="12"/>
  <c r="A1288" i="12"/>
  <c r="A1290" i="12"/>
  <c r="A1291" i="12"/>
  <c r="A1292" i="12"/>
  <c r="A1293" i="12"/>
  <c r="A1294" i="12"/>
  <c r="A1295" i="12"/>
  <c r="A1296" i="12"/>
  <c r="A1298" i="12"/>
  <c r="A1299" i="12"/>
  <c r="A1300" i="12"/>
  <c r="A1302" i="12"/>
  <c r="A1305" i="12"/>
  <c r="A1306" i="12"/>
  <c r="A1307" i="12"/>
  <c r="A1308" i="12"/>
  <c r="A1309" i="12"/>
  <c r="A1310" i="12"/>
  <c r="A1311" i="12"/>
  <c r="A1312" i="12"/>
  <c r="A1313" i="12"/>
  <c r="A1314" i="12"/>
  <c r="A1315" i="12"/>
  <c r="A1316" i="12"/>
  <c r="A1317" i="12"/>
  <c r="A1318" i="12"/>
  <c r="A1319" i="12"/>
  <c r="A1320" i="12"/>
  <c r="A1321" i="12"/>
  <c r="A1322" i="12"/>
  <c r="A1323" i="12"/>
  <c r="A1326" i="12"/>
  <c r="A1327" i="12"/>
  <c r="A1332" i="12"/>
  <c r="A1333" i="12"/>
  <c r="A1334" i="12"/>
  <c r="A1336" i="12"/>
  <c r="A1337" i="12"/>
  <c r="A1338" i="12"/>
  <c r="A1339" i="12"/>
  <c r="A1340" i="12"/>
  <c r="A1341" i="12"/>
  <c r="A1342" i="12"/>
  <c r="A1343" i="12"/>
  <c r="A1344" i="12"/>
  <c r="A1345" i="12"/>
  <c r="A1346" i="12"/>
  <c r="A1347" i="12"/>
  <c r="A1348" i="12"/>
  <c r="A1349" i="12"/>
  <c r="A1350" i="12"/>
  <c r="A1351" i="12"/>
  <c r="A1352" i="12"/>
  <c r="A1353" i="12"/>
  <c r="A1354" i="12"/>
  <c r="A1356" i="12"/>
  <c r="A1357" i="12"/>
  <c r="A1358" i="12"/>
  <c r="A1359" i="12"/>
  <c r="A1360" i="12"/>
  <c r="A1361" i="12"/>
  <c r="A1362" i="12"/>
  <c r="A1363" i="12"/>
  <c r="A1364" i="12"/>
  <c r="A1365" i="12"/>
  <c r="A1366" i="12"/>
  <c r="A1368" i="12"/>
  <c r="A1372" i="12"/>
  <c r="A1373" i="12"/>
  <c r="A1374" i="12"/>
  <c r="A1375" i="12"/>
  <c r="A1376" i="12"/>
  <c r="A1377" i="12"/>
  <c r="A1378" i="12"/>
  <c r="A1380" i="12"/>
  <c r="A1381" i="12"/>
  <c r="A1382" i="12"/>
  <c r="A1383" i="12"/>
  <c r="A1384" i="12"/>
  <c r="A1385" i="12"/>
  <c r="A1386" i="12"/>
  <c r="A1387" i="12"/>
  <c r="A1388" i="12"/>
  <c r="A1389" i="12"/>
  <c r="A1390" i="12"/>
  <c r="A1391" i="12"/>
  <c r="A1392" i="12"/>
  <c r="A1393" i="12"/>
  <c r="A1394" i="12"/>
  <c r="A1395" i="12"/>
  <c r="A1396" i="12"/>
  <c r="A1397" i="12"/>
  <c r="A1401" i="12"/>
  <c r="A1402" i="12"/>
  <c r="A1403" i="12"/>
  <c r="A1404" i="12"/>
  <c r="A1405" i="12"/>
  <c r="A1406" i="12"/>
  <c r="A1407" i="12"/>
  <c r="A1408" i="12"/>
  <c r="A1409" i="12"/>
  <c r="A1410" i="12"/>
  <c r="A1411" i="12"/>
  <c r="A1412" i="12"/>
  <c r="A1413" i="12"/>
  <c r="A1414" i="12"/>
  <c r="A1415" i="12"/>
  <c r="A1417" i="12"/>
  <c r="A1420" i="12"/>
  <c r="A1421" i="12"/>
  <c r="A1422" i="12"/>
  <c r="A1423" i="12"/>
  <c r="A1424" i="12"/>
  <c r="A1425" i="12"/>
  <c r="A1426" i="12"/>
  <c r="A1428" i="12"/>
  <c r="A1429" i="12"/>
  <c r="A1430" i="12"/>
  <c r="A1433" i="12"/>
  <c r="A1435" i="12"/>
  <c r="A1436" i="12"/>
  <c r="A1437" i="12"/>
  <c r="A1438" i="12"/>
  <c r="A1439" i="12"/>
  <c r="A1441" i="12"/>
  <c r="A1442" i="12"/>
  <c r="A1443" i="12"/>
  <c r="A1444" i="12"/>
  <c r="A1445" i="12"/>
  <c r="A1448" i="12"/>
  <c r="A1449" i="12"/>
  <c r="A1450" i="12"/>
  <c r="A1451" i="12"/>
  <c r="A1452" i="12"/>
  <c r="A1453" i="12"/>
  <c r="A1454" i="12"/>
  <c r="A1456" i="12"/>
  <c r="A1457" i="12"/>
  <c r="A1459" i="12"/>
  <c r="A1460" i="12"/>
  <c r="A1461" i="12"/>
  <c r="A1463" i="12"/>
  <c r="A1464" i="12"/>
  <c r="A1465" i="12"/>
  <c r="A1468" i="12"/>
  <c r="A1469" i="12"/>
  <c r="A1470" i="12"/>
  <c r="A1471" i="12"/>
  <c r="A1472" i="12"/>
  <c r="A1476" i="12"/>
  <c r="A1477" i="12"/>
  <c r="A1478" i="12"/>
  <c r="A1479" i="12"/>
  <c r="A1480" i="12"/>
  <c r="A1481" i="12"/>
  <c r="A1482" i="12"/>
  <c r="A1490" i="12"/>
  <c r="A1491" i="12"/>
  <c r="A1492" i="12"/>
  <c r="A1493" i="12"/>
  <c r="A1494" i="12"/>
  <c r="A1496" i="12"/>
  <c r="A1497" i="12"/>
  <c r="A1498" i="12"/>
  <c r="A1503" i="12"/>
  <c r="A1504" i="12"/>
  <c r="A1505" i="12"/>
  <c r="A1506" i="12"/>
  <c r="A1507" i="12"/>
  <c r="A1508" i="12"/>
  <c r="A1509" i="12"/>
  <c r="A1510" i="12"/>
  <c r="A1511" i="12"/>
  <c r="A1512" i="12"/>
  <c r="A1513" i="12"/>
  <c r="A1514" i="12"/>
  <c r="A1515" i="12"/>
  <c r="A1516" i="12"/>
  <c r="A1517" i="12"/>
  <c r="A1520" i="12"/>
  <c r="A1521" i="12"/>
  <c r="A1522" i="12"/>
  <c r="A1523" i="12"/>
  <c r="A1524" i="12"/>
  <c r="A1525" i="12"/>
  <c r="A1526" i="12"/>
  <c r="A1527" i="12"/>
  <c r="A1529" i="12"/>
  <c r="A1530" i="12"/>
  <c r="A1531" i="12"/>
  <c r="A1532" i="12"/>
  <c r="A1533" i="12"/>
  <c r="A1534" i="12"/>
  <c r="A1535" i="12"/>
  <c r="A1538" i="12"/>
  <c r="A1539" i="12"/>
  <c r="A1540" i="12"/>
  <c r="A1541" i="12"/>
  <c r="A1542" i="12"/>
  <c r="A1543" i="12"/>
  <c r="A1545" i="12"/>
  <c r="A1547" i="12"/>
  <c r="A1553" i="12"/>
  <c r="A1554" i="12"/>
  <c r="A1555" i="12"/>
  <c r="A1557" i="12"/>
  <c r="A1559" i="12"/>
  <c r="A1560" i="12"/>
  <c r="A1563" i="12"/>
  <c r="A1564" i="12"/>
  <c r="A1565" i="12"/>
  <c r="A1567" i="12"/>
  <c r="A1568" i="12"/>
  <c r="A1569" i="12"/>
  <c r="A1570" i="12"/>
  <c r="A1571" i="12"/>
  <c r="A1572" i="12"/>
  <c r="A1573" i="12"/>
  <c r="A1574" i="12"/>
  <c r="A1575" i="12"/>
  <c r="A1576" i="12"/>
  <c r="A1577" i="12"/>
  <c r="A1578" i="12"/>
  <c r="A1579" i="12"/>
  <c r="A1581" i="12"/>
  <c r="A1582" i="12"/>
  <c r="A1583" i="12"/>
  <c r="A1585" i="12"/>
  <c r="A1586" i="12"/>
  <c r="A1587" i="12"/>
  <c r="A1588" i="12"/>
  <c r="A1590" i="12"/>
  <c r="A1591" i="12"/>
  <c r="A1595" i="12"/>
  <c r="A1596" i="12"/>
  <c r="A1597" i="12"/>
  <c r="A1598" i="12"/>
  <c r="A1599" i="12"/>
  <c r="A1602" i="12"/>
  <c r="A1603" i="12"/>
  <c r="A1604" i="12"/>
  <c r="A1606" i="12"/>
  <c r="A1607" i="12"/>
  <c r="A1608" i="12"/>
  <c r="A1609" i="12"/>
  <c r="A1610" i="12"/>
  <c r="A1611" i="12"/>
  <c r="A1612" i="12"/>
  <c r="A1613" i="12"/>
  <c r="A1614" i="12"/>
  <c r="A1615" i="12"/>
  <c r="A1616" i="12"/>
  <c r="A1617" i="12"/>
  <c r="A1618" i="12"/>
  <c r="A1620" i="12"/>
  <c r="A1621" i="12"/>
  <c r="A1622" i="12"/>
  <c r="A1623" i="12"/>
  <c r="A1624" i="12"/>
  <c r="A1625" i="12"/>
  <c r="A1627" i="12"/>
  <c r="A1628" i="12"/>
  <c r="A1629" i="12"/>
  <c r="A1630" i="12"/>
  <c r="A1635" i="12"/>
  <c r="A1637" i="12"/>
  <c r="A1639" i="12"/>
  <c r="A1640" i="12"/>
  <c r="A1641" i="12"/>
  <c r="A1642" i="12"/>
  <c r="A1643" i="12"/>
  <c r="A1644" i="12"/>
  <c r="A1645" i="12"/>
  <c r="A1646" i="12"/>
  <c r="A1647" i="12"/>
  <c r="A1648" i="12"/>
  <c r="A1649" i="12"/>
  <c r="A1650" i="12"/>
  <c r="A1658" i="12"/>
  <c r="A1659" i="12"/>
  <c r="A1660" i="12"/>
  <c r="A1661" i="12"/>
  <c r="A1662" i="12"/>
  <c r="A1663" i="12"/>
  <c r="A1664" i="12"/>
  <c r="A1665" i="12"/>
  <c r="A1666" i="12"/>
  <c r="A1667" i="12"/>
  <c r="A1669" i="12"/>
  <c r="A1670" i="12"/>
  <c r="A1671" i="12"/>
  <c r="A1672" i="12"/>
  <c r="A1675" i="12"/>
  <c r="A1676" i="12"/>
  <c r="A1677" i="12"/>
  <c r="A1678" i="12"/>
  <c r="A1679" i="12"/>
  <c r="A1680" i="12"/>
  <c r="A1681" i="12"/>
  <c r="A1682" i="12"/>
  <c r="A1683" i="12"/>
  <c r="A1684" i="12"/>
  <c r="A1685" i="12"/>
  <c r="A1688" i="12"/>
  <c r="A1689" i="12"/>
  <c r="A1690" i="12"/>
  <c r="A1691" i="12"/>
  <c r="A1692" i="12"/>
  <c r="A1693" i="12"/>
  <c r="A1694" i="12"/>
  <c r="A1695" i="12"/>
  <c r="A1696" i="12"/>
  <c r="A1697" i="12"/>
  <c r="A1698" i="12"/>
  <c r="A1699" i="12"/>
  <c r="A1702" i="12"/>
  <c r="A1704" i="12"/>
  <c r="A1705" i="12"/>
  <c r="A1707" i="12"/>
  <c r="A1708" i="12"/>
  <c r="A1709" i="12"/>
  <c r="A1710" i="12"/>
  <c r="A1711" i="12"/>
  <c r="A1712" i="12"/>
  <c r="A1713" i="12"/>
  <c r="A1715" i="12"/>
  <c r="A1716" i="12"/>
  <c r="A1717" i="12"/>
  <c r="A1719" i="12"/>
  <c r="A1720" i="12"/>
  <c r="A1721" i="12"/>
  <c r="A1726" i="12"/>
  <c r="A1727" i="12"/>
  <c r="A1728" i="12"/>
  <c r="A1730" i="12"/>
  <c r="A1732" i="12"/>
  <c r="A1735" i="12"/>
  <c r="A1736" i="12"/>
  <c r="A1737" i="12"/>
  <c r="A1738" i="12"/>
  <c r="A1739" i="12"/>
  <c r="A1740" i="12"/>
  <c r="A1742" i="12"/>
  <c r="A1743" i="12"/>
  <c r="A1745" i="12"/>
  <c r="A1746" i="12"/>
  <c r="A1747" i="12"/>
  <c r="A1748" i="12"/>
  <c r="A1750" i="12"/>
  <c r="A1751" i="12"/>
  <c r="A1753" i="12"/>
  <c r="A1754" i="12"/>
  <c r="A1755" i="12"/>
  <c r="A1756" i="12"/>
  <c r="A1757" i="12"/>
  <c r="A1758" i="12"/>
  <c r="A1759" i="12"/>
  <c r="A1760" i="12"/>
  <c r="A1761" i="12"/>
  <c r="A1763" i="12"/>
  <c r="A1764" i="12"/>
  <c r="A1765" i="12"/>
  <c r="A1766" i="12"/>
  <c r="A1767" i="12"/>
  <c r="A1768" i="12"/>
  <c r="A1769" i="12"/>
  <c r="A1770" i="12"/>
  <c r="A1771" i="12"/>
  <c r="A1772" i="12"/>
  <c r="A1773" i="12"/>
  <c r="A1774" i="12"/>
  <c r="A1775" i="12"/>
  <c r="A1776" i="12"/>
  <c r="A1777" i="12"/>
  <c r="A1780" i="12"/>
  <c r="A1782" i="12"/>
  <c r="A1783" i="12"/>
  <c r="A1784" i="12"/>
  <c r="A1786" i="12"/>
  <c r="A1787" i="12"/>
  <c r="A1788" i="12"/>
  <c r="A1789" i="12"/>
  <c r="A1790" i="12"/>
  <c r="A1791" i="12"/>
  <c r="A1792" i="12"/>
  <c r="A1793" i="12"/>
  <c r="A1794" i="12"/>
  <c r="A1795" i="12"/>
  <c r="A1796" i="12"/>
  <c r="A1797" i="12"/>
  <c r="A1798" i="12"/>
  <c r="A1799" i="12"/>
  <c r="A1800" i="12"/>
  <c r="A1801" i="12"/>
  <c r="A1802" i="12"/>
  <c r="A1805" i="12"/>
  <c r="A1806" i="12"/>
  <c r="A1808" i="12"/>
  <c r="A1809" i="12"/>
  <c r="A1810" i="12"/>
  <c r="A1811" i="12"/>
  <c r="A1812" i="12"/>
  <c r="A1813" i="12"/>
  <c r="A1814" i="12"/>
  <c r="A1817" i="12"/>
  <c r="A1818" i="12"/>
  <c r="A1820" i="12"/>
  <c r="A1821" i="12"/>
  <c r="A1825" i="12"/>
  <c r="A1826" i="12"/>
  <c r="A1829" i="12"/>
  <c r="A1830" i="12"/>
  <c r="A1831" i="12"/>
  <c r="A1861" i="12"/>
  <c r="A1863" i="12"/>
  <c r="A1865" i="12"/>
  <c r="A1866" i="12"/>
  <c r="A1868" i="12"/>
  <c r="A1869" i="12"/>
  <c r="A1870" i="12"/>
  <c r="A1871" i="12"/>
  <c r="A1872" i="12"/>
  <c r="A1873" i="12"/>
  <c r="A1874" i="12"/>
  <c r="A1876" i="12"/>
  <c r="A1877" i="12"/>
  <c r="A1879" i="12"/>
  <c r="A1880" i="12"/>
  <c r="A1881" i="12"/>
  <c r="A1882" i="12"/>
  <c r="A1883" i="12"/>
  <c r="A1884" i="12"/>
  <c r="A1885" i="12"/>
  <c r="A1886" i="12"/>
  <c r="A1891" i="12"/>
  <c r="A1892" i="12"/>
  <c r="A1893" i="12"/>
  <c r="A1894" i="12"/>
  <c r="A1895" i="12"/>
  <c r="A1896" i="12"/>
  <c r="A1897" i="12"/>
  <c r="A1898" i="12"/>
  <c r="A1899" i="12"/>
  <c r="A1900" i="12"/>
  <c r="A1902" i="12"/>
  <c r="A1903" i="12"/>
  <c r="A1904" i="12"/>
  <c r="A1905" i="12"/>
  <c r="A1906" i="12"/>
  <c r="A1907" i="12"/>
  <c r="A1908" i="12"/>
  <c r="A1909" i="12"/>
  <c r="A1910" i="12"/>
  <c r="A1913" i="12"/>
  <c r="A1915" i="12"/>
  <c r="A1916" i="12"/>
  <c r="A1918" i="12"/>
  <c r="A1919" i="12"/>
  <c r="A1920" i="12"/>
  <c r="A1921" i="12"/>
  <c r="A1922" i="12"/>
  <c r="A1923" i="12"/>
  <c r="A1925" i="12"/>
  <c r="A1926" i="12"/>
  <c r="A1927" i="12"/>
  <c r="A1928" i="12"/>
  <c r="A1930" i="12"/>
  <c r="A1931" i="12"/>
  <c r="A1934" i="12"/>
  <c r="A1935" i="12"/>
  <c r="A1936" i="12"/>
  <c r="A1937" i="12"/>
  <c r="A1938" i="12"/>
  <c r="A1939" i="12"/>
  <c r="A1940" i="12"/>
  <c r="A1941" i="12"/>
  <c r="A1942" i="12"/>
  <c r="A1943" i="12"/>
  <c r="A1944" i="12"/>
  <c r="A1946" i="12"/>
  <c r="A1947" i="12"/>
  <c r="A1949" i="12"/>
  <c r="A1950" i="12"/>
  <c r="A1951" i="12"/>
  <c r="A1953" i="12"/>
  <c r="A1954" i="12"/>
  <c r="A1955" i="12"/>
  <c r="A1956" i="12"/>
  <c r="A1959" i="12"/>
  <c r="A1960" i="12"/>
  <c r="A1962" i="12"/>
  <c r="A1964" i="12"/>
  <c r="A1965" i="12"/>
  <c r="A1966" i="12"/>
  <c r="A1967" i="12"/>
  <c r="A1969" i="12"/>
  <c r="A1970" i="12"/>
  <c r="A1971" i="12"/>
  <c r="A1972" i="12"/>
  <c r="A1973" i="12"/>
  <c r="A1976" i="12"/>
  <c r="A1977" i="12"/>
  <c r="A1978" i="12"/>
  <c r="A1979" i="12"/>
  <c r="A1980" i="12"/>
  <c r="A1983" i="12"/>
  <c r="A1984" i="12"/>
  <c r="A1985" i="12"/>
  <c r="A1986" i="12"/>
  <c r="A1987" i="12"/>
  <c r="A1988" i="12"/>
  <c r="A1989" i="12"/>
  <c r="A1990" i="12"/>
  <c r="A1991" i="12"/>
  <c r="A1992" i="12"/>
  <c r="A1993" i="12"/>
  <c r="A1994" i="12"/>
  <c r="A1995" i="12"/>
  <c r="A1996" i="12"/>
  <c r="A1998" i="12"/>
  <c r="A2000" i="12"/>
  <c r="A2001" i="12"/>
  <c r="A2002" i="12"/>
  <c r="A2003" i="12"/>
  <c r="A2004" i="12"/>
  <c r="A2005" i="12"/>
  <c r="A2006" i="12"/>
  <c r="A2007" i="12"/>
  <c r="A2009" i="12"/>
  <c r="A2010" i="12"/>
  <c r="A2013" i="12"/>
  <c r="A2014" i="12"/>
  <c r="A2015" i="12"/>
  <c r="A2016" i="12"/>
  <c r="A2018" i="12"/>
  <c r="A2019" i="12"/>
  <c r="A2020" i="12"/>
  <c r="A2021" i="12"/>
  <c r="A2025" i="12"/>
  <c r="A2026" i="12"/>
  <c r="A2033" i="12"/>
  <c r="A2034" i="12"/>
  <c r="A2035" i="12"/>
  <c r="A2036" i="12"/>
  <c r="A2037" i="12"/>
  <c r="A2038" i="12"/>
  <c r="A2040" i="12"/>
  <c r="A2042" i="12"/>
  <c r="A2043" i="12"/>
  <c r="A2044" i="12"/>
  <c r="A2046" i="12"/>
  <c r="A2047" i="12"/>
  <c r="A2048" i="12"/>
  <c r="A2050" i="12"/>
  <c r="A2051" i="12"/>
  <c r="A2052" i="12"/>
  <c r="A2053" i="12"/>
  <c r="A2055" i="12"/>
  <c r="A2056" i="12"/>
  <c r="A2058" i="12"/>
  <c r="A2059" i="12"/>
  <c r="A2060" i="12"/>
  <c r="A2061" i="12"/>
  <c r="A2062" i="12"/>
  <c r="A2063" i="12"/>
  <c r="A2064" i="12"/>
  <c r="A2065" i="12"/>
  <c r="A2066" i="12"/>
  <c r="A2067" i="12"/>
  <c r="A2068" i="12"/>
  <c r="A2069" i="12"/>
  <c r="A2070" i="12"/>
  <c r="A2071" i="12"/>
  <c r="A2075" i="12"/>
  <c r="A2076" i="12"/>
  <c r="A2079" i="12"/>
  <c r="A2081" i="12"/>
  <c r="A2082" i="12"/>
  <c r="A2083" i="12"/>
  <c r="A2084" i="12"/>
  <c r="A2085" i="12"/>
  <c r="A2086" i="12"/>
  <c r="A2087" i="12"/>
  <c r="A2088" i="12"/>
  <c r="A2089" i="12"/>
  <c r="A2090" i="12"/>
  <c r="A2091" i="12"/>
  <c r="A2095" i="12"/>
  <c r="A2096" i="12"/>
  <c r="A2097" i="12"/>
  <c r="A2098" i="12"/>
  <c r="A2099" i="12"/>
  <c r="A2100" i="12"/>
  <c r="A2104" i="12"/>
  <c r="A2105" i="12"/>
  <c r="A2107" i="12"/>
  <c r="A2108" i="12"/>
  <c r="A2110" i="12"/>
  <c r="A2111" i="12"/>
  <c r="A2113" i="12"/>
  <c r="A2114" i="12"/>
  <c r="A2116" i="12"/>
  <c r="A2118" i="12"/>
  <c r="A2119" i="12"/>
  <c r="A2121" i="12"/>
  <c r="A2122" i="12"/>
  <c r="A2123" i="12"/>
  <c r="A2124" i="12"/>
  <c r="A2125" i="12"/>
  <c r="A2127" i="12"/>
  <c r="A2128" i="12"/>
  <c r="A2130" i="12"/>
  <c r="A2131" i="12"/>
  <c r="A2132" i="12"/>
  <c r="A2133" i="12"/>
  <c r="A2134" i="12"/>
  <c r="A2135" i="12"/>
  <c r="A2137" i="12"/>
  <c r="A2138" i="12"/>
  <c r="A2139" i="12"/>
  <c r="A2140" i="12"/>
  <c r="A2141" i="12"/>
  <c r="A2142" i="12"/>
  <c r="A2143" i="12"/>
  <c r="A2145" i="12"/>
  <c r="A2147" i="12"/>
  <c r="A2148" i="12"/>
  <c r="A2150" i="12"/>
  <c r="A2151" i="12"/>
  <c r="A2152" i="12"/>
  <c r="A2153" i="12"/>
  <c r="A2154" i="12"/>
  <c r="A2155" i="12"/>
  <c r="A2156" i="12"/>
  <c r="A2157" i="12"/>
  <c r="A2158" i="12"/>
  <c r="A2159" i="12"/>
  <c r="A2160" i="12"/>
  <c r="A2162" i="12"/>
  <c r="A2163" i="12"/>
  <c r="A2165" i="12"/>
  <c r="A2166" i="12"/>
  <c r="A2167" i="12"/>
  <c r="A2168" i="12"/>
  <c r="A2169" i="12"/>
  <c r="A2170" i="12"/>
  <c r="A2171" i="12"/>
  <c r="A2173" i="12"/>
  <c r="A2174" i="12"/>
  <c r="A2175" i="12"/>
  <c r="A2176" i="12"/>
  <c r="A2177" i="12"/>
  <c r="A2180" i="12"/>
  <c r="A2181" i="12"/>
  <c r="A2182" i="12"/>
  <c r="A2183" i="12"/>
  <c r="A2184" i="12"/>
  <c r="A2185" i="12"/>
  <c r="A2186" i="12"/>
  <c r="A2187" i="12"/>
  <c r="A2188" i="12"/>
  <c r="A2189" i="12"/>
  <c r="A2191" i="12"/>
  <c r="A2192" i="12"/>
  <c r="A2193" i="12"/>
  <c r="A2194" i="12"/>
  <c r="A2195" i="12"/>
  <c r="A2196" i="12"/>
  <c r="A2197" i="12"/>
  <c r="A2199" i="12"/>
  <c r="A2200" i="12"/>
  <c r="A2201" i="12"/>
  <c r="A2202" i="12"/>
  <c r="A2203" i="12"/>
  <c r="A2204" i="12"/>
  <c r="A2205" i="12"/>
  <c r="A2206" i="12"/>
  <c r="A2207" i="12"/>
  <c r="A2208" i="12"/>
  <c r="A2209" i="12"/>
  <c r="A2210" i="12"/>
  <c r="A2211" i="12"/>
  <c r="A2213" i="12"/>
  <c r="A2214" i="12"/>
  <c r="A2215" i="12"/>
  <c r="A2216" i="12"/>
  <c r="A2217" i="12"/>
  <c r="A2219" i="12"/>
  <c r="A2220" i="12"/>
  <c r="A2221" i="12"/>
  <c r="A2223" i="12"/>
  <c r="A2224" i="12"/>
  <c r="A2225" i="12"/>
  <c r="A2226" i="12"/>
  <c r="A2227" i="12"/>
  <c r="A2228" i="12"/>
  <c r="A2229" i="12"/>
  <c r="A2230" i="12"/>
  <c r="A2231" i="12"/>
  <c r="A2233" i="12"/>
  <c r="A2234" i="12"/>
  <c r="A2235" i="12"/>
  <c r="A2236" i="12"/>
  <c r="A2237" i="12"/>
  <c r="A2238" i="12"/>
  <c r="A2239" i="12"/>
  <c r="A2240" i="12"/>
  <c r="A2241" i="12"/>
  <c r="A2242" i="12"/>
  <c r="A2243" i="12"/>
  <c r="A2244" i="12"/>
  <c r="A2245" i="12"/>
  <c r="A2246" i="12"/>
  <c r="A2247" i="12"/>
  <c r="A2248" i="12"/>
  <c r="A2250" i="12"/>
  <c r="A2251" i="12"/>
  <c r="A2252" i="12"/>
  <c r="A2253" i="12"/>
  <c r="A2254" i="12"/>
  <c r="A2255" i="12"/>
  <c r="A2256" i="12"/>
  <c r="A2257" i="12"/>
  <c r="A2258" i="12"/>
  <c r="A2259" i="12"/>
  <c r="A2260" i="12"/>
  <c r="A2261" i="12"/>
  <c r="A2262" i="12"/>
  <c r="A2263" i="12"/>
  <c r="A2264" i="12"/>
  <c r="A2266" i="12"/>
  <c r="A2267" i="12"/>
  <c r="A2270" i="12"/>
  <c r="A2271" i="12"/>
  <c r="A2272" i="12"/>
  <c r="A2273" i="12"/>
  <c r="A2274" i="12"/>
  <c r="A2275" i="12"/>
  <c r="A2276" i="12"/>
  <c r="A2277" i="12"/>
  <c r="A2278" i="12"/>
  <c r="A2279" i="12"/>
  <c r="A2280" i="12"/>
  <c r="A2282" i="12"/>
  <c r="A2283" i="12"/>
  <c r="A2285" i="12"/>
  <c r="A2286" i="12"/>
  <c r="A2288" i="12"/>
  <c r="A2289" i="12"/>
  <c r="A2290" i="12"/>
  <c r="A2291" i="12"/>
  <c r="A2293" i="12"/>
  <c r="A2294" i="12"/>
  <c r="A2295" i="12"/>
  <c r="A2296" i="12"/>
  <c r="A2301" i="12"/>
  <c r="A2302" i="12"/>
  <c r="A2303" i="12"/>
  <c r="A2304" i="12"/>
  <c r="A2305" i="12"/>
  <c r="A2306" i="12"/>
  <c r="A2307" i="12"/>
  <c r="A2308" i="12"/>
  <c r="A2309" i="12"/>
  <c r="A2310" i="12"/>
  <c r="A2311" i="12"/>
  <c r="A2312" i="12"/>
  <c r="A2313" i="12"/>
  <c r="A2314" i="12"/>
  <c r="A2315" i="12"/>
  <c r="A2316" i="12"/>
  <c r="A2317" i="12"/>
  <c r="A2318" i="12"/>
  <c r="A2319" i="12"/>
  <c r="A2320" i="12"/>
  <c r="A2321" i="12"/>
  <c r="A2322" i="12"/>
  <c r="A2323" i="12"/>
  <c r="A2324" i="12"/>
  <c r="A2325" i="12"/>
  <c r="A2326" i="12"/>
  <c r="A2327" i="12"/>
  <c r="A2328" i="12"/>
  <c r="A2329" i="12"/>
  <c r="A2330" i="12"/>
  <c r="A2331" i="12"/>
  <c r="A2332" i="12"/>
  <c r="A2333" i="12"/>
  <c r="A2334" i="12"/>
  <c r="A2335" i="12"/>
  <c r="A2336" i="12"/>
  <c r="A2337" i="12"/>
  <c r="A2338" i="12"/>
  <c r="A2339" i="12"/>
  <c r="A2340" i="12"/>
  <c r="A2341" i="12"/>
  <c r="A2342" i="12"/>
  <c r="A2343" i="12"/>
  <c r="A2344" i="12"/>
  <c r="A2345" i="12"/>
  <c r="A2346" i="12"/>
  <c r="A2347" i="12"/>
  <c r="A2348" i="12"/>
  <c r="A2349" i="12"/>
  <c r="A2351" i="12"/>
  <c r="A2354" i="12"/>
  <c r="A2356" i="12"/>
  <c r="A2357" i="12"/>
  <c r="A2359" i="12"/>
  <c r="A2360" i="12"/>
  <c r="A2366" i="12"/>
  <c r="A2369" i="12"/>
  <c r="A2370" i="12"/>
  <c r="A2372" i="12"/>
  <c r="A2373" i="12"/>
  <c r="A2374" i="12"/>
  <c r="A2375" i="12"/>
  <c r="A2376" i="12"/>
  <c r="A2377" i="12"/>
  <c r="A2379" i="12"/>
  <c r="A2380" i="12"/>
  <c r="A2381" i="12"/>
  <c r="A2382" i="12"/>
  <c r="A2383" i="12"/>
  <c r="A2384" i="12"/>
  <c r="A2385" i="12"/>
  <c r="A2393" i="12"/>
  <c r="A2395" i="12"/>
  <c r="A2397" i="12"/>
  <c r="A2398" i="12"/>
  <c r="A2399" i="12"/>
  <c r="A2400" i="12"/>
  <c r="A2403" i="12"/>
  <c r="A2406" i="12"/>
  <c r="A2407" i="12"/>
  <c r="A2408" i="12"/>
  <c r="A2409" i="12"/>
  <c r="A2410" i="12"/>
  <c r="A2411" i="12"/>
  <c r="A2412" i="12"/>
  <c r="A2414" i="12"/>
  <c r="A2415" i="12"/>
  <c r="A2417" i="12"/>
  <c r="A2418" i="12"/>
  <c r="A2419" i="12"/>
  <c r="A2420" i="12"/>
  <c r="A2421" i="12"/>
  <c r="A2422" i="12"/>
  <c r="A2423" i="12"/>
  <c r="A2424" i="12"/>
  <c r="A2428" i="12"/>
  <c r="A2429" i="12"/>
  <c r="A2430" i="12"/>
  <c r="A2431" i="12"/>
  <c r="A2433" i="12"/>
  <c r="A2437" i="12"/>
  <c r="A2438" i="12"/>
  <c r="A2439" i="12"/>
  <c r="A2440" i="12"/>
  <c r="A2441" i="12"/>
  <c r="A2442" i="12"/>
  <c r="A2443" i="12"/>
  <c r="A2444" i="12"/>
  <c r="A2445" i="12"/>
  <c r="A2446" i="12"/>
  <c r="A2447" i="12"/>
  <c r="A2448" i="12"/>
  <c r="A2449" i="12"/>
  <c r="A2450" i="12"/>
  <c r="A2451" i="12"/>
  <c r="A2454" i="12"/>
  <c r="A2455" i="12"/>
  <c r="A2456" i="12"/>
  <c r="A2458" i="12"/>
  <c r="A2459" i="12"/>
  <c r="A2460" i="12"/>
  <c r="A2461" i="12"/>
  <c r="A2462" i="12"/>
  <c r="A2463" i="12"/>
  <c r="A2466" i="12"/>
  <c r="A2467" i="12"/>
  <c r="A2468" i="12"/>
  <c r="A2469" i="12"/>
  <c r="A2470" i="12"/>
  <c r="A2471" i="12"/>
  <c r="A2472" i="12"/>
  <c r="A2473" i="12"/>
  <c r="A2474" i="12"/>
  <c r="A2475" i="12"/>
  <c r="A2476" i="12"/>
  <c r="A2477" i="12"/>
  <c r="A2478" i="12"/>
  <c r="A2479" i="12"/>
  <c r="A2480" i="12"/>
  <c r="A2481" i="12"/>
  <c r="A2482" i="12"/>
  <c r="A2483" i="12"/>
  <c r="A2484" i="12"/>
  <c r="A2485" i="12"/>
  <c r="A2487" i="12"/>
  <c r="A2492" i="12"/>
  <c r="A2493" i="12"/>
  <c r="A2494" i="12"/>
  <c r="A2495" i="12"/>
  <c r="A2496" i="12"/>
  <c r="A2497" i="12"/>
  <c r="A2498" i="12"/>
  <c r="A2499" i="12"/>
  <c r="A2500" i="12"/>
  <c r="A2501" i="12"/>
  <c r="A2502" i="12"/>
  <c r="A2503" i="12"/>
  <c r="A2504" i="12"/>
  <c r="A2505" i="12"/>
  <c r="A2506" i="12"/>
  <c r="A2507" i="12"/>
  <c r="A2508" i="12"/>
  <c r="A2509" i="12"/>
  <c r="A2510" i="12"/>
  <c r="A2511" i="12"/>
  <c r="A2512" i="12"/>
  <c r="A2513" i="12"/>
  <c r="A2514" i="12"/>
  <c r="A2515" i="12"/>
  <c r="A2516" i="12"/>
  <c r="A2517" i="12"/>
  <c r="A2521" i="12"/>
  <c r="A2522" i="12"/>
  <c r="A2523" i="12"/>
  <c r="A2524" i="12"/>
  <c r="A2525" i="12"/>
  <c r="A2526" i="12"/>
  <c r="A2527" i="12"/>
  <c r="A2528" i="12"/>
  <c r="A2529" i="12"/>
  <c r="A2530" i="12"/>
  <c r="A2531" i="12"/>
  <c r="A2533" i="12"/>
  <c r="A2534" i="12"/>
  <c r="A2535" i="12"/>
  <c r="A2536" i="12"/>
  <c r="A2537" i="12"/>
  <c r="A2538" i="12"/>
  <c r="A2539" i="12"/>
  <c r="A2540" i="12"/>
  <c r="A2541" i="12"/>
  <c r="A2542" i="12"/>
  <c r="A2543" i="12"/>
  <c r="A2544" i="12"/>
  <c r="A2545" i="12"/>
  <c r="A2546" i="12"/>
  <c r="A2547" i="12"/>
  <c r="A2548" i="12"/>
  <c r="A2549" i="12"/>
  <c r="A2550" i="12"/>
  <c r="A2551" i="12"/>
  <c r="A2552" i="12"/>
  <c r="A2553" i="12"/>
  <c r="A2554" i="12"/>
  <c r="A2555" i="12"/>
  <c r="A2556" i="12"/>
  <c r="A2557" i="12"/>
  <c r="A2558" i="12"/>
  <c r="A2559" i="12"/>
  <c r="A2560" i="12"/>
  <c r="A2561" i="12"/>
  <c r="A2562" i="12"/>
  <c r="A2563" i="12"/>
  <c r="A2564" i="12"/>
  <c r="A2565" i="12"/>
  <c r="A2566" i="12"/>
  <c r="A2567" i="12"/>
  <c r="A2568" i="12"/>
  <c r="A2569" i="12"/>
  <c r="A2570" i="12"/>
  <c r="A2571" i="12"/>
  <c r="A2572" i="12"/>
  <c r="A2573" i="12"/>
  <c r="A2574" i="12"/>
  <c r="A2575" i="12"/>
  <c r="A2576" i="12"/>
  <c r="A2577" i="12"/>
  <c r="A2578" i="12"/>
  <c r="A2579" i="12"/>
  <c r="A2580" i="12"/>
  <c r="A2581" i="12"/>
  <c r="A2582" i="12"/>
  <c r="A2583" i="12"/>
  <c r="A2584" i="12"/>
  <c r="A2585" i="12"/>
  <c r="A2586" i="12"/>
  <c r="A2587" i="12"/>
  <c r="A2588" i="12"/>
  <c r="A2589" i="12"/>
  <c r="A2590" i="12"/>
  <c r="A2591" i="12"/>
  <c r="A2592" i="12"/>
  <c r="A2593" i="12"/>
  <c r="A2594" i="12"/>
  <c r="A2595" i="12"/>
  <c r="A2596" i="12"/>
  <c r="A2597" i="12"/>
  <c r="A2598" i="12"/>
  <c r="A2599" i="12"/>
  <c r="A2600" i="12"/>
  <c r="A2601" i="12"/>
  <c r="A2602" i="12"/>
  <c r="A2603" i="12"/>
  <c r="A2606" i="12"/>
  <c r="A2614" i="12"/>
  <c r="A2615" i="12"/>
  <c r="A2616" i="12"/>
  <c r="A2620" i="12"/>
  <c r="A2622" i="12"/>
  <c r="A2623" i="12"/>
  <c r="A2624" i="12"/>
  <c r="A2626" i="12"/>
  <c r="A2627" i="12"/>
  <c r="A2628" i="12"/>
  <c r="A2629" i="12"/>
  <c r="A2630" i="12"/>
  <c r="A2633" i="12"/>
  <c r="A2634" i="12"/>
  <c r="A2635" i="12"/>
  <c r="A2636" i="12"/>
  <c r="A2638" i="12"/>
  <c r="A2639" i="12"/>
  <c r="A2640" i="12"/>
  <c r="A2642" i="12"/>
  <c r="A2643" i="12"/>
  <c r="A2646" i="12"/>
  <c r="A2647" i="12"/>
  <c r="A2648" i="12"/>
  <c r="A2649" i="12"/>
  <c r="A2650" i="12"/>
  <c r="A2651" i="12"/>
  <c r="A2654" i="12"/>
  <c r="A2658" i="12"/>
  <c r="A2659" i="12"/>
  <c r="A2661" i="12"/>
  <c r="A2662" i="12"/>
  <c r="A2663" i="12"/>
  <c r="A2664" i="12"/>
  <c r="A2665" i="12"/>
  <c r="A2666" i="12"/>
  <c r="A2667" i="12"/>
  <c r="A2668" i="12"/>
  <c r="A2669" i="12"/>
  <c r="A2670" i="12"/>
  <c r="A2671" i="12"/>
  <c r="A2672" i="12"/>
  <c r="A2673" i="12"/>
  <c r="A2674" i="12"/>
  <c r="A2675" i="12"/>
  <c r="A2676" i="12"/>
  <c r="A2677" i="12"/>
  <c r="A2678" i="12"/>
  <c r="A2679" i="12"/>
  <c r="A2680" i="12"/>
  <c r="A2681" i="12"/>
  <c r="A2682" i="12"/>
  <c r="A2683" i="12"/>
  <c r="A2684" i="12"/>
  <c r="A2685" i="12"/>
  <c r="A2686" i="12"/>
  <c r="A2688" i="12"/>
  <c r="A2689" i="12"/>
  <c r="A2690" i="12"/>
  <c r="A2691" i="12"/>
  <c r="A2692" i="12"/>
  <c r="A2693" i="12"/>
  <c r="A2694" i="12"/>
  <c r="A2695" i="12"/>
  <c r="A2696" i="12"/>
  <c r="A2697" i="12"/>
  <c r="A2698" i="12"/>
  <c r="A2699" i="12"/>
  <c r="A2700" i="12"/>
  <c r="A2702" i="12"/>
  <c r="A2703" i="12"/>
  <c r="A2704" i="12"/>
  <c r="A2705" i="12"/>
  <c r="A2706" i="12"/>
  <c r="A2707" i="12"/>
  <c r="A2709" i="12"/>
  <c r="A2710" i="12"/>
  <c r="A2711" i="12"/>
  <c r="A2713" i="12"/>
  <c r="A2715" i="12"/>
  <c r="A2721" i="12"/>
  <c r="A2723" i="12"/>
  <c r="A2724" i="12"/>
  <c r="A2725" i="12"/>
  <c r="A2726" i="12"/>
  <c r="A2727" i="12"/>
  <c r="A2728" i="12"/>
  <c r="A2730" i="12"/>
  <c r="A2731" i="12"/>
  <c r="A2732" i="12"/>
  <c r="A2733" i="12"/>
  <c r="A2734" i="12"/>
  <c r="A2735" i="12"/>
  <c r="A2738" i="12"/>
  <c r="A2739" i="12"/>
  <c r="A2740" i="12"/>
  <c r="A2742" i="12"/>
  <c r="A2743" i="12"/>
  <c r="A2744" i="12"/>
  <c r="A2745" i="12"/>
  <c r="A2746" i="12"/>
  <c r="A2747" i="12"/>
  <c r="A2751" i="12"/>
  <c r="A2752" i="12"/>
  <c r="A2753" i="12"/>
  <c r="A2754" i="12"/>
  <c r="A2755" i="12"/>
  <c r="A2756" i="12"/>
  <c r="A2757" i="12"/>
  <c r="A2758" i="12"/>
  <c r="A2759" i="12"/>
  <c r="A2760" i="12"/>
  <c r="A2762" i="12"/>
  <c r="A2763" i="12"/>
  <c r="A2764" i="12"/>
  <c r="A2767" i="12"/>
  <c r="A2768" i="12"/>
  <c r="A2769" i="12"/>
  <c r="A2770" i="12"/>
  <c r="A2771" i="12"/>
  <c r="A2774" i="12"/>
  <c r="A2775" i="12"/>
  <c r="A2776" i="12"/>
  <c r="A2777" i="12"/>
  <c r="A2778" i="12"/>
  <c r="A2779" i="12"/>
  <c r="A2783" i="12"/>
  <c r="A2784" i="12"/>
  <c r="A2785" i="12"/>
  <c r="A2787" i="12"/>
  <c r="A2789" i="12"/>
  <c r="A2790" i="12"/>
  <c r="A2791" i="12"/>
  <c r="A2792" i="12"/>
  <c r="A2793" i="12"/>
  <c r="A2794" i="12"/>
  <c r="A2795" i="12"/>
  <c r="A2796" i="12"/>
  <c r="A2797" i="12"/>
  <c r="A2798" i="12"/>
  <c r="A2799" i="12"/>
  <c r="A2800" i="12"/>
  <c r="A2801" i="12"/>
  <c r="A2803" i="12"/>
  <c r="A2804" i="12"/>
  <c r="A2805" i="12"/>
  <c r="A2806" i="12"/>
  <c r="A2808" i="12"/>
  <c r="A2809" i="12"/>
  <c r="A2810" i="12"/>
  <c r="A2811" i="12"/>
  <c r="A2813" i="12"/>
  <c r="A2814" i="12"/>
  <c r="A2815" i="12"/>
  <c r="A2816" i="12"/>
  <c r="A2817" i="12"/>
  <c r="A2818" i="12"/>
  <c r="A2819" i="12"/>
  <c r="A2820" i="12"/>
  <c r="A2821" i="12"/>
  <c r="A2822" i="12"/>
  <c r="A2823" i="12"/>
  <c r="A2824" i="12"/>
  <c r="A2827" i="12"/>
  <c r="A2831" i="12"/>
  <c r="A2832" i="12"/>
  <c r="A2833" i="12"/>
  <c r="A2834" i="12"/>
  <c r="A2835" i="12"/>
  <c r="A2838" i="12"/>
  <c r="A2839" i="12"/>
  <c r="A2841" i="12"/>
  <c r="A2843" i="12"/>
  <c r="A2844" i="12"/>
  <c r="A2845" i="12"/>
  <c r="A2846" i="12"/>
  <c r="A2847" i="12"/>
  <c r="A2848" i="12"/>
  <c r="A2849" i="12"/>
  <c r="A2851" i="12"/>
  <c r="A2852" i="12"/>
  <c r="A2853" i="12"/>
  <c r="A2854" i="12"/>
  <c r="A2856" i="12"/>
  <c r="A2857" i="12"/>
  <c r="A2859" i="12"/>
  <c r="A2860" i="12"/>
  <c r="A2861" i="12"/>
  <c r="A2862" i="12"/>
  <c r="A2863" i="12"/>
  <c r="A2865" i="12"/>
  <c r="A2867" i="12"/>
  <c r="A2868" i="12"/>
  <c r="A2869" i="12"/>
  <c r="A2870" i="12"/>
  <c r="A2871" i="12"/>
  <c r="A2872" i="12"/>
  <c r="A2873" i="12"/>
  <c r="A2874" i="12"/>
  <c r="A2875" i="12"/>
  <c r="A2876" i="12"/>
  <c r="A2877" i="12"/>
  <c r="A2878" i="12"/>
  <c r="A2879" i="12"/>
  <c r="A2880" i="12"/>
  <c r="A2882" i="12"/>
  <c r="A2883" i="12"/>
  <c r="A2889" i="12"/>
  <c r="A2890" i="12"/>
  <c r="A2891" i="12"/>
  <c r="A2892" i="12"/>
  <c r="A2893" i="12"/>
  <c r="A2894" i="12"/>
  <c r="A2895" i="12"/>
  <c r="A2896" i="12"/>
  <c r="A2897" i="12"/>
  <c r="A2899" i="12"/>
  <c r="A2900" i="12"/>
  <c r="A2901" i="12"/>
  <c r="A2902" i="12"/>
  <c r="A2903" i="12"/>
  <c r="A2904" i="12"/>
  <c r="A2905" i="12"/>
  <c r="A2906" i="12"/>
  <c r="A2907" i="12"/>
  <c r="A2908" i="12"/>
  <c r="A2909" i="12"/>
  <c r="A2910" i="12"/>
  <c r="A2912" i="12"/>
  <c r="A2913" i="12"/>
  <c r="A2914" i="12"/>
  <c r="A2915" i="12"/>
  <c r="A2916" i="12"/>
  <c r="A2917" i="12"/>
  <c r="A2918" i="12"/>
  <c r="A2919" i="12"/>
  <c r="A2920" i="12"/>
  <c r="A2921" i="12"/>
  <c r="A2922" i="12"/>
  <c r="A2923" i="12"/>
  <c r="A2924" i="12"/>
  <c r="A2926" i="12"/>
  <c r="A2927" i="12"/>
  <c r="A2928" i="12"/>
  <c r="A2929" i="12"/>
  <c r="A2930" i="12"/>
  <c r="A2931" i="12"/>
  <c r="A2932" i="12"/>
  <c r="A2933" i="12"/>
  <c r="A2934" i="12"/>
  <c r="A2935" i="12"/>
  <c r="A2937" i="12"/>
  <c r="A2938" i="12"/>
  <c r="A2939" i="12"/>
  <c r="A2940" i="12"/>
  <c r="A2941" i="12"/>
  <c r="A2942" i="12"/>
  <c r="A2943" i="12"/>
  <c r="A2944" i="12"/>
  <c r="A2953" i="12"/>
  <c r="A2954" i="12"/>
  <c r="A2955" i="12"/>
  <c r="A2956" i="12"/>
  <c r="A2957" i="12"/>
  <c r="A2958" i="12"/>
  <c r="A2959" i="12"/>
  <c r="A2961" i="12"/>
  <c r="A2962" i="12"/>
  <c r="A2963" i="12"/>
  <c r="A2964" i="12"/>
  <c r="A2966" i="12"/>
  <c r="A2967" i="12"/>
  <c r="A2968" i="12"/>
  <c r="A2969" i="12"/>
  <c r="A2974" i="12"/>
  <c r="A2975" i="12"/>
  <c r="A2976" i="12"/>
  <c r="A2977" i="12"/>
  <c r="A2979" i="12"/>
  <c r="A2982" i="12"/>
  <c r="A2983" i="12"/>
  <c r="A2986" i="12"/>
  <c r="A2987" i="12"/>
  <c r="A2988" i="12"/>
  <c r="A2989" i="12"/>
  <c r="A2990" i="12"/>
  <c r="A2991" i="12"/>
  <c r="A2992" i="12"/>
  <c r="A2993" i="12"/>
  <c r="A2994" i="12"/>
  <c r="A2995" i="12"/>
  <c r="A2997" i="12"/>
  <c r="A2998" i="12"/>
  <c r="A2999" i="12"/>
  <c r="A3000" i="12"/>
  <c r="A3001" i="12"/>
  <c r="A3003" i="12"/>
  <c r="A3004" i="12"/>
  <c r="A3005" i="12"/>
  <c r="A3006" i="12"/>
  <c r="A3008" i="12"/>
  <c r="A3009" i="12"/>
  <c r="A3010" i="12"/>
  <c r="A3011" i="12"/>
  <c r="A3012" i="12"/>
  <c r="A3013" i="12"/>
  <c r="A3014" i="12"/>
  <c r="A3015" i="12"/>
  <c r="A3016" i="12"/>
  <c r="A3017" i="12"/>
  <c r="A3018" i="12"/>
  <c r="A3019" i="12"/>
  <c r="A3022" i="12"/>
  <c r="A3024" i="12"/>
  <c r="A3025" i="12"/>
  <c r="A3026" i="12"/>
  <c r="A3027" i="12"/>
  <c r="A3028" i="12"/>
  <c r="A3030" i="12"/>
  <c r="A3032" i="12"/>
  <c r="A3034" i="12"/>
  <c r="A3037" i="12"/>
  <c r="A3038" i="12"/>
  <c r="A3039" i="12"/>
  <c r="A3040" i="12"/>
  <c r="A3041" i="12"/>
  <c r="A3042" i="12"/>
  <c r="A3043" i="12"/>
  <c r="A3044" i="12"/>
  <c r="A3046" i="12"/>
  <c r="A3048" i="12"/>
  <c r="A3051" i="12"/>
  <c r="A3052" i="12"/>
  <c r="A3053" i="12"/>
  <c r="A3054" i="12"/>
  <c r="A3056" i="12"/>
  <c r="A3057" i="12"/>
  <c r="A3058" i="12"/>
  <c r="A3059" i="12"/>
  <c r="A3061" i="12"/>
  <c r="A3062" i="12"/>
  <c r="A3063" i="12"/>
  <c r="A3064" i="12"/>
  <c r="A3067" i="12"/>
  <c r="A3068" i="12"/>
  <c r="A3069" i="12"/>
  <c r="A3070" i="12"/>
  <c r="A3071" i="12"/>
  <c r="A3072" i="12"/>
  <c r="A3075" i="12"/>
  <c r="A3076" i="12"/>
  <c r="A3077" i="12"/>
  <c r="A3078" i="12"/>
  <c r="A3079" i="12"/>
  <c r="A3080" i="12"/>
  <c r="A3081" i="12"/>
  <c r="A3082" i="12"/>
  <c r="A3083" i="12"/>
  <c r="A3084" i="12"/>
  <c r="A3085" i="12"/>
  <c r="A3086" i="12"/>
  <c r="A3087" i="12"/>
  <c r="A3088" i="12"/>
  <c r="A3089" i="12"/>
  <c r="A3090" i="12"/>
  <c r="A3091" i="12"/>
  <c r="A3092" i="12"/>
  <c r="A3093" i="12"/>
  <c r="A3094" i="12"/>
  <c r="A3097" i="12"/>
  <c r="A3099" i="12"/>
  <c r="A3100" i="12"/>
  <c r="A3101" i="12"/>
  <c r="A3102" i="12"/>
  <c r="A3103" i="12"/>
  <c r="A3105" i="12"/>
  <c r="A3106" i="12"/>
  <c r="A3107" i="12"/>
  <c r="A3108" i="12"/>
  <c r="A3109" i="12"/>
  <c r="A3110" i="12"/>
  <c r="A3111" i="12"/>
  <c r="A3112" i="12"/>
  <c r="A3113" i="12"/>
  <c r="A3114" i="12"/>
  <c r="A3115" i="12"/>
  <c r="A3116" i="12"/>
  <c r="A3118" i="12"/>
  <c r="A3119" i="12"/>
  <c r="A3120" i="12"/>
  <c r="A3123" i="12"/>
  <c r="A3124" i="12"/>
  <c r="A3125" i="12"/>
  <c r="A3126" i="12"/>
  <c r="A3127" i="12"/>
  <c r="A3128" i="12"/>
  <c r="A3129" i="12"/>
  <c r="A3130" i="12"/>
  <c r="A3131" i="12"/>
  <c r="A3133" i="12"/>
  <c r="A3134" i="12"/>
  <c r="A3136" i="12"/>
  <c r="A3137" i="12"/>
  <c r="A3138" i="12"/>
  <c r="A3139" i="12"/>
  <c r="A3140" i="12"/>
  <c r="A3141" i="12"/>
  <c r="A3142" i="12"/>
  <c r="A3143" i="12"/>
  <c r="A3144" i="12"/>
  <c r="A3145" i="12"/>
  <c r="A3146" i="12"/>
  <c r="A3147" i="12"/>
  <c r="A3148" i="12"/>
  <c r="A3150" i="12"/>
  <c r="A3153" i="12"/>
  <c r="A3156" i="12"/>
  <c r="A3157" i="12"/>
  <c r="A3158" i="12"/>
  <c r="A3159" i="12"/>
  <c r="A3160" i="12"/>
  <c r="A3163" i="12"/>
  <c r="A3165" i="12"/>
  <c r="A3166" i="12"/>
  <c r="A3167" i="12"/>
  <c r="A3168" i="12"/>
  <c r="A3169" i="12"/>
  <c r="A3170" i="12"/>
  <c r="A3171" i="12"/>
  <c r="A3172" i="12"/>
  <c r="A3173" i="12"/>
  <c r="A3174" i="12"/>
  <c r="A3178" i="12"/>
  <c r="A3179" i="12"/>
  <c r="A3180" i="12"/>
  <c r="A3182" i="12"/>
  <c r="A3184" i="12"/>
  <c r="A3185" i="12"/>
  <c r="A3186" i="12"/>
  <c r="A3187" i="12"/>
  <c r="A3189" i="12"/>
  <c r="A3190" i="12"/>
  <c r="A3191" i="12"/>
  <c r="A3194" i="12"/>
  <c r="A3195" i="12"/>
  <c r="A3196" i="12"/>
  <c r="A3198" i="12"/>
  <c r="A3199" i="12"/>
  <c r="A3200" i="12"/>
  <c r="A3201" i="12"/>
  <c r="A3202" i="12"/>
  <c r="A3203" i="12"/>
  <c r="A3204" i="12"/>
  <c r="A3205" i="12"/>
  <c r="A3206" i="12"/>
  <c r="A3208" i="12"/>
  <c r="A3209" i="12"/>
  <c r="A3210" i="12"/>
  <c r="A3211" i="12"/>
  <c r="A3214" i="12"/>
  <c r="A3215" i="12"/>
  <c r="A3216" i="12"/>
  <c r="A3217" i="12"/>
  <c r="A3218" i="12"/>
  <c r="A3219" i="12"/>
  <c r="A3220" i="12"/>
  <c r="A3221" i="12"/>
  <c r="A3222" i="12"/>
  <c r="A3224" i="12"/>
  <c r="A3225" i="12"/>
  <c r="A3226" i="12"/>
  <c r="A3227" i="12"/>
  <c r="A3229" i="12"/>
  <c r="A3230" i="12"/>
  <c r="A3231" i="12"/>
  <c r="A3232" i="12"/>
  <c r="A3234" i="12"/>
  <c r="A3235" i="12"/>
  <c r="A3236" i="12"/>
  <c r="A3237" i="12"/>
  <c r="A3238" i="12"/>
  <c r="A3239" i="12"/>
  <c r="A3240" i="12"/>
  <c r="A3243" i="12"/>
  <c r="A3245" i="12"/>
  <c r="A3246" i="12"/>
  <c r="A3247" i="12"/>
  <c r="A3248" i="12"/>
  <c r="A3249" i="12"/>
  <c r="A3251" i="12"/>
  <c r="A3252" i="12"/>
  <c r="A3253" i="12"/>
  <c r="A3254" i="12"/>
  <c r="A3255" i="12"/>
  <c r="A3256" i="12"/>
  <c r="A3257" i="12"/>
  <c r="A3259" i="12"/>
  <c r="A3260" i="12"/>
  <c r="A3261" i="12"/>
  <c r="A3264" i="12"/>
  <c r="A3267" i="12"/>
  <c r="A3268" i="12"/>
  <c r="A3269" i="12"/>
  <c r="A3270" i="12"/>
  <c r="A3271" i="12"/>
  <c r="A3272" i="12"/>
  <c r="A3273" i="12"/>
  <c r="A3274" i="12"/>
  <c r="A3275" i="12"/>
  <c r="A3276" i="12"/>
  <c r="A3277" i="12"/>
  <c r="A3278" i="12"/>
  <c r="A3279" i="12"/>
  <c r="A3280" i="12"/>
  <c r="A3281" i="12"/>
  <c r="A3282" i="12"/>
  <c r="A3283" i="12"/>
  <c r="A3284" i="12"/>
  <c r="A3285" i="12"/>
  <c r="A3287" i="12"/>
  <c r="A3288" i="12"/>
  <c r="A3289" i="12"/>
  <c r="A3290" i="12"/>
  <c r="A3291" i="12"/>
  <c r="A3292" i="12"/>
  <c r="A3297" i="12"/>
  <c r="A3298" i="12"/>
  <c r="A3299" i="12"/>
  <c r="A3300" i="12"/>
  <c r="A3301" i="12"/>
  <c r="A3307" i="12"/>
  <c r="A3308" i="12"/>
  <c r="A3309" i="12"/>
  <c r="A3310" i="12"/>
  <c r="A3312" i="12"/>
  <c r="A3313" i="12"/>
  <c r="A3314" i="12"/>
  <c r="A3315" i="12"/>
  <c r="A3316" i="12"/>
  <c r="A3317" i="12"/>
  <c r="A3318" i="12"/>
  <c r="A3319" i="12"/>
  <c r="A3320" i="12"/>
  <c r="A3321" i="12"/>
  <c r="A3323" i="12"/>
  <c r="A3324" i="12"/>
  <c r="A3327" i="12"/>
  <c r="A3328" i="12"/>
  <c r="A3329" i="12"/>
  <c r="A3331" i="12"/>
  <c r="A3332" i="12"/>
  <c r="A3333" i="12"/>
  <c r="A3334" i="12"/>
  <c r="A3335" i="12"/>
  <c r="A3336" i="12"/>
  <c r="A3338" i="12"/>
  <c r="A3339" i="12"/>
  <c r="A3340" i="12"/>
  <c r="A3341" i="12"/>
  <c r="A3342" i="12"/>
  <c r="A3344" i="12"/>
  <c r="A3345" i="12"/>
  <c r="A3346" i="12"/>
  <c r="A3347" i="12"/>
  <c r="A3348" i="12"/>
  <c r="A3349" i="12"/>
  <c r="A3350" i="12"/>
  <c r="A3351" i="12"/>
  <c r="A3352" i="12"/>
  <c r="A3353" i="12"/>
  <c r="A3354" i="12"/>
  <c r="A3355" i="12"/>
  <c r="A3356" i="12"/>
  <c r="A3357" i="12"/>
  <c r="A3358" i="12"/>
  <c r="A3359" i="12"/>
  <c r="A3360" i="12"/>
  <c r="A3361" i="12"/>
  <c r="A3362" i="12"/>
  <c r="A3363" i="12"/>
  <c r="A3364" i="12"/>
  <c r="A3365" i="12"/>
  <c r="A3366" i="12"/>
  <c r="A3367" i="12"/>
  <c r="A3368" i="12"/>
  <c r="A3369" i="12"/>
  <c r="A3371" i="12"/>
  <c r="A3372" i="12"/>
  <c r="A3373" i="12"/>
  <c r="A3374" i="12"/>
  <c r="A3375" i="12"/>
  <c r="A3376" i="12"/>
  <c r="A3377" i="12"/>
  <c r="A3378" i="12"/>
  <c r="A3379" i="12"/>
  <c r="A3380" i="12"/>
  <c r="A3381" i="12"/>
  <c r="A3382" i="12"/>
  <c r="A3383" i="12"/>
  <c r="A3384" i="12"/>
  <c r="A3385" i="12"/>
  <c r="A3387" i="12"/>
  <c r="A3388" i="12"/>
  <c r="A3389" i="12"/>
  <c r="A3390" i="12"/>
  <c r="A3391" i="12"/>
  <c r="A3392" i="12"/>
  <c r="A3393" i="12"/>
  <c r="A3394" i="12"/>
  <c r="A3395" i="12"/>
  <c r="A3396" i="12"/>
  <c r="A3397" i="12"/>
  <c r="A3400" i="12"/>
  <c r="A3401" i="12"/>
  <c r="A3402" i="12"/>
  <c r="A3403" i="12"/>
  <c r="A3404" i="12"/>
  <c r="A3405" i="12"/>
  <c r="A3406" i="12"/>
  <c r="A3407" i="12"/>
  <c r="A3408" i="12"/>
  <c r="A3409" i="12"/>
  <c r="A3410" i="12"/>
  <c r="A3411" i="12"/>
  <c r="A3412" i="12"/>
  <c r="A3413" i="12"/>
  <c r="A3414" i="12"/>
  <c r="A3415" i="12"/>
  <c r="A3416" i="12"/>
  <c r="A3417" i="12"/>
  <c r="A3418" i="12"/>
  <c r="A3419" i="12"/>
  <c r="A3420" i="12"/>
  <c r="A3421" i="12"/>
  <c r="A3422" i="12"/>
  <c r="A3423" i="12"/>
  <c r="A3424" i="12"/>
  <c r="A3425" i="12"/>
  <c r="A3426" i="12"/>
  <c r="A3427" i="12"/>
  <c r="A3428" i="12"/>
  <c r="A3430" i="12"/>
  <c r="A3431" i="12"/>
  <c r="A3432" i="12"/>
  <c r="A3433" i="12"/>
  <c r="A3434" i="12"/>
  <c r="A3435" i="12"/>
  <c r="A3436" i="12"/>
  <c r="A3437" i="12"/>
  <c r="A3438" i="12"/>
  <c r="A3439" i="12"/>
  <c r="A3440" i="12"/>
  <c r="A3443" i="12"/>
  <c r="A3444" i="12"/>
  <c r="A3446" i="12"/>
  <c r="A3447" i="12"/>
  <c r="A3448" i="12"/>
  <c r="A3450" i="12"/>
  <c r="A3451" i="12"/>
  <c r="A3452" i="12"/>
  <c r="A3459" i="12"/>
  <c r="A3460" i="12"/>
  <c r="A3461" i="12"/>
  <c r="A3462" i="12"/>
  <c r="A3463" i="12"/>
  <c r="A3464" i="12"/>
  <c r="A3465" i="12"/>
  <c r="A3466" i="12"/>
  <c r="A3467" i="12"/>
  <c r="A3468" i="12"/>
  <c r="A3472" i="12"/>
  <c r="A3475" i="12"/>
  <c r="A3476" i="12"/>
  <c r="A3477" i="12"/>
  <c r="A3479" i="12"/>
  <c r="A3480" i="12"/>
  <c r="A3481" i="12"/>
  <c r="A3482" i="12"/>
  <c r="A3483" i="12"/>
  <c r="A3484" i="12"/>
  <c r="A3485" i="12"/>
  <c r="A3486" i="12"/>
  <c r="A3488" i="12"/>
  <c r="A3489" i="12"/>
  <c r="A3490" i="12"/>
  <c r="A3491" i="12"/>
  <c r="A3492" i="12"/>
  <c r="A3493" i="12"/>
  <c r="A3494" i="12"/>
  <c r="A3495" i="12"/>
  <c r="A3496" i="12"/>
  <c r="A3497" i="12"/>
  <c r="A3499" i="12"/>
  <c r="A3500" i="12"/>
  <c r="A3507" i="12"/>
  <c r="A3508" i="12"/>
  <c r="A3509" i="12"/>
  <c r="A3510" i="12"/>
  <c r="A3511" i="12"/>
  <c r="A3512" i="12"/>
  <c r="A3513" i="12"/>
  <c r="A3515" i="12"/>
  <c r="A3516" i="12"/>
  <c r="A3517" i="12"/>
  <c r="A3518" i="12"/>
  <c r="A3519" i="12"/>
  <c r="A3520" i="12"/>
  <c r="A3521" i="12"/>
  <c r="A3522" i="12"/>
  <c r="A3523" i="12"/>
  <c r="A3524" i="12"/>
  <c r="A3525" i="12"/>
  <c r="A3526" i="12"/>
  <c r="A3531" i="12"/>
  <c r="A3532" i="12"/>
  <c r="A3535" i="12"/>
  <c r="A3536" i="12"/>
  <c r="A3537" i="12"/>
  <c r="A3539" i="12"/>
  <c r="A3540" i="12"/>
  <c r="A3541" i="12"/>
  <c r="A3542" i="12"/>
  <c r="A3543" i="12"/>
  <c r="A3544" i="12"/>
  <c r="A3545" i="12"/>
  <c r="A3546" i="12"/>
  <c r="A3547" i="12"/>
  <c r="A3548" i="12"/>
  <c r="A3549" i="12"/>
  <c r="A3550" i="12"/>
  <c r="A3551" i="12"/>
  <c r="A3" i="12"/>
  <c r="O3" i="12" a="1"/>
  <c r="O3" i="12" s="1"/>
  <c r="N3" i="12" a="1"/>
  <c r="N3" i="12" s="1"/>
  <c r="E3551" i="12"/>
  <c r="F3551" i="12" s="1"/>
  <c r="G3551" i="12" s="1"/>
  <c r="I3551" i="12" s="1"/>
  <c r="K3551" i="12" s="1"/>
  <c r="E3550" i="12"/>
  <c r="F3550" i="12" s="1"/>
  <c r="G3550" i="12" s="1"/>
  <c r="I3550" i="12" s="1"/>
  <c r="K3550" i="12" s="1"/>
  <c r="E3549" i="12"/>
  <c r="F3549" i="12" s="1"/>
  <c r="G3549" i="12" s="1"/>
  <c r="I3549" i="12" s="1"/>
  <c r="K3549" i="12" s="1"/>
  <c r="E3548" i="12"/>
  <c r="F3548" i="12" s="1"/>
  <c r="G3548" i="12" s="1"/>
  <c r="I3548" i="12" s="1"/>
  <c r="K3548" i="12" s="1"/>
  <c r="E3547" i="12"/>
  <c r="F3547" i="12" s="1"/>
  <c r="G3547" i="12" s="1"/>
  <c r="I3547" i="12" s="1"/>
  <c r="K3547" i="12" s="1"/>
  <c r="E3546" i="12"/>
  <c r="F3546" i="12" s="1"/>
  <c r="G3546" i="12" s="1"/>
  <c r="I3546" i="12" s="1"/>
  <c r="E3545" i="12"/>
  <c r="F3545" i="12" s="1"/>
  <c r="G3545" i="12" s="1"/>
  <c r="I3545" i="12" s="1"/>
  <c r="E3544" i="12"/>
  <c r="F3544" i="12" s="1"/>
  <c r="G3544" i="12" s="1"/>
  <c r="I3544" i="12" s="1"/>
  <c r="K3544" i="12" s="1"/>
  <c r="E3543" i="12"/>
  <c r="F3543" i="12" s="1"/>
  <c r="G3543" i="12" s="1"/>
  <c r="I3543" i="12" s="1"/>
  <c r="K3543" i="12" s="1"/>
  <c r="E3542" i="12"/>
  <c r="F3542" i="12" s="1"/>
  <c r="G3542" i="12" s="1"/>
  <c r="I3542" i="12" s="1"/>
  <c r="K3542" i="12" s="1"/>
  <c r="E3541" i="12"/>
  <c r="F3541" i="12" s="1"/>
  <c r="G3541" i="12" s="1"/>
  <c r="I3541" i="12" s="1"/>
  <c r="K3541" i="12" s="1"/>
  <c r="E3540" i="12"/>
  <c r="F3540" i="12" s="1"/>
  <c r="G3540" i="12" s="1"/>
  <c r="I3540" i="12" s="1"/>
  <c r="K3540" i="12" s="1"/>
  <c r="D3539" i="12"/>
  <c r="E3539" i="12" s="1"/>
  <c r="F3539" i="12" s="1"/>
  <c r="G3539" i="12" s="1"/>
  <c r="I3539" i="12" s="1"/>
  <c r="K3539" i="12" s="1"/>
  <c r="D3538" i="12"/>
  <c r="E3538" i="12" s="1"/>
  <c r="F3538" i="12" s="1"/>
  <c r="G3538" i="12" s="1"/>
  <c r="I3538" i="12" s="1"/>
  <c r="K3538" i="12" s="1"/>
  <c r="E3537" i="12"/>
  <c r="F3537" i="12" s="1"/>
  <c r="G3537" i="12" s="1"/>
  <c r="I3537" i="12" s="1"/>
  <c r="K3537" i="12" s="1"/>
  <c r="E3536" i="12"/>
  <c r="F3536" i="12" s="1"/>
  <c r="G3536" i="12" s="1"/>
  <c r="I3536" i="12" s="1"/>
  <c r="K3536" i="12" s="1"/>
  <c r="E3535" i="12"/>
  <c r="F3535" i="12" s="1"/>
  <c r="G3535" i="12" s="1"/>
  <c r="I3535" i="12" s="1"/>
  <c r="K3535" i="12" s="1"/>
  <c r="D3534" i="12"/>
  <c r="E3534" i="12" s="1"/>
  <c r="F3534" i="12" s="1"/>
  <c r="G3534" i="12" s="1"/>
  <c r="I3534" i="12" s="1"/>
  <c r="K3534" i="12" s="1"/>
  <c r="D3533" i="12"/>
  <c r="E3533" i="12" s="1"/>
  <c r="F3533" i="12" s="1"/>
  <c r="G3533" i="12" s="1"/>
  <c r="I3533" i="12" s="1"/>
  <c r="K3533" i="12" s="1"/>
  <c r="D3532" i="12"/>
  <c r="E3532" i="12" s="1"/>
  <c r="F3532" i="12" s="1"/>
  <c r="G3532" i="12" s="1"/>
  <c r="I3532" i="12" s="1"/>
  <c r="K3532" i="12" s="1"/>
  <c r="D3531" i="12"/>
  <c r="E3531" i="12" s="1"/>
  <c r="F3531" i="12" s="1"/>
  <c r="G3531" i="12" s="1"/>
  <c r="I3531" i="12" s="1"/>
  <c r="K3531" i="12" s="1"/>
  <c r="D3530" i="12"/>
  <c r="E3530" i="12" s="1"/>
  <c r="F3530" i="12" s="1"/>
  <c r="G3530" i="12" s="1"/>
  <c r="I3530" i="12" s="1"/>
  <c r="K3530" i="12" s="1"/>
  <c r="D3529" i="12"/>
  <c r="D3528" i="12"/>
  <c r="E3528" i="12" s="1"/>
  <c r="F3528" i="12" s="1"/>
  <c r="G3528" i="12" s="1"/>
  <c r="I3528" i="12" s="1"/>
  <c r="K3528" i="12" s="1"/>
  <c r="D3527" i="12"/>
  <c r="E3527" i="12" s="1"/>
  <c r="F3527" i="12" s="1"/>
  <c r="G3527" i="12" s="1"/>
  <c r="I3527" i="12" s="1"/>
  <c r="K3527" i="12" s="1"/>
  <c r="E3526" i="12"/>
  <c r="F3526" i="12" s="1"/>
  <c r="G3526" i="12" s="1"/>
  <c r="I3526" i="12" s="1"/>
  <c r="K3526" i="12" s="1"/>
  <c r="E3525" i="12"/>
  <c r="F3525" i="12" s="1"/>
  <c r="G3525" i="12" s="1"/>
  <c r="I3525" i="12" s="1"/>
  <c r="K3525" i="12" s="1"/>
  <c r="E3524" i="12"/>
  <c r="F3524" i="12" s="1"/>
  <c r="G3524" i="12" s="1"/>
  <c r="I3524" i="12" s="1"/>
  <c r="K3524" i="12" s="1"/>
  <c r="E3523" i="12"/>
  <c r="F3523" i="12" s="1"/>
  <c r="G3523" i="12" s="1"/>
  <c r="I3523" i="12" s="1"/>
  <c r="K3523" i="12" s="1"/>
  <c r="E3522" i="12"/>
  <c r="F3522" i="12" s="1"/>
  <c r="G3522" i="12" s="1"/>
  <c r="I3522" i="12" s="1"/>
  <c r="K3522" i="12" s="1"/>
  <c r="E3521" i="12"/>
  <c r="F3521" i="12" s="1"/>
  <c r="G3521" i="12" s="1"/>
  <c r="I3521" i="12" s="1"/>
  <c r="K3521" i="12" s="1"/>
  <c r="E3520" i="12"/>
  <c r="F3520" i="12" s="1"/>
  <c r="G3520" i="12" s="1"/>
  <c r="I3520" i="12" s="1"/>
  <c r="K3520" i="12" s="1"/>
  <c r="E3519" i="12"/>
  <c r="F3519" i="12" s="1"/>
  <c r="G3519" i="12" s="1"/>
  <c r="I3519" i="12" s="1"/>
  <c r="K3519" i="12" s="1"/>
  <c r="E3518" i="12"/>
  <c r="F3518" i="12" s="1"/>
  <c r="G3518" i="12" s="1"/>
  <c r="I3518" i="12" s="1"/>
  <c r="K3518" i="12" s="1"/>
  <c r="E3517" i="12"/>
  <c r="F3517" i="12" s="1"/>
  <c r="G3517" i="12" s="1"/>
  <c r="I3517" i="12" s="1"/>
  <c r="K3517" i="12" s="1"/>
  <c r="E3516" i="12"/>
  <c r="F3516" i="12" s="1"/>
  <c r="G3516" i="12" s="1"/>
  <c r="I3516" i="12" s="1"/>
  <c r="K3516" i="12" s="1"/>
  <c r="E3515" i="12"/>
  <c r="F3515" i="12" s="1"/>
  <c r="G3515" i="12" s="1"/>
  <c r="I3515" i="12" s="1"/>
  <c r="K3515" i="12" s="1"/>
  <c r="D3514" i="12"/>
  <c r="E3514" i="12" s="1"/>
  <c r="F3514" i="12" s="1"/>
  <c r="G3514" i="12" s="1"/>
  <c r="I3514" i="12" s="1"/>
  <c r="K3514" i="12" s="1"/>
  <c r="E3513" i="12"/>
  <c r="F3513" i="12" s="1"/>
  <c r="G3513" i="12" s="1"/>
  <c r="I3513" i="12" s="1"/>
  <c r="K3513" i="12" s="1"/>
  <c r="E3512" i="12"/>
  <c r="F3512" i="12" s="1"/>
  <c r="G3512" i="12" s="1"/>
  <c r="I3512" i="12" s="1"/>
  <c r="K3512" i="12" s="1"/>
  <c r="E3511" i="12"/>
  <c r="F3511" i="12" s="1"/>
  <c r="G3511" i="12" s="1"/>
  <c r="I3511" i="12" s="1"/>
  <c r="K3511" i="12" s="1"/>
  <c r="E3510" i="12"/>
  <c r="F3510" i="12" s="1"/>
  <c r="G3510" i="12" s="1"/>
  <c r="I3510" i="12" s="1"/>
  <c r="K3510" i="12" s="1"/>
  <c r="E3509" i="12"/>
  <c r="F3509" i="12" s="1"/>
  <c r="G3509" i="12" s="1"/>
  <c r="I3509" i="12" s="1"/>
  <c r="K3509" i="12" s="1"/>
  <c r="E3508" i="12"/>
  <c r="F3508" i="12" s="1"/>
  <c r="G3508" i="12" s="1"/>
  <c r="I3508" i="12" s="1"/>
  <c r="K3508" i="12" s="1"/>
  <c r="E3507" i="12"/>
  <c r="F3507" i="12" s="1"/>
  <c r="G3507" i="12" s="1"/>
  <c r="I3507" i="12" s="1"/>
  <c r="K3507" i="12" s="1"/>
  <c r="D3506" i="12"/>
  <c r="E3506" i="12" s="1"/>
  <c r="F3506" i="12" s="1"/>
  <c r="G3506" i="12" s="1"/>
  <c r="I3506" i="12" s="1"/>
  <c r="K3506" i="12" s="1"/>
  <c r="D3505" i="12"/>
  <c r="D3504" i="12"/>
  <c r="E3504" i="12" s="1"/>
  <c r="F3504" i="12" s="1"/>
  <c r="G3504" i="12" s="1"/>
  <c r="I3504" i="12" s="1"/>
  <c r="K3504" i="12" s="1"/>
  <c r="D3503" i="12"/>
  <c r="E3503" i="12" s="1"/>
  <c r="F3503" i="12" s="1"/>
  <c r="G3503" i="12" s="1"/>
  <c r="I3503" i="12" s="1"/>
  <c r="K3503" i="12" s="1"/>
  <c r="D3502" i="12"/>
  <c r="E3502" i="12" s="1"/>
  <c r="F3502" i="12" s="1"/>
  <c r="G3502" i="12" s="1"/>
  <c r="I3502" i="12" s="1"/>
  <c r="K3502" i="12" s="1"/>
  <c r="D3501" i="12"/>
  <c r="E3501" i="12" s="1"/>
  <c r="F3501" i="12" s="1"/>
  <c r="G3501" i="12" s="1"/>
  <c r="I3501" i="12" s="1"/>
  <c r="K3501" i="12" s="1"/>
  <c r="D3500" i="12"/>
  <c r="E3500" i="12" s="1"/>
  <c r="F3500" i="12" s="1"/>
  <c r="G3500" i="12" s="1"/>
  <c r="I3500" i="12" s="1"/>
  <c r="K3500" i="12" s="1"/>
  <c r="D3499" i="12"/>
  <c r="E3499" i="12" s="1"/>
  <c r="F3499" i="12" s="1"/>
  <c r="G3499" i="12" s="1"/>
  <c r="I3499" i="12" s="1"/>
  <c r="K3499" i="12" s="1"/>
  <c r="D3498" i="12"/>
  <c r="E3498" i="12" s="1"/>
  <c r="F3498" i="12" s="1"/>
  <c r="G3498" i="12" s="1"/>
  <c r="I3498" i="12" s="1"/>
  <c r="K3498" i="12" s="1"/>
  <c r="E3497" i="12"/>
  <c r="F3497" i="12" s="1"/>
  <c r="G3497" i="12" s="1"/>
  <c r="I3497" i="12" s="1"/>
  <c r="K3497" i="12" s="1"/>
  <c r="E3496" i="12"/>
  <c r="F3496" i="12" s="1"/>
  <c r="G3496" i="12" s="1"/>
  <c r="I3496" i="12" s="1"/>
  <c r="K3496" i="12" s="1"/>
  <c r="E3495" i="12"/>
  <c r="F3495" i="12" s="1"/>
  <c r="G3495" i="12" s="1"/>
  <c r="I3495" i="12" s="1"/>
  <c r="K3495" i="12" s="1"/>
  <c r="E3494" i="12"/>
  <c r="F3494" i="12" s="1"/>
  <c r="G3494" i="12" s="1"/>
  <c r="I3494" i="12" s="1"/>
  <c r="K3494" i="12" s="1"/>
  <c r="E3493" i="12"/>
  <c r="F3493" i="12" s="1"/>
  <c r="G3493" i="12" s="1"/>
  <c r="I3493" i="12" s="1"/>
  <c r="K3493" i="12" s="1"/>
  <c r="E3492" i="12"/>
  <c r="F3492" i="12" s="1"/>
  <c r="G3492" i="12" s="1"/>
  <c r="I3492" i="12" s="1"/>
  <c r="K3492" i="12" s="1"/>
  <c r="D3491" i="12"/>
  <c r="E3491" i="12" s="1"/>
  <c r="F3491" i="12" s="1"/>
  <c r="G3491" i="12" s="1"/>
  <c r="I3491" i="12" s="1"/>
  <c r="K3491" i="12" s="1"/>
  <c r="E3490" i="12"/>
  <c r="F3490" i="12" s="1"/>
  <c r="G3490" i="12" s="1"/>
  <c r="I3490" i="12" s="1"/>
  <c r="K3490" i="12" s="1"/>
  <c r="E3489" i="12"/>
  <c r="F3489" i="12" s="1"/>
  <c r="G3489" i="12" s="1"/>
  <c r="I3489" i="12" s="1"/>
  <c r="K3489" i="12" s="1"/>
  <c r="E3488" i="12"/>
  <c r="F3488" i="12" s="1"/>
  <c r="G3488" i="12" s="1"/>
  <c r="I3488" i="12" s="1"/>
  <c r="K3488" i="12" s="1"/>
  <c r="D3487" i="12"/>
  <c r="E3487" i="12" s="1"/>
  <c r="F3487" i="12" s="1"/>
  <c r="G3487" i="12" s="1"/>
  <c r="I3487" i="12" s="1"/>
  <c r="K3487" i="12" s="1"/>
  <c r="E3486" i="12"/>
  <c r="F3486" i="12" s="1"/>
  <c r="G3486" i="12" s="1"/>
  <c r="I3486" i="12" s="1"/>
  <c r="K3486" i="12" s="1"/>
  <c r="E3485" i="12"/>
  <c r="F3485" i="12" s="1"/>
  <c r="G3485" i="12" s="1"/>
  <c r="I3485" i="12" s="1"/>
  <c r="K3485" i="12" s="1"/>
  <c r="E3484" i="12"/>
  <c r="F3484" i="12" s="1"/>
  <c r="G3484" i="12" s="1"/>
  <c r="I3484" i="12" s="1"/>
  <c r="K3484" i="12" s="1"/>
  <c r="D3483" i="12"/>
  <c r="E3483" i="12" s="1"/>
  <c r="F3483" i="12" s="1"/>
  <c r="G3483" i="12" s="1"/>
  <c r="I3483" i="12" s="1"/>
  <c r="K3483" i="12" s="1"/>
  <c r="E3482" i="12"/>
  <c r="F3482" i="12" s="1"/>
  <c r="G3482" i="12" s="1"/>
  <c r="I3482" i="12" s="1"/>
  <c r="K3482" i="12" s="1"/>
  <c r="E3481" i="12"/>
  <c r="F3481" i="12" s="1"/>
  <c r="G3481" i="12" s="1"/>
  <c r="I3481" i="12" s="1"/>
  <c r="K3481" i="12" s="1"/>
  <c r="E3480" i="12"/>
  <c r="F3480" i="12" s="1"/>
  <c r="G3480" i="12" s="1"/>
  <c r="I3480" i="12" s="1"/>
  <c r="K3480" i="12" s="1"/>
  <c r="E3479" i="12"/>
  <c r="F3479" i="12" s="1"/>
  <c r="G3479" i="12" s="1"/>
  <c r="I3479" i="12" s="1"/>
  <c r="K3479" i="12" s="1"/>
  <c r="D3478" i="12"/>
  <c r="E3478" i="12" s="1"/>
  <c r="F3478" i="12" s="1"/>
  <c r="G3478" i="12" s="1"/>
  <c r="I3478" i="12" s="1"/>
  <c r="K3478" i="12" s="1"/>
  <c r="E3477" i="12"/>
  <c r="F3477" i="12" s="1"/>
  <c r="G3477" i="12" s="1"/>
  <c r="I3477" i="12" s="1"/>
  <c r="K3477" i="12" s="1"/>
  <c r="E3476" i="12"/>
  <c r="F3476" i="12" s="1"/>
  <c r="G3476" i="12" s="1"/>
  <c r="I3476" i="12" s="1"/>
  <c r="K3476" i="12" s="1"/>
  <c r="E3475" i="12"/>
  <c r="F3475" i="12" s="1"/>
  <c r="G3475" i="12" s="1"/>
  <c r="I3475" i="12" s="1"/>
  <c r="K3475" i="12" s="1"/>
  <c r="D3474" i="12"/>
  <c r="E3474" i="12" s="1"/>
  <c r="F3474" i="12" s="1"/>
  <c r="G3474" i="12" s="1"/>
  <c r="I3474" i="12" s="1"/>
  <c r="K3474" i="12" s="1"/>
  <c r="D3473" i="12"/>
  <c r="E3472" i="12"/>
  <c r="F3472" i="12" s="1"/>
  <c r="G3472" i="12" s="1"/>
  <c r="I3472" i="12" s="1"/>
  <c r="K3472" i="12" s="1"/>
  <c r="D3471" i="12"/>
  <c r="E3471" i="12" s="1"/>
  <c r="F3471" i="12" s="1"/>
  <c r="G3471" i="12" s="1"/>
  <c r="I3471" i="12" s="1"/>
  <c r="K3471" i="12" s="1"/>
  <c r="D3470" i="12"/>
  <c r="E3470" i="12" s="1"/>
  <c r="F3470" i="12" s="1"/>
  <c r="G3470" i="12" s="1"/>
  <c r="I3470" i="12" s="1"/>
  <c r="K3470" i="12" s="1"/>
  <c r="D3469" i="12"/>
  <c r="E3469" i="12" s="1"/>
  <c r="F3469" i="12" s="1"/>
  <c r="G3469" i="12" s="1"/>
  <c r="I3469" i="12" s="1"/>
  <c r="K3469" i="12" s="1"/>
  <c r="E3468" i="12"/>
  <c r="F3468" i="12" s="1"/>
  <c r="G3468" i="12" s="1"/>
  <c r="I3468" i="12" s="1"/>
  <c r="K3468" i="12" s="1"/>
  <c r="E3467" i="12"/>
  <c r="F3467" i="12" s="1"/>
  <c r="G3467" i="12" s="1"/>
  <c r="I3467" i="12" s="1"/>
  <c r="K3467" i="12" s="1"/>
  <c r="E3466" i="12"/>
  <c r="F3466" i="12" s="1"/>
  <c r="G3466" i="12" s="1"/>
  <c r="I3466" i="12" s="1"/>
  <c r="K3466" i="12" s="1"/>
  <c r="E3465" i="12"/>
  <c r="F3465" i="12" s="1"/>
  <c r="G3465" i="12" s="1"/>
  <c r="I3465" i="12" s="1"/>
  <c r="K3465" i="12" s="1"/>
  <c r="E3464" i="12"/>
  <c r="F3464" i="12" s="1"/>
  <c r="G3464" i="12" s="1"/>
  <c r="I3464" i="12" s="1"/>
  <c r="K3464" i="12" s="1"/>
  <c r="E3463" i="12"/>
  <c r="F3463" i="12" s="1"/>
  <c r="G3463" i="12" s="1"/>
  <c r="I3463" i="12" s="1"/>
  <c r="K3463" i="12" s="1"/>
  <c r="E3462" i="12"/>
  <c r="F3462" i="12" s="1"/>
  <c r="G3462" i="12" s="1"/>
  <c r="I3462" i="12" s="1"/>
  <c r="K3462" i="12" s="1"/>
  <c r="E3461" i="12"/>
  <c r="F3461" i="12" s="1"/>
  <c r="G3461" i="12" s="1"/>
  <c r="I3461" i="12" s="1"/>
  <c r="K3461" i="12" s="1"/>
  <c r="E3460" i="12"/>
  <c r="F3460" i="12" s="1"/>
  <c r="G3460" i="12" s="1"/>
  <c r="I3460" i="12" s="1"/>
  <c r="K3460" i="12" s="1"/>
  <c r="E3459" i="12"/>
  <c r="F3459" i="12" s="1"/>
  <c r="G3459" i="12" s="1"/>
  <c r="I3459" i="12" s="1"/>
  <c r="K3459" i="12" s="1"/>
  <c r="D3458" i="12"/>
  <c r="E3458" i="12" s="1"/>
  <c r="F3458" i="12" s="1"/>
  <c r="G3458" i="12" s="1"/>
  <c r="I3458" i="12" s="1"/>
  <c r="K3458" i="12" s="1"/>
  <c r="D3457" i="12"/>
  <c r="D3456" i="12"/>
  <c r="E3456" i="12" s="1"/>
  <c r="F3456" i="12" s="1"/>
  <c r="G3456" i="12" s="1"/>
  <c r="I3456" i="12" s="1"/>
  <c r="K3456" i="12" s="1"/>
  <c r="D3455" i="12"/>
  <c r="E3455" i="12" s="1"/>
  <c r="F3455" i="12" s="1"/>
  <c r="G3455" i="12" s="1"/>
  <c r="I3455" i="12" s="1"/>
  <c r="K3455" i="12" s="1"/>
  <c r="D3454" i="12"/>
  <c r="E3454" i="12" s="1"/>
  <c r="F3454" i="12" s="1"/>
  <c r="G3454" i="12" s="1"/>
  <c r="I3454" i="12" s="1"/>
  <c r="K3454" i="12" s="1"/>
  <c r="D3453" i="12"/>
  <c r="E3453" i="12" s="1"/>
  <c r="F3453" i="12" s="1"/>
  <c r="G3453" i="12" s="1"/>
  <c r="I3453" i="12" s="1"/>
  <c r="K3453" i="12" s="1"/>
  <c r="D3452" i="12"/>
  <c r="E3452" i="12" s="1"/>
  <c r="F3452" i="12" s="1"/>
  <c r="G3452" i="12" s="1"/>
  <c r="I3452" i="12" s="1"/>
  <c r="K3452" i="12" s="1"/>
  <c r="D3451" i="12"/>
  <c r="E3451" i="12" s="1"/>
  <c r="F3451" i="12" s="1"/>
  <c r="G3451" i="12" s="1"/>
  <c r="I3451" i="12" s="1"/>
  <c r="K3451" i="12" s="1"/>
  <c r="E3450" i="12"/>
  <c r="F3450" i="12" s="1"/>
  <c r="G3450" i="12" s="1"/>
  <c r="I3450" i="12" s="1"/>
  <c r="K3450" i="12" s="1"/>
  <c r="D3449" i="12"/>
  <c r="E3448" i="12"/>
  <c r="F3448" i="12" s="1"/>
  <c r="G3448" i="12" s="1"/>
  <c r="I3448" i="12" s="1"/>
  <c r="K3448" i="12" s="1"/>
  <c r="E3447" i="12"/>
  <c r="F3447" i="12" s="1"/>
  <c r="G3447" i="12" s="1"/>
  <c r="I3447" i="12" s="1"/>
  <c r="K3447" i="12" s="1"/>
  <c r="E3446" i="12"/>
  <c r="F3446" i="12" s="1"/>
  <c r="G3446" i="12" s="1"/>
  <c r="I3446" i="12" s="1"/>
  <c r="K3446" i="12" s="1"/>
  <c r="D3445" i="12"/>
  <c r="E3445" i="12" s="1"/>
  <c r="F3445" i="12" s="1"/>
  <c r="G3445" i="12" s="1"/>
  <c r="I3445" i="12" s="1"/>
  <c r="K3445" i="12" s="1"/>
  <c r="D3444" i="12"/>
  <c r="E3444" i="12" s="1"/>
  <c r="F3444" i="12" s="1"/>
  <c r="G3444" i="12" s="1"/>
  <c r="I3444" i="12" s="1"/>
  <c r="K3444" i="12" s="1"/>
  <c r="D3443" i="12"/>
  <c r="E3443" i="12" s="1"/>
  <c r="F3443" i="12" s="1"/>
  <c r="G3443" i="12" s="1"/>
  <c r="I3443" i="12" s="1"/>
  <c r="K3443" i="12" s="1"/>
  <c r="D3442" i="12"/>
  <c r="E3442" i="12" s="1"/>
  <c r="F3442" i="12" s="1"/>
  <c r="G3442" i="12" s="1"/>
  <c r="I3442" i="12" s="1"/>
  <c r="K3442" i="12" s="1"/>
  <c r="D3441" i="12"/>
  <c r="E3440" i="12"/>
  <c r="F3440" i="12" s="1"/>
  <c r="G3440" i="12" s="1"/>
  <c r="I3440" i="12" s="1"/>
  <c r="K3440" i="12" s="1"/>
  <c r="E3439" i="12"/>
  <c r="F3439" i="12" s="1"/>
  <c r="G3439" i="12" s="1"/>
  <c r="I3439" i="12" s="1"/>
  <c r="K3439" i="12" s="1"/>
  <c r="E3438" i="12"/>
  <c r="F3438" i="12" s="1"/>
  <c r="G3438" i="12" s="1"/>
  <c r="I3438" i="12" s="1"/>
  <c r="K3438" i="12" s="1"/>
  <c r="E3437" i="12"/>
  <c r="F3437" i="12" s="1"/>
  <c r="G3437" i="12" s="1"/>
  <c r="I3437" i="12" s="1"/>
  <c r="K3437" i="12" s="1"/>
  <c r="E3436" i="12"/>
  <c r="F3436" i="12" s="1"/>
  <c r="G3436" i="12" s="1"/>
  <c r="I3436" i="12" s="1"/>
  <c r="K3436" i="12" s="1"/>
  <c r="E3435" i="12"/>
  <c r="F3435" i="12" s="1"/>
  <c r="G3435" i="12" s="1"/>
  <c r="I3435" i="12" s="1"/>
  <c r="K3435" i="12" s="1"/>
  <c r="E3434" i="12"/>
  <c r="F3434" i="12" s="1"/>
  <c r="G3434" i="12" s="1"/>
  <c r="I3434" i="12" s="1"/>
  <c r="K3434" i="12" s="1"/>
  <c r="E3433" i="12"/>
  <c r="F3433" i="12" s="1"/>
  <c r="G3433" i="12" s="1"/>
  <c r="I3433" i="12" s="1"/>
  <c r="K3433" i="12" s="1"/>
  <c r="E3432" i="12"/>
  <c r="F3432" i="12" s="1"/>
  <c r="G3432" i="12" s="1"/>
  <c r="I3432" i="12" s="1"/>
  <c r="K3432" i="12" s="1"/>
  <c r="E3431" i="12"/>
  <c r="F3431" i="12" s="1"/>
  <c r="G3431" i="12" s="1"/>
  <c r="I3431" i="12" s="1"/>
  <c r="K3431" i="12" s="1"/>
  <c r="E3430" i="12"/>
  <c r="F3430" i="12" s="1"/>
  <c r="G3430" i="12" s="1"/>
  <c r="I3430" i="12" s="1"/>
  <c r="K3430" i="12" s="1"/>
  <c r="D3429" i="12"/>
  <c r="E3429" i="12" s="1"/>
  <c r="F3429" i="12" s="1"/>
  <c r="G3429" i="12" s="1"/>
  <c r="I3429" i="12" s="1"/>
  <c r="K3429" i="12" s="1"/>
  <c r="E3428" i="12"/>
  <c r="F3428" i="12" s="1"/>
  <c r="G3428" i="12" s="1"/>
  <c r="I3428" i="12" s="1"/>
  <c r="K3428" i="12" s="1"/>
  <c r="E3427" i="12"/>
  <c r="F3427" i="12" s="1"/>
  <c r="G3427" i="12" s="1"/>
  <c r="I3427" i="12" s="1"/>
  <c r="K3427" i="12" s="1"/>
  <c r="E3426" i="12"/>
  <c r="F3426" i="12" s="1"/>
  <c r="G3426" i="12" s="1"/>
  <c r="I3426" i="12" s="1"/>
  <c r="K3426" i="12" s="1"/>
  <c r="E3425" i="12"/>
  <c r="F3425" i="12" s="1"/>
  <c r="G3425" i="12" s="1"/>
  <c r="I3425" i="12" s="1"/>
  <c r="K3425" i="12" s="1"/>
  <c r="E3424" i="12"/>
  <c r="F3424" i="12" s="1"/>
  <c r="G3424" i="12" s="1"/>
  <c r="I3424" i="12" s="1"/>
  <c r="K3424" i="12" s="1"/>
  <c r="E3423" i="12"/>
  <c r="F3423" i="12" s="1"/>
  <c r="G3423" i="12" s="1"/>
  <c r="I3423" i="12" s="1"/>
  <c r="K3423" i="12" s="1"/>
  <c r="E3422" i="12"/>
  <c r="F3422" i="12" s="1"/>
  <c r="G3422" i="12" s="1"/>
  <c r="I3422" i="12" s="1"/>
  <c r="K3422" i="12" s="1"/>
  <c r="E3421" i="12"/>
  <c r="F3421" i="12" s="1"/>
  <c r="G3421" i="12" s="1"/>
  <c r="I3421" i="12" s="1"/>
  <c r="K3421" i="12" s="1"/>
  <c r="E3420" i="12"/>
  <c r="F3420" i="12" s="1"/>
  <c r="G3420" i="12" s="1"/>
  <c r="I3420" i="12" s="1"/>
  <c r="K3420" i="12" s="1"/>
  <c r="D3419" i="12"/>
  <c r="E3419" i="12" s="1"/>
  <c r="F3419" i="12" s="1"/>
  <c r="G3419" i="12" s="1"/>
  <c r="I3419" i="12" s="1"/>
  <c r="K3419" i="12" s="1"/>
  <c r="E3418" i="12"/>
  <c r="F3418" i="12" s="1"/>
  <c r="G3418" i="12" s="1"/>
  <c r="I3418" i="12" s="1"/>
  <c r="K3418" i="12" s="1"/>
  <c r="E3417" i="12"/>
  <c r="F3417" i="12" s="1"/>
  <c r="G3417" i="12" s="1"/>
  <c r="I3417" i="12" s="1"/>
  <c r="K3417" i="12" s="1"/>
  <c r="E3416" i="12"/>
  <c r="F3416" i="12" s="1"/>
  <c r="G3416" i="12" s="1"/>
  <c r="I3416" i="12" s="1"/>
  <c r="K3416" i="12" s="1"/>
  <c r="E3415" i="12"/>
  <c r="F3415" i="12" s="1"/>
  <c r="G3415" i="12" s="1"/>
  <c r="I3415" i="12" s="1"/>
  <c r="K3415" i="12" s="1"/>
  <c r="E3414" i="12"/>
  <c r="F3414" i="12" s="1"/>
  <c r="G3414" i="12" s="1"/>
  <c r="I3414" i="12" s="1"/>
  <c r="K3414" i="12" s="1"/>
  <c r="E3413" i="12"/>
  <c r="F3413" i="12" s="1"/>
  <c r="G3413" i="12" s="1"/>
  <c r="I3413" i="12" s="1"/>
  <c r="K3413" i="12" s="1"/>
  <c r="E3412" i="12"/>
  <c r="F3412" i="12" s="1"/>
  <c r="G3412" i="12" s="1"/>
  <c r="I3412" i="12" s="1"/>
  <c r="K3412" i="12" s="1"/>
  <c r="E3411" i="12"/>
  <c r="F3411" i="12" s="1"/>
  <c r="G3411" i="12" s="1"/>
  <c r="I3411" i="12" s="1"/>
  <c r="K3411" i="12" s="1"/>
  <c r="E3410" i="12"/>
  <c r="F3410" i="12" s="1"/>
  <c r="G3410" i="12" s="1"/>
  <c r="I3410" i="12" s="1"/>
  <c r="K3410" i="12" s="1"/>
  <c r="E3409" i="12"/>
  <c r="F3409" i="12" s="1"/>
  <c r="G3409" i="12" s="1"/>
  <c r="I3409" i="12" s="1"/>
  <c r="K3409" i="12" s="1"/>
  <c r="E3408" i="12"/>
  <c r="F3408" i="12" s="1"/>
  <c r="G3408" i="12" s="1"/>
  <c r="I3408" i="12" s="1"/>
  <c r="K3408" i="12" s="1"/>
  <c r="E3407" i="12"/>
  <c r="F3407" i="12" s="1"/>
  <c r="G3407" i="12" s="1"/>
  <c r="I3407" i="12" s="1"/>
  <c r="K3407" i="12" s="1"/>
  <c r="E3406" i="12"/>
  <c r="F3406" i="12" s="1"/>
  <c r="G3406" i="12" s="1"/>
  <c r="I3406" i="12" s="1"/>
  <c r="K3406" i="12" s="1"/>
  <c r="E3405" i="12"/>
  <c r="F3405" i="12" s="1"/>
  <c r="G3405" i="12" s="1"/>
  <c r="I3405" i="12" s="1"/>
  <c r="K3405" i="12" s="1"/>
  <c r="E3404" i="12"/>
  <c r="F3404" i="12" s="1"/>
  <c r="G3404" i="12" s="1"/>
  <c r="I3404" i="12" s="1"/>
  <c r="K3404" i="12" s="1"/>
  <c r="E3403" i="12"/>
  <c r="F3403" i="12" s="1"/>
  <c r="G3403" i="12" s="1"/>
  <c r="I3403" i="12" s="1"/>
  <c r="K3403" i="12" s="1"/>
  <c r="E3402" i="12"/>
  <c r="F3402" i="12" s="1"/>
  <c r="G3402" i="12" s="1"/>
  <c r="I3402" i="12" s="1"/>
  <c r="K3402" i="12" s="1"/>
  <c r="E3401" i="12"/>
  <c r="F3401" i="12" s="1"/>
  <c r="G3401" i="12" s="1"/>
  <c r="I3401" i="12" s="1"/>
  <c r="K3401" i="12" s="1"/>
  <c r="E3400" i="12"/>
  <c r="F3400" i="12" s="1"/>
  <c r="G3400" i="12" s="1"/>
  <c r="I3400" i="12" s="1"/>
  <c r="K3400" i="12" s="1"/>
  <c r="D3399" i="12"/>
  <c r="E3399" i="12" s="1"/>
  <c r="F3399" i="12" s="1"/>
  <c r="G3399" i="12" s="1"/>
  <c r="I3399" i="12" s="1"/>
  <c r="K3399" i="12" s="1"/>
  <c r="D3398" i="12"/>
  <c r="E3398" i="12" s="1"/>
  <c r="F3398" i="12" s="1"/>
  <c r="G3398" i="12" s="1"/>
  <c r="I3398" i="12" s="1"/>
  <c r="K3398" i="12" s="1"/>
  <c r="E3397" i="12"/>
  <c r="F3397" i="12" s="1"/>
  <c r="G3397" i="12" s="1"/>
  <c r="I3397" i="12" s="1"/>
  <c r="K3397" i="12" s="1"/>
  <c r="D3396" i="12"/>
  <c r="E3396" i="12" s="1"/>
  <c r="F3396" i="12" s="1"/>
  <c r="G3396" i="12" s="1"/>
  <c r="I3396" i="12" s="1"/>
  <c r="K3396" i="12" s="1"/>
  <c r="E3395" i="12"/>
  <c r="F3395" i="12" s="1"/>
  <c r="G3395" i="12" s="1"/>
  <c r="I3395" i="12" s="1"/>
  <c r="K3395" i="12" s="1"/>
  <c r="E3394" i="12"/>
  <c r="F3394" i="12" s="1"/>
  <c r="G3394" i="12" s="1"/>
  <c r="I3394" i="12" s="1"/>
  <c r="K3394" i="12" s="1"/>
  <c r="E3393" i="12"/>
  <c r="F3393" i="12" s="1"/>
  <c r="G3393" i="12" s="1"/>
  <c r="I3393" i="12" s="1"/>
  <c r="K3393" i="12" s="1"/>
  <c r="E3392" i="12"/>
  <c r="F3392" i="12" s="1"/>
  <c r="G3392" i="12" s="1"/>
  <c r="I3392" i="12" s="1"/>
  <c r="K3392" i="12" s="1"/>
  <c r="E3391" i="12"/>
  <c r="F3391" i="12" s="1"/>
  <c r="G3391" i="12" s="1"/>
  <c r="I3391" i="12" s="1"/>
  <c r="K3391" i="12" s="1"/>
  <c r="E3390" i="12"/>
  <c r="F3390" i="12" s="1"/>
  <c r="G3390" i="12" s="1"/>
  <c r="I3390" i="12" s="1"/>
  <c r="K3390" i="12" s="1"/>
  <c r="E3389" i="12"/>
  <c r="F3389" i="12" s="1"/>
  <c r="G3389" i="12" s="1"/>
  <c r="I3389" i="12" s="1"/>
  <c r="K3389" i="12" s="1"/>
  <c r="E3388" i="12"/>
  <c r="F3388" i="12" s="1"/>
  <c r="G3388" i="12" s="1"/>
  <c r="I3388" i="12" s="1"/>
  <c r="K3388" i="12" s="1"/>
  <c r="D3387" i="12"/>
  <c r="E3387" i="12" s="1"/>
  <c r="F3387" i="12" s="1"/>
  <c r="G3387" i="12" s="1"/>
  <c r="I3387" i="12" s="1"/>
  <c r="K3387" i="12" s="1"/>
  <c r="D3386" i="12"/>
  <c r="E3386" i="12" s="1"/>
  <c r="F3386" i="12" s="1"/>
  <c r="G3386" i="12" s="1"/>
  <c r="I3386" i="12" s="1"/>
  <c r="K3386" i="12" s="1"/>
  <c r="E3385" i="12"/>
  <c r="F3385" i="12" s="1"/>
  <c r="G3385" i="12" s="1"/>
  <c r="I3385" i="12" s="1"/>
  <c r="K3385" i="12" s="1"/>
  <c r="E3384" i="12"/>
  <c r="F3384" i="12" s="1"/>
  <c r="G3384" i="12" s="1"/>
  <c r="I3384" i="12" s="1"/>
  <c r="K3384" i="12" s="1"/>
  <c r="E3383" i="12"/>
  <c r="F3383" i="12" s="1"/>
  <c r="G3383" i="12" s="1"/>
  <c r="I3383" i="12" s="1"/>
  <c r="K3383" i="12" s="1"/>
  <c r="E3382" i="12"/>
  <c r="F3382" i="12" s="1"/>
  <c r="G3382" i="12" s="1"/>
  <c r="I3382" i="12" s="1"/>
  <c r="K3382" i="12" s="1"/>
  <c r="E3381" i="12"/>
  <c r="F3381" i="12" s="1"/>
  <c r="G3381" i="12" s="1"/>
  <c r="I3381" i="12" s="1"/>
  <c r="K3381" i="12" s="1"/>
  <c r="E3380" i="12"/>
  <c r="F3380" i="12" s="1"/>
  <c r="G3380" i="12" s="1"/>
  <c r="I3380" i="12" s="1"/>
  <c r="K3380" i="12" s="1"/>
  <c r="E3379" i="12"/>
  <c r="F3379" i="12" s="1"/>
  <c r="G3379" i="12" s="1"/>
  <c r="I3379" i="12" s="1"/>
  <c r="K3379" i="12" s="1"/>
  <c r="E3378" i="12"/>
  <c r="F3378" i="12" s="1"/>
  <c r="G3378" i="12" s="1"/>
  <c r="I3378" i="12" s="1"/>
  <c r="K3378" i="12" s="1"/>
  <c r="E3377" i="12"/>
  <c r="F3377" i="12" s="1"/>
  <c r="G3377" i="12" s="1"/>
  <c r="I3377" i="12" s="1"/>
  <c r="K3377" i="12" s="1"/>
  <c r="E3376" i="12"/>
  <c r="F3376" i="12" s="1"/>
  <c r="G3376" i="12" s="1"/>
  <c r="I3376" i="12" s="1"/>
  <c r="K3376" i="12" s="1"/>
  <c r="E3375" i="12"/>
  <c r="F3375" i="12" s="1"/>
  <c r="G3375" i="12" s="1"/>
  <c r="I3375" i="12" s="1"/>
  <c r="K3375" i="12" s="1"/>
  <c r="E3374" i="12"/>
  <c r="F3374" i="12" s="1"/>
  <c r="G3374" i="12" s="1"/>
  <c r="I3374" i="12" s="1"/>
  <c r="K3374" i="12" s="1"/>
  <c r="E3373" i="12"/>
  <c r="F3373" i="12" s="1"/>
  <c r="G3373" i="12" s="1"/>
  <c r="I3373" i="12" s="1"/>
  <c r="K3373" i="12" s="1"/>
  <c r="E3372" i="12"/>
  <c r="F3372" i="12" s="1"/>
  <c r="G3372" i="12" s="1"/>
  <c r="I3372" i="12" s="1"/>
  <c r="K3372" i="12" s="1"/>
  <c r="E3371" i="12"/>
  <c r="F3371" i="12" s="1"/>
  <c r="G3371" i="12" s="1"/>
  <c r="I3371" i="12" s="1"/>
  <c r="K3371" i="12" s="1"/>
  <c r="D3370" i="12"/>
  <c r="E3370" i="12" s="1"/>
  <c r="F3370" i="12" s="1"/>
  <c r="G3370" i="12" s="1"/>
  <c r="I3370" i="12" s="1"/>
  <c r="K3370" i="12" s="1"/>
  <c r="E3369" i="12"/>
  <c r="F3369" i="12" s="1"/>
  <c r="G3369" i="12" s="1"/>
  <c r="I3369" i="12" s="1"/>
  <c r="K3369" i="12" s="1"/>
  <c r="E3368" i="12"/>
  <c r="F3368" i="12" s="1"/>
  <c r="G3368" i="12" s="1"/>
  <c r="I3368" i="12" s="1"/>
  <c r="K3368" i="12" s="1"/>
  <c r="E3367" i="12"/>
  <c r="F3367" i="12" s="1"/>
  <c r="G3367" i="12" s="1"/>
  <c r="I3367" i="12" s="1"/>
  <c r="K3367" i="12" s="1"/>
  <c r="E3366" i="12"/>
  <c r="F3366" i="12" s="1"/>
  <c r="G3366" i="12" s="1"/>
  <c r="I3366" i="12" s="1"/>
  <c r="K3366" i="12" s="1"/>
  <c r="E3365" i="12"/>
  <c r="F3365" i="12" s="1"/>
  <c r="G3365" i="12" s="1"/>
  <c r="I3365" i="12" s="1"/>
  <c r="K3365" i="12" s="1"/>
  <c r="D3364" i="12"/>
  <c r="E3364" i="12" s="1"/>
  <c r="F3364" i="12" s="1"/>
  <c r="G3364" i="12" s="1"/>
  <c r="I3364" i="12" s="1"/>
  <c r="K3364" i="12" s="1"/>
  <c r="E3363" i="12"/>
  <c r="F3363" i="12" s="1"/>
  <c r="G3363" i="12" s="1"/>
  <c r="I3363" i="12" s="1"/>
  <c r="K3363" i="12" s="1"/>
  <c r="E3362" i="12"/>
  <c r="F3362" i="12" s="1"/>
  <c r="G3362" i="12" s="1"/>
  <c r="I3362" i="12" s="1"/>
  <c r="K3362" i="12" s="1"/>
  <c r="E3361" i="12"/>
  <c r="F3361" i="12" s="1"/>
  <c r="G3361" i="12" s="1"/>
  <c r="I3361" i="12" s="1"/>
  <c r="K3361" i="12" s="1"/>
  <c r="E3360" i="12"/>
  <c r="F3360" i="12" s="1"/>
  <c r="G3360" i="12" s="1"/>
  <c r="I3360" i="12" s="1"/>
  <c r="K3360" i="12" s="1"/>
  <c r="E3359" i="12"/>
  <c r="F3359" i="12" s="1"/>
  <c r="G3359" i="12" s="1"/>
  <c r="I3359" i="12" s="1"/>
  <c r="K3359" i="12" s="1"/>
  <c r="E3358" i="12"/>
  <c r="F3358" i="12" s="1"/>
  <c r="G3358" i="12" s="1"/>
  <c r="I3358" i="12" s="1"/>
  <c r="K3358" i="12" s="1"/>
  <c r="E3357" i="12"/>
  <c r="F3357" i="12" s="1"/>
  <c r="G3357" i="12" s="1"/>
  <c r="I3357" i="12" s="1"/>
  <c r="K3357" i="12" s="1"/>
  <c r="D3356" i="12"/>
  <c r="E3356" i="12" s="1"/>
  <c r="F3356" i="12" s="1"/>
  <c r="G3356" i="12" s="1"/>
  <c r="I3356" i="12" s="1"/>
  <c r="K3356" i="12" s="1"/>
  <c r="E3355" i="12"/>
  <c r="F3355" i="12" s="1"/>
  <c r="G3355" i="12" s="1"/>
  <c r="I3355" i="12" s="1"/>
  <c r="K3355" i="12" s="1"/>
  <c r="E3354" i="12"/>
  <c r="F3354" i="12" s="1"/>
  <c r="G3354" i="12" s="1"/>
  <c r="I3354" i="12" s="1"/>
  <c r="K3354" i="12" s="1"/>
  <c r="E3353" i="12"/>
  <c r="F3353" i="12" s="1"/>
  <c r="G3353" i="12" s="1"/>
  <c r="I3353" i="12" s="1"/>
  <c r="K3353" i="12" s="1"/>
  <c r="E3352" i="12"/>
  <c r="F3352" i="12" s="1"/>
  <c r="G3352" i="12" s="1"/>
  <c r="I3352" i="12" s="1"/>
  <c r="K3352" i="12" s="1"/>
  <c r="E3351" i="12"/>
  <c r="F3351" i="12" s="1"/>
  <c r="G3351" i="12" s="1"/>
  <c r="I3351" i="12" s="1"/>
  <c r="K3351" i="12" s="1"/>
  <c r="E3350" i="12"/>
  <c r="F3350" i="12" s="1"/>
  <c r="G3350" i="12" s="1"/>
  <c r="I3350" i="12" s="1"/>
  <c r="K3350" i="12" s="1"/>
  <c r="E3349" i="12"/>
  <c r="F3349" i="12" s="1"/>
  <c r="G3349" i="12" s="1"/>
  <c r="I3349" i="12" s="1"/>
  <c r="K3349" i="12" s="1"/>
  <c r="E3348" i="12"/>
  <c r="F3348" i="12" s="1"/>
  <c r="G3348" i="12" s="1"/>
  <c r="I3348" i="12" s="1"/>
  <c r="K3348" i="12" s="1"/>
  <c r="E3347" i="12"/>
  <c r="F3347" i="12" s="1"/>
  <c r="G3347" i="12" s="1"/>
  <c r="I3347" i="12" s="1"/>
  <c r="K3347" i="12" s="1"/>
  <c r="E3346" i="12"/>
  <c r="F3346" i="12" s="1"/>
  <c r="G3346" i="12" s="1"/>
  <c r="I3346" i="12" s="1"/>
  <c r="K3346" i="12" s="1"/>
  <c r="E3345" i="12"/>
  <c r="F3345" i="12" s="1"/>
  <c r="G3345" i="12" s="1"/>
  <c r="I3345" i="12" s="1"/>
  <c r="K3345" i="12" s="1"/>
  <c r="E3344" i="12"/>
  <c r="F3344" i="12" s="1"/>
  <c r="G3344" i="12" s="1"/>
  <c r="I3344" i="12" s="1"/>
  <c r="K3344" i="12" s="1"/>
  <c r="D3343" i="12"/>
  <c r="E3343" i="12" s="1"/>
  <c r="F3343" i="12" s="1"/>
  <c r="G3343" i="12" s="1"/>
  <c r="I3343" i="12" s="1"/>
  <c r="K3343" i="12" s="1"/>
  <c r="E3342" i="12"/>
  <c r="F3342" i="12" s="1"/>
  <c r="G3342" i="12" s="1"/>
  <c r="I3342" i="12" s="1"/>
  <c r="K3342" i="12" s="1"/>
  <c r="E3341" i="12"/>
  <c r="F3341" i="12" s="1"/>
  <c r="G3341" i="12" s="1"/>
  <c r="I3341" i="12" s="1"/>
  <c r="K3341" i="12" s="1"/>
  <c r="E3340" i="12"/>
  <c r="F3340" i="12" s="1"/>
  <c r="G3340" i="12" s="1"/>
  <c r="I3340" i="12" s="1"/>
  <c r="K3340" i="12" s="1"/>
  <c r="E3339" i="12"/>
  <c r="F3339" i="12" s="1"/>
  <c r="G3339" i="12" s="1"/>
  <c r="I3339" i="12" s="1"/>
  <c r="K3339" i="12" s="1"/>
  <c r="E3338" i="12"/>
  <c r="F3338" i="12" s="1"/>
  <c r="G3338" i="12" s="1"/>
  <c r="I3338" i="12" s="1"/>
  <c r="K3338" i="12" s="1"/>
  <c r="D3337" i="12"/>
  <c r="E3336" i="12"/>
  <c r="F3336" i="12" s="1"/>
  <c r="G3336" i="12" s="1"/>
  <c r="I3336" i="12" s="1"/>
  <c r="K3336" i="12" s="1"/>
  <c r="E3335" i="12"/>
  <c r="F3335" i="12" s="1"/>
  <c r="G3335" i="12" s="1"/>
  <c r="I3335" i="12" s="1"/>
  <c r="K3335" i="12" s="1"/>
  <c r="E3334" i="12"/>
  <c r="F3334" i="12" s="1"/>
  <c r="G3334" i="12" s="1"/>
  <c r="I3334" i="12" s="1"/>
  <c r="K3334" i="12" s="1"/>
  <c r="E3333" i="12"/>
  <c r="F3333" i="12" s="1"/>
  <c r="G3333" i="12" s="1"/>
  <c r="I3333" i="12" s="1"/>
  <c r="K3333" i="12" s="1"/>
  <c r="D3332" i="12"/>
  <c r="E3332" i="12" s="1"/>
  <c r="F3332" i="12" s="1"/>
  <c r="G3332" i="12" s="1"/>
  <c r="I3332" i="12" s="1"/>
  <c r="K3332" i="12" s="1"/>
  <c r="E3331" i="12"/>
  <c r="F3331" i="12" s="1"/>
  <c r="G3331" i="12" s="1"/>
  <c r="I3331" i="12" s="1"/>
  <c r="K3331" i="12" s="1"/>
  <c r="D3330" i="12"/>
  <c r="E3330" i="12" s="1"/>
  <c r="F3330" i="12" s="1"/>
  <c r="G3330" i="12" s="1"/>
  <c r="I3330" i="12" s="1"/>
  <c r="K3330" i="12" s="1"/>
  <c r="I3329" i="12"/>
  <c r="K3329" i="12" s="1"/>
  <c r="E3328" i="12"/>
  <c r="F3328" i="12" s="1"/>
  <c r="G3328" i="12" s="1"/>
  <c r="I3328" i="12" s="1"/>
  <c r="K3328" i="12" s="1"/>
  <c r="E3327" i="12"/>
  <c r="F3327" i="12" s="1"/>
  <c r="G3327" i="12" s="1"/>
  <c r="I3327" i="12" s="1"/>
  <c r="K3327" i="12" s="1"/>
  <c r="D3326" i="12"/>
  <c r="E3326" i="12" s="1"/>
  <c r="F3326" i="12" s="1"/>
  <c r="G3326" i="12" s="1"/>
  <c r="I3326" i="12" s="1"/>
  <c r="K3326" i="12" s="1"/>
  <c r="D3325" i="12"/>
  <c r="E3325" i="12" s="1"/>
  <c r="F3325" i="12" s="1"/>
  <c r="G3325" i="12" s="1"/>
  <c r="I3325" i="12" s="1"/>
  <c r="K3325" i="12" s="1"/>
  <c r="D3324" i="12"/>
  <c r="E3324" i="12" s="1"/>
  <c r="F3324" i="12" s="1"/>
  <c r="G3324" i="12" s="1"/>
  <c r="I3324" i="12" s="1"/>
  <c r="K3324" i="12" s="1"/>
  <c r="D3323" i="12"/>
  <c r="E3323" i="12" s="1"/>
  <c r="F3323" i="12" s="1"/>
  <c r="G3323" i="12" s="1"/>
  <c r="I3323" i="12" s="1"/>
  <c r="K3323" i="12" s="1"/>
  <c r="D3322" i="12"/>
  <c r="E3322" i="12" s="1"/>
  <c r="F3322" i="12" s="1"/>
  <c r="G3322" i="12" s="1"/>
  <c r="I3322" i="12" s="1"/>
  <c r="K3322" i="12" s="1"/>
  <c r="E3321" i="12"/>
  <c r="F3321" i="12" s="1"/>
  <c r="G3321" i="12" s="1"/>
  <c r="I3321" i="12" s="1"/>
  <c r="K3321" i="12" s="1"/>
  <c r="E3320" i="12"/>
  <c r="F3320" i="12" s="1"/>
  <c r="G3320" i="12" s="1"/>
  <c r="I3320" i="12" s="1"/>
  <c r="K3320" i="12" s="1"/>
  <c r="E3319" i="12"/>
  <c r="F3319" i="12" s="1"/>
  <c r="G3319" i="12" s="1"/>
  <c r="I3319" i="12" s="1"/>
  <c r="K3319" i="12" s="1"/>
  <c r="E3318" i="12"/>
  <c r="F3318" i="12" s="1"/>
  <c r="G3318" i="12" s="1"/>
  <c r="I3318" i="12" s="1"/>
  <c r="K3318" i="12" s="1"/>
  <c r="E3317" i="12"/>
  <c r="F3317" i="12" s="1"/>
  <c r="G3317" i="12" s="1"/>
  <c r="I3317" i="12" s="1"/>
  <c r="K3317" i="12" s="1"/>
  <c r="D3316" i="12"/>
  <c r="E3316" i="12" s="1"/>
  <c r="F3316" i="12" s="1"/>
  <c r="G3316" i="12" s="1"/>
  <c r="I3316" i="12" s="1"/>
  <c r="K3316" i="12" s="1"/>
  <c r="E3315" i="12"/>
  <c r="F3315" i="12" s="1"/>
  <c r="G3315" i="12" s="1"/>
  <c r="I3315" i="12" s="1"/>
  <c r="K3315" i="12" s="1"/>
  <c r="E3314" i="12"/>
  <c r="F3314" i="12" s="1"/>
  <c r="G3314" i="12" s="1"/>
  <c r="I3314" i="12" s="1"/>
  <c r="K3314" i="12" s="1"/>
  <c r="E3313" i="12"/>
  <c r="F3313" i="12" s="1"/>
  <c r="G3313" i="12" s="1"/>
  <c r="I3313" i="12" s="1"/>
  <c r="K3313" i="12" s="1"/>
  <c r="E3312" i="12"/>
  <c r="F3312" i="12" s="1"/>
  <c r="G3312" i="12" s="1"/>
  <c r="I3312" i="12" s="1"/>
  <c r="K3312" i="12" s="1"/>
  <c r="D3311" i="12"/>
  <c r="E3311" i="12" s="1"/>
  <c r="F3311" i="12" s="1"/>
  <c r="G3311" i="12" s="1"/>
  <c r="I3311" i="12" s="1"/>
  <c r="K3311" i="12" s="1"/>
  <c r="E3310" i="12"/>
  <c r="F3310" i="12" s="1"/>
  <c r="G3310" i="12" s="1"/>
  <c r="I3310" i="12" s="1"/>
  <c r="K3310" i="12" s="1"/>
  <c r="E3309" i="12"/>
  <c r="F3309" i="12" s="1"/>
  <c r="G3309" i="12" s="1"/>
  <c r="I3309" i="12" s="1"/>
  <c r="K3309" i="12" s="1"/>
  <c r="E3308" i="12"/>
  <c r="F3308" i="12" s="1"/>
  <c r="G3308" i="12" s="1"/>
  <c r="I3308" i="12" s="1"/>
  <c r="K3308" i="12" s="1"/>
  <c r="E3307" i="12"/>
  <c r="F3307" i="12" s="1"/>
  <c r="G3307" i="12" s="1"/>
  <c r="I3307" i="12" s="1"/>
  <c r="K3307" i="12" s="1"/>
  <c r="D3306" i="12"/>
  <c r="E3306" i="12" s="1"/>
  <c r="F3306" i="12" s="1"/>
  <c r="G3306" i="12" s="1"/>
  <c r="I3306" i="12" s="1"/>
  <c r="K3306" i="12" s="1"/>
  <c r="D3305" i="12"/>
  <c r="D3304" i="12"/>
  <c r="E3304" i="12" s="1"/>
  <c r="F3304" i="12" s="1"/>
  <c r="G3304" i="12" s="1"/>
  <c r="I3304" i="12" s="1"/>
  <c r="K3304" i="12" s="1"/>
  <c r="D3303" i="12"/>
  <c r="E3303" i="12" s="1"/>
  <c r="F3303" i="12" s="1"/>
  <c r="G3303" i="12" s="1"/>
  <c r="I3303" i="12" s="1"/>
  <c r="K3303" i="12" s="1"/>
  <c r="D3302" i="12"/>
  <c r="E3302" i="12" s="1"/>
  <c r="F3302" i="12" s="1"/>
  <c r="G3302" i="12" s="1"/>
  <c r="I3302" i="12" s="1"/>
  <c r="K3302" i="12" s="1"/>
  <c r="I3301" i="12"/>
  <c r="K3301" i="12" s="1"/>
  <c r="E3300" i="12"/>
  <c r="F3300" i="12" s="1"/>
  <c r="G3300" i="12" s="1"/>
  <c r="I3300" i="12" s="1"/>
  <c r="K3300" i="12" s="1"/>
  <c r="E3299" i="12"/>
  <c r="F3299" i="12" s="1"/>
  <c r="G3299" i="12" s="1"/>
  <c r="I3299" i="12" s="1"/>
  <c r="K3299" i="12" s="1"/>
  <c r="E3298" i="12"/>
  <c r="F3298" i="12" s="1"/>
  <c r="G3298" i="12" s="1"/>
  <c r="I3298" i="12" s="1"/>
  <c r="K3298" i="12" s="1"/>
  <c r="E3297" i="12"/>
  <c r="F3297" i="12" s="1"/>
  <c r="G3297" i="12" s="1"/>
  <c r="I3297" i="12" s="1"/>
  <c r="K3297" i="12" s="1"/>
  <c r="D3296" i="12"/>
  <c r="E3296" i="12" s="1"/>
  <c r="F3296" i="12" s="1"/>
  <c r="G3296" i="12" s="1"/>
  <c r="I3296" i="12" s="1"/>
  <c r="K3296" i="12" s="1"/>
  <c r="D3295" i="12"/>
  <c r="E3295" i="12" s="1"/>
  <c r="F3295" i="12" s="1"/>
  <c r="G3295" i="12" s="1"/>
  <c r="I3295" i="12" s="1"/>
  <c r="K3295" i="12" s="1"/>
  <c r="D3294" i="12"/>
  <c r="E3294" i="12" s="1"/>
  <c r="F3294" i="12" s="1"/>
  <c r="G3294" i="12" s="1"/>
  <c r="I3294" i="12" s="1"/>
  <c r="K3294" i="12" s="1"/>
  <c r="D3293" i="12"/>
  <c r="E3293" i="12" s="1"/>
  <c r="F3293" i="12" s="1"/>
  <c r="G3293" i="12" s="1"/>
  <c r="I3293" i="12" s="1"/>
  <c r="K3293" i="12" s="1"/>
  <c r="E3292" i="12"/>
  <c r="F3292" i="12" s="1"/>
  <c r="G3292" i="12" s="1"/>
  <c r="I3292" i="12" s="1"/>
  <c r="K3292" i="12" s="1"/>
  <c r="D3291" i="12"/>
  <c r="E3291" i="12" s="1"/>
  <c r="F3291" i="12" s="1"/>
  <c r="G3291" i="12" s="1"/>
  <c r="I3291" i="12" s="1"/>
  <c r="K3291" i="12" s="1"/>
  <c r="I3290" i="12"/>
  <c r="K3290" i="12" s="1"/>
  <c r="E3289" i="12"/>
  <c r="F3289" i="12" s="1"/>
  <c r="G3289" i="12" s="1"/>
  <c r="I3289" i="12" s="1"/>
  <c r="K3289" i="12" s="1"/>
  <c r="E3288" i="12"/>
  <c r="F3288" i="12" s="1"/>
  <c r="G3288" i="12" s="1"/>
  <c r="I3288" i="12" s="1"/>
  <c r="K3288" i="12" s="1"/>
  <c r="E3287" i="12"/>
  <c r="F3287" i="12" s="1"/>
  <c r="G3287" i="12" s="1"/>
  <c r="I3287" i="12" s="1"/>
  <c r="K3287" i="12" s="1"/>
  <c r="D3286" i="12"/>
  <c r="E3286" i="12" s="1"/>
  <c r="F3286" i="12" s="1"/>
  <c r="G3286" i="12" s="1"/>
  <c r="I3286" i="12" s="1"/>
  <c r="K3286" i="12" s="1"/>
  <c r="E3285" i="12"/>
  <c r="F3285" i="12" s="1"/>
  <c r="G3285" i="12" s="1"/>
  <c r="I3285" i="12" s="1"/>
  <c r="K3285" i="12" s="1"/>
  <c r="E3284" i="12"/>
  <c r="F3284" i="12" s="1"/>
  <c r="G3284" i="12" s="1"/>
  <c r="I3284" i="12" s="1"/>
  <c r="K3284" i="12" s="1"/>
  <c r="E3283" i="12"/>
  <c r="F3283" i="12" s="1"/>
  <c r="G3283" i="12" s="1"/>
  <c r="I3283" i="12" s="1"/>
  <c r="K3283" i="12" s="1"/>
  <c r="E3282" i="12"/>
  <c r="F3282" i="12" s="1"/>
  <c r="G3282" i="12" s="1"/>
  <c r="I3282" i="12" s="1"/>
  <c r="K3282" i="12" s="1"/>
  <c r="E3281" i="12"/>
  <c r="F3281" i="12" s="1"/>
  <c r="G3281" i="12" s="1"/>
  <c r="I3281" i="12" s="1"/>
  <c r="K3281" i="12" s="1"/>
  <c r="E3280" i="12"/>
  <c r="F3280" i="12" s="1"/>
  <c r="G3280" i="12" s="1"/>
  <c r="I3280" i="12" s="1"/>
  <c r="K3280" i="12" s="1"/>
  <c r="E3279" i="12"/>
  <c r="F3279" i="12" s="1"/>
  <c r="G3279" i="12" s="1"/>
  <c r="I3279" i="12" s="1"/>
  <c r="K3279" i="12" s="1"/>
  <c r="E3278" i="12"/>
  <c r="F3278" i="12" s="1"/>
  <c r="G3278" i="12" s="1"/>
  <c r="I3278" i="12" s="1"/>
  <c r="K3278" i="12" s="1"/>
  <c r="E3277" i="12"/>
  <c r="F3277" i="12" s="1"/>
  <c r="G3277" i="12" s="1"/>
  <c r="I3277" i="12" s="1"/>
  <c r="K3277" i="12" s="1"/>
  <c r="D3276" i="12"/>
  <c r="E3276" i="12" s="1"/>
  <c r="F3276" i="12" s="1"/>
  <c r="G3276" i="12" s="1"/>
  <c r="I3276" i="12" s="1"/>
  <c r="K3276" i="12" s="1"/>
  <c r="E3275" i="12"/>
  <c r="F3275" i="12" s="1"/>
  <c r="G3275" i="12" s="1"/>
  <c r="I3275" i="12" s="1"/>
  <c r="K3275" i="12" s="1"/>
  <c r="E3274" i="12"/>
  <c r="F3274" i="12" s="1"/>
  <c r="G3274" i="12" s="1"/>
  <c r="I3274" i="12" s="1"/>
  <c r="K3274" i="12" s="1"/>
  <c r="E3273" i="12"/>
  <c r="F3273" i="12" s="1"/>
  <c r="G3273" i="12" s="1"/>
  <c r="I3273" i="12" s="1"/>
  <c r="K3273" i="12" s="1"/>
  <c r="E3272" i="12"/>
  <c r="F3272" i="12" s="1"/>
  <c r="G3272" i="12" s="1"/>
  <c r="I3272" i="12" s="1"/>
  <c r="K3272" i="12" s="1"/>
  <c r="E3271" i="12"/>
  <c r="F3271" i="12" s="1"/>
  <c r="G3271" i="12" s="1"/>
  <c r="I3271" i="12" s="1"/>
  <c r="K3271" i="12" s="1"/>
  <c r="E3270" i="12"/>
  <c r="F3270" i="12" s="1"/>
  <c r="G3270" i="12" s="1"/>
  <c r="I3270" i="12" s="1"/>
  <c r="K3270" i="12" s="1"/>
  <c r="E3269" i="12"/>
  <c r="F3269" i="12" s="1"/>
  <c r="G3269" i="12" s="1"/>
  <c r="I3269" i="12" s="1"/>
  <c r="K3269" i="12" s="1"/>
  <c r="E3268" i="12"/>
  <c r="F3268" i="12" s="1"/>
  <c r="G3268" i="12" s="1"/>
  <c r="I3268" i="12" s="1"/>
  <c r="K3268" i="12" s="1"/>
  <c r="E3267" i="12"/>
  <c r="F3267" i="12" s="1"/>
  <c r="G3267" i="12" s="1"/>
  <c r="I3267" i="12" s="1"/>
  <c r="K3267" i="12" s="1"/>
  <c r="D3266" i="12"/>
  <c r="E3266" i="12" s="1"/>
  <c r="F3266" i="12" s="1"/>
  <c r="G3266" i="12" s="1"/>
  <c r="I3266" i="12" s="1"/>
  <c r="K3266" i="12" s="1"/>
  <c r="D3265" i="12"/>
  <c r="E3264" i="12"/>
  <c r="F3264" i="12" s="1"/>
  <c r="G3264" i="12" s="1"/>
  <c r="I3264" i="12" s="1"/>
  <c r="K3264" i="12" s="1"/>
  <c r="D3263" i="12"/>
  <c r="E3263" i="12" s="1"/>
  <c r="F3263" i="12" s="1"/>
  <c r="G3263" i="12" s="1"/>
  <c r="I3263" i="12" s="1"/>
  <c r="K3263" i="12" s="1"/>
  <c r="D3262" i="12"/>
  <c r="E3262" i="12" s="1"/>
  <c r="F3262" i="12" s="1"/>
  <c r="G3262" i="12" s="1"/>
  <c r="I3262" i="12" s="1"/>
  <c r="K3262" i="12" s="1"/>
  <c r="E3261" i="12"/>
  <c r="F3261" i="12" s="1"/>
  <c r="G3261" i="12" s="1"/>
  <c r="I3261" i="12" s="1"/>
  <c r="K3261" i="12" s="1"/>
  <c r="E3260" i="12"/>
  <c r="F3260" i="12" s="1"/>
  <c r="G3260" i="12" s="1"/>
  <c r="I3260" i="12" s="1"/>
  <c r="K3260" i="12" s="1"/>
  <c r="E3259" i="12"/>
  <c r="F3259" i="12" s="1"/>
  <c r="G3259" i="12" s="1"/>
  <c r="I3259" i="12" s="1"/>
  <c r="K3259" i="12" s="1"/>
  <c r="D3258" i="12"/>
  <c r="E3258" i="12" s="1"/>
  <c r="F3258" i="12" s="1"/>
  <c r="G3258" i="12" s="1"/>
  <c r="I3258" i="12" s="1"/>
  <c r="K3258" i="12" s="1"/>
  <c r="E3257" i="12"/>
  <c r="F3257" i="12" s="1"/>
  <c r="G3257" i="12" s="1"/>
  <c r="I3257" i="12" s="1"/>
  <c r="K3257" i="12" s="1"/>
  <c r="E3256" i="12"/>
  <c r="F3256" i="12" s="1"/>
  <c r="G3256" i="12" s="1"/>
  <c r="I3256" i="12" s="1"/>
  <c r="K3256" i="12" s="1"/>
  <c r="E3255" i="12"/>
  <c r="F3255" i="12" s="1"/>
  <c r="G3255" i="12" s="1"/>
  <c r="I3255" i="12" s="1"/>
  <c r="K3255" i="12" s="1"/>
  <c r="E3254" i="12"/>
  <c r="F3254" i="12" s="1"/>
  <c r="G3254" i="12" s="1"/>
  <c r="I3254" i="12" s="1"/>
  <c r="K3254" i="12" s="1"/>
  <c r="E3253" i="12"/>
  <c r="F3253" i="12" s="1"/>
  <c r="G3253" i="12" s="1"/>
  <c r="I3253" i="12" s="1"/>
  <c r="K3253" i="12" s="1"/>
  <c r="D3252" i="12"/>
  <c r="E3252" i="12" s="1"/>
  <c r="F3252" i="12" s="1"/>
  <c r="G3252" i="12" s="1"/>
  <c r="I3252" i="12" s="1"/>
  <c r="K3252" i="12" s="1"/>
  <c r="D3251" i="12"/>
  <c r="E3251" i="12" s="1"/>
  <c r="F3251" i="12" s="1"/>
  <c r="G3251" i="12" s="1"/>
  <c r="I3251" i="12" s="1"/>
  <c r="K3251" i="12" s="1"/>
  <c r="D3250" i="12"/>
  <c r="E3250" i="12" s="1"/>
  <c r="F3250" i="12" s="1"/>
  <c r="G3250" i="12" s="1"/>
  <c r="I3250" i="12" s="1"/>
  <c r="K3250" i="12" s="1"/>
  <c r="E3249" i="12"/>
  <c r="F3249" i="12" s="1"/>
  <c r="G3249" i="12" s="1"/>
  <c r="I3249" i="12" s="1"/>
  <c r="K3249" i="12" s="1"/>
  <c r="E3248" i="12"/>
  <c r="F3248" i="12" s="1"/>
  <c r="G3248" i="12" s="1"/>
  <c r="I3248" i="12" s="1"/>
  <c r="K3248" i="12" s="1"/>
  <c r="E3247" i="12"/>
  <c r="F3247" i="12" s="1"/>
  <c r="G3247" i="12" s="1"/>
  <c r="I3247" i="12" s="1"/>
  <c r="K3247" i="12" s="1"/>
  <c r="D3246" i="12"/>
  <c r="E3246" i="12" s="1"/>
  <c r="F3246" i="12" s="1"/>
  <c r="G3246" i="12" s="1"/>
  <c r="I3246" i="12" s="1"/>
  <c r="E3245" i="12"/>
  <c r="F3245" i="12" s="1"/>
  <c r="G3245" i="12" s="1"/>
  <c r="I3245" i="12" s="1"/>
  <c r="K3245" i="12" s="1"/>
  <c r="D3244" i="12"/>
  <c r="E3244" i="12" s="1"/>
  <c r="F3244" i="12" s="1"/>
  <c r="G3244" i="12" s="1"/>
  <c r="I3244" i="12" s="1"/>
  <c r="K3244" i="12" s="1"/>
  <c r="E3243" i="12"/>
  <c r="F3243" i="12" s="1"/>
  <c r="G3243" i="12" s="1"/>
  <c r="I3243" i="12" s="1"/>
  <c r="K3243" i="12" s="1"/>
  <c r="D3242" i="12"/>
  <c r="D3241" i="12"/>
  <c r="E3241" i="12" s="1"/>
  <c r="F3241" i="12" s="1"/>
  <c r="G3241" i="12" s="1"/>
  <c r="I3241" i="12" s="1"/>
  <c r="K3241" i="12" s="1"/>
  <c r="E3240" i="12"/>
  <c r="F3240" i="12" s="1"/>
  <c r="G3240" i="12" s="1"/>
  <c r="I3240" i="12" s="1"/>
  <c r="K3240" i="12" s="1"/>
  <c r="E3239" i="12"/>
  <c r="F3239" i="12" s="1"/>
  <c r="G3239" i="12" s="1"/>
  <c r="I3239" i="12" s="1"/>
  <c r="K3239" i="12" s="1"/>
  <c r="D3238" i="12"/>
  <c r="E3238" i="12" s="1"/>
  <c r="F3238" i="12" s="1"/>
  <c r="G3238" i="12" s="1"/>
  <c r="I3238" i="12" s="1"/>
  <c r="K3238" i="12" s="1"/>
  <c r="E3237" i="12"/>
  <c r="F3237" i="12" s="1"/>
  <c r="G3237" i="12" s="1"/>
  <c r="I3237" i="12" s="1"/>
  <c r="K3237" i="12" s="1"/>
  <c r="E3236" i="12"/>
  <c r="F3236" i="12" s="1"/>
  <c r="G3236" i="12" s="1"/>
  <c r="I3236" i="12" s="1"/>
  <c r="K3236" i="12" s="1"/>
  <c r="E3235" i="12"/>
  <c r="F3235" i="12" s="1"/>
  <c r="G3235" i="12" s="1"/>
  <c r="I3235" i="12" s="1"/>
  <c r="K3235" i="12" s="1"/>
  <c r="E3234" i="12"/>
  <c r="F3234" i="12" s="1"/>
  <c r="G3234" i="12" s="1"/>
  <c r="I3234" i="12" s="1"/>
  <c r="K3234" i="12" s="1"/>
  <c r="D3233" i="12"/>
  <c r="E3233" i="12" s="1"/>
  <c r="F3233" i="12" s="1"/>
  <c r="G3233" i="12" s="1"/>
  <c r="I3233" i="12" s="1"/>
  <c r="K3233" i="12" s="1"/>
  <c r="E3232" i="12"/>
  <c r="F3232" i="12" s="1"/>
  <c r="G3232" i="12" s="1"/>
  <c r="I3232" i="12" s="1"/>
  <c r="K3232" i="12" s="1"/>
  <c r="E3231" i="12"/>
  <c r="F3231" i="12" s="1"/>
  <c r="G3231" i="12" s="1"/>
  <c r="I3231" i="12" s="1"/>
  <c r="K3231" i="12" s="1"/>
  <c r="E3230" i="12"/>
  <c r="F3230" i="12" s="1"/>
  <c r="G3230" i="12" s="1"/>
  <c r="I3230" i="12" s="1"/>
  <c r="K3230" i="12" s="1"/>
  <c r="E3229" i="12"/>
  <c r="F3229" i="12" s="1"/>
  <c r="G3229" i="12" s="1"/>
  <c r="I3229" i="12" s="1"/>
  <c r="K3229" i="12" s="1"/>
  <c r="D3228" i="12"/>
  <c r="E3228" i="12" s="1"/>
  <c r="F3228" i="12" s="1"/>
  <c r="G3228" i="12" s="1"/>
  <c r="I3228" i="12" s="1"/>
  <c r="K3228" i="12" s="1"/>
  <c r="E3227" i="12"/>
  <c r="F3227" i="12" s="1"/>
  <c r="G3227" i="12" s="1"/>
  <c r="I3227" i="12" s="1"/>
  <c r="K3227" i="12" s="1"/>
  <c r="E3226" i="12"/>
  <c r="F3226" i="12" s="1"/>
  <c r="G3226" i="12" s="1"/>
  <c r="I3226" i="12" s="1"/>
  <c r="K3226" i="12" s="1"/>
  <c r="E3225" i="12"/>
  <c r="F3225" i="12" s="1"/>
  <c r="G3225" i="12" s="1"/>
  <c r="I3225" i="12" s="1"/>
  <c r="K3225" i="12" s="1"/>
  <c r="E3224" i="12"/>
  <c r="F3224" i="12" s="1"/>
  <c r="G3224" i="12" s="1"/>
  <c r="I3224" i="12" s="1"/>
  <c r="K3224" i="12" s="1"/>
  <c r="D3223" i="12"/>
  <c r="E3223" i="12" s="1"/>
  <c r="F3223" i="12" s="1"/>
  <c r="G3223" i="12" s="1"/>
  <c r="I3223" i="12" s="1"/>
  <c r="K3223" i="12" s="1"/>
  <c r="D3222" i="12"/>
  <c r="E3222" i="12" s="1"/>
  <c r="F3222" i="12" s="1"/>
  <c r="G3222" i="12" s="1"/>
  <c r="I3222" i="12" s="1"/>
  <c r="K3222" i="12" s="1"/>
  <c r="E3221" i="12"/>
  <c r="F3221" i="12" s="1"/>
  <c r="G3221" i="12" s="1"/>
  <c r="I3221" i="12" s="1"/>
  <c r="K3221" i="12" s="1"/>
  <c r="E3220" i="12"/>
  <c r="F3220" i="12" s="1"/>
  <c r="G3220" i="12" s="1"/>
  <c r="I3220" i="12" s="1"/>
  <c r="K3220" i="12" s="1"/>
  <c r="E3219" i="12"/>
  <c r="F3219" i="12" s="1"/>
  <c r="G3219" i="12" s="1"/>
  <c r="I3219" i="12" s="1"/>
  <c r="K3219" i="12" s="1"/>
  <c r="E3218" i="12"/>
  <c r="F3218" i="12" s="1"/>
  <c r="G3218" i="12" s="1"/>
  <c r="I3218" i="12" s="1"/>
  <c r="K3218" i="12" s="1"/>
  <c r="E3217" i="12"/>
  <c r="F3217" i="12" s="1"/>
  <c r="G3217" i="12" s="1"/>
  <c r="I3217" i="12" s="1"/>
  <c r="K3217" i="12" s="1"/>
  <c r="E3216" i="12"/>
  <c r="F3216" i="12" s="1"/>
  <c r="G3216" i="12" s="1"/>
  <c r="I3216" i="12" s="1"/>
  <c r="K3216" i="12" s="1"/>
  <c r="E3215" i="12"/>
  <c r="F3215" i="12" s="1"/>
  <c r="G3215" i="12" s="1"/>
  <c r="I3215" i="12" s="1"/>
  <c r="K3215" i="12" s="1"/>
  <c r="E3214" i="12"/>
  <c r="F3214" i="12" s="1"/>
  <c r="G3214" i="12" s="1"/>
  <c r="I3214" i="12" s="1"/>
  <c r="K3214" i="12" s="1"/>
  <c r="D3213" i="12"/>
  <c r="E3213" i="12" s="1"/>
  <c r="F3213" i="12" s="1"/>
  <c r="G3213" i="12" s="1"/>
  <c r="I3213" i="12" s="1"/>
  <c r="K3213" i="12" s="1"/>
  <c r="D3212" i="12"/>
  <c r="E3212" i="12" s="1"/>
  <c r="F3212" i="12" s="1"/>
  <c r="G3212" i="12" s="1"/>
  <c r="I3212" i="12" s="1"/>
  <c r="K3212" i="12" s="1"/>
  <c r="D3211" i="12"/>
  <c r="E3211" i="12" s="1"/>
  <c r="F3211" i="12" s="1"/>
  <c r="G3211" i="12" s="1"/>
  <c r="I3211" i="12" s="1"/>
  <c r="K3211" i="12" s="1"/>
  <c r="E3210" i="12"/>
  <c r="F3210" i="12" s="1"/>
  <c r="G3210" i="12" s="1"/>
  <c r="I3210" i="12" s="1"/>
  <c r="K3210" i="12" s="1"/>
  <c r="E3209" i="12"/>
  <c r="F3209" i="12" s="1"/>
  <c r="G3209" i="12" s="1"/>
  <c r="I3209" i="12" s="1"/>
  <c r="K3209" i="12" s="1"/>
  <c r="E3208" i="12"/>
  <c r="F3208" i="12" s="1"/>
  <c r="G3208" i="12" s="1"/>
  <c r="I3208" i="12" s="1"/>
  <c r="K3208" i="12" s="1"/>
  <c r="D3207" i="12"/>
  <c r="E3207" i="12" s="1"/>
  <c r="F3207" i="12" s="1"/>
  <c r="G3207" i="12" s="1"/>
  <c r="I3207" i="12" s="1"/>
  <c r="K3207" i="12" s="1"/>
  <c r="D3206" i="12"/>
  <c r="E3206" i="12" s="1"/>
  <c r="F3206" i="12" s="1"/>
  <c r="G3206" i="12" s="1"/>
  <c r="I3206" i="12" s="1"/>
  <c r="K3206" i="12" s="1"/>
  <c r="E3205" i="12"/>
  <c r="F3205" i="12" s="1"/>
  <c r="G3205" i="12" s="1"/>
  <c r="I3205" i="12" s="1"/>
  <c r="K3205" i="12" s="1"/>
  <c r="E3204" i="12"/>
  <c r="F3204" i="12" s="1"/>
  <c r="G3204" i="12" s="1"/>
  <c r="I3204" i="12" s="1"/>
  <c r="K3204" i="12" s="1"/>
  <c r="E3203" i="12"/>
  <c r="F3203" i="12" s="1"/>
  <c r="G3203" i="12" s="1"/>
  <c r="I3203" i="12" s="1"/>
  <c r="K3203" i="12" s="1"/>
  <c r="E3202" i="12"/>
  <c r="F3202" i="12" s="1"/>
  <c r="G3202" i="12" s="1"/>
  <c r="I3202" i="12" s="1"/>
  <c r="K3202" i="12" s="1"/>
  <c r="E3201" i="12"/>
  <c r="F3201" i="12" s="1"/>
  <c r="G3201" i="12" s="1"/>
  <c r="I3201" i="12" s="1"/>
  <c r="K3201" i="12" s="1"/>
  <c r="E3200" i="12"/>
  <c r="F3200" i="12" s="1"/>
  <c r="G3200" i="12" s="1"/>
  <c r="I3200" i="12" s="1"/>
  <c r="K3200" i="12" s="1"/>
  <c r="E3199" i="12"/>
  <c r="F3199" i="12" s="1"/>
  <c r="G3199" i="12" s="1"/>
  <c r="I3199" i="12" s="1"/>
  <c r="K3199" i="12" s="1"/>
  <c r="E3198" i="12"/>
  <c r="F3198" i="12" s="1"/>
  <c r="G3198" i="12" s="1"/>
  <c r="I3198" i="12" s="1"/>
  <c r="K3198" i="12" s="1"/>
  <c r="D3197" i="12"/>
  <c r="E3197" i="12" s="1"/>
  <c r="F3197" i="12" s="1"/>
  <c r="G3197" i="12" s="1"/>
  <c r="I3197" i="12" s="1"/>
  <c r="K3197" i="12" s="1"/>
  <c r="E3196" i="12"/>
  <c r="F3196" i="12" s="1"/>
  <c r="G3196" i="12" s="1"/>
  <c r="I3196" i="12" s="1"/>
  <c r="K3196" i="12" s="1"/>
  <c r="E3195" i="12"/>
  <c r="F3195" i="12" s="1"/>
  <c r="G3195" i="12" s="1"/>
  <c r="I3195" i="12" s="1"/>
  <c r="K3195" i="12" s="1"/>
  <c r="E3194" i="12"/>
  <c r="F3194" i="12" s="1"/>
  <c r="G3194" i="12" s="1"/>
  <c r="I3194" i="12" s="1"/>
  <c r="K3194" i="12" s="1"/>
  <c r="D3193" i="12"/>
  <c r="E3193" i="12" s="1"/>
  <c r="F3193" i="12" s="1"/>
  <c r="G3193" i="12" s="1"/>
  <c r="I3193" i="12" s="1"/>
  <c r="K3193" i="12" s="1"/>
  <c r="D3192" i="12"/>
  <c r="E3192" i="12" s="1"/>
  <c r="F3192" i="12" s="1"/>
  <c r="G3192" i="12" s="1"/>
  <c r="I3192" i="12" s="1"/>
  <c r="K3192" i="12" s="1"/>
  <c r="E3191" i="12"/>
  <c r="F3191" i="12" s="1"/>
  <c r="G3191" i="12" s="1"/>
  <c r="I3191" i="12" s="1"/>
  <c r="K3191" i="12" s="1"/>
  <c r="E3190" i="12"/>
  <c r="F3190" i="12" s="1"/>
  <c r="G3190" i="12" s="1"/>
  <c r="I3190" i="12" s="1"/>
  <c r="K3190" i="12" s="1"/>
  <c r="E3189" i="12"/>
  <c r="F3189" i="12" s="1"/>
  <c r="G3189" i="12" s="1"/>
  <c r="I3189" i="12" s="1"/>
  <c r="K3189" i="12" s="1"/>
  <c r="D3188" i="12"/>
  <c r="E3188" i="12" s="1"/>
  <c r="F3188" i="12" s="1"/>
  <c r="G3188" i="12" s="1"/>
  <c r="I3188" i="12" s="1"/>
  <c r="K3188" i="12" s="1"/>
  <c r="E3187" i="12"/>
  <c r="F3187" i="12" s="1"/>
  <c r="G3187" i="12" s="1"/>
  <c r="I3187" i="12" s="1"/>
  <c r="K3187" i="12" s="1"/>
  <c r="E3186" i="12"/>
  <c r="F3186" i="12" s="1"/>
  <c r="G3186" i="12" s="1"/>
  <c r="I3186" i="12" s="1"/>
  <c r="K3186" i="12" s="1"/>
  <c r="E3185" i="12"/>
  <c r="F3185" i="12" s="1"/>
  <c r="G3185" i="12" s="1"/>
  <c r="I3185" i="12" s="1"/>
  <c r="K3185" i="12" s="1"/>
  <c r="E3184" i="12"/>
  <c r="F3184" i="12" s="1"/>
  <c r="G3184" i="12" s="1"/>
  <c r="I3184" i="12" s="1"/>
  <c r="K3184" i="12" s="1"/>
  <c r="D3183" i="12"/>
  <c r="E3183" i="12" s="1"/>
  <c r="F3183" i="12" s="1"/>
  <c r="G3183" i="12" s="1"/>
  <c r="I3183" i="12" s="1"/>
  <c r="K3183" i="12" s="1"/>
  <c r="D3182" i="12"/>
  <c r="E3182" i="12" s="1"/>
  <c r="F3182" i="12" s="1"/>
  <c r="G3182" i="12" s="1"/>
  <c r="I3182" i="12" s="1"/>
  <c r="K3182" i="12" s="1"/>
  <c r="D3181" i="12"/>
  <c r="E3181" i="12" s="1"/>
  <c r="F3181" i="12" s="1"/>
  <c r="G3181" i="12" s="1"/>
  <c r="I3181" i="12" s="1"/>
  <c r="K3181" i="12" s="1"/>
  <c r="E3180" i="12"/>
  <c r="F3180" i="12" s="1"/>
  <c r="G3180" i="12" s="1"/>
  <c r="I3180" i="12" s="1"/>
  <c r="K3180" i="12" s="1"/>
  <c r="D3179" i="12"/>
  <c r="E3179" i="12" s="1"/>
  <c r="F3179" i="12" s="1"/>
  <c r="G3179" i="12" s="1"/>
  <c r="I3179" i="12" s="1"/>
  <c r="K3179" i="12" s="1"/>
  <c r="E3178" i="12"/>
  <c r="F3178" i="12" s="1"/>
  <c r="G3178" i="12" s="1"/>
  <c r="I3178" i="12" s="1"/>
  <c r="K3178" i="12" s="1"/>
  <c r="D3177" i="12"/>
  <c r="E3177" i="12" s="1"/>
  <c r="F3177" i="12" s="1"/>
  <c r="G3177" i="12" s="1"/>
  <c r="I3177" i="12" s="1"/>
  <c r="K3177" i="12" s="1"/>
  <c r="D3176" i="12"/>
  <c r="E3176" i="12" s="1"/>
  <c r="F3176" i="12" s="1"/>
  <c r="G3176" i="12" s="1"/>
  <c r="I3176" i="12" s="1"/>
  <c r="K3176" i="12" s="1"/>
  <c r="D3175" i="12"/>
  <c r="E3175" i="12" s="1"/>
  <c r="F3175" i="12" s="1"/>
  <c r="G3175" i="12" s="1"/>
  <c r="I3175" i="12" s="1"/>
  <c r="K3175" i="12" s="1"/>
  <c r="D3174" i="12"/>
  <c r="E3174" i="12" s="1"/>
  <c r="F3174" i="12" s="1"/>
  <c r="G3174" i="12" s="1"/>
  <c r="I3174" i="12" s="1"/>
  <c r="K3174" i="12" s="1"/>
  <c r="E3173" i="12"/>
  <c r="F3173" i="12" s="1"/>
  <c r="G3173" i="12" s="1"/>
  <c r="I3173" i="12" s="1"/>
  <c r="K3173" i="12" s="1"/>
  <c r="E3172" i="12"/>
  <c r="F3172" i="12" s="1"/>
  <c r="G3172" i="12" s="1"/>
  <c r="I3172" i="12" s="1"/>
  <c r="K3172" i="12" s="1"/>
  <c r="D3171" i="12"/>
  <c r="E3171" i="12" s="1"/>
  <c r="F3171" i="12" s="1"/>
  <c r="G3171" i="12" s="1"/>
  <c r="I3171" i="12" s="1"/>
  <c r="K3171" i="12" s="1"/>
  <c r="E3170" i="12"/>
  <c r="F3170" i="12" s="1"/>
  <c r="G3170" i="12" s="1"/>
  <c r="I3170" i="12" s="1"/>
  <c r="K3170" i="12" s="1"/>
  <c r="E3169" i="12"/>
  <c r="F3169" i="12" s="1"/>
  <c r="G3169" i="12" s="1"/>
  <c r="I3169" i="12" s="1"/>
  <c r="K3169" i="12" s="1"/>
  <c r="E3168" i="12"/>
  <c r="F3168" i="12" s="1"/>
  <c r="G3168" i="12" s="1"/>
  <c r="I3168" i="12" s="1"/>
  <c r="K3168" i="12" s="1"/>
  <c r="E3167" i="12"/>
  <c r="F3167" i="12" s="1"/>
  <c r="G3167" i="12" s="1"/>
  <c r="I3167" i="12" s="1"/>
  <c r="K3167" i="12" s="1"/>
  <c r="E3166" i="12"/>
  <c r="F3166" i="12" s="1"/>
  <c r="G3166" i="12" s="1"/>
  <c r="I3166" i="12" s="1"/>
  <c r="K3166" i="12" s="1"/>
  <c r="E3165" i="12"/>
  <c r="F3165" i="12" s="1"/>
  <c r="G3165" i="12" s="1"/>
  <c r="I3165" i="12" s="1"/>
  <c r="K3165" i="12" s="1"/>
  <c r="D3164" i="12"/>
  <c r="E3164" i="12" s="1"/>
  <c r="F3164" i="12" s="1"/>
  <c r="G3164" i="12" s="1"/>
  <c r="I3164" i="12" s="1"/>
  <c r="K3164" i="12" s="1"/>
  <c r="D3163" i="12"/>
  <c r="E3163" i="12" s="1"/>
  <c r="F3163" i="12" s="1"/>
  <c r="G3163" i="12" s="1"/>
  <c r="I3163" i="12" s="1"/>
  <c r="K3163" i="12" s="1"/>
  <c r="D3162" i="12"/>
  <c r="D3161" i="12"/>
  <c r="E3161" i="12" s="1"/>
  <c r="F3161" i="12" s="1"/>
  <c r="G3161" i="12" s="1"/>
  <c r="I3161" i="12" s="1"/>
  <c r="E3160" i="12"/>
  <c r="F3160" i="12" s="1"/>
  <c r="G3160" i="12" s="1"/>
  <c r="I3160" i="12" s="1"/>
  <c r="K3160" i="12" s="1"/>
  <c r="E3159" i="12"/>
  <c r="F3159" i="12" s="1"/>
  <c r="G3159" i="12" s="1"/>
  <c r="I3159" i="12" s="1"/>
  <c r="K3159" i="12" s="1"/>
  <c r="E3158" i="12"/>
  <c r="F3158" i="12" s="1"/>
  <c r="G3158" i="12" s="1"/>
  <c r="I3158" i="12" s="1"/>
  <c r="K3158" i="12" s="1"/>
  <c r="E3157" i="12"/>
  <c r="F3157" i="12" s="1"/>
  <c r="G3157" i="12" s="1"/>
  <c r="I3157" i="12" s="1"/>
  <c r="K3157" i="12" s="1"/>
  <c r="E3156" i="12"/>
  <c r="F3156" i="12" s="1"/>
  <c r="G3156" i="12" s="1"/>
  <c r="I3156" i="12" s="1"/>
  <c r="K3156" i="12" s="1"/>
  <c r="D3155" i="12"/>
  <c r="E3155" i="12" s="1"/>
  <c r="F3155" i="12" s="1"/>
  <c r="G3155" i="12" s="1"/>
  <c r="I3155" i="12" s="1"/>
  <c r="K3155" i="12" s="1"/>
  <c r="D3154" i="12"/>
  <c r="E3154" i="12" s="1"/>
  <c r="F3154" i="12" s="1"/>
  <c r="G3154" i="12" s="1"/>
  <c r="I3154" i="12" s="1"/>
  <c r="K3154" i="12" s="1"/>
  <c r="E3153" i="12"/>
  <c r="F3153" i="12" s="1"/>
  <c r="G3153" i="12" s="1"/>
  <c r="I3153" i="12" s="1"/>
  <c r="K3153" i="12" s="1"/>
  <c r="D3152" i="12"/>
  <c r="E3152" i="12" s="1"/>
  <c r="F3152" i="12" s="1"/>
  <c r="G3152" i="12" s="1"/>
  <c r="I3152" i="12" s="1"/>
  <c r="K3152" i="12" s="1"/>
  <c r="D3151" i="12"/>
  <c r="E3151" i="12" s="1"/>
  <c r="F3151" i="12" s="1"/>
  <c r="G3151" i="12" s="1"/>
  <c r="I3151" i="12" s="1"/>
  <c r="K3151" i="12" s="1"/>
  <c r="E3150" i="12"/>
  <c r="F3150" i="12" s="1"/>
  <c r="G3150" i="12" s="1"/>
  <c r="I3150" i="12" s="1"/>
  <c r="K3150" i="12" s="1"/>
  <c r="D3149" i="12"/>
  <c r="E3149" i="12" s="1"/>
  <c r="F3149" i="12" s="1"/>
  <c r="G3149" i="12" s="1"/>
  <c r="I3149" i="12" s="1"/>
  <c r="K3149" i="12" s="1"/>
  <c r="E3148" i="12"/>
  <c r="F3148" i="12" s="1"/>
  <c r="G3148" i="12" s="1"/>
  <c r="I3148" i="12" s="1"/>
  <c r="K3148" i="12" s="1"/>
  <c r="E3147" i="12"/>
  <c r="F3147" i="12" s="1"/>
  <c r="G3147" i="12" s="1"/>
  <c r="I3147" i="12" s="1"/>
  <c r="K3147" i="12" s="1"/>
  <c r="E3146" i="12"/>
  <c r="F3146" i="12" s="1"/>
  <c r="G3146" i="12" s="1"/>
  <c r="I3146" i="12" s="1"/>
  <c r="K3146" i="12" s="1"/>
  <c r="E3145" i="12"/>
  <c r="F3145" i="12" s="1"/>
  <c r="G3145" i="12" s="1"/>
  <c r="I3145" i="12" s="1"/>
  <c r="K3145" i="12" s="1"/>
  <c r="E3144" i="12"/>
  <c r="F3144" i="12" s="1"/>
  <c r="G3144" i="12" s="1"/>
  <c r="I3144" i="12" s="1"/>
  <c r="K3144" i="12" s="1"/>
  <c r="E3143" i="12"/>
  <c r="F3143" i="12" s="1"/>
  <c r="G3143" i="12" s="1"/>
  <c r="I3143" i="12" s="1"/>
  <c r="K3143" i="12" s="1"/>
  <c r="E3142" i="12"/>
  <c r="F3142" i="12" s="1"/>
  <c r="G3142" i="12" s="1"/>
  <c r="I3142" i="12" s="1"/>
  <c r="K3142" i="12" s="1"/>
  <c r="E3141" i="12"/>
  <c r="F3141" i="12" s="1"/>
  <c r="G3141" i="12" s="1"/>
  <c r="I3141" i="12" s="1"/>
  <c r="K3141" i="12" s="1"/>
  <c r="E3140" i="12"/>
  <c r="F3140" i="12" s="1"/>
  <c r="G3140" i="12" s="1"/>
  <c r="I3140" i="12" s="1"/>
  <c r="K3140" i="12" s="1"/>
  <c r="E3139" i="12"/>
  <c r="F3139" i="12" s="1"/>
  <c r="G3139" i="12" s="1"/>
  <c r="I3139" i="12" s="1"/>
  <c r="K3139" i="12" s="1"/>
  <c r="E3138" i="12"/>
  <c r="F3138" i="12" s="1"/>
  <c r="G3138" i="12" s="1"/>
  <c r="I3138" i="12" s="1"/>
  <c r="K3138" i="12" s="1"/>
  <c r="E3137" i="12"/>
  <c r="F3137" i="12" s="1"/>
  <c r="G3137" i="12" s="1"/>
  <c r="I3137" i="12" s="1"/>
  <c r="K3137" i="12" s="1"/>
  <c r="E3136" i="12"/>
  <c r="F3136" i="12" s="1"/>
  <c r="G3136" i="12" s="1"/>
  <c r="I3136" i="12" s="1"/>
  <c r="K3136" i="12" s="1"/>
  <c r="D3135" i="12"/>
  <c r="E3135" i="12" s="1"/>
  <c r="F3135" i="12" s="1"/>
  <c r="G3135" i="12" s="1"/>
  <c r="I3135" i="12" s="1"/>
  <c r="K3135" i="12" s="1"/>
  <c r="E3134" i="12"/>
  <c r="F3134" i="12" s="1"/>
  <c r="G3134" i="12" s="1"/>
  <c r="I3134" i="12" s="1"/>
  <c r="K3134" i="12" s="1"/>
  <c r="E3133" i="12"/>
  <c r="F3133" i="12" s="1"/>
  <c r="G3133" i="12" s="1"/>
  <c r="I3133" i="12" s="1"/>
  <c r="K3133" i="12" s="1"/>
  <c r="D3132" i="12"/>
  <c r="E3132" i="12" s="1"/>
  <c r="F3132" i="12" s="1"/>
  <c r="G3132" i="12" s="1"/>
  <c r="I3132" i="12" s="1"/>
  <c r="K3132" i="12" s="1"/>
  <c r="E3131" i="12"/>
  <c r="F3131" i="12" s="1"/>
  <c r="G3131" i="12" s="1"/>
  <c r="I3131" i="12" s="1"/>
  <c r="K3131" i="12" s="1"/>
  <c r="E3130" i="12"/>
  <c r="F3130" i="12" s="1"/>
  <c r="G3130" i="12" s="1"/>
  <c r="I3130" i="12" s="1"/>
  <c r="K3130" i="12" s="1"/>
  <c r="E3129" i="12"/>
  <c r="F3129" i="12" s="1"/>
  <c r="G3129" i="12" s="1"/>
  <c r="I3129" i="12" s="1"/>
  <c r="K3129" i="12" s="1"/>
  <c r="E3128" i="12"/>
  <c r="F3128" i="12" s="1"/>
  <c r="G3128" i="12" s="1"/>
  <c r="I3128" i="12" s="1"/>
  <c r="K3128" i="12" s="1"/>
  <c r="E3127" i="12"/>
  <c r="F3127" i="12" s="1"/>
  <c r="G3127" i="12" s="1"/>
  <c r="I3127" i="12" s="1"/>
  <c r="K3127" i="12" s="1"/>
  <c r="E3126" i="12"/>
  <c r="F3126" i="12" s="1"/>
  <c r="G3126" i="12" s="1"/>
  <c r="I3126" i="12" s="1"/>
  <c r="K3126" i="12" s="1"/>
  <c r="E3125" i="12"/>
  <c r="F3125" i="12" s="1"/>
  <c r="G3125" i="12" s="1"/>
  <c r="I3125" i="12" s="1"/>
  <c r="K3125" i="12" s="1"/>
  <c r="E3124" i="12"/>
  <c r="F3124" i="12" s="1"/>
  <c r="G3124" i="12" s="1"/>
  <c r="I3124" i="12" s="1"/>
  <c r="K3124" i="12" s="1"/>
  <c r="E3123" i="12"/>
  <c r="F3123" i="12" s="1"/>
  <c r="G3123" i="12" s="1"/>
  <c r="I3123" i="12" s="1"/>
  <c r="K3123" i="12" s="1"/>
  <c r="D3122" i="12"/>
  <c r="E3122" i="12" s="1"/>
  <c r="F3122" i="12" s="1"/>
  <c r="G3122" i="12" s="1"/>
  <c r="I3122" i="12" s="1"/>
  <c r="K3122" i="12" s="1"/>
  <c r="D3121" i="12"/>
  <c r="E3121" i="12" s="1"/>
  <c r="F3121" i="12" s="1"/>
  <c r="G3121" i="12" s="1"/>
  <c r="I3121" i="12" s="1"/>
  <c r="K3121" i="12" s="1"/>
  <c r="E3120" i="12"/>
  <c r="F3120" i="12" s="1"/>
  <c r="G3120" i="12" s="1"/>
  <c r="I3120" i="12" s="1"/>
  <c r="K3120" i="12" s="1"/>
  <c r="E3119" i="12"/>
  <c r="F3119" i="12" s="1"/>
  <c r="G3119" i="12" s="1"/>
  <c r="I3119" i="12" s="1"/>
  <c r="K3119" i="12" s="1"/>
  <c r="E3118" i="12"/>
  <c r="F3118" i="12" s="1"/>
  <c r="G3118" i="12" s="1"/>
  <c r="I3118" i="12" s="1"/>
  <c r="K3118" i="12" s="1"/>
  <c r="D3117" i="12"/>
  <c r="E3117" i="12" s="1"/>
  <c r="F3117" i="12" s="1"/>
  <c r="G3117" i="12" s="1"/>
  <c r="I3117" i="12" s="1"/>
  <c r="K3117" i="12" s="1"/>
  <c r="E3116" i="12"/>
  <c r="F3116" i="12" s="1"/>
  <c r="G3116" i="12" s="1"/>
  <c r="I3116" i="12" s="1"/>
  <c r="K3116" i="12" s="1"/>
  <c r="E3115" i="12"/>
  <c r="F3115" i="12" s="1"/>
  <c r="G3115" i="12" s="1"/>
  <c r="I3115" i="12" s="1"/>
  <c r="K3115" i="12" s="1"/>
  <c r="E3114" i="12"/>
  <c r="F3114" i="12" s="1"/>
  <c r="G3114" i="12" s="1"/>
  <c r="I3114" i="12" s="1"/>
  <c r="K3114" i="12" s="1"/>
  <c r="E3113" i="12"/>
  <c r="F3113" i="12" s="1"/>
  <c r="G3113" i="12" s="1"/>
  <c r="I3113" i="12" s="1"/>
  <c r="K3113" i="12" s="1"/>
  <c r="E3112" i="12"/>
  <c r="F3112" i="12" s="1"/>
  <c r="G3112" i="12" s="1"/>
  <c r="I3112" i="12" s="1"/>
  <c r="K3112" i="12" s="1"/>
  <c r="E3111" i="12"/>
  <c r="F3111" i="12" s="1"/>
  <c r="G3111" i="12" s="1"/>
  <c r="I3111" i="12" s="1"/>
  <c r="K3111" i="12" s="1"/>
  <c r="E3110" i="12"/>
  <c r="F3110" i="12" s="1"/>
  <c r="G3110" i="12" s="1"/>
  <c r="I3110" i="12" s="1"/>
  <c r="K3110" i="12" s="1"/>
  <c r="E3109" i="12"/>
  <c r="F3109" i="12" s="1"/>
  <c r="G3109" i="12" s="1"/>
  <c r="I3109" i="12" s="1"/>
  <c r="K3109" i="12" s="1"/>
  <c r="E3108" i="12"/>
  <c r="F3108" i="12" s="1"/>
  <c r="G3108" i="12" s="1"/>
  <c r="I3108" i="12" s="1"/>
  <c r="K3108" i="12" s="1"/>
  <c r="E3107" i="12"/>
  <c r="F3107" i="12" s="1"/>
  <c r="G3107" i="12" s="1"/>
  <c r="I3107" i="12" s="1"/>
  <c r="K3107" i="12" s="1"/>
  <c r="E3106" i="12"/>
  <c r="F3106" i="12" s="1"/>
  <c r="G3106" i="12" s="1"/>
  <c r="I3106" i="12" s="1"/>
  <c r="K3106" i="12" s="1"/>
  <c r="E3105" i="12"/>
  <c r="F3105" i="12" s="1"/>
  <c r="G3105" i="12" s="1"/>
  <c r="I3105" i="12" s="1"/>
  <c r="K3105" i="12" s="1"/>
  <c r="D3104" i="12"/>
  <c r="E3104" i="12" s="1"/>
  <c r="F3104" i="12" s="1"/>
  <c r="G3104" i="12" s="1"/>
  <c r="I3104" i="12" s="1"/>
  <c r="K3104" i="12" s="1"/>
  <c r="E3103" i="12"/>
  <c r="F3103" i="12" s="1"/>
  <c r="G3103" i="12" s="1"/>
  <c r="I3103" i="12" s="1"/>
  <c r="K3103" i="12" s="1"/>
  <c r="E3102" i="12"/>
  <c r="F3102" i="12" s="1"/>
  <c r="G3102" i="12" s="1"/>
  <c r="I3102" i="12" s="1"/>
  <c r="K3102" i="12" s="1"/>
  <c r="E3101" i="12"/>
  <c r="F3101" i="12" s="1"/>
  <c r="G3101" i="12" s="1"/>
  <c r="I3101" i="12" s="1"/>
  <c r="K3101" i="12" s="1"/>
  <c r="E3100" i="12"/>
  <c r="F3100" i="12" s="1"/>
  <c r="G3100" i="12" s="1"/>
  <c r="I3100" i="12" s="1"/>
  <c r="K3100" i="12" s="1"/>
  <c r="E3099" i="12"/>
  <c r="F3099" i="12" s="1"/>
  <c r="G3099" i="12" s="1"/>
  <c r="I3099" i="12" s="1"/>
  <c r="K3099" i="12" s="1"/>
  <c r="D3098" i="12"/>
  <c r="E3098" i="12" s="1"/>
  <c r="F3098" i="12" s="1"/>
  <c r="G3098" i="12" s="1"/>
  <c r="I3098" i="12" s="1"/>
  <c r="K3098" i="12" s="1"/>
  <c r="E3097" i="12"/>
  <c r="F3097" i="12" s="1"/>
  <c r="G3097" i="12" s="1"/>
  <c r="I3097" i="12" s="1"/>
  <c r="K3097" i="12" s="1"/>
  <c r="D3096" i="12"/>
  <c r="E3096" i="12" s="1"/>
  <c r="F3096" i="12" s="1"/>
  <c r="G3096" i="12" s="1"/>
  <c r="I3096" i="12" s="1"/>
  <c r="K3096" i="12" s="1"/>
  <c r="D3095" i="12"/>
  <c r="E3095" i="12" s="1"/>
  <c r="F3095" i="12" s="1"/>
  <c r="G3095" i="12" s="1"/>
  <c r="I3095" i="12" s="1"/>
  <c r="K3095" i="12" s="1"/>
  <c r="E3094" i="12"/>
  <c r="F3094" i="12" s="1"/>
  <c r="G3094" i="12" s="1"/>
  <c r="I3094" i="12" s="1"/>
  <c r="K3094" i="12" s="1"/>
  <c r="E3093" i="12"/>
  <c r="F3093" i="12" s="1"/>
  <c r="G3093" i="12" s="1"/>
  <c r="I3093" i="12" s="1"/>
  <c r="K3093" i="12" s="1"/>
  <c r="E3092" i="12"/>
  <c r="F3092" i="12" s="1"/>
  <c r="G3092" i="12" s="1"/>
  <c r="I3092" i="12" s="1"/>
  <c r="K3092" i="12" s="1"/>
  <c r="E3091" i="12"/>
  <c r="F3091" i="12" s="1"/>
  <c r="G3091" i="12" s="1"/>
  <c r="I3091" i="12" s="1"/>
  <c r="K3091" i="12" s="1"/>
  <c r="E3090" i="12"/>
  <c r="F3090" i="12" s="1"/>
  <c r="G3090" i="12" s="1"/>
  <c r="I3090" i="12" s="1"/>
  <c r="K3090" i="12" s="1"/>
  <c r="E3089" i="12"/>
  <c r="F3089" i="12" s="1"/>
  <c r="G3089" i="12" s="1"/>
  <c r="I3089" i="12" s="1"/>
  <c r="K3089" i="12" s="1"/>
  <c r="E3088" i="12"/>
  <c r="F3088" i="12" s="1"/>
  <c r="G3088" i="12" s="1"/>
  <c r="I3088" i="12" s="1"/>
  <c r="K3088" i="12" s="1"/>
  <c r="E3087" i="12"/>
  <c r="F3087" i="12" s="1"/>
  <c r="G3087" i="12" s="1"/>
  <c r="I3087" i="12" s="1"/>
  <c r="K3087" i="12" s="1"/>
  <c r="E3086" i="12"/>
  <c r="F3086" i="12" s="1"/>
  <c r="G3086" i="12" s="1"/>
  <c r="I3086" i="12" s="1"/>
  <c r="K3086" i="12" s="1"/>
  <c r="E3085" i="12"/>
  <c r="F3085" i="12" s="1"/>
  <c r="G3085" i="12" s="1"/>
  <c r="I3085" i="12" s="1"/>
  <c r="K3085" i="12" s="1"/>
  <c r="E3084" i="12"/>
  <c r="F3084" i="12" s="1"/>
  <c r="G3084" i="12" s="1"/>
  <c r="I3084" i="12" s="1"/>
  <c r="K3084" i="12" s="1"/>
  <c r="E3083" i="12"/>
  <c r="F3083" i="12" s="1"/>
  <c r="G3083" i="12" s="1"/>
  <c r="I3083" i="12" s="1"/>
  <c r="K3083" i="12" s="1"/>
  <c r="E3082" i="12"/>
  <c r="F3082" i="12" s="1"/>
  <c r="G3082" i="12" s="1"/>
  <c r="I3082" i="12" s="1"/>
  <c r="K3082" i="12" s="1"/>
  <c r="E3081" i="12"/>
  <c r="F3081" i="12" s="1"/>
  <c r="G3081" i="12" s="1"/>
  <c r="I3081" i="12" s="1"/>
  <c r="K3081" i="12" s="1"/>
  <c r="E3080" i="12"/>
  <c r="F3080" i="12" s="1"/>
  <c r="G3080" i="12" s="1"/>
  <c r="I3080" i="12" s="1"/>
  <c r="K3080" i="12" s="1"/>
  <c r="E3079" i="12"/>
  <c r="F3079" i="12" s="1"/>
  <c r="G3079" i="12" s="1"/>
  <c r="I3079" i="12" s="1"/>
  <c r="K3079" i="12" s="1"/>
  <c r="E3078" i="12"/>
  <c r="F3078" i="12" s="1"/>
  <c r="G3078" i="12" s="1"/>
  <c r="I3078" i="12" s="1"/>
  <c r="K3078" i="12" s="1"/>
  <c r="E3077" i="12"/>
  <c r="F3077" i="12" s="1"/>
  <c r="G3077" i="12" s="1"/>
  <c r="I3077" i="12" s="1"/>
  <c r="K3077" i="12" s="1"/>
  <c r="E3076" i="12"/>
  <c r="F3076" i="12" s="1"/>
  <c r="G3076" i="12" s="1"/>
  <c r="I3076" i="12" s="1"/>
  <c r="K3076" i="12" s="1"/>
  <c r="D3075" i="12"/>
  <c r="E3075" i="12" s="1"/>
  <c r="F3075" i="12" s="1"/>
  <c r="G3075" i="12" s="1"/>
  <c r="I3075" i="12" s="1"/>
  <c r="K3075" i="12" s="1"/>
  <c r="D3074" i="12"/>
  <c r="E3074" i="12" s="1"/>
  <c r="F3074" i="12" s="1"/>
  <c r="G3074" i="12" s="1"/>
  <c r="I3074" i="12" s="1"/>
  <c r="K3074" i="12" s="1"/>
  <c r="D3073" i="12"/>
  <c r="E3073" i="12" s="1"/>
  <c r="F3073" i="12" s="1"/>
  <c r="G3073" i="12" s="1"/>
  <c r="I3073" i="12" s="1"/>
  <c r="K3073" i="12" s="1"/>
  <c r="E3072" i="12"/>
  <c r="F3072" i="12" s="1"/>
  <c r="G3072" i="12" s="1"/>
  <c r="I3072" i="12" s="1"/>
  <c r="K3072" i="12" s="1"/>
  <c r="E3071" i="12"/>
  <c r="F3071" i="12" s="1"/>
  <c r="G3071" i="12" s="1"/>
  <c r="I3071" i="12" s="1"/>
  <c r="K3071" i="12" s="1"/>
  <c r="E3070" i="12"/>
  <c r="F3070" i="12" s="1"/>
  <c r="G3070" i="12" s="1"/>
  <c r="I3070" i="12" s="1"/>
  <c r="K3070" i="12" s="1"/>
  <c r="E3069" i="12"/>
  <c r="F3069" i="12" s="1"/>
  <c r="G3069" i="12" s="1"/>
  <c r="I3069" i="12" s="1"/>
  <c r="K3069" i="12" s="1"/>
  <c r="E3068" i="12"/>
  <c r="F3068" i="12" s="1"/>
  <c r="G3068" i="12" s="1"/>
  <c r="I3068" i="12" s="1"/>
  <c r="K3068" i="12" s="1"/>
  <c r="E3067" i="12"/>
  <c r="F3067" i="12" s="1"/>
  <c r="G3067" i="12" s="1"/>
  <c r="I3067" i="12" s="1"/>
  <c r="K3067" i="12" s="1"/>
  <c r="D3066" i="12"/>
  <c r="E3066" i="12" s="1"/>
  <c r="F3066" i="12" s="1"/>
  <c r="G3066" i="12" s="1"/>
  <c r="I3066" i="12" s="1"/>
  <c r="K3066" i="12" s="1"/>
  <c r="D3065" i="12"/>
  <c r="E3065" i="12" s="1"/>
  <c r="F3065" i="12" s="1"/>
  <c r="G3065" i="12" s="1"/>
  <c r="I3065" i="12" s="1"/>
  <c r="K3065" i="12" s="1"/>
  <c r="E3064" i="12"/>
  <c r="F3064" i="12" s="1"/>
  <c r="G3064" i="12" s="1"/>
  <c r="I3064" i="12" s="1"/>
  <c r="K3064" i="12" s="1"/>
  <c r="E3063" i="12"/>
  <c r="F3063" i="12" s="1"/>
  <c r="G3063" i="12" s="1"/>
  <c r="I3063" i="12" s="1"/>
  <c r="K3063" i="12" s="1"/>
  <c r="E3062" i="12"/>
  <c r="F3062" i="12" s="1"/>
  <c r="G3062" i="12" s="1"/>
  <c r="I3062" i="12" s="1"/>
  <c r="K3062" i="12" s="1"/>
  <c r="E3061" i="12"/>
  <c r="F3061" i="12" s="1"/>
  <c r="G3061" i="12" s="1"/>
  <c r="I3061" i="12" s="1"/>
  <c r="K3061" i="12" s="1"/>
  <c r="D3060" i="12"/>
  <c r="E3060" i="12" s="1"/>
  <c r="F3060" i="12" s="1"/>
  <c r="G3060" i="12" s="1"/>
  <c r="I3060" i="12" s="1"/>
  <c r="K3060" i="12" s="1"/>
  <c r="E3059" i="12"/>
  <c r="F3059" i="12" s="1"/>
  <c r="G3059" i="12" s="1"/>
  <c r="I3059" i="12" s="1"/>
  <c r="K3059" i="12" s="1"/>
  <c r="E3058" i="12"/>
  <c r="F3058" i="12" s="1"/>
  <c r="G3058" i="12" s="1"/>
  <c r="I3058" i="12" s="1"/>
  <c r="K3058" i="12" s="1"/>
  <c r="E3057" i="12"/>
  <c r="F3057" i="12" s="1"/>
  <c r="G3057" i="12" s="1"/>
  <c r="I3057" i="12" s="1"/>
  <c r="K3057" i="12" s="1"/>
  <c r="E3056" i="12"/>
  <c r="F3056" i="12" s="1"/>
  <c r="G3056" i="12" s="1"/>
  <c r="I3056" i="12" s="1"/>
  <c r="K3056" i="12" s="1"/>
  <c r="D3055" i="12"/>
  <c r="E3055" i="12" s="1"/>
  <c r="F3055" i="12" s="1"/>
  <c r="G3055" i="12" s="1"/>
  <c r="I3055" i="12" s="1"/>
  <c r="K3055" i="12" s="1"/>
  <c r="D3054" i="12"/>
  <c r="E3054" i="12" s="1"/>
  <c r="F3054" i="12" s="1"/>
  <c r="G3054" i="12" s="1"/>
  <c r="I3054" i="12" s="1"/>
  <c r="K3054" i="12" s="1"/>
  <c r="E3053" i="12"/>
  <c r="F3053" i="12" s="1"/>
  <c r="G3053" i="12" s="1"/>
  <c r="I3053" i="12" s="1"/>
  <c r="K3053" i="12" s="1"/>
  <c r="E3052" i="12"/>
  <c r="F3052" i="12" s="1"/>
  <c r="G3052" i="12" s="1"/>
  <c r="I3052" i="12" s="1"/>
  <c r="K3052" i="12" s="1"/>
  <c r="E3051" i="12"/>
  <c r="F3051" i="12" s="1"/>
  <c r="G3051" i="12" s="1"/>
  <c r="I3051" i="12" s="1"/>
  <c r="K3051" i="12" s="1"/>
  <c r="D3050" i="12"/>
  <c r="E3050" i="12" s="1"/>
  <c r="F3050" i="12" s="1"/>
  <c r="G3050" i="12" s="1"/>
  <c r="I3050" i="12" s="1"/>
  <c r="K3050" i="12" s="1"/>
  <c r="D3049" i="12"/>
  <c r="E3049" i="12" s="1"/>
  <c r="F3049" i="12" s="1"/>
  <c r="G3049" i="12" s="1"/>
  <c r="I3049" i="12" s="1"/>
  <c r="K3049" i="12" s="1"/>
  <c r="E3048" i="12"/>
  <c r="F3048" i="12" s="1"/>
  <c r="G3048" i="12" s="1"/>
  <c r="I3048" i="12" s="1"/>
  <c r="K3048" i="12" s="1"/>
  <c r="D3047" i="12"/>
  <c r="E3047" i="12" s="1"/>
  <c r="F3047" i="12" s="1"/>
  <c r="G3047" i="12" s="1"/>
  <c r="I3047" i="12" s="1"/>
  <c r="K3047" i="12" s="1"/>
  <c r="D3046" i="12"/>
  <c r="E3046" i="12" s="1"/>
  <c r="F3046" i="12" s="1"/>
  <c r="G3046" i="12" s="1"/>
  <c r="I3046" i="12" s="1"/>
  <c r="K3046" i="12" s="1"/>
  <c r="D3045" i="12"/>
  <c r="E3045" i="12" s="1"/>
  <c r="F3045" i="12" s="1"/>
  <c r="G3045" i="12" s="1"/>
  <c r="I3045" i="12" s="1"/>
  <c r="K3045" i="12" s="1"/>
  <c r="E3044" i="12"/>
  <c r="F3044" i="12" s="1"/>
  <c r="G3044" i="12" s="1"/>
  <c r="I3044" i="12" s="1"/>
  <c r="K3044" i="12" s="1"/>
  <c r="E3043" i="12"/>
  <c r="F3043" i="12" s="1"/>
  <c r="G3043" i="12" s="1"/>
  <c r="I3043" i="12" s="1"/>
  <c r="K3043" i="12" s="1"/>
  <c r="E3042" i="12"/>
  <c r="F3042" i="12" s="1"/>
  <c r="G3042" i="12" s="1"/>
  <c r="I3042" i="12" s="1"/>
  <c r="K3042" i="12" s="1"/>
  <c r="E3041" i="12"/>
  <c r="F3041" i="12" s="1"/>
  <c r="G3041" i="12" s="1"/>
  <c r="I3041" i="12" s="1"/>
  <c r="K3041" i="12" s="1"/>
  <c r="E3040" i="12"/>
  <c r="F3040" i="12" s="1"/>
  <c r="G3040" i="12" s="1"/>
  <c r="I3040" i="12" s="1"/>
  <c r="K3040" i="12" s="1"/>
  <c r="E3039" i="12"/>
  <c r="F3039" i="12" s="1"/>
  <c r="G3039" i="12" s="1"/>
  <c r="I3039" i="12" s="1"/>
  <c r="K3039" i="12" s="1"/>
  <c r="E3038" i="12"/>
  <c r="F3038" i="12" s="1"/>
  <c r="G3038" i="12" s="1"/>
  <c r="I3038" i="12" s="1"/>
  <c r="K3038" i="12" s="1"/>
  <c r="E3037" i="12"/>
  <c r="F3037" i="12" s="1"/>
  <c r="G3037" i="12" s="1"/>
  <c r="I3037" i="12" s="1"/>
  <c r="K3037" i="12" s="1"/>
  <c r="D3036" i="12"/>
  <c r="E3036" i="12" s="1"/>
  <c r="F3036" i="12" s="1"/>
  <c r="G3036" i="12" s="1"/>
  <c r="I3036" i="12" s="1"/>
  <c r="K3036" i="12" s="1"/>
  <c r="D3035" i="12"/>
  <c r="E3035" i="12" s="1"/>
  <c r="F3035" i="12" s="1"/>
  <c r="G3035" i="12" s="1"/>
  <c r="I3035" i="12" s="1"/>
  <c r="K3035" i="12" s="1"/>
  <c r="E3034" i="12"/>
  <c r="F3034" i="12" s="1"/>
  <c r="G3034" i="12" s="1"/>
  <c r="I3034" i="12" s="1"/>
  <c r="K3034" i="12" s="1"/>
  <c r="D3033" i="12"/>
  <c r="E3033" i="12" s="1"/>
  <c r="F3033" i="12" s="1"/>
  <c r="G3033" i="12" s="1"/>
  <c r="I3033" i="12" s="1"/>
  <c r="K3033" i="12" s="1"/>
  <c r="E3032" i="12"/>
  <c r="F3032" i="12" s="1"/>
  <c r="G3032" i="12" s="1"/>
  <c r="I3032" i="12" s="1"/>
  <c r="K3032" i="12" s="1"/>
  <c r="D3031" i="12"/>
  <c r="E3031" i="12" s="1"/>
  <c r="F3031" i="12" s="1"/>
  <c r="G3031" i="12" s="1"/>
  <c r="I3031" i="12" s="1"/>
  <c r="K3031" i="12" s="1"/>
  <c r="E3030" i="12"/>
  <c r="F3030" i="12" s="1"/>
  <c r="G3030" i="12" s="1"/>
  <c r="I3030" i="12" s="1"/>
  <c r="K3030" i="12" s="1"/>
  <c r="D3029" i="12"/>
  <c r="E3029" i="12" s="1"/>
  <c r="F3029" i="12" s="1"/>
  <c r="G3029" i="12" s="1"/>
  <c r="I3029" i="12" s="1"/>
  <c r="K3029" i="12" s="1"/>
  <c r="E3028" i="12"/>
  <c r="F3028" i="12" s="1"/>
  <c r="G3028" i="12" s="1"/>
  <c r="I3028" i="12" s="1"/>
  <c r="K3028" i="12" s="1"/>
  <c r="E3027" i="12"/>
  <c r="F3027" i="12" s="1"/>
  <c r="G3027" i="12" s="1"/>
  <c r="I3027" i="12" s="1"/>
  <c r="K3027" i="12" s="1"/>
  <c r="E3026" i="12"/>
  <c r="F3026" i="12" s="1"/>
  <c r="G3026" i="12" s="1"/>
  <c r="I3026" i="12" s="1"/>
  <c r="K3026" i="12" s="1"/>
  <c r="E3025" i="12"/>
  <c r="F3025" i="12" s="1"/>
  <c r="G3025" i="12" s="1"/>
  <c r="I3025" i="12" s="1"/>
  <c r="K3025" i="12" s="1"/>
  <c r="E3024" i="12"/>
  <c r="F3024" i="12" s="1"/>
  <c r="G3024" i="12" s="1"/>
  <c r="I3024" i="12" s="1"/>
  <c r="K3024" i="12" s="1"/>
  <c r="D3023" i="12"/>
  <c r="E3023" i="12" s="1"/>
  <c r="F3023" i="12" s="1"/>
  <c r="G3023" i="12" s="1"/>
  <c r="I3023" i="12" s="1"/>
  <c r="K3023" i="12" s="1"/>
  <c r="D3022" i="12"/>
  <c r="E3022" i="12" s="1"/>
  <c r="F3022" i="12" s="1"/>
  <c r="G3022" i="12" s="1"/>
  <c r="I3022" i="12" s="1"/>
  <c r="K3022" i="12" s="1"/>
  <c r="D3021" i="12"/>
  <c r="E3021" i="12" s="1"/>
  <c r="F3021" i="12" s="1"/>
  <c r="G3021" i="12" s="1"/>
  <c r="I3021" i="12" s="1"/>
  <c r="K3021" i="12" s="1"/>
  <c r="D3020" i="12"/>
  <c r="E3020" i="12" s="1"/>
  <c r="F3020" i="12" s="1"/>
  <c r="G3020" i="12" s="1"/>
  <c r="I3020" i="12" s="1"/>
  <c r="K3020" i="12" s="1"/>
  <c r="E3019" i="12"/>
  <c r="F3019" i="12" s="1"/>
  <c r="G3019" i="12" s="1"/>
  <c r="I3019" i="12" s="1"/>
  <c r="K3019" i="12" s="1"/>
  <c r="E3018" i="12"/>
  <c r="F3018" i="12" s="1"/>
  <c r="G3018" i="12" s="1"/>
  <c r="I3018" i="12" s="1"/>
  <c r="K3018" i="12" s="1"/>
  <c r="E3017" i="12"/>
  <c r="F3017" i="12" s="1"/>
  <c r="G3017" i="12" s="1"/>
  <c r="I3017" i="12" s="1"/>
  <c r="K3017" i="12" s="1"/>
  <c r="E3016" i="12"/>
  <c r="F3016" i="12" s="1"/>
  <c r="G3016" i="12" s="1"/>
  <c r="I3016" i="12" s="1"/>
  <c r="K3016" i="12" s="1"/>
  <c r="E3015" i="12"/>
  <c r="F3015" i="12" s="1"/>
  <c r="G3015" i="12" s="1"/>
  <c r="I3015" i="12" s="1"/>
  <c r="K3015" i="12" s="1"/>
  <c r="E3014" i="12"/>
  <c r="F3014" i="12" s="1"/>
  <c r="G3014" i="12" s="1"/>
  <c r="I3014" i="12" s="1"/>
  <c r="K3014" i="12" s="1"/>
  <c r="E3013" i="12"/>
  <c r="F3013" i="12" s="1"/>
  <c r="G3013" i="12" s="1"/>
  <c r="I3013" i="12" s="1"/>
  <c r="K3013" i="12" s="1"/>
  <c r="E3012" i="12"/>
  <c r="F3012" i="12" s="1"/>
  <c r="G3012" i="12" s="1"/>
  <c r="I3012" i="12" s="1"/>
  <c r="K3012" i="12" s="1"/>
  <c r="E3011" i="12"/>
  <c r="F3011" i="12" s="1"/>
  <c r="G3011" i="12" s="1"/>
  <c r="I3011" i="12" s="1"/>
  <c r="K3011" i="12" s="1"/>
  <c r="E3010" i="12"/>
  <c r="F3010" i="12" s="1"/>
  <c r="G3010" i="12" s="1"/>
  <c r="I3010" i="12" s="1"/>
  <c r="K3010" i="12" s="1"/>
  <c r="E3009" i="12"/>
  <c r="F3009" i="12" s="1"/>
  <c r="G3009" i="12" s="1"/>
  <c r="I3009" i="12" s="1"/>
  <c r="K3009" i="12" s="1"/>
  <c r="E3008" i="12"/>
  <c r="F3008" i="12" s="1"/>
  <c r="G3008" i="12" s="1"/>
  <c r="I3008" i="12" s="1"/>
  <c r="K3008" i="12" s="1"/>
  <c r="D3007" i="12"/>
  <c r="E3007" i="12" s="1"/>
  <c r="F3007" i="12" s="1"/>
  <c r="G3007" i="12" s="1"/>
  <c r="I3007" i="12" s="1"/>
  <c r="K3007" i="12" s="1"/>
  <c r="D3006" i="12"/>
  <c r="E3006" i="12" s="1"/>
  <c r="F3006" i="12" s="1"/>
  <c r="G3006" i="12" s="1"/>
  <c r="I3006" i="12" s="1"/>
  <c r="K3006" i="12" s="1"/>
  <c r="E3005" i="12"/>
  <c r="F3005" i="12" s="1"/>
  <c r="G3005" i="12" s="1"/>
  <c r="I3005" i="12" s="1"/>
  <c r="K3005" i="12" s="1"/>
  <c r="E3004" i="12"/>
  <c r="F3004" i="12" s="1"/>
  <c r="G3004" i="12" s="1"/>
  <c r="I3004" i="12" s="1"/>
  <c r="K3004" i="12" s="1"/>
  <c r="E3003" i="12"/>
  <c r="F3003" i="12" s="1"/>
  <c r="G3003" i="12" s="1"/>
  <c r="I3003" i="12" s="1"/>
  <c r="K3003" i="12" s="1"/>
  <c r="D3002" i="12"/>
  <c r="E3002" i="12" s="1"/>
  <c r="F3002" i="12" s="1"/>
  <c r="G3002" i="12" s="1"/>
  <c r="I3002" i="12" s="1"/>
  <c r="K3002" i="12" s="1"/>
  <c r="E3001" i="12"/>
  <c r="F3001" i="12" s="1"/>
  <c r="G3001" i="12" s="1"/>
  <c r="I3001" i="12" s="1"/>
  <c r="K3001" i="12" s="1"/>
  <c r="K3000" i="12"/>
  <c r="K2999" i="12"/>
  <c r="E2998" i="12"/>
  <c r="F2998" i="12" s="1"/>
  <c r="G2998" i="12" s="1"/>
  <c r="I2998" i="12" s="1"/>
  <c r="K2998" i="12" s="1"/>
  <c r="E2997" i="12"/>
  <c r="F2997" i="12" s="1"/>
  <c r="G2997" i="12" s="1"/>
  <c r="I2997" i="12" s="1"/>
  <c r="K2997" i="12" s="1"/>
  <c r="D2996" i="12"/>
  <c r="E2996" i="12" s="1"/>
  <c r="F2996" i="12" s="1"/>
  <c r="G2996" i="12" s="1"/>
  <c r="I2996" i="12" s="1"/>
  <c r="K2996" i="12" s="1"/>
  <c r="E2995" i="12"/>
  <c r="F2995" i="12" s="1"/>
  <c r="G2995" i="12" s="1"/>
  <c r="I2995" i="12" s="1"/>
  <c r="K2995" i="12" s="1"/>
  <c r="E2994" i="12"/>
  <c r="F2994" i="12" s="1"/>
  <c r="G2994" i="12" s="1"/>
  <c r="I2994" i="12" s="1"/>
  <c r="K2994" i="12" s="1"/>
  <c r="E2993" i="12"/>
  <c r="F2993" i="12" s="1"/>
  <c r="G2993" i="12" s="1"/>
  <c r="I2993" i="12" s="1"/>
  <c r="K2993" i="12" s="1"/>
  <c r="E2992" i="12"/>
  <c r="F2992" i="12" s="1"/>
  <c r="G2992" i="12" s="1"/>
  <c r="I2992" i="12" s="1"/>
  <c r="K2992" i="12" s="1"/>
  <c r="E2991" i="12"/>
  <c r="F2991" i="12" s="1"/>
  <c r="G2991" i="12" s="1"/>
  <c r="I2991" i="12" s="1"/>
  <c r="K2991" i="12" s="1"/>
  <c r="E2990" i="12"/>
  <c r="F2990" i="12" s="1"/>
  <c r="G2990" i="12" s="1"/>
  <c r="I2990" i="12" s="1"/>
  <c r="K2990" i="12" s="1"/>
  <c r="E2989" i="12"/>
  <c r="F2989" i="12" s="1"/>
  <c r="G2989" i="12" s="1"/>
  <c r="I2989" i="12" s="1"/>
  <c r="K2989" i="12" s="1"/>
  <c r="E2988" i="12"/>
  <c r="F2988" i="12" s="1"/>
  <c r="G2988" i="12" s="1"/>
  <c r="I2988" i="12" s="1"/>
  <c r="K2988" i="12" s="1"/>
  <c r="E2987" i="12"/>
  <c r="F2987" i="12" s="1"/>
  <c r="G2987" i="12" s="1"/>
  <c r="I2987" i="12" s="1"/>
  <c r="K2987" i="12" s="1"/>
  <c r="E2986" i="12"/>
  <c r="F2986" i="12" s="1"/>
  <c r="G2986" i="12" s="1"/>
  <c r="I2986" i="12" s="1"/>
  <c r="K2986" i="12" s="1"/>
  <c r="D2985" i="12"/>
  <c r="E2985" i="12" s="1"/>
  <c r="F2985" i="12" s="1"/>
  <c r="G2985" i="12" s="1"/>
  <c r="I2985" i="12" s="1"/>
  <c r="K2985" i="12" s="1"/>
  <c r="D2984" i="12"/>
  <c r="E2984" i="12" s="1"/>
  <c r="F2984" i="12" s="1"/>
  <c r="G2984" i="12" s="1"/>
  <c r="I2984" i="12" s="1"/>
  <c r="K2984" i="12" s="1"/>
  <c r="E2983" i="12"/>
  <c r="F2983" i="12" s="1"/>
  <c r="G2983" i="12" s="1"/>
  <c r="I2983" i="12" s="1"/>
  <c r="K2983" i="12" s="1"/>
  <c r="E2982" i="12"/>
  <c r="F2982" i="12" s="1"/>
  <c r="G2982" i="12" s="1"/>
  <c r="I2982" i="12" s="1"/>
  <c r="K2982" i="12" s="1"/>
  <c r="D2981" i="12"/>
  <c r="E2981" i="12" s="1"/>
  <c r="F2981" i="12" s="1"/>
  <c r="G2981" i="12" s="1"/>
  <c r="I2981" i="12" s="1"/>
  <c r="K2981" i="12" s="1"/>
  <c r="D2980" i="12"/>
  <c r="E2980" i="12" s="1"/>
  <c r="F2980" i="12" s="1"/>
  <c r="G2980" i="12" s="1"/>
  <c r="I2980" i="12" s="1"/>
  <c r="K2980" i="12" s="1"/>
  <c r="D2979" i="12"/>
  <c r="E2979" i="12" s="1"/>
  <c r="F2979" i="12" s="1"/>
  <c r="G2979" i="12" s="1"/>
  <c r="I2979" i="12" s="1"/>
  <c r="K2979" i="12" s="1"/>
  <c r="D2978" i="12"/>
  <c r="E2978" i="12" s="1"/>
  <c r="F2978" i="12" s="1"/>
  <c r="G2978" i="12" s="1"/>
  <c r="I2978" i="12" s="1"/>
  <c r="K2978" i="12" s="1"/>
  <c r="E2977" i="12"/>
  <c r="F2977" i="12" s="1"/>
  <c r="G2977" i="12" s="1"/>
  <c r="I2977" i="12" s="1"/>
  <c r="K2977" i="12" s="1"/>
  <c r="E2976" i="12"/>
  <c r="F2976" i="12" s="1"/>
  <c r="G2976" i="12" s="1"/>
  <c r="I2976" i="12" s="1"/>
  <c r="K2976" i="12" s="1"/>
  <c r="E2975" i="12"/>
  <c r="F2975" i="12" s="1"/>
  <c r="G2975" i="12" s="1"/>
  <c r="I2975" i="12" s="1"/>
  <c r="K2975" i="12" s="1"/>
  <c r="E2974" i="12"/>
  <c r="F2974" i="12" s="1"/>
  <c r="G2974" i="12" s="1"/>
  <c r="I2974" i="12" s="1"/>
  <c r="K2974" i="12" s="1"/>
  <c r="D2973" i="12"/>
  <c r="E2973" i="12" s="1"/>
  <c r="F2973" i="12" s="1"/>
  <c r="G2973" i="12" s="1"/>
  <c r="I2973" i="12" s="1"/>
  <c r="K2973" i="12" s="1"/>
  <c r="D2972" i="12"/>
  <c r="E2972" i="12" s="1"/>
  <c r="F2972" i="12" s="1"/>
  <c r="G2972" i="12" s="1"/>
  <c r="I2972" i="12" s="1"/>
  <c r="K2972" i="12" s="1"/>
  <c r="D2971" i="12"/>
  <c r="E2971" i="12" s="1"/>
  <c r="F2971" i="12" s="1"/>
  <c r="G2971" i="12" s="1"/>
  <c r="I2971" i="12" s="1"/>
  <c r="K2971" i="12" s="1"/>
  <c r="D2970" i="12"/>
  <c r="E2970" i="12" s="1"/>
  <c r="F2970" i="12" s="1"/>
  <c r="G2970" i="12" s="1"/>
  <c r="I2970" i="12" s="1"/>
  <c r="K2970" i="12" s="1"/>
  <c r="E2969" i="12"/>
  <c r="F2969" i="12" s="1"/>
  <c r="G2969" i="12" s="1"/>
  <c r="I2969" i="12" s="1"/>
  <c r="K2969" i="12" s="1"/>
  <c r="E2968" i="12"/>
  <c r="F2968" i="12" s="1"/>
  <c r="G2968" i="12" s="1"/>
  <c r="I2968" i="12" s="1"/>
  <c r="K2968" i="12" s="1"/>
  <c r="E2967" i="12"/>
  <c r="F2967" i="12" s="1"/>
  <c r="G2967" i="12" s="1"/>
  <c r="I2967" i="12" s="1"/>
  <c r="K2967" i="12" s="1"/>
  <c r="E2966" i="12"/>
  <c r="F2966" i="12" s="1"/>
  <c r="G2966" i="12" s="1"/>
  <c r="I2966" i="12" s="1"/>
  <c r="K2966" i="12" s="1"/>
  <c r="D2965" i="12"/>
  <c r="E2965" i="12" s="1"/>
  <c r="F2965" i="12" s="1"/>
  <c r="G2965" i="12" s="1"/>
  <c r="I2965" i="12" s="1"/>
  <c r="K2965" i="12" s="1"/>
  <c r="E2964" i="12"/>
  <c r="F2964" i="12" s="1"/>
  <c r="G2964" i="12" s="1"/>
  <c r="I2964" i="12" s="1"/>
  <c r="K2964" i="12" s="1"/>
  <c r="E2963" i="12"/>
  <c r="F2963" i="12" s="1"/>
  <c r="G2963" i="12" s="1"/>
  <c r="I2963" i="12" s="1"/>
  <c r="K2963" i="12" s="1"/>
  <c r="E2962" i="12"/>
  <c r="F2962" i="12" s="1"/>
  <c r="G2962" i="12" s="1"/>
  <c r="I2962" i="12" s="1"/>
  <c r="K2962" i="12" s="1"/>
  <c r="E2961" i="12"/>
  <c r="F2961" i="12" s="1"/>
  <c r="G2961" i="12" s="1"/>
  <c r="I2961" i="12" s="1"/>
  <c r="K2961" i="12" s="1"/>
  <c r="D2960" i="12"/>
  <c r="E2960" i="12" s="1"/>
  <c r="F2960" i="12" s="1"/>
  <c r="G2960" i="12" s="1"/>
  <c r="I2960" i="12" s="1"/>
  <c r="K2960" i="12" s="1"/>
  <c r="E2959" i="12"/>
  <c r="F2959" i="12" s="1"/>
  <c r="G2959" i="12" s="1"/>
  <c r="I2959" i="12" s="1"/>
  <c r="K2959" i="12" s="1"/>
  <c r="E2958" i="12"/>
  <c r="F2958" i="12" s="1"/>
  <c r="G2958" i="12" s="1"/>
  <c r="I2958" i="12" s="1"/>
  <c r="K2958" i="12" s="1"/>
  <c r="E2957" i="12"/>
  <c r="F2957" i="12" s="1"/>
  <c r="G2957" i="12" s="1"/>
  <c r="I2957" i="12" s="1"/>
  <c r="K2957" i="12" s="1"/>
  <c r="E2956" i="12"/>
  <c r="F2956" i="12" s="1"/>
  <c r="G2956" i="12" s="1"/>
  <c r="I2956" i="12" s="1"/>
  <c r="K2956" i="12" s="1"/>
  <c r="E2955" i="12"/>
  <c r="F2955" i="12" s="1"/>
  <c r="G2955" i="12" s="1"/>
  <c r="I2955" i="12" s="1"/>
  <c r="K2955" i="12" s="1"/>
  <c r="E2954" i="12"/>
  <c r="F2954" i="12" s="1"/>
  <c r="G2954" i="12" s="1"/>
  <c r="I2954" i="12" s="1"/>
  <c r="K2954" i="12" s="1"/>
  <c r="E2953" i="12"/>
  <c r="F2953" i="12" s="1"/>
  <c r="G2953" i="12" s="1"/>
  <c r="I2953" i="12" s="1"/>
  <c r="K2953" i="12" s="1"/>
  <c r="D2952" i="12"/>
  <c r="E2952" i="12" s="1"/>
  <c r="F2952" i="12" s="1"/>
  <c r="G2952" i="12" s="1"/>
  <c r="I2952" i="12" s="1"/>
  <c r="K2952" i="12" s="1"/>
  <c r="D2951" i="12"/>
  <c r="E2951" i="12" s="1"/>
  <c r="F2951" i="12" s="1"/>
  <c r="G2951" i="12" s="1"/>
  <c r="I2951" i="12" s="1"/>
  <c r="K2951" i="12" s="1"/>
  <c r="D2950" i="12"/>
  <c r="E2950" i="12" s="1"/>
  <c r="F2950" i="12" s="1"/>
  <c r="G2950" i="12" s="1"/>
  <c r="I2950" i="12" s="1"/>
  <c r="K2950" i="12" s="1"/>
  <c r="D2949" i="12"/>
  <c r="E2949" i="12" s="1"/>
  <c r="F2949" i="12" s="1"/>
  <c r="G2949" i="12" s="1"/>
  <c r="I2949" i="12" s="1"/>
  <c r="K2949" i="12" s="1"/>
  <c r="D2948" i="12"/>
  <c r="E2948" i="12" s="1"/>
  <c r="F2948" i="12" s="1"/>
  <c r="G2948" i="12" s="1"/>
  <c r="I2948" i="12" s="1"/>
  <c r="K2948" i="12" s="1"/>
  <c r="D2947" i="12"/>
  <c r="E2947" i="12" s="1"/>
  <c r="F2947" i="12" s="1"/>
  <c r="G2947" i="12" s="1"/>
  <c r="I2947" i="12" s="1"/>
  <c r="K2947" i="12" s="1"/>
  <c r="D2946" i="12"/>
  <c r="E2946" i="12" s="1"/>
  <c r="F2946" i="12" s="1"/>
  <c r="G2946" i="12" s="1"/>
  <c r="I2946" i="12" s="1"/>
  <c r="K2946" i="12" s="1"/>
  <c r="D2945" i="12"/>
  <c r="E2945" i="12" s="1"/>
  <c r="F2945" i="12" s="1"/>
  <c r="G2945" i="12" s="1"/>
  <c r="I2945" i="12" s="1"/>
  <c r="K2945" i="12" s="1"/>
  <c r="E2944" i="12"/>
  <c r="F2944" i="12" s="1"/>
  <c r="G2944" i="12" s="1"/>
  <c r="I2944" i="12" s="1"/>
  <c r="K2944" i="12" s="1"/>
  <c r="E2943" i="12"/>
  <c r="F2943" i="12" s="1"/>
  <c r="G2943" i="12" s="1"/>
  <c r="I2943" i="12" s="1"/>
  <c r="K2943" i="12" s="1"/>
  <c r="E2942" i="12"/>
  <c r="F2942" i="12" s="1"/>
  <c r="G2942" i="12" s="1"/>
  <c r="I2942" i="12" s="1"/>
  <c r="K2942" i="12" s="1"/>
  <c r="E2941" i="12"/>
  <c r="F2941" i="12" s="1"/>
  <c r="G2941" i="12" s="1"/>
  <c r="I2941" i="12" s="1"/>
  <c r="K2941" i="12" s="1"/>
  <c r="E2940" i="12"/>
  <c r="F2940" i="12" s="1"/>
  <c r="G2940" i="12" s="1"/>
  <c r="I2940" i="12" s="1"/>
  <c r="K2940" i="12" s="1"/>
  <c r="E2939" i="12"/>
  <c r="F2939" i="12" s="1"/>
  <c r="G2939" i="12" s="1"/>
  <c r="I2939" i="12" s="1"/>
  <c r="K2939" i="12" s="1"/>
  <c r="E2938" i="12"/>
  <c r="F2938" i="12" s="1"/>
  <c r="G2938" i="12" s="1"/>
  <c r="I2938" i="12" s="1"/>
  <c r="K2938" i="12" s="1"/>
  <c r="E2937" i="12"/>
  <c r="F2937" i="12" s="1"/>
  <c r="G2937" i="12" s="1"/>
  <c r="I2937" i="12" s="1"/>
  <c r="K2937" i="12" s="1"/>
  <c r="D2936" i="12"/>
  <c r="E2936" i="12" s="1"/>
  <c r="F2936" i="12" s="1"/>
  <c r="G2936" i="12" s="1"/>
  <c r="I2936" i="12" s="1"/>
  <c r="K2936" i="12" s="1"/>
  <c r="E2935" i="12"/>
  <c r="F2935" i="12" s="1"/>
  <c r="G2935" i="12" s="1"/>
  <c r="I2935" i="12" s="1"/>
  <c r="K2935" i="12" s="1"/>
  <c r="E2934" i="12"/>
  <c r="F2934" i="12" s="1"/>
  <c r="G2934" i="12" s="1"/>
  <c r="I2934" i="12" s="1"/>
  <c r="K2934" i="12" s="1"/>
  <c r="E2933" i="12"/>
  <c r="F2933" i="12" s="1"/>
  <c r="G2933" i="12" s="1"/>
  <c r="I2933" i="12" s="1"/>
  <c r="K2933" i="12" s="1"/>
  <c r="E2932" i="12"/>
  <c r="F2932" i="12" s="1"/>
  <c r="G2932" i="12" s="1"/>
  <c r="I2932" i="12" s="1"/>
  <c r="K2932" i="12" s="1"/>
  <c r="E2931" i="12"/>
  <c r="F2931" i="12" s="1"/>
  <c r="G2931" i="12" s="1"/>
  <c r="I2931" i="12" s="1"/>
  <c r="K2931" i="12" s="1"/>
  <c r="E2930" i="12"/>
  <c r="F2930" i="12" s="1"/>
  <c r="G2930" i="12" s="1"/>
  <c r="I2930" i="12" s="1"/>
  <c r="K2930" i="12" s="1"/>
  <c r="E2929" i="12"/>
  <c r="F2929" i="12" s="1"/>
  <c r="G2929" i="12" s="1"/>
  <c r="I2929" i="12" s="1"/>
  <c r="K2929" i="12" s="1"/>
  <c r="E2928" i="12"/>
  <c r="F2928" i="12" s="1"/>
  <c r="G2928" i="12" s="1"/>
  <c r="I2928" i="12" s="1"/>
  <c r="K2928" i="12" s="1"/>
  <c r="E2927" i="12"/>
  <c r="F2927" i="12" s="1"/>
  <c r="G2927" i="12" s="1"/>
  <c r="I2927" i="12" s="1"/>
  <c r="K2927" i="12" s="1"/>
  <c r="E2926" i="12"/>
  <c r="F2926" i="12" s="1"/>
  <c r="G2926" i="12" s="1"/>
  <c r="I2926" i="12" s="1"/>
  <c r="K2926" i="12" s="1"/>
  <c r="D2925" i="12"/>
  <c r="E2925" i="12" s="1"/>
  <c r="F2925" i="12" s="1"/>
  <c r="G2925" i="12" s="1"/>
  <c r="I2925" i="12" s="1"/>
  <c r="K2925" i="12" s="1"/>
  <c r="E2924" i="12"/>
  <c r="F2924" i="12" s="1"/>
  <c r="G2924" i="12" s="1"/>
  <c r="I2924" i="12" s="1"/>
  <c r="K2924" i="12" s="1"/>
  <c r="E2923" i="12"/>
  <c r="F2923" i="12" s="1"/>
  <c r="G2923" i="12" s="1"/>
  <c r="I2923" i="12" s="1"/>
  <c r="K2923" i="12" s="1"/>
  <c r="E2922" i="12"/>
  <c r="F2922" i="12" s="1"/>
  <c r="G2922" i="12" s="1"/>
  <c r="I2922" i="12" s="1"/>
  <c r="K2922" i="12" s="1"/>
  <c r="E2921" i="12"/>
  <c r="F2921" i="12" s="1"/>
  <c r="G2921" i="12" s="1"/>
  <c r="I2921" i="12" s="1"/>
  <c r="E2920" i="12"/>
  <c r="F2920" i="12" s="1"/>
  <c r="G2920" i="12" s="1"/>
  <c r="I2920" i="12" s="1"/>
  <c r="K2920" i="12" s="1"/>
  <c r="E2919" i="12"/>
  <c r="F2919" i="12" s="1"/>
  <c r="G2919" i="12" s="1"/>
  <c r="I2919" i="12" s="1"/>
  <c r="K2919" i="12" s="1"/>
  <c r="E2918" i="12"/>
  <c r="F2918" i="12" s="1"/>
  <c r="G2918" i="12" s="1"/>
  <c r="I2918" i="12" s="1"/>
  <c r="K2918" i="12" s="1"/>
  <c r="E2917" i="12"/>
  <c r="F2917" i="12" s="1"/>
  <c r="G2917" i="12" s="1"/>
  <c r="I2917" i="12" s="1"/>
  <c r="K2917" i="12" s="1"/>
  <c r="E2916" i="12"/>
  <c r="F2916" i="12" s="1"/>
  <c r="G2916" i="12" s="1"/>
  <c r="I2916" i="12" s="1"/>
  <c r="K2916" i="12" s="1"/>
  <c r="E2915" i="12"/>
  <c r="F2915" i="12" s="1"/>
  <c r="G2915" i="12" s="1"/>
  <c r="I2915" i="12" s="1"/>
  <c r="K2915" i="12" s="1"/>
  <c r="E2914" i="12"/>
  <c r="F2914" i="12" s="1"/>
  <c r="G2914" i="12" s="1"/>
  <c r="I2914" i="12" s="1"/>
  <c r="K2914" i="12" s="1"/>
  <c r="E2913" i="12"/>
  <c r="F2913" i="12" s="1"/>
  <c r="G2913" i="12" s="1"/>
  <c r="I2913" i="12" s="1"/>
  <c r="K2913" i="12" s="1"/>
  <c r="E2912" i="12"/>
  <c r="F2912" i="12" s="1"/>
  <c r="G2912" i="12" s="1"/>
  <c r="I2912" i="12" s="1"/>
  <c r="K2912" i="12" s="1"/>
  <c r="D2911" i="12"/>
  <c r="E2911" i="12" s="1"/>
  <c r="F2911" i="12" s="1"/>
  <c r="G2911" i="12" s="1"/>
  <c r="I2911" i="12" s="1"/>
  <c r="K2911" i="12" s="1"/>
  <c r="E2910" i="12"/>
  <c r="F2910" i="12" s="1"/>
  <c r="G2910" i="12" s="1"/>
  <c r="I2910" i="12" s="1"/>
  <c r="K2910" i="12" s="1"/>
  <c r="E2909" i="12"/>
  <c r="F2909" i="12" s="1"/>
  <c r="G2909" i="12" s="1"/>
  <c r="I2909" i="12" s="1"/>
  <c r="K2909" i="12" s="1"/>
  <c r="E2908" i="12"/>
  <c r="F2908" i="12" s="1"/>
  <c r="G2908" i="12" s="1"/>
  <c r="I2908" i="12" s="1"/>
  <c r="K2908" i="12" s="1"/>
  <c r="E2907" i="12"/>
  <c r="F2907" i="12" s="1"/>
  <c r="G2907" i="12" s="1"/>
  <c r="I2907" i="12" s="1"/>
  <c r="K2907" i="12" s="1"/>
  <c r="E2906" i="12"/>
  <c r="F2906" i="12" s="1"/>
  <c r="G2906" i="12" s="1"/>
  <c r="I2906" i="12" s="1"/>
  <c r="K2906" i="12" s="1"/>
  <c r="E2905" i="12"/>
  <c r="F2905" i="12" s="1"/>
  <c r="G2905" i="12" s="1"/>
  <c r="I2905" i="12" s="1"/>
  <c r="K2905" i="12" s="1"/>
  <c r="E2904" i="12"/>
  <c r="F2904" i="12" s="1"/>
  <c r="G2904" i="12" s="1"/>
  <c r="I2904" i="12" s="1"/>
  <c r="E2903" i="12"/>
  <c r="F2903" i="12" s="1"/>
  <c r="G2903" i="12" s="1"/>
  <c r="I2903" i="12" s="1"/>
  <c r="K2903" i="12" s="1"/>
  <c r="E2902" i="12"/>
  <c r="F2902" i="12" s="1"/>
  <c r="G2902" i="12" s="1"/>
  <c r="I2902" i="12" s="1"/>
  <c r="K2902" i="12" s="1"/>
  <c r="E2901" i="12"/>
  <c r="F2901" i="12" s="1"/>
  <c r="G2901" i="12" s="1"/>
  <c r="I2901" i="12" s="1"/>
  <c r="K2901" i="12" s="1"/>
  <c r="E2900" i="12"/>
  <c r="F2900" i="12" s="1"/>
  <c r="G2900" i="12" s="1"/>
  <c r="I2900" i="12" s="1"/>
  <c r="K2900" i="12" s="1"/>
  <c r="E2899" i="12"/>
  <c r="F2899" i="12" s="1"/>
  <c r="G2899" i="12" s="1"/>
  <c r="I2899" i="12" s="1"/>
  <c r="K2899" i="12" s="1"/>
  <c r="D2898" i="12"/>
  <c r="E2898" i="12" s="1"/>
  <c r="F2898" i="12" s="1"/>
  <c r="G2898" i="12" s="1"/>
  <c r="I2898" i="12" s="1"/>
  <c r="K2898" i="12" s="1"/>
  <c r="E2897" i="12"/>
  <c r="F2897" i="12" s="1"/>
  <c r="G2897" i="12" s="1"/>
  <c r="I2897" i="12" s="1"/>
  <c r="K2897" i="12" s="1"/>
  <c r="E2896" i="12"/>
  <c r="F2896" i="12" s="1"/>
  <c r="G2896" i="12" s="1"/>
  <c r="I2896" i="12" s="1"/>
  <c r="K2896" i="12" s="1"/>
  <c r="E2895" i="12"/>
  <c r="F2895" i="12" s="1"/>
  <c r="G2895" i="12" s="1"/>
  <c r="I2895" i="12" s="1"/>
  <c r="K2895" i="12" s="1"/>
  <c r="E2894" i="12"/>
  <c r="F2894" i="12" s="1"/>
  <c r="G2894" i="12" s="1"/>
  <c r="I2894" i="12" s="1"/>
  <c r="K2894" i="12" s="1"/>
  <c r="E2893" i="12"/>
  <c r="F2893" i="12" s="1"/>
  <c r="G2893" i="12" s="1"/>
  <c r="I2893" i="12" s="1"/>
  <c r="K2893" i="12" s="1"/>
  <c r="E2892" i="12"/>
  <c r="F2892" i="12" s="1"/>
  <c r="G2892" i="12" s="1"/>
  <c r="I2892" i="12" s="1"/>
  <c r="K2892" i="12" s="1"/>
  <c r="D2891" i="12"/>
  <c r="E2891" i="12" s="1"/>
  <c r="F2891" i="12" s="1"/>
  <c r="G2891" i="12" s="1"/>
  <c r="I2891" i="12" s="1"/>
  <c r="K2891" i="12" s="1"/>
  <c r="E2890" i="12"/>
  <c r="F2890" i="12" s="1"/>
  <c r="G2890" i="12" s="1"/>
  <c r="I2890" i="12" s="1"/>
  <c r="K2890" i="12" s="1"/>
  <c r="E2889" i="12"/>
  <c r="F2889" i="12" s="1"/>
  <c r="G2889" i="12" s="1"/>
  <c r="I2889" i="12" s="1"/>
  <c r="K2889" i="12" s="1"/>
  <c r="D2888" i="12"/>
  <c r="E2888" i="12" s="1"/>
  <c r="F2888" i="12" s="1"/>
  <c r="G2888" i="12" s="1"/>
  <c r="I2888" i="12" s="1"/>
  <c r="K2888" i="12" s="1"/>
  <c r="D2887" i="12"/>
  <c r="E2887" i="12" s="1"/>
  <c r="F2887" i="12" s="1"/>
  <c r="G2887" i="12" s="1"/>
  <c r="I2887" i="12" s="1"/>
  <c r="K2887" i="12" s="1"/>
  <c r="D2886" i="12"/>
  <c r="E2886" i="12" s="1"/>
  <c r="F2886" i="12" s="1"/>
  <c r="G2886" i="12" s="1"/>
  <c r="I2886" i="12" s="1"/>
  <c r="K2886" i="12" s="1"/>
  <c r="D2885" i="12"/>
  <c r="D2884" i="12"/>
  <c r="E2884" i="12" s="1"/>
  <c r="F2884" i="12" s="1"/>
  <c r="G2884" i="12" s="1"/>
  <c r="I2884" i="12" s="1"/>
  <c r="K2884" i="12" s="1"/>
  <c r="E2883" i="12"/>
  <c r="F2883" i="12" s="1"/>
  <c r="G2883" i="12" s="1"/>
  <c r="I2883" i="12" s="1"/>
  <c r="K2883" i="12" s="1"/>
  <c r="E2882" i="12"/>
  <c r="F2882" i="12" s="1"/>
  <c r="G2882" i="12" s="1"/>
  <c r="I2882" i="12" s="1"/>
  <c r="K2882" i="12" s="1"/>
  <c r="D2881" i="12"/>
  <c r="E2881" i="12" s="1"/>
  <c r="F2881" i="12" s="1"/>
  <c r="G2881" i="12" s="1"/>
  <c r="I2881" i="12" s="1"/>
  <c r="K2881" i="12" s="1"/>
  <c r="E2880" i="12"/>
  <c r="F2880" i="12" s="1"/>
  <c r="G2880" i="12" s="1"/>
  <c r="I2880" i="12" s="1"/>
  <c r="K2880" i="12" s="1"/>
  <c r="E2879" i="12"/>
  <c r="F2879" i="12" s="1"/>
  <c r="G2879" i="12" s="1"/>
  <c r="I2879" i="12" s="1"/>
  <c r="E2878" i="12"/>
  <c r="F2878" i="12" s="1"/>
  <c r="G2878" i="12" s="1"/>
  <c r="I2878" i="12" s="1"/>
  <c r="E2877" i="12"/>
  <c r="F2877" i="12" s="1"/>
  <c r="G2877" i="12" s="1"/>
  <c r="I2877" i="12" s="1"/>
  <c r="K2877" i="12" s="1"/>
  <c r="E2876" i="12"/>
  <c r="F2876" i="12" s="1"/>
  <c r="G2876" i="12" s="1"/>
  <c r="I2876" i="12" s="1"/>
  <c r="K2876" i="12" s="1"/>
  <c r="E2875" i="12"/>
  <c r="F2875" i="12" s="1"/>
  <c r="G2875" i="12" s="1"/>
  <c r="I2875" i="12" s="1"/>
  <c r="K2875" i="12" s="1"/>
  <c r="E2874" i="12"/>
  <c r="F2874" i="12" s="1"/>
  <c r="G2874" i="12" s="1"/>
  <c r="I2874" i="12" s="1"/>
  <c r="K2874" i="12" s="1"/>
  <c r="E2873" i="12"/>
  <c r="F2873" i="12" s="1"/>
  <c r="G2873" i="12" s="1"/>
  <c r="I2873" i="12" s="1"/>
  <c r="K2873" i="12" s="1"/>
  <c r="E2872" i="12"/>
  <c r="F2872" i="12" s="1"/>
  <c r="G2872" i="12" s="1"/>
  <c r="I2872" i="12" s="1"/>
  <c r="K2872" i="12" s="1"/>
  <c r="E2871" i="12"/>
  <c r="F2871" i="12" s="1"/>
  <c r="G2871" i="12" s="1"/>
  <c r="I2871" i="12" s="1"/>
  <c r="K2871" i="12" s="1"/>
  <c r="E2870" i="12"/>
  <c r="F2870" i="12" s="1"/>
  <c r="G2870" i="12" s="1"/>
  <c r="I2870" i="12" s="1"/>
  <c r="K2870" i="12" s="1"/>
  <c r="E2869" i="12"/>
  <c r="F2869" i="12" s="1"/>
  <c r="G2869" i="12" s="1"/>
  <c r="I2869" i="12" s="1"/>
  <c r="K2869" i="12" s="1"/>
  <c r="E2868" i="12"/>
  <c r="F2868" i="12" s="1"/>
  <c r="G2868" i="12" s="1"/>
  <c r="I2868" i="12" s="1"/>
  <c r="K2868" i="12" s="1"/>
  <c r="E2867" i="12"/>
  <c r="F2867" i="12" s="1"/>
  <c r="G2867" i="12" s="1"/>
  <c r="I2867" i="12" s="1"/>
  <c r="K2867" i="12" s="1"/>
  <c r="D2866" i="12"/>
  <c r="E2866" i="12" s="1"/>
  <c r="F2866" i="12" s="1"/>
  <c r="G2866" i="12" s="1"/>
  <c r="I2866" i="12" s="1"/>
  <c r="K2866" i="12" s="1"/>
  <c r="E2865" i="12"/>
  <c r="F2865" i="12" s="1"/>
  <c r="G2865" i="12" s="1"/>
  <c r="I2865" i="12" s="1"/>
  <c r="K2865" i="12" s="1"/>
  <c r="D2864" i="12"/>
  <c r="E2864" i="12" s="1"/>
  <c r="F2864" i="12" s="1"/>
  <c r="G2864" i="12" s="1"/>
  <c r="I2864" i="12" s="1"/>
  <c r="K2864" i="12" s="1"/>
  <c r="E2863" i="12"/>
  <c r="F2863" i="12" s="1"/>
  <c r="G2863" i="12" s="1"/>
  <c r="I2863" i="12" s="1"/>
  <c r="K2863" i="12" s="1"/>
  <c r="E2862" i="12"/>
  <c r="F2862" i="12" s="1"/>
  <c r="G2862" i="12" s="1"/>
  <c r="I2862" i="12" s="1"/>
  <c r="K2862" i="12" s="1"/>
  <c r="E2861" i="12"/>
  <c r="F2861" i="12" s="1"/>
  <c r="G2861" i="12" s="1"/>
  <c r="I2861" i="12" s="1"/>
  <c r="K2861" i="12" s="1"/>
  <c r="E2860" i="12"/>
  <c r="F2860" i="12" s="1"/>
  <c r="G2860" i="12" s="1"/>
  <c r="I2860" i="12" s="1"/>
  <c r="K2860" i="12" s="1"/>
  <c r="D2859" i="12"/>
  <c r="E2859" i="12" s="1"/>
  <c r="F2859" i="12" s="1"/>
  <c r="G2859" i="12" s="1"/>
  <c r="I2859" i="12" s="1"/>
  <c r="K2859" i="12" s="1"/>
  <c r="D2858" i="12"/>
  <c r="E2858" i="12" s="1"/>
  <c r="F2858" i="12" s="1"/>
  <c r="G2858" i="12" s="1"/>
  <c r="I2858" i="12" s="1"/>
  <c r="K2858" i="12" s="1"/>
  <c r="E2857" i="12"/>
  <c r="F2857" i="12" s="1"/>
  <c r="G2857" i="12" s="1"/>
  <c r="I2857" i="12" s="1"/>
  <c r="K2857" i="12" s="1"/>
  <c r="E2856" i="12"/>
  <c r="F2856" i="12" s="1"/>
  <c r="G2856" i="12" s="1"/>
  <c r="I2856" i="12" s="1"/>
  <c r="K2856" i="12" s="1"/>
  <c r="D2855" i="12"/>
  <c r="E2854" i="12"/>
  <c r="F2854" i="12" s="1"/>
  <c r="G2854" i="12" s="1"/>
  <c r="I2854" i="12" s="1"/>
  <c r="K2854" i="12" s="1"/>
  <c r="E2853" i="12"/>
  <c r="F2853" i="12" s="1"/>
  <c r="G2853" i="12" s="1"/>
  <c r="I2853" i="12" s="1"/>
  <c r="K2853" i="12" s="1"/>
  <c r="E2852" i="12"/>
  <c r="F2852" i="12" s="1"/>
  <c r="G2852" i="12" s="1"/>
  <c r="I2852" i="12" s="1"/>
  <c r="K2852" i="12" s="1"/>
  <c r="E2851" i="12"/>
  <c r="F2851" i="12" s="1"/>
  <c r="G2851" i="12" s="1"/>
  <c r="I2851" i="12" s="1"/>
  <c r="K2851" i="12" s="1"/>
  <c r="D2850" i="12"/>
  <c r="E2850" i="12" s="1"/>
  <c r="F2850" i="12" s="1"/>
  <c r="G2850" i="12" s="1"/>
  <c r="I2850" i="12" s="1"/>
  <c r="K2850" i="12" s="1"/>
  <c r="E2849" i="12"/>
  <c r="F2849" i="12" s="1"/>
  <c r="G2849" i="12" s="1"/>
  <c r="I2849" i="12" s="1"/>
  <c r="K2849" i="12" s="1"/>
  <c r="E2848" i="12"/>
  <c r="F2848" i="12" s="1"/>
  <c r="G2848" i="12" s="1"/>
  <c r="I2848" i="12" s="1"/>
  <c r="K2848" i="12" s="1"/>
  <c r="E2847" i="12"/>
  <c r="F2847" i="12" s="1"/>
  <c r="G2847" i="12" s="1"/>
  <c r="I2847" i="12" s="1"/>
  <c r="E2846" i="12"/>
  <c r="F2846" i="12" s="1"/>
  <c r="G2846" i="12" s="1"/>
  <c r="I2846" i="12" s="1"/>
  <c r="K2846" i="12" s="1"/>
  <c r="E2845" i="12"/>
  <c r="F2845" i="12" s="1"/>
  <c r="G2845" i="12" s="1"/>
  <c r="I2845" i="12" s="1"/>
  <c r="K2845" i="12" s="1"/>
  <c r="E2844" i="12"/>
  <c r="F2844" i="12" s="1"/>
  <c r="G2844" i="12" s="1"/>
  <c r="I2844" i="12" s="1"/>
  <c r="K2844" i="12" s="1"/>
  <c r="D2843" i="12"/>
  <c r="E2843" i="12" s="1"/>
  <c r="F2843" i="12" s="1"/>
  <c r="G2843" i="12" s="1"/>
  <c r="I2843" i="12" s="1"/>
  <c r="K2843" i="12" s="1"/>
  <c r="D2842" i="12"/>
  <c r="E2842" i="12" s="1"/>
  <c r="F2842" i="12" s="1"/>
  <c r="G2842" i="12" s="1"/>
  <c r="I2842" i="12" s="1"/>
  <c r="K2842" i="12" s="1"/>
  <c r="E2841" i="12"/>
  <c r="F2841" i="12" s="1"/>
  <c r="G2841" i="12" s="1"/>
  <c r="I2841" i="12" s="1"/>
  <c r="K2841" i="12" s="1"/>
  <c r="D2840" i="12"/>
  <c r="E2839" i="12"/>
  <c r="F2839" i="12" s="1"/>
  <c r="G2839" i="12" s="1"/>
  <c r="I2839" i="12" s="1"/>
  <c r="K2839" i="12" s="1"/>
  <c r="E2838" i="12"/>
  <c r="F2838" i="12" s="1"/>
  <c r="G2838" i="12" s="1"/>
  <c r="I2838" i="12" s="1"/>
  <c r="K2838" i="12" s="1"/>
  <c r="D2837" i="12"/>
  <c r="E2837" i="12" s="1"/>
  <c r="F2837" i="12" s="1"/>
  <c r="G2837" i="12" s="1"/>
  <c r="I2837" i="12" s="1"/>
  <c r="K2837" i="12" s="1"/>
  <c r="D2836" i="12"/>
  <c r="E2836" i="12" s="1"/>
  <c r="F2836" i="12" s="1"/>
  <c r="G2836" i="12" s="1"/>
  <c r="I2836" i="12" s="1"/>
  <c r="K2836" i="12" s="1"/>
  <c r="E2835" i="12"/>
  <c r="F2835" i="12" s="1"/>
  <c r="G2835" i="12" s="1"/>
  <c r="I2835" i="12" s="1"/>
  <c r="K2835" i="12" s="1"/>
  <c r="E2834" i="12"/>
  <c r="F2834" i="12" s="1"/>
  <c r="G2834" i="12" s="1"/>
  <c r="I2834" i="12" s="1"/>
  <c r="K2834" i="12" s="1"/>
  <c r="E2833" i="12"/>
  <c r="F2833" i="12" s="1"/>
  <c r="G2833" i="12" s="1"/>
  <c r="I2833" i="12" s="1"/>
  <c r="K2833" i="12" s="1"/>
  <c r="E2832" i="12"/>
  <c r="F2832" i="12" s="1"/>
  <c r="G2832" i="12" s="1"/>
  <c r="I2832" i="12" s="1"/>
  <c r="K2832" i="12" s="1"/>
  <c r="E2831" i="12"/>
  <c r="F2831" i="12" s="1"/>
  <c r="G2831" i="12" s="1"/>
  <c r="I2831" i="12" s="1"/>
  <c r="K2831" i="12" s="1"/>
  <c r="D2830" i="12"/>
  <c r="E2830" i="12" s="1"/>
  <c r="F2830" i="12" s="1"/>
  <c r="G2830" i="12" s="1"/>
  <c r="I2830" i="12" s="1"/>
  <c r="K2830" i="12" s="1"/>
  <c r="D2829" i="12"/>
  <c r="E2829" i="12" s="1"/>
  <c r="F2829" i="12" s="1"/>
  <c r="G2829" i="12" s="1"/>
  <c r="I2829" i="12" s="1"/>
  <c r="K2829" i="12" s="1"/>
  <c r="D2828" i="12"/>
  <c r="E2828" i="12" s="1"/>
  <c r="F2828" i="12" s="1"/>
  <c r="G2828" i="12" s="1"/>
  <c r="I2828" i="12" s="1"/>
  <c r="K2828" i="12" s="1"/>
  <c r="D2827" i="12"/>
  <c r="E2827" i="12" s="1"/>
  <c r="F2827" i="12" s="1"/>
  <c r="G2827" i="12" s="1"/>
  <c r="I2827" i="12" s="1"/>
  <c r="K2827" i="12" s="1"/>
  <c r="D2826" i="12"/>
  <c r="E2826" i="12" s="1"/>
  <c r="F2826" i="12" s="1"/>
  <c r="G2826" i="12" s="1"/>
  <c r="I2826" i="12" s="1"/>
  <c r="K2826" i="12" s="1"/>
  <c r="D2825" i="12"/>
  <c r="E2825" i="12" s="1"/>
  <c r="F2825" i="12" s="1"/>
  <c r="G2825" i="12" s="1"/>
  <c r="I2825" i="12" s="1"/>
  <c r="K2825" i="12" s="1"/>
  <c r="E2824" i="12"/>
  <c r="F2824" i="12" s="1"/>
  <c r="G2824" i="12" s="1"/>
  <c r="I2824" i="12" s="1"/>
  <c r="K2824" i="12" s="1"/>
  <c r="E2823" i="12"/>
  <c r="F2823" i="12" s="1"/>
  <c r="G2823" i="12" s="1"/>
  <c r="I2823" i="12" s="1"/>
  <c r="K2823" i="12" s="1"/>
  <c r="E2822" i="12"/>
  <c r="F2822" i="12" s="1"/>
  <c r="G2822" i="12" s="1"/>
  <c r="I2822" i="12" s="1"/>
  <c r="K2822" i="12" s="1"/>
  <c r="E2821" i="12"/>
  <c r="F2821" i="12" s="1"/>
  <c r="G2821" i="12" s="1"/>
  <c r="I2821" i="12" s="1"/>
  <c r="K2821" i="12" s="1"/>
  <c r="E2820" i="12"/>
  <c r="F2820" i="12" s="1"/>
  <c r="G2820" i="12" s="1"/>
  <c r="I2820" i="12" s="1"/>
  <c r="K2820" i="12" s="1"/>
  <c r="D2819" i="12"/>
  <c r="E2819" i="12" s="1"/>
  <c r="F2819" i="12" s="1"/>
  <c r="G2819" i="12" s="1"/>
  <c r="I2819" i="12" s="1"/>
  <c r="K2819" i="12" s="1"/>
  <c r="E2818" i="12"/>
  <c r="F2818" i="12" s="1"/>
  <c r="G2818" i="12" s="1"/>
  <c r="I2818" i="12" s="1"/>
  <c r="K2818" i="12" s="1"/>
  <c r="E2817" i="12"/>
  <c r="F2817" i="12" s="1"/>
  <c r="G2817" i="12" s="1"/>
  <c r="I2817" i="12" s="1"/>
  <c r="K2817" i="12" s="1"/>
  <c r="E2816" i="12"/>
  <c r="F2816" i="12" s="1"/>
  <c r="G2816" i="12" s="1"/>
  <c r="I2816" i="12" s="1"/>
  <c r="K2816" i="12" s="1"/>
  <c r="E2815" i="12"/>
  <c r="F2815" i="12" s="1"/>
  <c r="G2815" i="12" s="1"/>
  <c r="I2815" i="12" s="1"/>
  <c r="K2815" i="12" s="1"/>
  <c r="E2814" i="12"/>
  <c r="F2814" i="12" s="1"/>
  <c r="G2814" i="12" s="1"/>
  <c r="I2814" i="12" s="1"/>
  <c r="K2814" i="12" s="1"/>
  <c r="E2813" i="12"/>
  <c r="F2813" i="12" s="1"/>
  <c r="G2813" i="12" s="1"/>
  <c r="I2813" i="12" s="1"/>
  <c r="K2813" i="12" s="1"/>
  <c r="D2812" i="12"/>
  <c r="E2812" i="12" s="1"/>
  <c r="F2812" i="12" s="1"/>
  <c r="G2812" i="12" s="1"/>
  <c r="I2812" i="12" s="1"/>
  <c r="K2812" i="12" s="1"/>
  <c r="E2811" i="12"/>
  <c r="F2811" i="12" s="1"/>
  <c r="G2811" i="12" s="1"/>
  <c r="I2811" i="12" s="1"/>
  <c r="K2811" i="12" s="1"/>
  <c r="E2810" i="12"/>
  <c r="F2810" i="12" s="1"/>
  <c r="G2810" i="12" s="1"/>
  <c r="I2810" i="12" s="1"/>
  <c r="K2810" i="12" s="1"/>
  <c r="E2809" i="12"/>
  <c r="F2809" i="12" s="1"/>
  <c r="G2809" i="12" s="1"/>
  <c r="I2809" i="12" s="1"/>
  <c r="E2808" i="12"/>
  <c r="F2808" i="12" s="1"/>
  <c r="G2808" i="12" s="1"/>
  <c r="I2808" i="12" s="1"/>
  <c r="K2808" i="12" s="1"/>
  <c r="D2807" i="12"/>
  <c r="E2807" i="12" s="1"/>
  <c r="F2807" i="12" s="1"/>
  <c r="G2807" i="12" s="1"/>
  <c r="I2807" i="12" s="1"/>
  <c r="K2807" i="12" s="1"/>
  <c r="E2806" i="12"/>
  <c r="F2806" i="12" s="1"/>
  <c r="G2806" i="12" s="1"/>
  <c r="I2806" i="12" s="1"/>
  <c r="K2806" i="12" s="1"/>
  <c r="E2805" i="12"/>
  <c r="F2805" i="12" s="1"/>
  <c r="G2805" i="12" s="1"/>
  <c r="I2805" i="12" s="1"/>
  <c r="K2805" i="12" s="1"/>
  <c r="E2804" i="12"/>
  <c r="F2804" i="12" s="1"/>
  <c r="G2804" i="12" s="1"/>
  <c r="I2804" i="12" s="1"/>
  <c r="K2804" i="12" s="1"/>
  <c r="E2803" i="12"/>
  <c r="F2803" i="12" s="1"/>
  <c r="G2803" i="12" s="1"/>
  <c r="I2803" i="12" s="1"/>
  <c r="K2803" i="12" s="1"/>
  <c r="D2802" i="12"/>
  <c r="E2802" i="12" s="1"/>
  <c r="F2802" i="12" s="1"/>
  <c r="G2802" i="12" s="1"/>
  <c r="I2802" i="12" s="1"/>
  <c r="K2802" i="12" s="1"/>
  <c r="E2801" i="12"/>
  <c r="F2801" i="12" s="1"/>
  <c r="G2801" i="12" s="1"/>
  <c r="I2801" i="12" s="1"/>
  <c r="K2801" i="12" s="1"/>
  <c r="E2800" i="12"/>
  <c r="F2800" i="12" s="1"/>
  <c r="G2800" i="12" s="1"/>
  <c r="I2800" i="12" s="1"/>
  <c r="K2800" i="12" s="1"/>
  <c r="E2799" i="12"/>
  <c r="F2799" i="12" s="1"/>
  <c r="G2799" i="12" s="1"/>
  <c r="I2799" i="12" s="1"/>
  <c r="K2799" i="12" s="1"/>
  <c r="E2798" i="12"/>
  <c r="F2798" i="12" s="1"/>
  <c r="G2798" i="12" s="1"/>
  <c r="I2798" i="12" s="1"/>
  <c r="K2798" i="12" s="1"/>
  <c r="E2797" i="12"/>
  <c r="F2797" i="12" s="1"/>
  <c r="G2797" i="12" s="1"/>
  <c r="I2797" i="12" s="1"/>
  <c r="K2797" i="12" s="1"/>
  <c r="E2796" i="12"/>
  <c r="F2796" i="12" s="1"/>
  <c r="G2796" i="12" s="1"/>
  <c r="I2796" i="12" s="1"/>
  <c r="K2796" i="12" s="1"/>
  <c r="E2795" i="12"/>
  <c r="F2795" i="12" s="1"/>
  <c r="G2795" i="12" s="1"/>
  <c r="I2795" i="12" s="1"/>
  <c r="K2795" i="12" s="1"/>
  <c r="E2794" i="12"/>
  <c r="F2794" i="12" s="1"/>
  <c r="G2794" i="12" s="1"/>
  <c r="I2794" i="12" s="1"/>
  <c r="K2794" i="12" s="1"/>
  <c r="E2793" i="12"/>
  <c r="F2793" i="12" s="1"/>
  <c r="G2793" i="12" s="1"/>
  <c r="I2793" i="12" s="1"/>
  <c r="K2793" i="12" s="1"/>
  <c r="E2792" i="12"/>
  <c r="F2792" i="12" s="1"/>
  <c r="G2792" i="12" s="1"/>
  <c r="I2792" i="12" s="1"/>
  <c r="K2792" i="12" s="1"/>
  <c r="E2791" i="12"/>
  <c r="F2791" i="12" s="1"/>
  <c r="G2791" i="12" s="1"/>
  <c r="I2791" i="12" s="1"/>
  <c r="K2791" i="12" s="1"/>
  <c r="E2790" i="12"/>
  <c r="F2790" i="12" s="1"/>
  <c r="G2790" i="12" s="1"/>
  <c r="I2790" i="12" s="1"/>
  <c r="K2790" i="12" s="1"/>
  <c r="E2789" i="12"/>
  <c r="F2789" i="12" s="1"/>
  <c r="G2789" i="12" s="1"/>
  <c r="I2789" i="12" s="1"/>
  <c r="K2789" i="12" s="1"/>
  <c r="D2788" i="12"/>
  <c r="E2788" i="12" s="1"/>
  <c r="F2788" i="12" s="1"/>
  <c r="G2788" i="12" s="1"/>
  <c r="I2788" i="12" s="1"/>
  <c r="K2788" i="12" s="1"/>
  <c r="E2787" i="12"/>
  <c r="F2787" i="12" s="1"/>
  <c r="G2787" i="12" s="1"/>
  <c r="I2787" i="12" s="1"/>
  <c r="K2787" i="12" s="1"/>
  <c r="D2786" i="12"/>
  <c r="E2786" i="12" s="1"/>
  <c r="F2786" i="12" s="1"/>
  <c r="G2786" i="12" s="1"/>
  <c r="I2786" i="12" s="1"/>
  <c r="K2786" i="12" s="1"/>
  <c r="E2785" i="12"/>
  <c r="F2785" i="12" s="1"/>
  <c r="G2785" i="12" s="1"/>
  <c r="I2785" i="12" s="1"/>
  <c r="K2785" i="12" s="1"/>
  <c r="E2784" i="12"/>
  <c r="F2784" i="12" s="1"/>
  <c r="G2784" i="12" s="1"/>
  <c r="I2784" i="12" s="1"/>
  <c r="K2784" i="12" s="1"/>
  <c r="E2783" i="12"/>
  <c r="F2783" i="12" s="1"/>
  <c r="G2783" i="12" s="1"/>
  <c r="I2783" i="12" s="1"/>
  <c r="K2783" i="12" s="1"/>
  <c r="D2782" i="12"/>
  <c r="E2782" i="12" s="1"/>
  <c r="F2782" i="12" s="1"/>
  <c r="G2782" i="12" s="1"/>
  <c r="I2782" i="12" s="1"/>
  <c r="K2782" i="12" s="1"/>
  <c r="D2781" i="12"/>
  <c r="E2781" i="12" s="1"/>
  <c r="F2781" i="12" s="1"/>
  <c r="G2781" i="12" s="1"/>
  <c r="I2781" i="12" s="1"/>
  <c r="K2781" i="12" s="1"/>
  <c r="D2780" i="12"/>
  <c r="E2780" i="12" s="1"/>
  <c r="F2780" i="12" s="1"/>
  <c r="G2780" i="12" s="1"/>
  <c r="I2780" i="12" s="1"/>
  <c r="K2780" i="12" s="1"/>
  <c r="D2779" i="12"/>
  <c r="E2779" i="12" s="1"/>
  <c r="F2779" i="12" s="1"/>
  <c r="G2779" i="12" s="1"/>
  <c r="I2779" i="12" s="1"/>
  <c r="K2779" i="12" s="1"/>
  <c r="E2778" i="12"/>
  <c r="F2778" i="12" s="1"/>
  <c r="G2778" i="12" s="1"/>
  <c r="I2778" i="12" s="1"/>
  <c r="K2778" i="12" s="1"/>
  <c r="E2777" i="12"/>
  <c r="F2777" i="12" s="1"/>
  <c r="G2777" i="12" s="1"/>
  <c r="I2777" i="12" s="1"/>
  <c r="K2777" i="12" s="1"/>
  <c r="E2776" i="12"/>
  <c r="F2776" i="12" s="1"/>
  <c r="G2776" i="12" s="1"/>
  <c r="I2776" i="12" s="1"/>
  <c r="K2776" i="12" s="1"/>
  <c r="E2775" i="12"/>
  <c r="F2775" i="12" s="1"/>
  <c r="G2775" i="12" s="1"/>
  <c r="I2775" i="12" s="1"/>
  <c r="K2775" i="12" s="1"/>
  <c r="E2774" i="12"/>
  <c r="F2774" i="12" s="1"/>
  <c r="G2774" i="12" s="1"/>
  <c r="I2774" i="12" s="1"/>
  <c r="K2774" i="12" s="1"/>
  <c r="D2773" i="12"/>
  <c r="E2773" i="12" s="1"/>
  <c r="F2773" i="12" s="1"/>
  <c r="G2773" i="12" s="1"/>
  <c r="I2773" i="12" s="1"/>
  <c r="K2773" i="12" s="1"/>
  <c r="D2772" i="12"/>
  <c r="E2772" i="12" s="1"/>
  <c r="F2772" i="12" s="1"/>
  <c r="G2772" i="12" s="1"/>
  <c r="I2772" i="12" s="1"/>
  <c r="K2772" i="12" s="1"/>
  <c r="E2771" i="12"/>
  <c r="F2771" i="12" s="1"/>
  <c r="G2771" i="12" s="1"/>
  <c r="I2771" i="12" s="1"/>
  <c r="K2771" i="12" s="1"/>
  <c r="E2770" i="12"/>
  <c r="F2770" i="12" s="1"/>
  <c r="G2770" i="12" s="1"/>
  <c r="I2770" i="12" s="1"/>
  <c r="K2770" i="12" s="1"/>
  <c r="E2769" i="12"/>
  <c r="F2769" i="12" s="1"/>
  <c r="G2769" i="12" s="1"/>
  <c r="I2769" i="12" s="1"/>
  <c r="K2769" i="12" s="1"/>
  <c r="E2768" i="12"/>
  <c r="F2768" i="12" s="1"/>
  <c r="G2768" i="12" s="1"/>
  <c r="I2768" i="12" s="1"/>
  <c r="K2768" i="12" s="1"/>
  <c r="E2767" i="12"/>
  <c r="F2767" i="12" s="1"/>
  <c r="G2767" i="12" s="1"/>
  <c r="I2767" i="12" s="1"/>
  <c r="K2767" i="12" s="1"/>
  <c r="D2766" i="12"/>
  <c r="E2766" i="12" s="1"/>
  <c r="F2766" i="12" s="1"/>
  <c r="G2766" i="12" s="1"/>
  <c r="I2766" i="12" s="1"/>
  <c r="K2766" i="12" s="1"/>
  <c r="D2765" i="12"/>
  <c r="E2765" i="12" s="1"/>
  <c r="F2765" i="12" s="1"/>
  <c r="G2765" i="12" s="1"/>
  <c r="I2765" i="12" s="1"/>
  <c r="K2765" i="12" s="1"/>
  <c r="E2764" i="12"/>
  <c r="F2764" i="12" s="1"/>
  <c r="G2764" i="12" s="1"/>
  <c r="I2764" i="12" s="1"/>
  <c r="K2764" i="12" s="1"/>
  <c r="E2763" i="12"/>
  <c r="F2763" i="12" s="1"/>
  <c r="G2763" i="12" s="1"/>
  <c r="I2763" i="12" s="1"/>
  <c r="K2763" i="12" s="1"/>
  <c r="E2762" i="12"/>
  <c r="F2762" i="12" s="1"/>
  <c r="G2762" i="12" s="1"/>
  <c r="I2762" i="12" s="1"/>
  <c r="K2762" i="12" s="1"/>
  <c r="D2761" i="12"/>
  <c r="E2760" i="12"/>
  <c r="F2760" i="12" s="1"/>
  <c r="G2760" i="12" s="1"/>
  <c r="I2760" i="12" s="1"/>
  <c r="K2760" i="12" s="1"/>
  <c r="E2759" i="12"/>
  <c r="F2759" i="12" s="1"/>
  <c r="G2759" i="12" s="1"/>
  <c r="I2759" i="12" s="1"/>
  <c r="K2759" i="12" s="1"/>
  <c r="E2758" i="12"/>
  <c r="F2758" i="12" s="1"/>
  <c r="G2758" i="12" s="1"/>
  <c r="I2758" i="12" s="1"/>
  <c r="K2758" i="12" s="1"/>
  <c r="E2757" i="12"/>
  <c r="F2757" i="12" s="1"/>
  <c r="G2757" i="12" s="1"/>
  <c r="I2757" i="12" s="1"/>
  <c r="K2757" i="12" s="1"/>
  <c r="E2756" i="12"/>
  <c r="F2756" i="12" s="1"/>
  <c r="G2756" i="12" s="1"/>
  <c r="I2756" i="12" s="1"/>
  <c r="K2756" i="12" s="1"/>
  <c r="E2755" i="12"/>
  <c r="F2755" i="12" s="1"/>
  <c r="G2755" i="12" s="1"/>
  <c r="I2755" i="12" s="1"/>
  <c r="K2755" i="12" s="1"/>
  <c r="E2754" i="12"/>
  <c r="F2754" i="12" s="1"/>
  <c r="G2754" i="12" s="1"/>
  <c r="I2754" i="12" s="1"/>
  <c r="K2754" i="12" s="1"/>
  <c r="E2753" i="12"/>
  <c r="F2753" i="12" s="1"/>
  <c r="G2753" i="12" s="1"/>
  <c r="I2753" i="12" s="1"/>
  <c r="K2753" i="12" s="1"/>
  <c r="E2752" i="12"/>
  <c r="F2752" i="12" s="1"/>
  <c r="G2752" i="12" s="1"/>
  <c r="I2752" i="12" s="1"/>
  <c r="K2752" i="12" s="1"/>
  <c r="E2751" i="12"/>
  <c r="F2751" i="12" s="1"/>
  <c r="G2751" i="12" s="1"/>
  <c r="I2751" i="12" s="1"/>
  <c r="K2751" i="12" s="1"/>
  <c r="D2750" i="12"/>
  <c r="E2750" i="12" s="1"/>
  <c r="F2750" i="12" s="1"/>
  <c r="G2750" i="12" s="1"/>
  <c r="I2750" i="12" s="1"/>
  <c r="K2750" i="12" s="1"/>
  <c r="D2749" i="12"/>
  <c r="E2749" i="12" s="1"/>
  <c r="F2749" i="12" s="1"/>
  <c r="G2749" i="12" s="1"/>
  <c r="I2749" i="12" s="1"/>
  <c r="K2749" i="12" s="1"/>
  <c r="D2748" i="12"/>
  <c r="E2748" i="12" s="1"/>
  <c r="F2748" i="12" s="1"/>
  <c r="G2748" i="12" s="1"/>
  <c r="I2748" i="12" s="1"/>
  <c r="K2748" i="12" s="1"/>
  <c r="E2747" i="12"/>
  <c r="F2747" i="12" s="1"/>
  <c r="G2747" i="12" s="1"/>
  <c r="I2747" i="12" s="1"/>
  <c r="K2747" i="12" s="1"/>
  <c r="E2746" i="12"/>
  <c r="F2746" i="12" s="1"/>
  <c r="G2746" i="12" s="1"/>
  <c r="I2746" i="12" s="1"/>
  <c r="K2746" i="12" s="1"/>
  <c r="E2745" i="12"/>
  <c r="F2745" i="12" s="1"/>
  <c r="G2745" i="12" s="1"/>
  <c r="I2745" i="12" s="1"/>
  <c r="K2745" i="12" s="1"/>
  <c r="E2744" i="12"/>
  <c r="F2744" i="12" s="1"/>
  <c r="G2744" i="12" s="1"/>
  <c r="I2744" i="12" s="1"/>
  <c r="K2744" i="12" s="1"/>
  <c r="E2743" i="12"/>
  <c r="F2743" i="12" s="1"/>
  <c r="G2743" i="12" s="1"/>
  <c r="I2743" i="12" s="1"/>
  <c r="K2743" i="12" s="1"/>
  <c r="E2742" i="12"/>
  <c r="F2742" i="12" s="1"/>
  <c r="G2742" i="12" s="1"/>
  <c r="I2742" i="12" s="1"/>
  <c r="K2742" i="12" s="1"/>
  <c r="D2741" i="12"/>
  <c r="E2741" i="12" s="1"/>
  <c r="F2741" i="12" s="1"/>
  <c r="G2741" i="12" s="1"/>
  <c r="I2741" i="12" s="1"/>
  <c r="K2741" i="12" s="1"/>
  <c r="E2740" i="12"/>
  <c r="F2740" i="12" s="1"/>
  <c r="G2740" i="12" s="1"/>
  <c r="I2740" i="12" s="1"/>
  <c r="K2740" i="12" s="1"/>
  <c r="E2739" i="12"/>
  <c r="F2739" i="12" s="1"/>
  <c r="G2739" i="12" s="1"/>
  <c r="I2739" i="12" s="1"/>
  <c r="K2739" i="12" s="1"/>
  <c r="E2738" i="12"/>
  <c r="F2738" i="12" s="1"/>
  <c r="G2738" i="12" s="1"/>
  <c r="I2738" i="12" s="1"/>
  <c r="K2738" i="12" s="1"/>
  <c r="D2737" i="12"/>
  <c r="D2736" i="12"/>
  <c r="E2736" i="12" s="1"/>
  <c r="F2736" i="12" s="1"/>
  <c r="G2736" i="12" s="1"/>
  <c r="I2736" i="12" s="1"/>
  <c r="K2736" i="12" s="1"/>
  <c r="E2735" i="12"/>
  <c r="F2735" i="12" s="1"/>
  <c r="G2735" i="12" s="1"/>
  <c r="I2735" i="12" s="1"/>
  <c r="K2735" i="12" s="1"/>
  <c r="E2734" i="12"/>
  <c r="F2734" i="12" s="1"/>
  <c r="G2734" i="12" s="1"/>
  <c r="I2734" i="12" s="1"/>
  <c r="K2734" i="12" s="1"/>
  <c r="E2733" i="12"/>
  <c r="F2733" i="12" s="1"/>
  <c r="G2733" i="12" s="1"/>
  <c r="I2733" i="12" s="1"/>
  <c r="K2733" i="12" s="1"/>
  <c r="E2732" i="12"/>
  <c r="F2732" i="12" s="1"/>
  <c r="G2732" i="12" s="1"/>
  <c r="I2732" i="12" s="1"/>
  <c r="K2732" i="12" s="1"/>
  <c r="E2731" i="12"/>
  <c r="F2731" i="12" s="1"/>
  <c r="G2731" i="12" s="1"/>
  <c r="I2731" i="12" s="1"/>
  <c r="K2731" i="12" s="1"/>
  <c r="E2730" i="12"/>
  <c r="F2730" i="12" s="1"/>
  <c r="G2730" i="12" s="1"/>
  <c r="I2730" i="12" s="1"/>
  <c r="K2730" i="12" s="1"/>
  <c r="D2729" i="12"/>
  <c r="E2728" i="12"/>
  <c r="F2728" i="12" s="1"/>
  <c r="G2728" i="12" s="1"/>
  <c r="I2728" i="12" s="1"/>
  <c r="K2728" i="12" s="1"/>
  <c r="E2727" i="12"/>
  <c r="F2727" i="12" s="1"/>
  <c r="G2727" i="12" s="1"/>
  <c r="I2727" i="12" s="1"/>
  <c r="K2727" i="12" s="1"/>
  <c r="E2726" i="12"/>
  <c r="F2726" i="12" s="1"/>
  <c r="G2726" i="12" s="1"/>
  <c r="I2726" i="12" s="1"/>
  <c r="K2726" i="12" s="1"/>
  <c r="E2725" i="12"/>
  <c r="F2725" i="12" s="1"/>
  <c r="G2725" i="12" s="1"/>
  <c r="I2725" i="12" s="1"/>
  <c r="K2725" i="12" s="1"/>
  <c r="E2724" i="12"/>
  <c r="F2724" i="12" s="1"/>
  <c r="G2724" i="12" s="1"/>
  <c r="I2724" i="12" s="1"/>
  <c r="K2724" i="12" s="1"/>
  <c r="E2723" i="12"/>
  <c r="F2723" i="12" s="1"/>
  <c r="G2723" i="12" s="1"/>
  <c r="I2723" i="12" s="1"/>
  <c r="K2723" i="12" s="1"/>
  <c r="D2722" i="12"/>
  <c r="E2722" i="12" s="1"/>
  <c r="F2722" i="12" s="1"/>
  <c r="G2722" i="12" s="1"/>
  <c r="I2722" i="12" s="1"/>
  <c r="K2722" i="12" s="1"/>
  <c r="E2721" i="12"/>
  <c r="F2721" i="12" s="1"/>
  <c r="G2721" i="12" s="1"/>
  <c r="I2721" i="12" s="1"/>
  <c r="K2721" i="12" s="1"/>
  <c r="D2720" i="12"/>
  <c r="E2720" i="12" s="1"/>
  <c r="F2720" i="12" s="1"/>
  <c r="G2720" i="12" s="1"/>
  <c r="I2720" i="12" s="1"/>
  <c r="K2720" i="12" s="1"/>
  <c r="D2719" i="12"/>
  <c r="E2719" i="12" s="1"/>
  <c r="F2719" i="12" s="1"/>
  <c r="G2719" i="12" s="1"/>
  <c r="I2719" i="12" s="1"/>
  <c r="K2719" i="12" s="1"/>
  <c r="D2718" i="12"/>
  <c r="E2718" i="12" s="1"/>
  <c r="F2718" i="12" s="1"/>
  <c r="G2718" i="12" s="1"/>
  <c r="I2718" i="12" s="1"/>
  <c r="K2718" i="12" s="1"/>
  <c r="D2717" i="12"/>
  <c r="E2717" i="12" s="1"/>
  <c r="F2717" i="12" s="1"/>
  <c r="G2717" i="12" s="1"/>
  <c r="I2717" i="12" s="1"/>
  <c r="K2717" i="12" s="1"/>
  <c r="D2716" i="12"/>
  <c r="E2716" i="12" s="1"/>
  <c r="F2716" i="12" s="1"/>
  <c r="G2716" i="12" s="1"/>
  <c r="I2716" i="12" s="1"/>
  <c r="K2716" i="12" s="1"/>
  <c r="D2715" i="12"/>
  <c r="E2715" i="12" s="1"/>
  <c r="F2715" i="12" s="1"/>
  <c r="G2715" i="12" s="1"/>
  <c r="I2715" i="12" s="1"/>
  <c r="K2715" i="12" s="1"/>
  <c r="D2714" i="12"/>
  <c r="E2714" i="12" s="1"/>
  <c r="F2714" i="12" s="1"/>
  <c r="G2714" i="12" s="1"/>
  <c r="I2714" i="12" s="1"/>
  <c r="K2714" i="12" s="1"/>
  <c r="E2713" i="12"/>
  <c r="F2713" i="12" s="1"/>
  <c r="G2713" i="12" s="1"/>
  <c r="I2713" i="12" s="1"/>
  <c r="K2713" i="12" s="1"/>
  <c r="D2712" i="12"/>
  <c r="E2712" i="12" s="1"/>
  <c r="F2712" i="12" s="1"/>
  <c r="G2712" i="12" s="1"/>
  <c r="I2712" i="12" s="1"/>
  <c r="K2712" i="12" s="1"/>
  <c r="E2711" i="12"/>
  <c r="F2711" i="12" s="1"/>
  <c r="G2711" i="12" s="1"/>
  <c r="I2711" i="12" s="1"/>
  <c r="K2711" i="12" s="1"/>
  <c r="E2710" i="12"/>
  <c r="F2710" i="12" s="1"/>
  <c r="G2710" i="12" s="1"/>
  <c r="I2710" i="12" s="1"/>
  <c r="K2710" i="12" s="1"/>
  <c r="E2709" i="12"/>
  <c r="F2709" i="12" s="1"/>
  <c r="G2709" i="12" s="1"/>
  <c r="I2709" i="12" s="1"/>
  <c r="K2709" i="12" s="1"/>
  <c r="D2708" i="12"/>
  <c r="E2708" i="12" s="1"/>
  <c r="F2708" i="12" s="1"/>
  <c r="G2708" i="12" s="1"/>
  <c r="I2708" i="12" s="1"/>
  <c r="K2708" i="12" s="1"/>
  <c r="E2707" i="12"/>
  <c r="F2707" i="12" s="1"/>
  <c r="G2707" i="12" s="1"/>
  <c r="I2707" i="12" s="1"/>
  <c r="K2707" i="12" s="1"/>
  <c r="E2706" i="12"/>
  <c r="F2706" i="12" s="1"/>
  <c r="G2706" i="12" s="1"/>
  <c r="I2706" i="12" s="1"/>
  <c r="K2706" i="12" s="1"/>
  <c r="E2705" i="12"/>
  <c r="F2705" i="12" s="1"/>
  <c r="G2705" i="12" s="1"/>
  <c r="I2705" i="12" s="1"/>
  <c r="K2705" i="12" s="1"/>
  <c r="E2704" i="12"/>
  <c r="F2704" i="12" s="1"/>
  <c r="G2704" i="12" s="1"/>
  <c r="I2704" i="12" s="1"/>
  <c r="K2704" i="12" s="1"/>
  <c r="E2703" i="12"/>
  <c r="F2703" i="12" s="1"/>
  <c r="G2703" i="12" s="1"/>
  <c r="I2703" i="12" s="1"/>
  <c r="K2703" i="12" s="1"/>
  <c r="E2702" i="12"/>
  <c r="F2702" i="12" s="1"/>
  <c r="G2702" i="12" s="1"/>
  <c r="I2702" i="12" s="1"/>
  <c r="K2702" i="12" s="1"/>
  <c r="D2701" i="12"/>
  <c r="E2701" i="12" s="1"/>
  <c r="F2701" i="12" s="1"/>
  <c r="G2701" i="12" s="1"/>
  <c r="I2701" i="12" s="1"/>
  <c r="K2701" i="12" s="1"/>
  <c r="E2700" i="12"/>
  <c r="F2700" i="12" s="1"/>
  <c r="G2700" i="12" s="1"/>
  <c r="I2700" i="12" s="1"/>
  <c r="K2700" i="12" s="1"/>
  <c r="D2699" i="12"/>
  <c r="E2699" i="12" s="1"/>
  <c r="F2699" i="12" s="1"/>
  <c r="G2699" i="12" s="1"/>
  <c r="I2699" i="12" s="1"/>
  <c r="K2699" i="12" s="1"/>
  <c r="E2698" i="12"/>
  <c r="F2698" i="12" s="1"/>
  <c r="G2698" i="12" s="1"/>
  <c r="I2698" i="12" s="1"/>
  <c r="K2698" i="12" s="1"/>
  <c r="E2697" i="12"/>
  <c r="F2697" i="12" s="1"/>
  <c r="G2697" i="12" s="1"/>
  <c r="I2697" i="12" s="1"/>
  <c r="K2697" i="12" s="1"/>
  <c r="E2696" i="12"/>
  <c r="F2696" i="12" s="1"/>
  <c r="G2696" i="12" s="1"/>
  <c r="I2696" i="12" s="1"/>
  <c r="K2696" i="12" s="1"/>
  <c r="E2695" i="12"/>
  <c r="F2695" i="12" s="1"/>
  <c r="G2695" i="12" s="1"/>
  <c r="I2695" i="12" s="1"/>
  <c r="K2695" i="12" s="1"/>
  <c r="E2694" i="12"/>
  <c r="F2694" i="12" s="1"/>
  <c r="G2694" i="12" s="1"/>
  <c r="I2694" i="12" s="1"/>
  <c r="K2694" i="12" s="1"/>
  <c r="E2693" i="12"/>
  <c r="F2693" i="12" s="1"/>
  <c r="G2693" i="12" s="1"/>
  <c r="I2693" i="12" s="1"/>
  <c r="K2693" i="12" s="1"/>
  <c r="E2692" i="12"/>
  <c r="F2692" i="12" s="1"/>
  <c r="G2692" i="12" s="1"/>
  <c r="I2692" i="12" s="1"/>
  <c r="K2692" i="12" s="1"/>
  <c r="E2691" i="12"/>
  <c r="F2691" i="12" s="1"/>
  <c r="G2691" i="12" s="1"/>
  <c r="I2691" i="12" s="1"/>
  <c r="K2691" i="12" s="1"/>
  <c r="E2690" i="12"/>
  <c r="F2690" i="12" s="1"/>
  <c r="G2690" i="12" s="1"/>
  <c r="I2690" i="12" s="1"/>
  <c r="K2690" i="12" s="1"/>
  <c r="E2689" i="12"/>
  <c r="F2689" i="12" s="1"/>
  <c r="G2689" i="12" s="1"/>
  <c r="I2689" i="12" s="1"/>
  <c r="K2689" i="12" s="1"/>
  <c r="E2688" i="12"/>
  <c r="F2688" i="12" s="1"/>
  <c r="G2688" i="12" s="1"/>
  <c r="I2688" i="12" s="1"/>
  <c r="K2688" i="12" s="1"/>
  <c r="D2687" i="12"/>
  <c r="E2687" i="12" s="1"/>
  <c r="F2687" i="12" s="1"/>
  <c r="G2687" i="12" s="1"/>
  <c r="I2687" i="12" s="1"/>
  <c r="E2686" i="12"/>
  <c r="F2686" i="12" s="1"/>
  <c r="G2686" i="12" s="1"/>
  <c r="I2686" i="12" s="1"/>
  <c r="K2686" i="12" s="1"/>
  <c r="E2685" i="12"/>
  <c r="F2685" i="12" s="1"/>
  <c r="G2685" i="12" s="1"/>
  <c r="I2685" i="12" s="1"/>
  <c r="K2685" i="12" s="1"/>
  <c r="E2684" i="12"/>
  <c r="F2684" i="12" s="1"/>
  <c r="G2684" i="12" s="1"/>
  <c r="I2684" i="12" s="1"/>
  <c r="K2684" i="12" s="1"/>
  <c r="E2683" i="12"/>
  <c r="F2683" i="12" s="1"/>
  <c r="G2683" i="12" s="1"/>
  <c r="I2683" i="12" s="1"/>
  <c r="K2683" i="12" s="1"/>
  <c r="E2682" i="12"/>
  <c r="F2682" i="12" s="1"/>
  <c r="G2682" i="12" s="1"/>
  <c r="I2682" i="12" s="1"/>
  <c r="K2682" i="12" s="1"/>
  <c r="E2681" i="12"/>
  <c r="F2681" i="12" s="1"/>
  <c r="G2681" i="12" s="1"/>
  <c r="I2681" i="12" s="1"/>
  <c r="K2681" i="12" s="1"/>
  <c r="E2680" i="12"/>
  <c r="F2680" i="12" s="1"/>
  <c r="G2680" i="12" s="1"/>
  <c r="I2680" i="12" s="1"/>
  <c r="K2680" i="12" s="1"/>
  <c r="E2679" i="12"/>
  <c r="F2679" i="12" s="1"/>
  <c r="G2679" i="12" s="1"/>
  <c r="I2679" i="12" s="1"/>
  <c r="K2679" i="12" s="1"/>
  <c r="E2678" i="12"/>
  <c r="F2678" i="12" s="1"/>
  <c r="G2678" i="12" s="1"/>
  <c r="I2678" i="12" s="1"/>
  <c r="K2678" i="12" s="1"/>
  <c r="E2677" i="12"/>
  <c r="F2677" i="12" s="1"/>
  <c r="G2677" i="12" s="1"/>
  <c r="I2677" i="12" s="1"/>
  <c r="K2677" i="12" s="1"/>
  <c r="E2676" i="12"/>
  <c r="F2676" i="12" s="1"/>
  <c r="G2676" i="12" s="1"/>
  <c r="I2676" i="12" s="1"/>
  <c r="K2676" i="12" s="1"/>
  <c r="E2675" i="12"/>
  <c r="F2675" i="12" s="1"/>
  <c r="G2675" i="12" s="1"/>
  <c r="I2675" i="12" s="1"/>
  <c r="K2675" i="12" s="1"/>
  <c r="E2674" i="12"/>
  <c r="F2674" i="12" s="1"/>
  <c r="G2674" i="12" s="1"/>
  <c r="I2674" i="12" s="1"/>
  <c r="K2674" i="12" s="1"/>
  <c r="E2673" i="12"/>
  <c r="F2673" i="12" s="1"/>
  <c r="G2673" i="12" s="1"/>
  <c r="I2673" i="12" s="1"/>
  <c r="K2673" i="12" s="1"/>
  <c r="E2672" i="12"/>
  <c r="F2672" i="12" s="1"/>
  <c r="G2672" i="12" s="1"/>
  <c r="I2672" i="12" s="1"/>
  <c r="K2672" i="12" s="1"/>
  <c r="E2671" i="12"/>
  <c r="F2671" i="12" s="1"/>
  <c r="G2671" i="12" s="1"/>
  <c r="I2671" i="12" s="1"/>
  <c r="K2671" i="12" s="1"/>
  <c r="E2670" i="12"/>
  <c r="F2670" i="12" s="1"/>
  <c r="G2670" i="12" s="1"/>
  <c r="I2670" i="12" s="1"/>
  <c r="K2670" i="12" s="1"/>
  <c r="E2669" i="12"/>
  <c r="F2669" i="12" s="1"/>
  <c r="G2669" i="12" s="1"/>
  <c r="I2669" i="12" s="1"/>
  <c r="K2669" i="12" s="1"/>
  <c r="E2668" i="12"/>
  <c r="F2668" i="12" s="1"/>
  <c r="G2668" i="12" s="1"/>
  <c r="I2668" i="12" s="1"/>
  <c r="K2668" i="12" s="1"/>
  <c r="E2667" i="12"/>
  <c r="F2667" i="12" s="1"/>
  <c r="G2667" i="12" s="1"/>
  <c r="I2667" i="12" s="1"/>
  <c r="K2667" i="12" s="1"/>
  <c r="E2666" i="12"/>
  <c r="F2666" i="12" s="1"/>
  <c r="G2666" i="12" s="1"/>
  <c r="I2666" i="12" s="1"/>
  <c r="K2666" i="12" s="1"/>
  <c r="E2665" i="12"/>
  <c r="F2665" i="12" s="1"/>
  <c r="G2665" i="12" s="1"/>
  <c r="I2665" i="12" s="1"/>
  <c r="K2665" i="12" s="1"/>
  <c r="E2664" i="12"/>
  <c r="F2664" i="12" s="1"/>
  <c r="G2664" i="12" s="1"/>
  <c r="I2664" i="12" s="1"/>
  <c r="K2664" i="12" s="1"/>
  <c r="E2663" i="12"/>
  <c r="F2663" i="12" s="1"/>
  <c r="G2663" i="12" s="1"/>
  <c r="I2663" i="12" s="1"/>
  <c r="K2663" i="12" s="1"/>
  <c r="E2662" i="12"/>
  <c r="F2662" i="12" s="1"/>
  <c r="G2662" i="12" s="1"/>
  <c r="I2662" i="12" s="1"/>
  <c r="K2662" i="12" s="1"/>
  <c r="E2661" i="12"/>
  <c r="F2661" i="12" s="1"/>
  <c r="G2661" i="12" s="1"/>
  <c r="I2661" i="12" s="1"/>
  <c r="K2661" i="12" s="1"/>
  <c r="D2660" i="12"/>
  <c r="E2660" i="12" s="1"/>
  <c r="F2660" i="12" s="1"/>
  <c r="G2660" i="12" s="1"/>
  <c r="I2660" i="12" s="1"/>
  <c r="K2660" i="12" s="1"/>
  <c r="E2659" i="12"/>
  <c r="F2659" i="12" s="1"/>
  <c r="G2659" i="12" s="1"/>
  <c r="I2659" i="12" s="1"/>
  <c r="K2659" i="12" s="1"/>
  <c r="E2658" i="12"/>
  <c r="F2658" i="12" s="1"/>
  <c r="G2658" i="12" s="1"/>
  <c r="I2658" i="12" s="1"/>
  <c r="K2658" i="12" s="1"/>
  <c r="D2657" i="12"/>
  <c r="E2657" i="12" s="1"/>
  <c r="F2657" i="12" s="1"/>
  <c r="G2657" i="12" s="1"/>
  <c r="I2657" i="12" s="1"/>
  <c r="K2657" i="12" s="1"/>
  <c r="D2656" i="12"/>
  <c r="E2656" i="12" s="1"/>
  <c r="F2656" i="12" s="1"/>
  <c r="G2656" i="12" s="1"/>
  <c r="I2656" i="12" s="1"/>
  <c r="K2656" i="12" s="1"/>
  <c r="D2655" i="12"/>
  <c r="E2655" i="12" s="1"/>
  <c r="F2655" i="12" s="1"/>
  <c r="G2655" i="12" s="1"/>
  <c r="I2655" i="12" s="1"/>
  <c r="K2655" i="12" s="1"/>
  <c r="E2654" i="12"/>
  <c r="F2654" i="12" s="1"/>
  <c r="G2654" i="12" s="1"/>
  <c r="I2654" i="12" s="1"/>
  <c r="K2654" i="12" s="1"/>
  <c r="D2653" i="12"/>
  <c r="E2653" i="12" s="1"/>
  <c r="F2653" i="12" s="1"/>
  <c r="G2653" i="12" s="1"/>
  <c r="I2653" i="12" s="1"/>
  <c r="K2653" i="12" s="1"/>
  <c r="D2652" i="12"/>
  <c r="E2652" i="12" s="1"/>
  <c r="F2652" i="12" s="1"/>
  <c r="G2652" i="12" s="1"/>
  <c r="I2652" i="12" s="1"/>
  <c r="K2652" i="12" s="1"/>
  <c r="E2651" i="12"/>
  <c r="F2651" i="12" s="1"/>
  <c r="G2651" i="12" s="1"/>
  <c r="I2651" i="12" s="1"/>
  <c r="K2651" i="12" s="1"/>
  <c r="E2650" i="12"/>
  <c r="F2650" i="12" s="1"/>
  <c r="G2650" i="12" s="1"/>
  <c r="I2650" i="12" s="1"/>
  <c r="K2650" i="12" s="1"/>
  <c r="E2649" i="12"/>
  <c r="F2649" i="12" s="1"/>
  <c r="G2649" i="12" s="1"/>
  <c r="I2649" i="12" s="1"/>
  <c r="K2649" i="12" s="1"/>
  <c r="E2648" i="12"/>
  <c r="F2648" i="12" s="1"/>
  <c r="G2648" i="12" s="1"/>
  <c r="I2648" i="12" s="1"/>
  <c r="K2648" i="12" s="1"/>
  <c r="E2647" i="12"/>
  <c r="F2647" i="12" s="1"/>
  <c r="G2647" i="12" s="1"/>
  <c r="I2647" i="12" s="1"/>
  <c r="K2647" i="12" s="1"/>
  <c r="E2646" i="12"/>
  <c r="F2646" i="12" s="1"/>
  <c r="G2646" i="12" s="1"/>
  <c r="I2646" i="12" s="1"/>
  <c r="K2646" i="12" s="1"/>
  <c r="D2645" i="12"/>
  <c r="E2645" i="12" s="1"/>
  <c r="F2645" i="12" s="1"/>
  <c r="G2645" i="12" s="1"/>
  <c r="I2645" i="12" s="1"/>
  <c r="K2645" i="12" s="1"/>
  <c r="D2644" i="12"/>
  <c r="E2644" i="12" s="1"/>
  <c r="F2644" i="12" s="1"/>
  <c r="G2644" i="12" s="1"/>
  <c r="I2644" i="12" s="1"/>
  <c r="K2644" i="12" s="1"/>
  <c r="E2643" i="12"/>
  <c r="F2643" i="12" s="1"/>
  <c r="G2643" i="12" s="1"/>
  <c r="I2643" i="12" s="1"/>
  <c r="K2643" i="12" s="1"/>
  <c r="E2642" i="12"/>
  <c r="F2642" i="12" s="1"/>
  <c r="G2642" i="12" s="1"/>
  <c r="I2642" i="12" s="1"/>
  <c r="K2642" i="12" s="1"/>
  <c r="D2641" i="12"/>
  <c r="E2641" i="12" s="1"/>
  <c r="F2641" i="12" s="1"/>
  <c r="G2641" i="12" s="1"/>
  <c r="I2641" i="12" s="1"/>
  <c r="K2641" i="12" s="1"/>
  <c r="E2640" i="12"/>
  <c r="F2640" i="12" s="1"/>
  <c r="G2640" i="12" s="1"/>
  <c r="I2640" i="12" s="1"/>
  <c r="K2640" i="12" s="1"/>
  <c r="E2639" i="12"/>
  <c r="F2639" i="12" s="1"/>
  <c r="G2639" i="12" s="1"/>
  <c r="I2639" i="12" s="1"/>
  <c r="K2639" i="12" s="1"/>
  <c r="E2638" i="12"/>
  <c r="F2638" i="12" s="1"/>
  <c r="G2638" i="12" s="1"/>
  <c r="I2638" i="12" s="1"/>
  <c r="K2638" i="12" s="1"/>
  <c r="D2637" i="12"/>
  <c r="E2637" i="12" s="1"/>
  <c r="F2637" i="12" s="1"/>
  <c r="G2637" i="12" s="1"/>
  <c r="I2637" i="12" s="1"/>
  <c r="K2637" i="12" s="1"/>
  <c r="E2636" i="12"/>
  <c r="F2636" i="12" s="1"/>
  <c r="G2636" i="12" s="1"/>
  <c r="I2636" i="12" s="1"/>
  <c r="K2636" i="12" s="1"/>
  <c r="E2635" i="12"/>
  <c r="F2635" i="12" s="1"/>
  <c r="G2635" i="12" s="1"/>
  <c r="I2635" i="12" s="1"/>
  <c r="K2635" i="12" s="1"/>
  <c r="E2634" i="12"/>
  <c r="F2634" i="12" s="1"/>
  <c r="G2634" i="12" s="1"/>
  <c r="I2634" i="12" s="1"/>
  <c r="K2634" i="12" s="1"/>
  <c r="E2633" i="12"/>
  <c r="F2633" i="12" s="1"/>
  <c r="G2633" i="12" s="1"/>
  <c r="I2633" i="12" s="1"/>
  <c r="K2633" i="12" s="1"/>
  <c r="D2632" i="12"/>
  <c r="E2632" i="12" s="1"/>
  <c r="F2632" i="12" s="1"/>
  <c r="G2632" i="12" s="1"/>
  <c r="I2632" i="12" s="1"/>
  <c r="K2632" i="12" s="1"/>
  <c r="D2631" i="12"/>
  <c r="E2631" i="12" s="1"/>
  <c r="F2631" i="12" s="1"/>
  <c r="G2631" i="12" s="1"/>
  <c r="I2631" i="12" s="1"/>
  <c r="K2631" i="12" s="1"/>
  <c r="E2630" i="12"/>
  <c r="F2630" i="12" s="1"/>
  <c r="G2630" i="12" s="1"/>
  <c r="I2630" i="12" s="1"/>
  <c r="K2630" i="12" s="1"/>
  <c r="E2629" i="12"/>
  <c r="F2629" i="12" s="1"/>
  <c r="G2629" i="12" s="1"/>
  <c r="I2629" i="12" s="1"/>
  <c r="K2629" i="12" s="1"/>
  <c r="E2628" i="12"/>
  <c r="F2628" i="12" s="1"/>
  <c r="G2628" i="12" s="1"/>
  <c r="I2628" i="12" s="1"/>
  <c r="K2628" i="12" s="1"/>
  <c r="E2627" i="12"/>
  <c r="F2627" i="12" s="1"/>
  <c r="G2627" i="12" s="1"/>
  <c r="I2627" i="12" s="1"/>
  <c r="K2627" i="12" s="1"/>
  <c r="E2626" i="12"/>
  <c r="F2626" i="12" s="1"/>
  <c r="G2626" i="12" s="1"/>
  <c r="I2626" i="12" s="1"/>
  <c r="K2626" i="12" s="1"/>
  <c r="D2625" i="12"/>
  <c r="E2625" i="12" s="1"/>
  <c r="F2625" i="12" s="1"/>
  <c r="G2625" i="12" s="1"/>
  <c r="I2625" i="12" s="1"/>
  <c r="K2625" i="12" s="1"/>
  <c r="E2624" i="12"/>
  <c r="F2624" i="12" s="1"/>
  <c r="G2624" i="12" s="1"/>
  <c r="I2624" i="12" s="1"/>
  <c r="K2624" i="12" s="1"/>
  <c r="E2623" i="12"/>
  <c r="F2623" i="12" s="1"/>
  <c r="G2623" i="12" s="1"/>
  <c r="I2623" i="12" s="1"/>
  <c r="K2623" i="12" s="1"/>
  <c r="E2622" i="12"/>
  <c r="F2622" i="12" s="1"/>
  <c r="G2622" i="12" s="1"/>
  <c r="I2622" i="12" s="1"/>
  <c r="K2622" i="12" s="1"/>
  <c r="D2621" i="12"/>
  <c r="E2621" i="12" s="1"/>
  <c r="F2621" i="12" s="1"/>
  <c r="G2621" i="12" s="1"/>
  <c r="I2621" i="12" s="1"/>
  <c r="K2621" i="12" s="1"/>
  <c r="E2620" i="12"/>
  <c r="F2620" i="12" s="1"/>
  <c r="G2620" i="12" s="1"/>
  <c r="I2620" i="12" s="1"/>
  <c r="K2620" i="12" s="1"/>
  <c r="D2619" i="12"/>
  <c r="E2619" i="12" s="1"/>
  <c r="F2619" i="12" s="1"/>
  <c r="G2619" i="12" s="1"/>
  <c r="I2619" i="12" s="1"/>
  <c r="K2619" i="12" s="1"/>
  <c r="D2618" i="12"/>
  <c r="D2617" i="12"/>
  <c r="E2617" i="12" s="1"/>
  <c r="F2617" i="12" s="1"/>
  <c r="G2617" i="12" s="1"/>
  <c r="I2617" i="12" s="1"/>
  <c r="K2617" i="12" s="1"/>
  <c r="E2616" i="12"/>
  <c r="F2616" i="12" s="1"/>
  <c r="G2616" i="12" s="1"/>
  <c r="I2616" i="12" s="1"/>
  <c r="K2616" i="12" s="1"/>
  <c r="E2615" i="12"/>
  <c r="F2615" i="12" s="1"/>
  <c r="G2615" i="12" s="1"/>
  <c r="I2615" i="12" s="1"/>
  <c r="K2615" i="12" s="1"/>
  <c r="E2614" i="12"/>
  <c r="F2614" i="12" s="1"/>
  <c r="G2614" i="12" s="1"/>
  <c r="I2614" i="12" s="1"/>
  <c r="K2614" i="12" s="1"/>
  <c r="D2613" i="12"/>
  <c r="E2613" i="12" s="1"/>
  <c r="F2613" i="12" s="1"/>
  <c r="G2613" i="12" s="1"/>
  <c r="I2613" i="12" s="1"/>
  <c r="K2613" i="12" s="1"/>
  <c r="D2612" i="12"/>
  <c r="E2612" i="12" s="1"/>
  <c r="F2612" i="12" s="1"/>
  <c r="G2612" i="12" s="1"/>
  <c r="I2612" i="12" s="1"/>
  <c r="K2612" i="12" s="1"/>
  <c r="D2611" i="12"/>
  <c r="E2611" i="12" s="1"/>
  <c r="F2611" i="12" s="1"/>
  <c r="G2611" i="12" s="1"/>
  <c r="I2611" i="12" s="1"/>
  <c r="K2611" i="12" s="1"/>
  <c r="D2610" i="12"/>
  <c r="D2609" i="12"/>
  <c r="E2609" i="12" s="1"/>
  <c r="F2609" i="12" s="1"/>
  <c r="G2609" i="12" s="1"/>
  <c r="I2609" i="12" s="1"/>
  <c r="K2609" i="12" s="1"/>
  <c r="D2608" i="12"/>
  <c r="E2608" i="12" s="1"/>
  <c r="F2608" i="12" s="1"/>
  <c r="G2608" i="12" s="1"/>
  <c r="I2608" i="12" s="1"/>
  <c r="K2608" i="12" s="1"/>
  <c r="D2607" i="12"/>
  <c r="E2607" i="12" s="1"/>
  <c r="F2607" i="12" s="1"/>
  <c r="G2607" i="12" s="1"/>
  <c r="I2607" i="12" s="1"/>
  <c r="K2607" i="12" s="1"/>
  <c r="E2606" i="12"/>
  <c r="F2606" i="12" s="1"/>
  <c r="G2606" i="12" s="1"/>
  <c r="I2606" i="12" s="1"/>
  <c r="K2606" i="12" s="1"/>
  <c r="D2605" i="12"/>
  <c r="E2605" i="12" s="1"/>
  <c r="F2605" i="12" s="1"/>
  <c r="G2605" i="12" s="1"/>
  <c r="I2605" i="12" s="1"/>
  <c r="K2605" i="12" s="1"/>
  <c r="D2604" i="12"/>
  <c r="E2604" i="12" s="1"/>
  <c r="F2604" i="12" s="1"/>
  <c r="G2604" i="12" s="1"/>
  <c r="I2604" i="12" s="1"/>
  <c r="K2604" i="12" s="1"/>
  <c r="E2603" i="12"/>
  <c r="F2603" i="12" s="1"/>
  <c r="G2603" i="12" s="1"/>
  <c r="I2603" i="12" s="1"/>
  <c r="K2603" i="12" s="1"/>
  <c r="E2602" i="12"/>
  <c r="F2602" i="12" s="1"/>
  <c r="G2602" i="12" s="1"/>
  <c r="I2602" i="12" s="1"/>
  <c r="K2602" i="12" s="1"/>
  <c r="E2601" i="12"/>
  <c r="F2601" i="12" s="1"/>
  <c r="G2601" i="12" s="1"/>
  <c r="I2601" i="12" s="1"/>
  <c r="K2601" i="12" s="1"/>
  <c r="E2600" i="12"/>
  <c r="F2600" i="12" s="1"/>
  <c r="G2600" i="12" s="1"/>
  <c r="I2600" i="12" s="1"/>
  <c r="K2600" i="12" s="1"/>
  <c r="E2599" i="12"/>
  <c r="F2599" i="12" s="1"/>
  <c r="G2599" i="12" s="1"/>
  <c r="I2599" i="12" s="1"/>
  <c r="K2599" i="12" s="1"/>
  <c r="E2598" i="12"/>
  <c r="F2598" i="12" s="1"/>
  <c r="G2598" i="12" s="1"/>
  <c r="I2598" i="12" s="1"/>
  <c r="K2598" i="12" s="1"/>
  <c r="E2597" i="12"/>
  <c r="F2597" i="12" s="1"/>
  <c r="G2597" i="12" s="1"/>
  <c r="I2597" i="12" s="1"/>
  <c r="K2597" i="12" s="1"/>
  <c r="E2596" i="12"/>
  <c r="F2596" i="12" s="1"/>
  <c r="G2596" i="12" s="1"/>
  <c r="I2596" i="12" s="1"/>
  <c r="K2596" i="12" s="1"/>
  <c r="E2595" i="12"/>
  <c r="F2595" i="12" s="1"/>
  <c r="G2595" i="12" s="1"/>
  <c r="I2595" i="12" s="1"/>
  <c r="K2595" i="12" s="1"/>
  <c r="E2594" i="12"/>
  <c r="F2594" i="12" s="1"/>
  <c r="G2594" i="12" s="1"/>
  <c r="I2594" i="12" s="1"/>
  <c r="K2594" i="12" s="1"/>
  <c r="E2593" i="12"/>
  <c r="F2593" i="12" s="1"/>
  <c r="G2593" i="12" s="1"/>
  <c r="I2593" i="12" s="1"/>
  <c r="K2593" i="12" s="1"/>
  <c r="E2592" i="12"/>
  <c r="F2592" i="12" s="1"/>
  <c r="G2592" i="12" s="1"/>
  <c r="I2592" i="12" s="1"/>
  <c r="K2592" i="12" s="1"/>
  <c r="E2591" i="12"/>
  <c r="F2591" i="12" s="1"/>
  <c r="G2591" i="12" s="1"/>
  <c r="I2591" i="12" s="1"/>
  <c r="K2591" i="12" s="1"/>
  <c r="E2590" i="12"/>
  <c r="F2590" i="12" s="1"/>
  <c r="G2590" i="12" s="1"/>
  <c r="I2590" i="12" s="1"/>
  <c r="K2590" i="12" s="1"/>
  <c r="E2589" i="12"/>
  <c r="F2589" i="12" s="1"/>
  <c r="G2589" i="12" s="1"/>
  <c r="I2589" i="12" s="1"/>
  <c r="K2589" i="12" s="1"/>
  <c r="E2588" i="12"/>
  <c r="F2588" i="12" s="1"/>
  <c r="G2588" i="12" s="1"/>
  <c r="I2588" i="12" s="1"/>
  <c r="K2588" i="12" s="1"/>
  <c r="E2587" i="12"/>
  <c r="F2587" i="12" s="1"/>
  <c r="G2587" i="12" s="1"/>
  <c r="I2587" i="12" s="1"/>
  <c r="K2587" i="12" s="1"/>
  <c r="E2586" i="12"/>
  <c r="F2586" i="12" s="1"/>
  <c r="G2586" i="12" s="1"/>
  <c r="I2586" i="12" s="1"/>
  <c r="K2586" i="12" s="1"/>
  <c r="E2585" i="12"/>
  <c r="F2585" i="12" s="1"/>
  <c r="G2585" i="12" s="1"/>
  <c r="I2585" i="12" s="1"/>
  <c r="K2585" i="12" s="1"/>
  <c r="E2584" i="12"/>
  <c r="F2584" i="12" s="1"/>
  <c r="G2584" i="12" s="1"/>
  <c r="I2584" i="12" s="1"/>
  <c r="K2584" i="12" s="1"/>
  <c r="E2583" i="12"/>
  <c r="F2583" i="12" s="1"/>
  <c r="G2583" i="12" s="1"/>
  <c r="I2583" i="12" s="1"/>
  <c r="K2583" i="12" s="1"/>
  <c r="E2582" i="12"/>
  <c r="F2582" i="12" s="1"/>
  <c r="G2582" i="12" s="1"/>
  <c r="I2582" i="12" s="1"/>
  <c r="K2582" i="12" s="1"/>
  <c r="E2581" i="12"/>
  <c r="F2581" i="12" s="1"/>
  <c r="G2581" i="12" s="1"/>
  <c r="I2581" i="12" s="1"/>
  <c r="K2581" i="12" s="1"/>
  <c r="E2580" i="12"/>
  <c r="F2580" i="12" s="1"/>
  <c r="G2580" i="12" s="1"/>
  <c r="I2580" i="12" s="1"/>
  <c r="K2580" i="12" s="1"/>
  <c r="E2579" i="12"/>
  <c r="F2579" i="12" s="1"/>
  <c r="G2579" i="12" s="1"/>
  <c r="I2579" i="12" s="1"/>
  <c r="K2579" i="12" s="1"/>
  <c r="E2578" i="12"/>
  <c r="F2578" i="12" s="1"/>
  <c r="G2578" i="12" s="1"/>
  <c r="I2578" i="12" s="1"/>
  <c r="K2578" i="12" s="1"/>
  <c r="E2577" i="12"/>
  <c r="F2577" i="12" s="1"/>
  <c r="G2577" i="12" s="1"/>
  <c r="I2577" i="12" s="1"/>
  <c r="K2577" i="12" s="1"/>
  <c r="E2576" i="12"/>
  <c r="F2576" i="12" s="1"/>
  <c r="G2576" i="12" s="1"/>
  <c r="I2576" i="12" s="1"/>
  <c r="K2576" i="12" s="1"/>
  <c r="E2575" i="12"/>
  <c r="F2575" i="12" s="1"/>
  <c r="G2575" i="12" s="1"/>
  <c r="I2575" i="12" s="1"/>
  <c r="K2575" i="12" s="1"/>
  <c r="E2574" i="12"/>
  <c r="F2574" i="12" s="1"/>
  <c r="G2574" i="12" s="1"/>
  <c r="I2574" i="12" s="1"/>
  <c r="K2574" i="12" s="1"/>
  <c r="E2573" i="12"/>
  <c r="F2573" i="12" s="1"/>
  <c r="G2573" i="12" s="1"/>
  <c r="I2573" i="12" s="1"/>
  <c r="K2573" i="12" s="1"/>
  <c r="E2572" i="12"/>
  <c r="F2572" i="12" s="1"/>
  <c r="G2572" i="12" s="1"/>
  <c r="I2572" i="12" s="1"/>
  <c r="K2572" i="12" s="1"/>
  <c r="E2571" i="12"/>
  <c r="F2571" i="12" s="1"/>
  <c r="G2571" i="12" s="1"/>
  <c r="I2571" i="12" s="1"/>
  <c r="K2571" i="12" s="1"/>
  <c r="E2570" i="12"/>
  <c r="F2570" i="12" s="1"/>
  <c r="G2570" i="12" s="1"/>
  <c r="I2570" i="12" s="1"/>
  <c r="K2570" i="12" s="1"/>
  <c r="E2569" i="12"/>
  <c r="F2569" i="12" s="1"/>
  <c r="G2569" i="12" s="1"/>
  <c r="I2569" i="12" s="1"/>
  <c r="K2569" i="12" s="1"/>
  <c r="E2568" i="12"/>
  <c r="F2568" i="12" s="1"/>
  <c r="G2568" i="12" s="1"/>
  <c r="I2568" i="12" s="1"/>
  <c r="K2568" i="12" s="1"/>
  <c r="E2567" i="12"/>
  <c r="F2567" i="12" s="1"/>
  <c r="G2567" i="12" s="1"/>
  <c r="I2567" i="12" s="1"/>
  <c r="K2567" i="12" s="1"/>
  <c r="E2566" i="12"/>
  <c r="F2566" i="12" s="1"/>
  <c r="G2566" i="12" s="1"/>
  <c r="I2566" i="12" s="1"/>
  <c r="K2566" i="12" s="1"/>
  <c r="E2565" i="12"/>
  <c r="F2565" i="12" s="1"/>
  <c r="G2565" i="12" s="1"/>
  <c r="I2565" i="12" s="1"/>
  <c r="K2565" i="12" s="1"/>
  <c r="E2564" i="12"/>
  <c r="F2564" i="12" s="1"/>
  <c r="G2564" i="12" s="1"/>
  <c r="I2564" i="12" s="1"/>
  <c r="K2564" i="12" s="1"/>
  <c r="E2563" i="12"/>
  <c r="F2563" i="12" s="1"/>
  <c r="G2563" i="12" s="1"/>
  <c r="I2563" i="12" s="1"/>
  <c r="K2563" i="12" s="1"/>
  <c r="E2562" i="12"/>
  <c r="F2562" i="12" s="1"/>
  <c r="G2562" i="12" s="1"/>
  <c r="I2562" i="12" s="1"/>
  <c r="K2562" i="12" s="1"/>
  <c r="E2561" i="12"/>
  <c r="F2561" i="12" s="1"/>
  <c r="G2561" i="12" s="1"/>
  <c r="I2561" i="12" s="1"/>
  <c r="K2561" i="12" s="1"/>
  <c r="E2560" i="12"/>
  <c r="F2560" i="12" s="1"/>
  <c r="G2560" i="12" s="1"/>
  <c r="I2560" i="12" s="1"/>
  <c r="K2560" i="12" s="1"/>
  <c r="E2559" i="12"/>
  <c r="F2559" i="12" s="1"/>
  <c r="G2559" i="12" s="1"/>
  <c r="I2559" i="12" s="1"/>
  <c r="K2559" i="12" s="1"/>
  <c r="E2558" i="12"/>
  <c r="F2558" i="12" s="1"/>
  <c r="G2558" i="12" s="1"/>
  <c r="I2558" i="12" s="1"/>
  <c r="K2558" i="12" s="1"/>
  <c r="E2557" i="12"/>
  <c r="F2557" i="12" s="1"/>
  <c r="G2557" i="12" s="1"/>
  <c r="I2557" i="12" s="1"/>
  <c r="K2557" i="12" s="1"/>
  <c r="E2556" i="12"/>
  <c r="F2556" i="12" s="1"/>
  <c r="G2556" i="12" s="1"/>
  <c r="I2556" i="12" s="1"/>
  <c r="K2556" i="12" s="1"/>
  <c r="E2555" i="12"/>
  <c r="F2555" i="12" s="1"/>
  <c r="G2555" i="12" s="1"/>
  <c r="I2555" i="12" s="1"/>
  <c r="K2555" i="12" s="1"/>
  <c r="E2554" i="12"/>
  <c r="F2554" i="12" s="1"/>
  <c r="G2554" i="12" s="1"/>
  <c r="I2554" i="12" s="1"/>
  <c r="K2554" i="12" s="1"/>
  <c r="E2553" i="12"/>
  <c r="F2553" i="12" s="1"/>
  <c r="G2553" i="12" s="1"/>
  <c r="I2553" i="12" s="1"/>
  <c r="K2553" i="12" s="1"/>
  <c r="E2552" i="12"/>
  <c r="F2552" i="12" s="1"/>
  <c r="G2552" i="12" s="1"/>
  <c r="I2552" i="12" s="1"/>
  <c r="K2552" i="12" s="1"/>
  <c r="E2551" i="12"/>
  <c r="F2551" i="12" s="1"/>
  <c r="G2551" i="12" s="1"/>
  <c r="I2551" i="12" s="1"/>
  <c r="K2551" i="12" s="1"/>
  <c r="E2550" i="12"/>
  <c r="F2550" i="12" s="1"/>
  <c r="G2550" i="12" s="1"/>
  <c r="I2550" i="12" s="1"/>
  <c r="K2550" i="12" s="1"/>
  <c r="E2549" i="12"/>
  <c r="F2549" i="12" s="1"/>
  <c r="G2549" i="12" s="1"/>
  <c r="I2549" i="12" s="1"/>
  <c r="K2549" i="12" s="1"/>
  <c r="E2548" i="12"/>
  <c r="F2548" i="12" s="1"/>
  <c r="G2548" i="12" s="1"/>
  <c r="I2548" i="12" s="1"/>
  <c r="K2548" i="12" s="1"/>
  <c r="E2547" i="12"/>
  <c r="F2547" i="12" s="1"/>
  <c r="G2547" i="12" s="1"/>
  <c r="I2547" i="12" s="1"/>
  <c r="K2547" i="12" s="1"/>
  <c r="E2546" i="12"/>
  <c r="F2546" i="12" s="1"/>
  <c r="G2546" i="12" s="1"/>
  <c r="I2546" i="12" s="1"/>
  <c r="K2546" i="12" s="1"/>
  <c r="E2545" i="12"/>
  <c r="F2545" i="12" s="1"/>
  <c r="G2545" i="12" s="1"/>
  <c r="I2545" i="12" s="1"/>
  <c r="K2545" i="12" s="1"/>
  <c r="E2544" i="12"/>
  <c r="F2544" i="12" s="1"/>
  <c r="G2544" i="12" s="1"/>
  <c r="I2544" i="12" s="1"/>
  <c r="K2544" i="12" s="1"/>
  <c r="E2543" i="12"/>
  <c r="F2543" i="12" s="1"/>
  <c r="G2543" i="12" s="1"/>
  <c r="I2543" i="12" s="1"/>
  <c r="K2543" i="12" s="1"/>
  <c r="E2542" i="12"/>
  <c r="F2542" i="12" s="1"/>
  <c r="G2542" i="12" s="1"/>
  <c r="I2542" i="12" s="1"/>
  <c r="K2542" i="12" s="1"/>
  <c r="E2541" i="12"/>
  <c r="F2541" i="12" s="1"/>
  <c r="G2541" i="12" s="1"/>
  <c r="I2541" i="12" s="1"/>
  <c r="K2541" i="12" s="1"/>
  <c r="E2540" i="12"/>
  <c r="F2540" i="12" s="1"/>
  <c r="G2540" i="12" s="1"/>
  <c r="I2540" i="12" s="1"/>
  <c r="K2540" i="12" s="1"/>
  <c r="E2539" i="12"/>
  <c r="F2539" i="12" s="1"/>
  <c r="G2539" i="12" s="1"/>
  <c r="I2539" i="12" s="1"/>
  <c r="K2539" i="12" s="1"/>
  <c r="E2538" i="12"/>
  <c r="F2538" i="12" s="1"/>
  <c r="G2538" i="12" s="1"/>
  <c r="I2538" i="12" s="1"/>
  <c r="K2538" i="12" s="1"/>
  <c r="E2537" i="12"/>
  <c r="F2537" i="12" s="1"/>
  <c r="G2537" i="12" s="1"/>
  <c r="I2537" i="12" s="1"/>
  <c r="K2537" i="12" s="1"/>
  <c r="E2536" i="12"/>
  <c r="F2536" i="12" s="1"/>
  <c r="G2536" i="12" s="1"/>
  <c r="I2536" i="12" s="1"/>
  <c r="K2536" i="12" s="1"/>
  <c r="E2535" i="12"/>
  <c r="F2535" i="12" s="1"/>
  <c r="G2535" i="12" s="1"/>
  <c r="I2535" i="12" s="1"/>
  <c r="K2535" i="12" s="1"/>
  <c r="E2534" i="12"/>
  <c r="F2534" i="12" s="1"/>
  <c r="G2534" i="12" s="1"/>
  <c r="I2534" i="12" s="1"/>
  <c r="K2534" i="12" s="1"/>
  <c r="E2533" i="12"/>
  <c r="F2533" i="12" s="1"/>
  <c r="G2533" i="12" s="1"/>
  <c r="I2533" i="12" s="1"/>
  <c r="K2533" i="12" s="1"/>
  <c r="D2532" i="12"/>
  <c r="E2532" i="12" s="1"/>
  <c r="F2532" i="12" s="1"/>
  <c r="G2532" i="12" s="1"/>
  <c r="I2532" i="12" s="1"/>
  <c r="K2532" i="12" s="1"/>
  <c r="E2531" i="12"/>
  <c r="F2531" i="12" s="1"/>
  <c r="G2531" i="12" s="1"/>
  <c r="I2531" i="12" s="1"/>
  <c r="K2531" i="12" s="1"/>
  <c r="E2530" i="12"/>
  <c r="F2530" i="12" s="1"/>
  <c r="G2530" i="12" s="1"/>
  <c r="I2530" i="12" s="1"/>
  <c r="K2530" i="12" s="1"/>
  <c r="E2529" i="12"/>
  <c r="F2529" i="12" s="1"/>
  <c r="G2529" i="12" s="1"/>
  <c r="I2529" i="12" s="1"/>
  <c r="K2529" i="12" s="1"/>
  <c r="E2528" i="12"/>
  <c r="F2528" i="12" s="1"/>
  <c r="G2528" i="12" s="1"/>
  <c r="I2528" i="12" s="1"/>
  <c r="K2528" i="12" s="1"/>
  <c r="E2527" i="12"/>
  <c r="F2527" i="12" s="1"/>
  <c r="G2527" i="12" s="1"/>
  <c r="I2527" i="12" s="1"/>
  <c r="K2527" i="12" s="1"/>
  <c r="E2526" i="12"/>
  <c r="F2526" i="12" s="1"/>
  <c r="G2526" i="12" s="1"/>
  <c r="I2526" i="12" s="1"/>
  <c r="K2526" i="12" s="1"/>
  <c r="E2525" i="12"/>
  <c r="F2525" i="12" s="1"/>
  <c r="G2525" i="12" s="1"/>
  <c r="I2525" i="12" s="1"/>
  <c r="K2525" i="12" s="1"/>
  <c r="E2524" i="12"/>
  <c r="F2524" i="12" s="1"/>
  <c r="G2524" i="12" s="1"/>
  <c r="I2524" i="12" s="1"/>
  <c r="K2524" i="12" s="1"/>
  <c r="E2523" i="12"/>
  <c r="F2523" i="12" s="1"/>
  <c r="G2523" i="12" s="1"/>
  <c r="I2523" i="12" s="1"/>
  <c r="K2523" i="12" s="1"/>
  <c r="E2522" i="12"/>
  <c r="F2522" i="12" s="1"/>
  <c r="G2522" i="12" s="1"/>
  <c r="I2522" i="12" s="1"/>
  <c r="K2522" i="12" s="1"/>
  <c r="E2521" i="12"/>
  <c r="F2521" i="12" s="1"/>
  <c r="G2521" i="12" s="1"/>
  <c r="I2521" i="12" s="1"/>
  <c r="K2521" i="12" s="1"/>
  <c r="D2520" i="12"/>
  <c r="E2520" i="12" s="1"/>
  <c r="F2520" i="12" s="1"/>
  <c r="G2520" i="12" s="1"/>
  <c r="I2520" i="12" s="1"/>
  <c r="K2520" i="12" s="1"/>
  <c r="D2519" i="12"/>
  <c r="E2519" i="12" s="1"/>
  <c r="F2519" i="12" s="1"/>
  <c r="G2519" i="12" s="1"/>
  <c r="I2519" i="12" s="1"/>
  <c r="K2519" i="12" s="1"/>
  <c r="D2518" i="12"/>
  <c r="E2518" i="12" s="1"/>
  <c r="F2518" i="12" s="1"/>
  <c r="G2518" i="12" s="1"/>
  <c r="I2518" i="12" s="1"/>
  <c r="K2518" i="12" s="1"/>
  <c r="E2517" i="12"/>
  <c r="F2517" i="12" s="1"/>
  <c r="G2517" i="12" s="1"/>
  <c r="I2517" i="12" s="1"/>
  <c r="K2517" i="12" s="1"/>
  <c r="E2516" i="12"/>
  <c r="F2516" i="12" s="1"/>
  <c r="G2516" i="12" s="1"/>
  <c r="I2516" i="12" s="1"/>
  <c r="K2516" i="12" s="1"/>
  <c r="E2515" i="12"/>
  <c r="F2515" i="12" s="1"/>
  <c r="G2515" i="12" s="1"/>
  <c r="I2515" i="12" s="1"/>
  <c r="K2515" i="12" s="1"/>
  <c r="E2514" i="12"/>
  <c r="F2514" i="12" s="1"/>
  <c r="G2514" i="12" s="1"/>
  <c r="I2514" i="12" s="1"/>
  <c r="K2514" i="12" s="1"/>
  <c r="E2513" i="12"/>
  <c r="F2513" i="12" s="1"/>
  <c r="G2513" i="12" s="1"/>
  <c r="I2513" i="12" s="1"/>
  <c r="K2513" i="12" s="1"/>
  <c r="E2512" i="12"/>
  <c r="F2512" i="12" s="1"/>
  <c r="G2512" i="12" s="1"/>
  <c r="I2512" i="12" s="1"/>
  <c r="K2512" i="12" s="1"/>
  <c r="E2511" i="12"/>
  <c r="F2511" i="12" s="1"/>
  <c r="G2511" i="12" s="1"/>
  <c r="I2511" i="12" s="1"/>
  <c r="K2511" i="12" s="1"/>
  <c r="E2510" i="12"/>
  <c r="F2510" i="12" s="1"/>
  <c r="G2510" i="12" s="1"/>
  <c r="I2510" i="12" s="1"/>
  <c r="K2510" i="12" s="1"/>
  <c r="E2509" i="12"/>
  <c r="F2509" i="12" s="1"/>
  <c r="G2509" i="12" s="1"/>
  <c r="I2509" i="12" s="1"/>
  <c r="K2509" i="12" s="1"/>
  <c r="E2508" i="12"/>
  <c r="F2508" i="12" s="1"/>
  <c r="G2508" i="12" s="1"/>
  <c r="I2508" i="12" s="1"/>
  <c r="K2508" i="12" s="1"/>
  <c r="E2507" i="12"/>
  <c r="F2507" i="12" s="1"/>
  <c r="G2507" i="12" s="1"/>
  <c r="I2507" i="12" s="1"/>
  <c r="K2507" i="12" s="1"/>
  <c r="E2506" i="12"/>
  <c r="F2506" i="12" s="1"/>
  <c r="G2506" i="12" s="1"/>
  <c r="I2506" i="12" s="1"/>
  <c r="K2506" i="12" s="1"/>
  <c r="E2505" i="12"/>
  <c r="F2505" i="12" s="1"/>
  <c r="G2505" i="12" s="1"/>
  <c r="I2505" i="12" s="1"/>
  <c r="K2505" i="12" s="1"/>
  <c r="E2504" i="12"/>
  <c r="F2504" i="12" s="1"/>
  <c r="G2504" i="12" s="1"/>
  <c r="I2504" i="12" s="1"/>
  <c r="K2504" i="12" s="1"/>
  <c r="E2503" i="12"/>
  <c r="F2503" i="12" s="1"/>
  <c r="G2503" i="12" s="1"/>
  <c r="I2503" i="12" s="1"/>
  <c r="K2503" i="12" s="1"/>
  <c r="E2502" i="12"/>
  <c r="F2502" i="12" s="1"/>
  <c r="G2502" i="12" s="1"/>
  <c r="I2502" i="12" s="1"/>
  <c r="K2502" i="12" s="1"/>
  <c r="E2501" i="12"/>
  <c r="F2501" i="12" s="1"/>
  <c r="G2501" i="12" s="1"/>
  <c r="I2501" i="12" s="1"/>
  <c r="K2501" i="12" s="1"/>
  <c r="E2500" i="12"/>
  <c r="F2500" i="12" s="1"/>
  <c r="G2500" i="12" s="1"/>
  <c r="I2500" i="12" s="1"/>
  <c r="K2500" i="12" s="1"/>
  <c r="E2499" i="12"/>
  <c r="F2499" i="12" s="1"/>
  <c r="G2499" i="12" s="1"/>
  <c r="I2499" i="12" s="1"/>
  <c r="K2499" i="12" s="1"/>
  <c r="E2498" i="12"/>
  <c r="F2498" i="12" s="1"/>
  <c r="G2498" i="12" s="1"/>
  <c r="I2498" i="12" s="1"/>
  <c r="K2498" i="12" s="1"/>
  <c r="E2497" i="12"/>
  <c r="F2497" i="12" s="1"/>
  <c r="G2497" i="12" s="1"/>
  <c r="I2497" i="12" s="1"/>
  <c r="K2497" i="12" s="1"/>
  <c r="E2496" i="12"/>
  <c r="F2496" i="12" s="1"/>
  <c r="G2496" i="12" s="1"/>
  <c r="I2496" i="12" s="1"/>
  <c r="K2496" i="12" s="1"/>
  <c r="E2495" i="12"/>
  <c r="F2495" i="12" s="1"/>
  <c r="G2495" i="12" s="1"/>
  <c r="I2495" i="12" s="1"/>
  <c r="K2495" i="12" s="1"/>
  <c r="E2494" i="12"/>
  <c r="F2494" i="12" s="1"/>
  <c r="G2494" i="12" s="1"/>
  <c r="I2494" i="12" s="1"/>
  <c r="K2494" i="12" s="1"/>
  <c r="E2493" i="12"/>
  <c r="F2493" i="12" s="1"/>
  <c r="G2493" i="12" s="1"/>
  <c r="I2493" i="12" s="1"/>
  <c r="K2493" i="12" s="1"/>
  <c r="E2492" i="12"/>
  <c r="F2492" i="12" s="1"/>
  <c r="G2492" i="12" s="1"/>
  <c r="I2492" i="12" s="1"/>
  <c r="K2492" i="12" s="1"/>
  <c r="D2491" i="12"/>
  <c r="E2491" i="12" s="1"/>
  <c r="F2491" i="12" s="1"/>
  <c r="G2491" i="12" s="1"/>
  <c r="I2491" i="12" s="1"/>
  <c r="K2491" i="12" s="1"/>
  <c r="D2490" i="12"/>
  <c r="D2489" i="12"/>
  <c r="E2489" i="12" s="1"/>
  <c r="F2489" i="12" s="1"/>
  <c r="G2489" i="12" s="1"/>
  <c r="I2489" i="12" s="1"/>
  <c r="K2489" i="12" s="1"/>
  <c r="D2488" i="12"/>
  <c r="E2488" i="12" s="1"/>
  <c r="F2488" i="12" s="1"/>
  <c r="G2488" i="12" s="1"/>
  <c r="I2488" i="12" s="1"/>
  <c r="K2488" i="12" s="1"/>
  <c r="E2487" i="12"/>
  <c r="F2487" i="12" s="1"/>
  <c r="G2487" i="12" s="1"/>
  <c r="I2487" i="12" s="1"/>
  <c r="K2487" i="12" s="1"/>
  <c r="D2486" i="12"/>
  <c r="E2486" i="12" s="1"/>
  <c r="F2486" i="12" s="1"/>
  <c r="G2486" i="12" s="1"/>
  <c r="I2486" i="12" s="1"/>
  <c r="K2486" i="12" s="1"/>
  <c r="E2485" i="12"/>
  <c r="F2485" i="12" s="1"/>
  <c r="G2485" i="12" s="1"/>
  <c r="I2485" i="12" s="1"/>
  <c r="K2485" i="12" s="1"/>
  <c r="E2484" i="12"/>
  <c r="F2484" i="12" s="1"/>
  <c r="G2484" i="12" s="1"/>
  <c r="I2484" i="12" s="1"/>
  <c r="K2484" i="12" s="1"/>
  <c r="E2483" i="12"/>
  <c r="F2483" i="12" s="1"/>
  <c r="G2483" i="12" s="1"/>
  <c r="I2483" i="12" s="1"/>
  <c r="K2483" i="12" s="1"/>
  <c r="E2482" i="12"/>
  <c r="F2482" i="12" s="1"/>
  <c r="G2482" i="12" s="1"/>
  <c r="I2482" i="12" s="1"/>
  <c r="K2482" i="12" s="1"/>
  <c r="E2481" i="12"/>
  <c r="F2481" i="12" s="1"/>
  <c r="G2481" i="12" s="1"/>
  <c r="I2481" i="12" s="1"/>
  <c r="K2481" i="12" s="1"/>
  <c r="E2480" i="12"/>
  <c r="F2480" i="12" s="1"/>
  <c r="G2480" i="12" s="1"/>
  <c r="I2480" i="12" s="1"/>
  <c r="K2480" i="12" s="1"/>
  <c r="E2479" i="12"/>
  <c r="F2479" i="12" s="1"/>
  <c r="G2479" i="12" s="1"/>
  <c r="I2479" i="12" s="1"/>
  <c r="K2479" i="12" s="1"/>
  <c r="E2478" i="12"/>
  <c r="F2478" i="12" s="1"/>
  <c r="G2478" i="12" s="1"/>
  <c r="I2478" i="12" s="1"/>
  <c r="K2478" i="12" s="1"/>
  <c r="E2477" i="12"/>
  <c r="F2477" i="12" s="1"/>
  <c r="G2477" i="12" s="1"/>
  <c r="I2477" i="12" s="1"/>
  <c r="K2477" i="12" s="1"/>
  <c r="E2476" i="12"/>
  <c r="F2476" i="12" s="1"/>
  <c r="G2476" i="12" s="1"/>
  <c r="I2476" i="12" s="1"/>
  <c r="K2476" i="12" s="1"/>
  <c r="E2475" i="12"/>
  <c r="F2475" i="12" s="1"/>
  <c r="G2475" i="12" s="1"/>
  <c r="I2475" i="12" s="1"/>
  <c r="K2475" i="12" s="1"/>
  <c r="E2474" i="12"/>
  <c r="F2474" i="12" s="1"/>
  <c r="G2474" i="12" s="1"/>
  <c r="I2474" i="12" s="1"/>
  <c r="K2474" i="12" s="1"/>
  <c r="E2473" i="12"/>
  <c r="F2473" i="12" s="1"/>
  <c r="G2473" i="12" s="1"/>
  <c r="I2473" i="12" s="1"/>
  <c r="K2473" i="12" s="1"/>
  <c r="E2472" i="12"/>
  <c r="F2472" i="12" s="1"/>
  <c r="G2472" i="12" s="1"/>
  <c r="I2472" i="12" s="1"/>
  <c r="K2472" i="12" s="1"/>
  <c r="E2471" i="12"/>
  <c r="F2471" i="12" s="1"/>
  <c r="G2471" i="12" s="1"/>
  <c r="I2471" i="12" s="1"/>
  <c r="K2471" i="12" s="1"/>
  <c r="E2470" i="12"/>
  <c r="F2470" i="12" s="1"/>
  <c r="G2470" i="12" s="1"/>
  <c r="I2470" i="12" s="1"/>
  <c r="K2470" i="12" s="1"/>
  <c r="E2469" i="12"/>
  <c r="F2469" i="12" s="1"/>
  <c r="G2469" i="12" s="1"/>
  <c r="I2469" i="12" s="1"/>
  <c r="K2469" i="12" s="1"/>
  <c r="E2468" i="12"/>
  <c r="F2468" i="12" s="1"/>
  <c r="G2468" i="12" s="1"/>
  <c r="I2468" i="12" s="1"/>
  <c r="K2468" i="12" s="1"/>
  <c r="E2467" i="12"/>
  <c r="F2467" i="12" s="1"/>
  <c r="G2467" i="12" s="1"/>
  <c r="I2467" i="12" s="1"/>
  <c r="K2467" i="12" s="1"/>
  <c r="E2466" i="12"/>
  <c r="F2466" i="12" s="1"/>
  <c r="G2466" i="12" s="1"/>
  <c r="I2466" i="12" s="1"/>
  <c r="K2466" i="12" s="1"/>
  <c r="D2465" i="12"/>
  <c r="E2465" i="12" s="1"/>
  <c r="F2465" i="12" s="1"/>
  <c r="G2465" i="12" s="1"/>
  <c r="I2465" i="12" s="1"/>
  <c r="K2465" i="12" s="1"/>
  <c r="D2464" i="12"/>
  <c r="E2464" i="12" s="1"/>
  <c r="F2464" i="12" s="1"/>
  <c r="G2464" i="12" s="1"/>
  <c r="I2464" i="12" s="1"/>
  <c r="K2464" i="12" s="1"/>
  <c r="E2463" i="12"/>
  <c r="F2463" i="12" s="1"/>
  <c r="G2463" i="12" s="1"/>
  <c r="I2463" i="12" s="1"/>
  <c r="K2463" i="12" s="1"/>
  <c r="E2462" i="12"/>
  <c r="F2462" i="12" s="1"/>
  <c r="G2462" i="12" s="1"/>
  <c r="I2462" i="12" s="1"/>
  <c r="K2462" i="12" s="1"/>
  <c r="E2461" i="12"/>
  <c r="F2461" i="12" s="1"/>
  <c r="G2461" i="12" s="1"/>
  <c r="I2461" i="12" s="1"/>
  <c r="K2461" i="12" s="1"/>
  <c r="E2460" i="12"/>
  <c r="F2460" i="12" s="1"/>
  <c r="G2460" i="12" s="1"/>
  <c r="I2460" i="12" s="1"/>
  <c r="K2460" i="12" s="1"/>
  <c r="E2459" i="12"/>
  <c r="F2459" i="12" s="1"/>
  <c r="G2459" i="12" s="1"/>
  <c r="I2459" i="12" s="1"/>
  <c r="K2459" i="12" s="1"/>
  <c r="E2458" i="12"/>
  <c r="F2458" i="12" s="1"/>
  <c r="G2458" i="12" s="1"/>
  <c r="I2458" i="12" s="1"/>
  <c r="K2458" i="12" s="1"/>
  <c r="D2457" i="12"/>
  <c r="E2457" i="12" s="1"/>
  <c r="F2457" i="12" s="1"/>
  <c r="G2457" i="12" s="1"/>
  <c r="I2457" i="12" s="1"/>
  <c r="K2457" i="12" s="1"/>
  <c r="E2456" i="12"/>
  <c r="F2456" i="12" s="1"/>
  <c r="G2456" i="12" s="1"/>
  <c r="I2456" i="12" s="1"/>
  <c r="K2456" i="12" s="1"/>
  <c r="E2455" i="12"/>
  <c r="F2455" i="12" s="1"/>
  <c r="G2455" i="12" s="1"/>
  <c r="I2455" i="12" s="1"/>
  <c r="K2455" i="12" s="1"/>
  <c r="E2454" i="12"/>
  <c r="F2454" i="12" s="1"/>
  <c r="G2454" i="12" s="1"/>
  <c r="I2454" i="12" s="1"/>
  <c r="K2454" i="12" s="1"/>
  <c r="D2453" i="12"/>
  <c r="E2453" i="12" s="1"/>
  <c r="F2453" i="12" s="1"/>
  <c r="G2453" i="12" s="1"/>
  <c r="I2453" i="12" s="1"/>
  <c r="K2453" i="12" s="1"/>
  <c r="D2452" i="12"/>
  <c r="E2452" i="12" s="1"/>
  <c r="F2452" i="12" s="1"/>
  <c r="G2452" i="12" s="1"/>
  <c r="I2452" i="12" s="1"/>
  <c r="K2452" i="12" s="1"/>
  <c r="E2451" i="12"/>
  <c r="F2451" i="12" s="1"/>
  <c r="G2451" i="12" s="1"/>
  <c r="I2451" i="12" s="1"/>
  <c r="K2451" i="12" s="1"/>
  <c r="E2450" i="12"/>
  <c r="F2450" i="12" s="1"/>
  <c r="G2450" i="12" s="1"/>
  <c r="I2450" i="12" s="1"/>
  <c r="K2450" i="12" s="1"/>
  <c r="E2449" i="12"/>
  <c r="F2449" i="12" s="1"/>
  <c r="G2449" i="12" s="1"/>
  <c r="I2449" i="12" s="1"/>
  <c r="K2449" i="12" s="1"/>
  <c r="E2448" i="12"/>
  <c r="F2448" i="12" s="1"/>
  <c r="G2448" i="12" s="1"/>
  <c r="I2448" i="12" s="1"/>
  <c r="K2448" i="12" s="1"/>
  <c r="E2447" i="12"/>
  <c r="F2447" i="12" s="1"/>
  <c r="G2447" i="12" s="1"/>
  <c r="I2447" i="12" s="1"/>
  <c r="K2447" i="12" s="1"/>
  <c r="E2446" i="12"/>
  <c r="F2446" i="12" s="1"/>
  <c r="G2446" i="12" s="1"/>
  <c r="I2446" i="12" s="1"/>
  <c r="K2446" i="12" s="1"/>
  <c r="E2445" i="12"/>
  <c r="F2445" i="12" s="1"/>
  <c r="G2445" i="12" s="1"/>
  <c r="I2445" i="12" s="1"/>
  <c r="K2445" i="12" s="1"/>
  <c r="E2444" i="12"/>
  <c r="F2444" i="12" s="1"/>
  <c r="G2444" i="12" s="1"/>
  <c r="I2444" i="12" s="1"/>
  <c r="K2444" i="12" s="1"/>
  <c r="E2443" i="12"/>
  <c r="F2443" i="12" s="1"/>
  <c r="G2443" i="12" s="1"/>
  <c r="I2443" i="12" s="1"/>
  <c r="K2443" i="12" s="1"/>
  <c r="E2442" i="12"/>
  <c r="F2442" i="12" s="1"/>
  <c r="G2442" i="12" s="1"/>
  <c r="I2442" i="12" s="1"/>
  <c r="K2442" i="12" s="1"/>
  <c r="E2441" i="12"/>
  <c r="F2441" i="12" s="1"/>
  <c r="G2441" i="12" s="1"/>
  <c r="I2441" i="12" s="1"/>
  <c r="K2441" i="12" s="1"/>
  <c r="E2440" i="12"/>
  <c r="F2440" i="12" s="1"/>
  <c r="G2440" i="12" s="1"/>
  <c r="I2440" i="12" s="1"/>
  <c r="K2440" i="12" s="1"/>
  <c r="E2439" i="12"/>
  <c r="F2439" i="12" s="1"/>
  <c r="G2439" i="12" s="1"/>
  <c r="I2439" i="12" s="1"/>
  <c r="K2439" i="12" s="1"/>
  <c r="E2438" i="12"/>
  <c r="F2438" i="12" s="1"/>
  <c r="G2438" i="12" s="1"/>
  <c r="I2438" i="12" s="1"/>
  <c r="K2438" i="12" s="1"/>
  <c r="E2437" i="12"/>
  <c r="F2437" i="12" s="1"/>
  <c r="G2437" i="12" s="1"/>
  <c r="I2437" i="12" s="1"/>
  <c r="K2437" i="12" s="1"/>
  <c r="D2436" i="12"/>
  <c r="E2436" i="12" s="1"/>
  <c r="F2436" i="12" s="1"/>
  <c r="G2436" i="12" s="1"/>
  <c r="I2436" i="12" s="1"/>
  <c r="K2436" i="12" s="1"/>
  <c r="D2435" i="12"/>
  <c r="E2435" i="12" s="1"/>
  <c r="F2435" i="12" s="1"/>
  <c r="G2435" i="12" s="1"/>
  <c r="I2435" i="12" s="1"/>
  <c r="K2435" i="12" s="1"/>
  <c r="D2434" i="12"/>
  <c r="E2433" i="12"/>
  <c r="F2433" i="12" s="1"/>
  <c r="G2433" i="12" s="1"/>
  <c r="I2433" i="12" s="1"/>
  <c r="K2433" i="12" s="1"/>
  <c r="D2432" i="12"/>
  <c r="E2432" i="12" s="1"/>
  <c r="F2432" i="12" s="1"/>
  <c r="G2432" i="12" s="1"/>
  <c r="I2432" i="12" s="1"/>
  <c r="K2432" i="12" s="1"/>
  <c r="E2431" i="12"/>
  <c r="F2431" i="12" s="1"/>
  <c r="G2431" i="12" s="1"/>
  <c r="I2431" i="12" s="1"/>
  <c r="K2431" i="12" s="1"/>
  <c r="E2430" i="12"/>
  <c r="F2430" i="12" s="1"/>
  <c r="G2430" i="12" s="1"/>
  <c r="I2430" i="12" s="1"/>
  <c r="K2430" i="12" s="1"/>
  <c r="E2429" i="12"/>
  <c r="F2429" i="12" s="1"/>
  <c r="G2429" i="12" s="1"/>
  <c r="I2429" i="12" s="1"/>
  <c r="K2429" i="12" s="1"/>
  <c r="E2428" i="12"/>
  <c r="F2428" i="12" s="1"/>
  <c r="G2428" i="12" s="1"/>
  <c r="I2428" i="12" s="1"/>
  <c r="K2428" i="12" s="1"/>
  <c r="D2427" i="12"/>
  <c r="E2427" i="12" s="1"/>
  <c r="F2427" i="12" s="1"/>
  <c r="G2427" i="12" s="1"/>
  <c r="I2427" i="12" s="1"/>
  <c r="K2427" i="12" s="1"/>
  <c r="D2426" i="12"/>
  <c r="D2425" i="12"/>
  <c r="E2425" i="12" s="1"/>
  <c r="F2425" i="12" s="1"/>
  <c r="G2425" i="12" s="1"/>
  <c r="I2425" i="12" s="1"/>
  <c r="K2425" i="12" s="1"/>
  <c r="E2424" i="12"/>
  <c r="F2424" i="12" s="1"/>
  <c r="G2424" i="12" s="1"/>
  <c r="I2424" i="12" s="1"/>
  <c r="K2424" i="12" s="1"/>
  <c r="E2423" i="12"/>
  <c r="F2423" i="12" s="1"/>
  <c r="G2423" i="12" s="1"/>
  <c r="I2423" i="12" s="1"/>
  <c r="K2423" i="12" s="1"/>
  <c r="E2422" i="12"/>
  <c r="F2422" i="12" s="1"/>
  <c r="G2422" i="12" s="1"/>
  <c r="I2422" i="12" s="1"/>
  <c r="K2422" i="12" s="1"/>
  <c r="E2421" i="12"/>
  <c r="F2421" i="12" s="1"/>
  <c r="G2421" i="12" s="1"/>
  <c r="I2421" i="12" s="1"/>
  <c r="K2421" i="12" s="1"/>
  <c r="E2420" i="12"/>
  <c r="F2420" i="12" s="1"/>
  <c r="G2420" i="12" s="1"/>
  <c r="I2420" i="12" s="1"/>
  <c r="K2420" i="12" s="1"/>
  <c r="E2419" i="12"/>
  <c r="F2419" i="12" s="1"/>
  <c r="G2419" i="12" s="1"/>
  <c r="I2419" i="12" s="1"/>
  <c r="K2419" i="12" s="1"/>
  <c r="E2418" i="12"/>
  <c r="F2418" i="12" s="1"/>
  <c r="G2418" i="12" s="1"/>
  <c r="I2418" i="12" s="1"/>
  <c r="K2418" i="12" s="1"/>
  <c r="E2417" i="12"/>
  <c r="F2417" i="12" s="1"/>
  <c r="G2417" i="12" s="1"/>
  <c r="I2417" i="12" s="1"/>
  <c r="K2417" i="12" s="1"/>
  <c r="D2416" i="12"/>
  <c r="E2416" i="12" s="1"/>
  <c r="F2416" i="12" s="1"/>
  <c r="G2416" i="12" s="1"/>
  <c r="I2416" i="12" s="1"/>
  <c r="K2416" i="12" s="1"/>
  <c r="E2415" i="12"/>
  <c r="F2415" i="12" s="1"/>
  <c r="G2415" i="12" s="1"/>
  <c r="I2415" i="12" s="1"/>
  <c r="K2415" i="12" s="1"/>
  <c r="E2414" i="12"/>
  <c r="F2414" i="12" s="1"/>
  <c r="G2414" i="12" s="1"/>
  <c r="I2414" i="12" s="1"/>
  <c r="K2414" i="12" s="1"/>
  <c r="D2413" i="12"/>
  <c r="E2413" i="12" s="1"/>
  <c r="F2413" i="12" s="1"/>
  <c r="G2413" i="12" s="1"/>
  <c r="I2413" i="12" s="1"/>
  <c r="K2413" i="12" s="1"/>
  <c r="E2412" i="12"/>
  <c r="F2412" i="12" s="1"/>
  <c r="G2412" i="12" s="1"/>
  <c r="I2412" i="12" s="1"/>
  <c r="K2412" i="12" s="1"/>
  <c r="E2411" i="12"/>
  <c r="F2411" i="12" s="1"/>
  <c r="G2411" i="12" s="1"/>
  <c r="I2411" i="12" s="1"/>
  <c r="K2411" i="12" s="1"/>
  <c r="E2410" i="12"/>
  <c r="F2410" i="12" s="1"/>
  <c r="G2410" i="12" s="1"/>
  <c r="I2410" i="12" s="1"/>
  <c r="K2410" i="12" s="1"/>
  <c r="E2409" i="12"/>
  <c r="F2409" i="12" s="1"/>
  <c r="G2409" i="12" s="1"/>
  <c r="I2409" i="12" s="1"/>
  <c r="K2409" i="12" s="1"/>
  <c r="E2408" i="12"/>
  <c r="F2408" i="12" s="1"/>
  <c r="G2408" i="12" s="1"/>
  <c r="I2408" i="12" s="1"/>
  <c r="K2408" i="12" s="1"/>
  <c r="E2407" i="12"/>
  <c r="F2407" i="12" s="1"/>
  <c r="G2407" i="12" s="1"/>
  <c r="I2407" i="12" s="1"/>
  <c r="K2407" i="12" s="1"/>
  <c r="E2406" i="12"/>
  <c r="F2406" i="12" s="1"/>
  <c r="G2406" i="12" s="1"/>
  <c r="I2406" i="12" s="1"/>
  <c r="K2406" i="12" s="1"/>
  <c r="D2405" i="12"/>
  <c r="E2405" i="12" s="1"/>
  <c r="F2405" i="12" s="1"/>
  <c r="G2405" i="12" s="1"/>
  <c r="I2405" i="12" s="1"/>
  <c r="K2405" i="12" s="1"/>
  <c r="D2404" i="12"/>
  <c r="E2404" i="12" s="1"/>
  <c r="F2404" i="12" s="1"/>
  <c r="G2404" i="12" s="1"/>
  <c r="I2404" i="12" s="1"/>
  <c r="K2404" i="12" s="1"/>
  <c r="E2403" i="12"/>
  <c r="F2403" i="12" s="1"/>
  <c r="G2403" i="12" s="1"/>
  <c r="I2403" i="12" s="1"/>
  <c r="K2403" i="12" s="1"/>
  <c r="D2402" i="12"/>
  <c r="D2401" i="12"/>
  <c r="E2401" i="12" s="1"/>
  <c r="F2401" i="12" s="1"/>
  <c r="G2401" i="12" s="1"/>
  <c r="I2401" i="12" s="1"/>
  <c r="K2401" i="12" s="1"/>
  <c r="E2400" i="12"/>
  <c r="F2400" i="12" s="1"/>
  <c r="G2400" i="12" s="1"/>
  <c r="I2400" i="12" s="1"/>
  <c r="K2400" i="12" s="1"/>
  <c r="E2399" i="12"/>
  <c r="F2399" i="12" s="1"/>
  <c r="G2399" i="12" s="1"/>
  <c r="I2399" i="12" s="1"/>
  <c r="K2399" i="12" s="1"/>
  <c r="E2398" i="12"/>
  <c r="F2398" i="12" s="1"/>
  <c r="G2398" i="12" s="1"/>
  <c r="I2398" i="12" s="1"/>
  <c r="K2398" i="12" s="1"/>
  <c r="E2397" i="12"/>
  <c r="F2397" i="12" s="1"/>
  <c r="G2397" i="12" s="1"/>
  <c r="I2397" i="12" s="1"/>
  <c r="K2397" i="12" s="1"/>
  <c r="D2396" i="12"/>
  <c r="E2396" i="12" s="1"/>
  <c r="F2396" i="12" s="1"/>
  <c r="G2396" i="12" s="1"/>
  <c r="I2396" i="12" s="1"/>
  <c r="K2396" i="12" s="1"/>
  <c r="E2395" i="12"/>
  <c r="F2395" i="12" s="1"/>
  <c r="G2395" i="12" s="1"/>
  <c r="I2395" i="12" s="1"/>
  <c r="K2395" i="12" s="1"/>
  <c r="D2394" i="12"/>
  <c r="E2393" i="12"/>
  <c r="F2393" i="12" s="1"/>
  <c r="G2393" i="12" s="1"/>
  <c r="I2393" i="12" s="1"/>
  <c r="K2393" i="12" s="1"/>
  <c r="D2392" i="12"/>
  <c r="E2392" i="12" s="1"/>
  <c r="F2392" i="12" s="1"/>
  <c r="G2392" i="12" s="1"/>
  <c r="I2392" i="12" s="1"/>
  <c r="K2392" i="12" s="1"/>
  <c r="D2391" i="12"/>
  <c r="E2391" i="12" s="1"/>
  <c r="F2391" i="12" s="1"/>
  <c r="G2391" i="12" s="1"/>
  <c r="I2391" i="12" s="1"/>
  <c r="K2391" i="12" s="1"/>
  <c r="D2390" i="12"/>
  <c r="E2390" i="12" s="1"/>
  <c r="F2390" i="12" s="1"/>
  <c r="G2390" i="12" s="1"/>
  <c r="I2390" i="12" s="1"/>
  <c r="K2390" i="12" s="1"/>
  <c r="D2389" i="12"/>
  <c r="E2389" i="12" s="1"/>
  <c r="F2389" i="12" s="1"/>
  <c r="G2389" i="12" s="1"/>
  <c r="I2389" i="12" s="1"/>
  <c r="K2389" i="12" s="1"/>
  <c r="D2388" i="12"/>
  <c r="E2388" i="12" s="1"/>
  <c r="F2388" i="12" s="1"/>
  <c r="G2388" i="12" s="1"/>
  <c r="I2388" i="12" s="1"/>
  <c r="K2388" i="12" s="1"/>
  <c r="D2387" i="12"/>
  <c r="E2387" i="12" s="1"/>
  <c r="F2387" i="12" s="1"/>
  <c r="G2387" i="12" s="1"/>
  <c r="I2387" i="12" s="1"/>
  <c r="K2387" i="12" s="1"/>
  <c r="D2386" i="12"/>
  <c r="E2385" i="12"/>
  <c r="F2385" i="12" s="1"/>
  <c r="G2385" i="12" s="1"/>
  <c r="I2385" i="12" s="1"/>
  <c r="K2385" i="12" s="1"/>
  <c r="E2384" i="12"/>
  <c r="F2384" i="12" s="1"/>
  <c r="G2384" i="12" s="1"/>
  <c r="I2384" i="12" s="1"/>
  <c r="K2384" i="12" s="1"/>
  <c r="E2383" i="12"/>
  <c r="F2383" i="12" s="1"/>
  <c r="G2383" i="12" s="1"/>
  <c r="I2383" i="12" s="1"/>
  <c r="K2383" i="12" s="1"/>
  <c r="E2382" i="12"/>
  <c r="F2382" i="12" s="1"/>
  <c r="G2382" i="12" s="1"/>
  <c r="I2382" i="12" s="1"/>
  <c r="K2382" i="12" s="1"/>
  <c r="E2381" i="12"/>
  <c r="F2381" i="12" s="1"/>
  <c r="G2381" i="12" s="1"/>
  <c r="I2381" i="12" s="1"/>
  <c r="K2381" i="12" s="1"/>
  <c r="E2380" i="12"/>
  <c r="F2380" i="12" s="1"/>
  <c r="G2380" i="12" s="1"/>
  <c r="I2380" i="12" s="1"/>
  <c r="K2380" i="12" s="1"/>
  <c r="E2379" i="12"/>
  <c r="F2379" i="12" s="1"/>
  <c r="G2379" i="12" s="1"/>
  <c r="I2379" i="12" s="1"/>
  <c r="K2379" i="12" s="1"/>
  <c r="D2378" i="12"/>
  <c r="E2377" i="12"/>
  <c r="F2377" i="12" s="1"/>
  <c r="G2377" i="12" s="1"/>
  <c r="I2377" i="12" s="1"/>
  <c r="K2377" i="12" s="1"/>
  <c r="E2376" i="12"/>
  <c r="F2376" i="12" s="1"/>
  <c r="G2376" i="12" s="1"/>
  <c r="I2376" i="12" s="1"/>
  <c r="K2376" i="12" s="1"/>
  <c r="E2375" i="12"/>
  <c r="F2375" i="12" s="1"/>
  <c r="G2375" i="12" s="1"/>
  <c r="I2375" i="12" s="1"/>
  <c r="K2375" i="12" s="1"/>
  <c r="E2374" i="12"/>
  <c r="F2374" i="12" s="1"/>
  <c r="G2374" i="12" s="1"/>
  <c r="I2374" i="12" s="1"/>
  <c r="K2374" i="12" s="1"/>
  <c r="E2373" i="12"/>
  <c r="F2373" i="12" s="1"/>
  <c r="G2373" i="12" s="1"/>
  <c r="I2373" i="12" s="1"/>
  <c r="K2373" i="12" s="1"/>
  <c r="E2372" i="12"/>
  <c r="F2372" i="12" s="1"/>
  <c r="G2372" i="12" s="1"/>
  <c r="I2372" i="12" s="1"/>
  <c r="K2372" i="12" s="1"/>
  <c r="D2371" i="12"/>
  <c r="E2371" i="12" s="1"/>
  <c r="F2371" i="12" s="1"/>
  <c r="G2371" i="12" s="1"/>
  <c r="I2371" i="12" s="1"/>
  <c r="K2371" i="12" s="1"/>
  <c r="E2370" i="12"/>
  <c r="F2370" i="12" s="1"/>
  <c r="G2370" i="12" s="1"/>
  <c r="I2370" i="12" s="1"/>
  <c r="K2370" i="12" s="1"/>
  <c r="E2369" i="12"/>
  <c r="F2369" i="12" s="1"/>
  <c r="G2369" i="12" s="1"/>
  <c r="I2369" i="12" s="1"/>
  <c r="K2369" i="12" s="1"/>
  <c r="D2368" i="12"/>
  <c r="E2368" i="12" s="1"/>
  <c r="F2368" i="12" s="1"/>
  <c r="G2368" i="12" s="1"/>
  <c r="I2368" i="12" s="1"/>
  <c r="K2368" i="12" s="1"/>
  <c r="D2367" i="12"/>
  <c r="E2367" i="12" s="1"/>
  <c r="F2367" i="12" s="1"/>
  <c r="G2367" i="12" s="1"/>
  <c r="I2367" i="12" s="1"/>
  <c r="K2367" i="12" s="1"/>
  <c r="E2366" i="12"/>
  <c r="F2366" i="12" s="1"/>
  <c r="G2366" i="12" s="1"/>
  <c r="I2366" i="12" s="1"/>
  <c r="K2366" i="12" s="1"/>
  <c r="D2365" i="12"/>
  <c r="E2365" i="12" s="1"/>
  <c r="F2365" i="12" s="1"/>
  <c r="G2365" i="12" s="1"/>
  <c r="I2365" i="12" s="1"/>
  <c r="K2365" i="12" s="1"/>
  <c r="D2364" i="12"/>
  <c r="E2364" i="12" s="1"/>
  <c r="F2364" i="12" s="1"/>
  <c r="G2364" i="12" s="1"/>
  <c r="I2364" i="12" s="1"/>
  <c r="K2364" i="12" s="1"/>
  <c r="D2363" i="12"/>
  <c r="E2363" i="12" s="1"/>
  <c r="F2363" i="12" s="1"/>
  <c r="G2363" i="12" s="1"/>
  <c r="I2363" i="12" s="1"/>
  <c r="K2363" i="12" s="1"/>
  <c r="D2362" i="12"/>
  <c r="D2361" i="12"/>
  <c r="E2361" i="12" s="1"/>
  <c r="F2361" i="12" s="1"/>
  <c r="G2361" i="12" s="1"/>
  <c r="I2361" i="12" s="1"/>
  <c r="K2361" i="12" s="1"/>
  <c r="E2360" i="12"/>
  <c r="F2360" i="12" s="1"/>
  <c r="G2360" i="12" s="1"/>
  <c r="I2360" i="12" s="1"/>
  <c r="K2360" i="12" s="1"/>
  <c r="E2359" i="12"/>
  <c r="F2359" i="12" s="1"/>
  <c r="G2359" i="12" s="1"/>
  <c r="I2359" i="12" s="1"/>
  <c r="K2359" i="12" s="1"/>
  <c r="D2358" i="12"/>
  <c r="E2357" i="12"/>
  <c r="F2357" i="12" s="1"/>
  <c r="G2357" i="12" s="1"/>
  <c r="I2357" i="12" s="1"/>
  <c r="K2357" i="12" s="1"/>
  <c r="E2356" i="12"/>
  <c r="F2356" i="12" s="1"/>
  <c r="G2356" i="12" s="1"/>
  <c r="I2356" i="12" s="1"/>
  <c r="K2356" i="12" s="1"/>
  <c r="D2355" i="12"/>
  <c r="E2355" i="12" s="1"/>
  <c r="F2355" i="12" s="1"/>
  <c r="G2355" i="12" s="1"/>
  <c r="I2355" i="12" s="1"/>
  <c r="K2355" i="12" s="1"/>
  <c r="E2354" i="12"/>
  <c r="F2354" i="12" s="1"/>
  <c r="G2354" i="12" s="1"/>
  <c r="I2354" i="12" s="1"/>
  <c r="K2354" i="12" s="1"/>
  <c r="D2353" i="12"/>
  <c r="E2353" i="12" s="1"/>
  <c r="F2353" i="12" s="1"/>
  <c r="G2353" i="12" s="1"/>
  <c r="I2353" i="12" s="1"/>
  <c r="K2353" i="12" s="1"/>
  <c r="D2352" i="12"/>
  <c r="E2351" i="12"/>
  <c r="F2351" i="12" s="1"/>
  <c r="G2351" i="12" s="1"/>
  <c r="I2351" i="12" s="1"/>
  <c r="K2351" i="12" s="1"/>
  <c r="D2350" i="12"/>
  <c r="E2349" i="12"/>
  <c r="F2349" i="12" s="1"/>
  <c r="G2349" i="12" s="1"/>
  <c r="I2349" i="12" s="1"/>
  <c r="K2349" i="12" s="1"/>
  <c r="E2348" i="12"/>
  <c r="F2348" i="12" s="1"/>
  <c r="G2348" i="12" s="1"/>
  <c r="I2348" i="12" s="1"/>
  <c r="K2348" i="12" s="1"/>
  <c r="E2347" i="12"/>
  <c r="F2347" i="12" s="1"/>
  <c r="G2347" i="12" s="1"/>
  <c r="I2347" i="12" s="1"/>
  <c r="K2347" i="12" s="1"/>
  <c r="E2346" i="12"/>
  <c r="F2346" i="12" s="1"/>
  <c r="G2346" i="12" s="1"/>
  <c r="I2346" i="12" s="1"/>
  <c r="K2346" i="12" s="1"/>
  <c r="E2345" i="12"/>
  <c r="F2345" i="12" s="1"/>
  <c r="G2345" i="12" s="1"/>
  <c r="I2345" i="12" s="1"/>
  <c r="K2345" i="12" s="1"/>
  <c r="E2344" i="12"/>
  <c r="F2344" i="12" s="1"/>
  <c r="G2344" i="12" s="1"/>
  <c r="I2344" i="12" s="1"/>
  <c r="K2344" i="12" s="1"/>
  <c r="E2343" i="12"/>
  <c r="F2343" i="12" s="1"/>
  <c r="G2343" i="12" s="1"/>
  <c r="I2343" i="12" s="1"/>
  <c r="K2343" i="12" s="1"/>
  <c r="E2342" i="12"/>
  <c r="F2342" i="12" s="1"/>
  <c r="G2342" i="12" s="1"/>
  <c r="I2342" i="12" s="1"/>
  <c r="K2342" i="12" s="1"/>
  <c r="E2341" i="12"/>
  <c r="F2341" i="12" s="1"/>
  <c r="G2341" i="12" s="1"/>
  <c r="I2341" i="12" s="1"/>
  <c r="K2341" i="12" s="1"/>
  <c r="E2340" i="12"/>
  <c r="F2340" i="12" s="1"/>
  <c r="G2340" i="12" s="1"/>
  <c r="I2340" i="12" s="1"/>
  <c r="K2340" i="12" s="1"/>
  <c r="E2339" i="12"/>
  <c r="F2339" i="12" s="1"/>
  <c r="G2339" i="12" s="1"/>
  <c r="I2339" i="12" s="1"/>
  <c r="K2339" i="12" s="1"/>
  <c r="E2338" i="12"/>
  <c r="F2338" i="12" s="1"/>
  <c r="G2338" i="12" s="1"/>
  <c r="I2338" i="12" s="1"/>
  <c r="K2338" i="12" s="1"/>
  <c r="E2337" i="12"/>
  <c r="F2337" i="12" s="1"/>
  <c r="G2337" i="12" s="1"/>
  <c r="I2337" i="12" s="1"/>
  <c r="K2337" i="12" s="1"/>
  <c r="E2336" i="12"/>
  <c r="F2336" i="12" s="1"/>
  <c r="G2336" i="12" s="1"/>
  <c r="I2336" i="12" s="1"/>
  <c r="K2336" i="12" s="1"/>
  <c r="E2335" i="12"/>
  <c r="F2335" i="12" s="1"/>
  <c r="G2335" i="12" s="1"/>
  <c r="I2335" i="12" s="1"/>
  <c r="K2335" i="12" s="1"/>
  <c r="E2334" i="12"/>
  <c r="F2334" i="12" s="1"/>
  <c r="G2334" i="12" s="1"/>
  <c r="I2334" i="12" s="1"/>
  <c r="K2334" i="12" s="1"/>
  <c r="E2333" i="12"/>
  <c r="F2333" i="12" s="1"/>
  <c r="G2333" i="12" s="1"/>
  <c r="I2333" i="12" s="1"/>
  <c r="K2333" i="12" s="1"/>
  <c r="E2332" i="12"/>
  <c r="F2332" i="12" s="1"/>
  <c r="G2332" i="12" s="1"/>
  <c r="I2332" i="12" s="1"/>
  <c r="K2332" i="12" s="1"/>
  <c r="E2331" i="12"/>
  <c r="F2331" i="12" s="1"/>
  <c r="G2331" i="12" s="1"/>
  <c r="I2331" i="12" s="1"/>
  <c r="K2331" i="12" s="1"/>
  <c r="E2330" i="12"/>
  <c r="F2330" i="12" s="1"/>
  <c r="G2330" i="12" s="1"/>
  <c r="I2330" i="12" s="1"/>
  <c r="K2330" i="12" s="1"/>
  <c r="E2329" i="12"/>
  <c r="F2329" i="12" s="1"/>
  <c r="G2329" i="12" s="1"/>
  <c r="I2329" i="12" s="1"/>
  <c r="K2329" i="12" s="1"/>
  <c r="E2328" i="12"/>
  <c r="F2328" i="12" s="1"/>
  <c r="G2328" i="12" s="1"/>
  <c r="I2328" i="12" s="1"/>
  <c r="K2328" i="12" s="1"/>
  <c r="E2327" i="12"/>
  <c r="F2327" i="12" s="1"/>
  <c r="G2327" i="12" s="1"/>
  <c r="I2327" i="12" s="1"/>
  <c r="K2327" i="12" s="1"/>
  <c r="E2326" i="12"/>
  <c r="F2326" i="12" s="1"/>
  <c r="G2326" i="12" s="1"/>
  <c r="I2326" i="12" s="1"/>
  <c r="K2326" i="12" s="1"/>
  <c r="E2325" i="12"/>
  <c r="F2325" i="12" s="1"/>
  <c r="G2325" i="12" s="1"/>
  <c r="I2325" i="12" s="1"/>
  <c r="K2325" i="12" s="1"/>
  <c r="E2324" i="12"/>
  <c r="F2324" i="12" s="1"/>
  <c r="G2324" i="12" s="1"/>
  <c r="I2324" i="12" s="1"/>
  <c r="K2324" i="12" s="1"/>
  <c r="E2323" i="12"/>
  <c r="F2323" i="12" s="1"/>
  <c r="G2323" i="12" s="1"/>
  <c r="I2323" i="12" s="1"/>
  <c r="K2323" i="12" s="1"/>
  <c r="E2322" i="12"/>
  <c r="F2322" i="12" s="1"/>
  <c r="G2322" i="12" s="1"/>
  <c r="I2322" i="12" s="1"/>
  <c r="K2322" i="12" s="1"/>
  <c r="E2321" i="12"/>
  <c r="F2321" i="12" s="1"/>
  <c r="G2321" i="12" s="1"/>
  <c r="I2321" i="12" s="1"/>
  <c r="K2321" i="12" s="1"/>
  <c r="E2320" i="12"/>
  <c r="F2320" i="12" s="1"/>
  <c r="G2320" i="12" s="1"/>
  <c r="I2320" i="12" s="1"/>
  <c r="K2320" i="12" s="1"/>
  <c r="E2319" i="12"/>
  <c r="F2319" i="12" s="1"/>
  <c r="G2319" i="12" s="1"/>
  <c r="I2319" i="12" s="1"/>
  <c r="K2319" i="12" s="1"/>
  <c r="E2318" i="12"/>
  <c r="F2318" i="12" s="1"/>
  <c r="G2318" i="12" s="1"/>
  <c r="I2318" i="12" s="1"/>
  <c r="K2318" i="12" s="1"/>
  <c r="E2317" i="12"/>
  <c r="F2317" i="12" s="1"/>
  <c r="G2317" i="12" s="1"/>
  <c r="I2317" i="12" s="1"/>
  <c r="K2317" i="12" s="1"/>
  <c r="E2316" i="12"/>
  <c r="F2316" i="12" s="1"/>
  <c r="G2316" i="12" s="1"/>
  <c r="I2316" i="12" s="1"/>
  <c r="K2316" i="12" s="1"/>
  <c r="E2315" i="12"/>
  <c r="F2315" i="12" s="1"/>
  <c r="G2315" i="12" s="1"/>
  <c r="I2315" i="12" s="1"/>
  <c r="K2315" i="12" s="1"/>
  <c r="E2314" i="12"/>
  <c r="F2314" i="12" s="1"/>
  <c r="G2314" i="12" s="1"/>
  <c r="I2314" i="12" s="1"/>
  <c r="K2314" i="12" s="1"/>
  <c r="E2313" i="12"/>
  <c r="F2313" i="12" s="1"/>
  <c r="G2313" i="12" s="1"/>
  <c r="I2313" i="12" s="1"/>
  <c r="K2313" i="12" s="1"/>
  <c r="E2312" i="12"/>
  <c r="F2312" i="12" s="1"/>
  <c r="G2312" i="12" s="1"/>
  <c r="I2312" i="12" s="1"/>
  <c r="K2312" i="12" s="1"/>
  <c r="E2311" i="12"/>
  <c r="F2311" i="12" s="1"/>
  <c r="G2311" i="12" s="1"/>
  <c r="I2311" i="12" s="1"/>
  <c r="K2311" i="12" s="1"/>
  <c r="E2310" i="12"/>
  <c r="F2310" i="12" s="1"/>
  <c r="G2310" i="12" s="1"/>
  <c r="I2310" i="12" s="1"/>
  <c r="K2310" i="12" s="1"/>
  <c r="E2309" i="12"/>
  <c r="F2309" i="12" s="1"/>
  <c r="G2309" i="12" s="1"/>
  <c r="I2309" i="12" s="1"/>
  <c r="K2309" i="12" s="1"/>
  <c r="E2308" i="12"/>
  <c r="F2308" i="12" s="1"/>
  <c r="G2308" i="12" s="1"/>
  <c r="I2308" i="12" s="1"/>
  <c r="K2308" i="12" s="1"/>
  <c r="E2307" i="12"/>
  <c r="F2307" i="12" s="1"/>
  <c r="G2307" i="12" s="1"/>
  <c r="I2307" i="12" s="1"/>
  <c r="K2307" i="12" s="1"/>
  <c r="E2306" i="12"/>
  <c r="F2306" i="12" s="1"/>
  <c r="G2306" i="12" s="1"/>
  <c r="I2306" i="12" s="1"/>
  <c r="K2306" i="12" s="1"/>
  <c r="E2305" i="12"/>
  <c r="F2305" i="12" s="1"/>
  <c r="G2305" i="12" s="1"/>
  <c r="I2305" i="12" s="1"/>
  <c r="K2305" i="12" s="1"/>
  <c r="E2304" i="12"/>
  <c r="F2304" i="12" s="1"/>
  <c r="G2304" i="12" s="1"/>
  <c r="I2304" i="12" s="1"/>
  <c r="K2304" i="12" s="1"/>
  <c r="E2303" i="12"/>
  <c r="F2303" i="12" s="1"/>
  <c r="G2303" i="12" s="1"/>
  <c r="I2303" i="12" s="1"/>
  <c r="K2303" i="12" s="1"/>
  <c r="E2302" i="12"/>
  <c r="F2302" i="12" s="1"/>
  <c r="G2302" i="12" s="1"/>
  <c r="I2302" i="12" s="1"/>
  <c r="K2302" i="12" s="1"/>
  <c r="E2301" i="12"/>
  <c r="F2301" i="12" s="1"/>
  <c r="G2301" i="12" s="1"/>
  <c r="I2301" i="12" s="1"/>
  <c r="K2301" i="12" s="1"/>
  <c r="D2300" i="12"/>
  <c r="E2300" i="12" s="1"/>
  <c r="F2300" i="12" s="1"/>
  <c r="G2300" i="12" s="1"/>
  <c r="I2300" i="12" s="1"/>
  <c r="K2300" i="12" s="1"/>
  <c r="D2299" i="12"/>
  <c r="E2299" i="12" s="1"/>
  <c r="F2299" i="12" s="1"/>
  <c r="G2299" i="12" s="1"/>
  <c r="I2299" i="12" s="1"/>
  <c r="K2299" i="12" s="1"/>
  <c r="D2298" i="12"/>
  <c r="D2297" i="12"/>
  <c r="E2297" i="12" s="1"/>
  <c r="F2297" i="12" s="1"/>
  <c r="G2297" i="12" s="1"/>
  <c r="I2297" i="12" s="1"/>
  <c r="K2297" i="12" s="1"/>
  <c r="E2296" i="12"/>
  <c r="F2296" i="12" s="1"/>
  <c r="G2296" i="12" s="1"/>
  <c r="I2296" i="12" s="1"/>
  <c r="K2296" i="12" s="1"/>
  <c r="E2295" i="12"/>
  <c r="F2295" i="12" s="1"/>
  <c r="G2295" i="12" s="1"/>
  <c r="I2295" i="12" s="1"/>
  <c r="K2295" i="12" s="1"/>
  <c r="E2294" i="12"/>
  <c r="F2294" i="12" s="1"/>
  <c r="G2294" i="12" s="1"/>
  <c r="I2294" i="12" s="1"/>
  <c r="K2294" i="12" s="1"/>
  <c r="E2293" i="12"/>
  <c r="F2293" i="12" s="1"/>
  <c r="G2293" i="12" s="1"/>
  <c r="I2293" i="12" s="1"/>
  <c r="K2293" i="12" s="1"/>
  <c r="D2292" i="12"/>
  <c r="E2292" i="12" s="1"/>
  <c r="F2292" i="12" s="1"/>
  <c r="G2292" i="12" s="1"/>
  <c r="I2292" i="12" s="1"/>
  <c r="K2292" i="12" s="1"/>
  <c r="E2291" i="12"/>
  <c r="F2291" i="12" s="1"/>
  <c r="G2291" i="12" s="1"/>
  <c r="I2291" i="12" s="1"/>
  <c r="K2291" i="12" s="1"/>
  <c r="E2290" i="12"/>
  <c r="F2290" i="12" s="1"/>
  <c r="G2290" i="12" s="1"/>
  <c r="I2290" i="12" s="1"/>
  <c r="K2290" i="12" s="1"/>
  <c r="E2289" i="12"/>
  <c r="F2289" i="12" s="1"/>
  <c r="G2289" i="12" s="1"/>
  <c r="I2289" i="12" s="1"/>
  <c r="K2289" i="12" s="1"/>
  <c r="E2288" i="12"/>
  <c r="F2288" i="12" s="1"/>
  <c r="G2288" i="12" s="1"/>
  <c r="I2288" i="12" s="1"/>
  <c r="K2288" i="12" s="1"/>
  <c r="D2287" i="12"/>
  <c r="E2286" i="12"/>
  <c r="F2286" i="12" s="1"/>
  <c r="G2286" i="12" s="1"/>
  <c r="I2286" i="12" s="1"/>
  <c r="K2286" i="12" s="1"/>
  <c r="E2285" i="12"/>
  <c r="F2285" i="12" s="1"/>
  <c r="G2285" i="12" s="1"/>
  <c r="I2285" i="12" s="1"/>
  <c r="K2285" i="12" s="1"/>
  <c r="D2284" i="12"/>
  <c r="E2284" i="12" s="1"/>
  <c r="F2284" i="12" s="1"/>
  <c r="G2284" i="12" s="1"/>
  <c r="I2284" i="12" s="1"/>
  <c r="K2284" i="12" s="1"/>
  <c r="E2283" i="12"/>
  <c r="F2283" i="12" s="1"/>
  <c r="G2283" i="12" s="1"/>
  <c r="I2283" i="12" s="1"/>
  <c r="K2283" i="12" s="1"/>
  <c r="E2282" i="12"/>
  <c r="F2282" i="12" s="1"/>
  <c r="G2282" i="12" s="1"/>
  <c r="I2282" i="12" s="1"/>
  <c r="K2282" i="12" s="1"/>
  <c r="D2281" i="12"/>
  <c r="E2281" i="12" s="1"/>
  <c r="F2281" i="12" s="1"/>
  <c r="G2281" i="12" s="1"/>
  <c r="I2281" i="12" s="1"/>
  <c r="K2281" i="12" s="1"/>
  <c r="E2280" i="12"/>
  <c r="F2280" i="12" s="1"/>
  <c r="G2280" i="12" s="1"/>
  <c r="I2280" i="12" s="1"/>
  <c r="K2280" i="12" s="1"/>
  <c r="E2279" i="12"/>
  <c r="F2279" i="12" s="1"/>
  <c r="G2279" i="12" s="1"/>
  <c r="I2279" i="12" s="1"/>
  <c r="K2279" i="12" s="1"/>
  <c r="E2278" i="12"/>
  <c r="F2278" i="12" s="1"/>
  <c r="G2278" i="12" s="1"/>
  <c r="I2278" i="12" s="1"/>
  <c r="K2278" i="12" s="1"/>
  <c r="E2277" i="12"/>
  <c r="F2277" i="12" s="1"/>
  <c r="G2277" i="12" s="1"/>
  <c r="I2277" i="12" s="1"/>
  <c r="K2277" i="12" s="1"/>
  <c r="E2276" i="12"/>
  <c r="F2276" i="12" s="1"/>
  <c r="G2276" i="12" s="1"/>
  <c r="I2276" i="12" s="1"/>
  <c r="K2276" i="12" s="1"/>
  <c r="E2275" i="12"/>
  <c r="F2275" i="12" s="1"/>
  <c r="G2275" i="12" s="1"/>
  <c r="I2275" i="12" s="1"/>
  <c r="K2275" i="12" s="1"/>
  <c r="E2274" i="12"/>
  <c r="F2274" i="12" s="1"/>
  <c r="G2274" i="12" s="1"/>
  <c r="I2274" i="12" s="1"/>
  <c r="K2274" i="12" s="1"/>
  <c r="E2273" i="12"/>
  <c r="F2273" i="12" s="1"/>
  <c r="G2273" i="12" s="1"/>
  <c r="I2273" i="12" s="1"/>
  <c r="K2273" i="12" s="1"/>
  <c r="E2272" i="12"/>
  <c r="F2272" i="12" s="1"/>
  <c r="G2272" i="12" s="1"/>
  <c r="I2272" i="12" s="1"/>
  <c r="K2272" i="12" s="1"/>
  <c r="E2271" i="12"/>
  <c r="F2271" i="12" s="1"/>
  <c r="G2271" i="12" s="1"/>
  <c r="I2271" i="12" s="1"/>
  <c r="K2271" i="12" s="1"/>
  <c r="E2270" i="12"/>
  <c r="F2270" i="12" s="1"/>
  <c r="G2270" i="12" s="1"/>
  <c r="I2270" i="12" s="1"/>
  <c r="K2270" i="12" s="1"/>
  <c r="D2269" i="12"/>
  <c r="D2268" i="12"/>
  <c r="E2268" i="12" s="1"/>
  <c r="F2268" i="12" s="1"/>
  <c r="G2268" i="12" s="1"/>
  <c r="I2268" i="12" s="1"/>
  <c r="K2268" i="12" s="1"/>
  <c r="E2267" i="12"/>
  <c r="F2267" i="12" s="1"/>
  <c r="G2267" i="12" s="1"/>
  <c r="I2267" i="12" s="1"/>
  <c r="K2267" i="12" s="1"/>
  <c r="E2266" i="12"/>
  <c r="F2266" i="12" s="1"/>
  <c r="G2266" i="12" s="1"/>
  <c r="I2266" i="12" s="1"/>
  <c r="K2266" i="12" s="1"/>
  <c r="D2265" i="12"/>
  <c r="E2265" i="12" s="1"/>
  <c r="F2265" i="12" s="1"/>
  <c r="G2265" i="12" s="1"/>
  <c r="I2265" i="12" s="1"/>
  <c r="K2265" i="12" s="1"/>
  <c r="E2264" i="12"/>
  <c r="F2264" i="12" s="1"/>
  <c r="G2264" i="12" s="1"/>
  <c r="I2264" i="12" s="1"/>
  <c r="K2264" i="12" s="1"/>
  <c r="E2263" i="12"/>
  <c r="F2263" i="12" s="1"/>
  <c r="G2263" i="12" s="1"/>
  <c r="I2263" i="12" s="1"/>
  <c r="K2263" i="12" s="1"/>
  <c r="E2262" i="12"/>
  <c r="F2262" i="12" s="1"/>
  <c r="G2262" i="12" s="1"/>
  <c r="I2262" i="12" s="1"/>
  <c r="K2262" i="12" s="1"/>
  <c r="E2261" i="12"/>
  <c r="F2261" i="12" s="1"/>
  <c r="G2261" i="12" s="1"/>
  <c r="I2261" i="12" s="1"/>
  <c r="K2261" i="12" s="1"/>
  <c r="E2260" i="12"/>
  <c r="F2260" i="12" s="1"/>
  <c r="G2260" i="12" s="1"/>
  <c r="I2260" i="12" s="1"/>
  <c r="K2260" i="12" s="1"/>
  <c r="E2259" i="12"/>
  <c r="F2259" i="12" s="1"/>
  <c r="G2259" i="12" s="1"/>
  <c r="I2259" i="12" s="1"/>
  <c r="K2259" i="12" s="1"/>
  <c r="E2258" i="12"/>
  <c r="F2258" i="12" s="1"/>
  <c r="G2258" i="12" s="1"/>
  <c r="I2258" i="12" s="1"/>
  <c r="K2258" i="12" s="1"/>
  <c r="E2257" i="12"/>
  <c r="F2257" i="12" s="1"/>
  <c r="G2257" i="12" s="1"/>
  <c r="I2257" i="12" s="1"/>
  <c r="K2257" i="12" s="1"/>
  <c r="E2256" i="12"/>
  <c r="F2256" i="12" s="1"/>
  <c r="G2256" i="12" s="1"/>
  <c r="I2256" i="12" s="1"/>
  <c r="K2256" i="12" s="1"/>
  <c r="E2255" i="12"/>
  <c r="F2255" i="12" s="1"/>
  <c r="G2255" i="12" s="1"/>
  <c r="I2255" i="12" s="1"/>
  <c r="K2255" i="12" s="1"/>
  <c r="E2254" i="12"/>
  <c r="F2254" i="12" s="1"/>
  <c r="G2254" i="12" s="1"/>
  <c r="I2254" i="12" s="1"/>
  <c r="K2254" i="12" s="1"/>
  <c r="E2253" i="12"/>
  <c r="F2253" i="12" s="1"/>
  <c r="G2253" i="12" s="1"/>
  <c r="I2253" i="12" s="1"/>
  <c r="K2253" i="12" s="1"/>
  <c r="E2252" i="12"/>
  <c r="F2252" i="12" s="1"/>
  <c r="G2252" i="12" s="1"/>
  <c r="I2252" i="12" s="1"/>
  <c r="K2252" i="12" s="1"/>
  <c r="E2251" i="12"/>
  <c r="F2251" i="12" s="1"/>
  <c r="G2251" i="12" s="1"/>
  <c r="I2251" i="12" s="1"/>
  <c r="K2251" i="12" s="1"/>
  <c r="E2250" i="12"/>
  <c r="F2250" i="12" s="1"/>
  <c r="G2250" i="12" s="1"/>
  <c r="I2250" i="12" s="1"/>
  <c r="K2250" i="12" s="1"/>
  <c r="D2249" i="12"/>
  <c r="E2249" i="12" s="1"/>
  <c r="F2249" i="12" s="1"/>
  <c r="G2249" i="12" s="1"/>
  <c r="I2249" i="12" s="1"/>
  <c r="K2249" i="12" s="1"/>
  <c r="E2248" i="12"/>
  <c r="F2248" i="12" s="1"/>
  <c r="G2248" i="12" s="1"/>
  <c r="I2248" i="12" s="1"/>
  <c r="K2248" i="12" s="1"/>
  <c r="E2247" i="12"/>
  <c r="F2247" i="12" s="1"/>
  <c r="G2247" i="12" s="1"/>
  <c r="I2247" i="12" s="1"/>
  <c r="K2247" i="12" s="1"/>
  <c r="E2246" i="12"/>
  <c r="F2246" i="12" s="1"/>
  <c r="G2246" i="12" s="1"/>
  <c r="I2246" i="12" s="1"/>
  <c r="K2246" i="12" s="1"/>
  <c r="E2245" i="12"/>
  <c r="F2245" i="12" s="1"/>
  <c r="G2245" i="12" s="1"/>
  <c r="I2245" i="12" s="1"/>
  <c r="K2245" i="12" s="1"/>
  <c r="E2244" i="12"/>
  <c r="F2244" i="12" s="1"/>
  <c r="G2244" i="12" s="1"/>
  <c r="I2244" i="12" s="1"/>
  <c r="K2244" i="12" s="1"/>
  <c r="E2243" i="12"/>
  <c r="F2243" i="12" s="1"/>
  <c r="G2243" i="12" s="1"/>
  <c r="I2243" i="12" s="1"/>
  <c r="K2243" i="12" s="1"/>
  <c r="E2242" i="12"/>
  <c r="F2242" i="12" s="1"/>
  <c r="G2242" i="12" s="1"/>
  <c r="I2242" i="12" s="1"/>
  <c r="K2242" i="12" s="1"/>
  <c r="E2241" i="12"/>
  <c r="F2241" i="12" s="1"/>
  <c r="G2241" i="12" s="1"/>
  <c r="I2241" i="12" s="1"/>
  <c r="K2241" i="12" s="1"/>
  <c r="E2240" i="12"/>
  <c r="F2240" i="12" s="1"/>
  <c r="G2240" i="12" s="1"/>
  <c r="I2240" i="12" s="1"/>
  <c r="K2240" i="12" s="1"/>
  <c r="E2239" i="12"/>
  <c r="F2239" i="12" s="1"/>
  <c r="G2239" i="12" s="1"/>
  <c r="I2239" i="12" s="1"/>
  <c r="K2239" i="12" s="1"/>
  <c r="E2238" i="12"/>
  <c r="F2238" i="12" s="1"/>
  <c r="G2238" i="12" s="1"/>
  <c r="I2238" i="12" s="1"/>
  <c r="K2238" i="12" s="1"/>
  <c r="E2237" i="12"/>
  <c r="F2237" i="12" s="1"/>
  <c r="G2237" i="12" s="1"/>
  <c r="I2237" i="12" s="1"/>
  <c r="K2237" i="12" s="1"/>
  <c r="E2236" i="12"/>
  <c r="F2236" i="12" s="1"/>
  <c r="G2236" i="12" s="1"/>
  <c r="I2236" i="12" s="1"/>
  <c r="K2236" i="12" s="1"/>
  <c r="E2235" i="12"/>
  <c r="F2235" i="12" s="1"/>
  <c r="G2235" i="12" s="1"/>
  <c r="I2235" i="12" s="1"/>
  <c r="K2235" i="12" s="1"/>
  <c r="E2234" i="12"/>
  <c r="F2234" i="12" s="1"/>
  <c r="G2234" i="12" s="1"/>
  <c r="I2234" i="12" s="1"/>
  <c r="K2234" i="12" s="1"/>
  <c r="E2233" i="12"/>
  <c r="F2233" i="12" s="1"/>
  <c r="G2233" i="12" s="1"/>
  <c r="I2233" i="12" s="1"/>
  <c r="K2233" i="12" s="1"/>
  <c r="D2232" i="12"/>
  <c r="E2231" i="12"/>
  <c r="F2231" i="12" s="1"/>
  <c r="G2231" i="12" s="1"/>
  <c r="I2231" i="12" s="1"/>
  <c r="K2231" i="12" s="1"/>
  <c r="E2230" i="12"/>
  <c r="F2230" i="12" s="1"/>
  <c r="G2230" i="12" s="1"/>
  <c r="I2230" i="12" s="1"/>
  <c r="K2230" i="12" s="1"/>
  <c r="E2229" i="12"/>
  <c r="F2229" i="12" s="1"/>
  <c r="G2229" i="12" s="1"/>
  <c r="I2229" i="12" s="1"/>
  <c r="K2229" i="12" s="1"/>
  <c r="E2228" i="12"/>
  <c r="F2228" i="12" s="1"/>
  <c r="G2228" i="12" s="1"/>
  <c r="I2228" i="12" s="1"/>
  <c r="K2228" i="12" s="1"/>
  <c r="E2227" i="12"/>
  <c r="F2227" i="12" s="1"/>
  <c r="G2227" i="12" s="1"/>
  <c r="I2227" i="12" s="1"/>
  <c r="K2227" i="12" s="1"/>
  <c r="E2226" i="12"/>
  <c r="F2226" i="12" s="1"/>
  <c r="G2226" i="12" s="1"/>
  <c r="I2226" i="12" s="1"/>
  <c r="K2226" i="12" s="1"/>
  <c r="E2225" i="12"/>
  <c r="F2225" i="12" s="1"/>
  <c r="G2225" i="12" s="1"/>
  <c r="I2225" i="12" s="1"/>
  <c r="K2225" i="12" s="1"/>
  <c r="E2224" i="12"/>
  <c r="F2224" i="12" s="1"/>
  <c r="G2224" i="12" s="1"/>
  <c r="I2224" i="12" s="1"/>
  <c r="K2224" i="12" s="1"/>
  <c r="E2223" i="12"/>
  <c r="F2223" i="12" s="1"/>
  <c r="G2223" i="12" s="1"/>
  <c r="I2223" i="12" s="1"/>
  <c r="K2223" i="12" s="1"/>
  <c r="D2222" i="12"/>
  <c r="E2221" i="12"/>
  <c r="F2221" i="12" s="1"/>
  <c r="G2221" i="12" s="1"/>
  <c r="I2221" i="12" s="1"/>
  <c r="K2221" i="12" s="1"/>
  <c r="E2220" i="12"/>
  <c r="F2220" i="12" s="1"/>
  <c r="G2220" i="12" s="1"/>
  <c r="I2220" i="12" s="1"/>
  <c r="K2220" i="12" s="1"/>
  <c r="E2219" i="12"/>
  <c r="F2219" i="12" s="1"/>
  <c r="G2219" i="12" s="1"/>
  <c r="I2219" i="12" s="1"/>
  <c r="K2219" i="12" s="1"/>
  <c r="D2218" i="12"/>
  <c r="E2217" i="12"/>
  <c r="F2217" i="12" s="1"/>
  <c r="G2217" i="12" s="1"/>
  <c r="I2217" i="12" s="1"/>
  <c r="K2217" i="12" s="1"/>
  <c r="E2216" i="12"/>
  <c r="F2216" i="12" s="1"/>
  <c r="G2216" i="12" s="1"/>
  <c r="I2216" i="12" s="1"/>
  <c r="K2216" i="12" s="1"/>
  <c r="E2215" i="12"/>
  <c r="F2215" i="12" s="1"/>
  <c r="G2215" i="12" s="1"/>
  <c r="I2215" i="12" s="1"/>
  <c r="K2215" i="12" s="1"/>
  <c r="E2214" i="12"/>
  <c r="F2214" i="12" s="1"/>
  <c r="G2214" i="12" s="1"/>
  <c r="I2214" i="12" s="1"/>
  <c r="K2214" i="12" s="1"/>
  <c r="E2213" i="12"/>
  <c r="F2213" i="12" s="1"/>
  <c r="G2213" i="12" s="1"/>
  <c r="I2213" i="12" s="1"/>
  <c r="K2213" i="12" s="1"/>
  <c r="D2212" i="12"/>
  <c r="E2212" i="12" s="1"/>
  <c r="F2212" i="12" s="1"/>
  <c r="G2212" i="12" s="1"/>
  <c r="I2212" i="12" s="1"/>
  <c r="K2212" i="12" s="1"/>
  <c r="E2211" i="12"/>
  <c r="F2211" i="12" s="1"/>
  <c r="G2211" i="12" s="1"/>
  <c r="I2211" i="12" s="1"/>
  <c r="K2211" i="12" s="1"/>
  <c r="E2210" i="12"/>
  <c r="F2210" i="12" s="1"/>
  <c r="G2210" i="12" s="1"/>
  <c r="I2210" i="12" s="1"/>
  <c r="K2210" i="12" s="1"/>
  <c r="E2209" i="12"/>
  <c r="F2209" i="12" s="1"/>
  <c r="G2209" i="12" s="1"/>
  <c r="I2209" i="12" s="1"/>
  <c r="K2209" i="12" s="1"/>
  <c r="E2208" i="12"/>
  <c r="F2208" i="12" s="1"/>
  <c r="G2208" i="12" s="1"/>
  <c r="I2208" i="12" s="1"/>
  <c r="K2208" i="12" s="1"/>
  <c r="E2207" i="12"/>
  <c r="F2207" i="12" s="1"/>
  <c r="G2207" i="12" s="1"/>
  <c r="I2207" i="12" s="1"/>
  <c r="K2207" i="12" s="1"/>
  <c r="E2206" i="12"/>
  <c r="F2206" i="12" s="1"/>
  <c r="G2206" i="12" s="1"/>
  <c r="I2206" i="12" s="1"/>
  <c r="K2206" i="12" s="1"/>
  <c r="E2205" i="12"/>
  <c r="F2205" i="12" s="1"/>
  <c r="G2205" i="12" s="1"/>
  <c r="I2205" i="12" s="1"/>
  <c r="K2205" i="12" s="1"/>
  <c r="E2204" i="12"/>
  <c r="F2204" i="12" s="1"/>
  <c r="G2204" i="12" s="1"/>
  <c r="I2204" i="12" s="1"/>
  <c r="K2204" i="12" s="1"/>
  <c r="E2203" i="12"/>
  <c r="F2203" i="12" s="1"/>
  <c r="G2203" i="12" s="1"/>
  <c r="I2203" i="12" s="1"/>
  <c r="K2203" i="12" s="1"/>
  <c r="E2202" i="12"/>
  <c r="F2202" i="12" s="1"/>
  <c r="G2202" i="12" s="1"/>
  <c r="I2202" i="12" s="1"/>
  <c r="K2202" i="12" s="1"/>
  <c r="E2201" i="12"/>
  <c r="F2201" i="12" s="1"/>
  <c r="G2201" i="12" s="1"/>
  <c r="I2201" i="12" s="1"/>
  <c r="K2201" i="12" s="1"/>
  <c r="E2200" i="12"/>
  <c r="F2200" i="12" s="1"/>
  <c r="G2200" i="12" s="1"/>
  <c r="I2200" i="12" s="1"/>
  <c r="K2200" i="12" s="1"/>
  <c r="E2199" i="12"/>
  <c r="F2199" i="12" s="1"/>
  <c r="G2199" i="12" s="1"/>
  <c r="I2199" i="12" s="1"/>
  <c r="K2199" i="12" s="1"/>
  <c r="D2198" i="12"/>
  <c r="E2197" i="12"/>
  <c r="F2197" i="12" s="1"/>
  <c r="G2197" i="12" s="1"/>
  <c r="I2197" i="12" s="1"/>
  <c r="K2197" i="12" s="1"/>
  <c r="E2196" i="12"/>
  <c r="F2196" i="12" s="1"/>
  <c r="G2196" i="12" s="1"/>
  <c r="I2196" i="12" s="1"/>
  <c r="K2196" i="12" s="1"/>
  <c r="E2195" i="12"/>
  <c r="F2195" i="12" s="1"/>
  <c r="G2195" i="12" s="1"/>
  <c r="I2195" i="12" s="1"/>
  <c r="K2195" i="12" s="1"/>
  <c r="E2194" i="12"/>
  <c r="F2194" i="12" s="1"/>
  <c r="G2194" i="12" s="1"/>
  <c r="I2194" i="12" s="1"/>
  <c r="K2194" i="12" s="1"/>
  <c r="E2193" i="12"/>
  <c r="F2193" i="12" s="1"/>
  <c r="G2193" i="12" s="1"/>
  <c r="I2193" i="12" s="1"/>
  <c r="K2193" i="12" s="1"/>
  <c r="E2192" i="12"/>
  <c r="F2192" i="12" s="1"/>
  <c r="G2192" i="12" s="1"/>
  <c r="I2192" i="12" s="1"/>
  <c r="K2192" i="12" s="1"/>
  <c r="E2191" i="12"/>
  <c r="F2191" i="12" s="1"/>
  <c r="G2191" i="12" s="1"/>
  <c r="I2191" i="12" s="1"/>
  <c r="K2191" i="12" s="1"/>
  <c r="D2190" i="12"/>
  <c r="E2189" i="12"/>
  <c r="F2189" i="12" s="1"/>
  <c r="G2189" i="12" s="1"/>
  <c r="I2189" i="12" s="1"/>
  <c r="K2189" i="12" s="1"/>
  <c r="E2188" i="12"/>
  <c r="F2188" i="12" s="1"/>
  <c r="G2188" i="12" s="1"/>
  <c r="I2188" i="12" s="1"/>
  <c r="K2188" i="12" s="1"/>
  <c r="E2187" i="12"/>
  <c r="F2187" i="12" s="1"/>
  <c r="G2187" i="12" s="1"/>
  <c r="I2187" i="12" s="1"/>
  <c r="K2187" i="12" s="1"/>
  <c r="E2186" i="12"/>
  <c r="F2186" i="12" s="1"/>
  <c r="G2186" i="12" s="1"/>
  <c r="I2186" i="12" s="1"/>
  <c r="K2186" i="12" s="1"/>
  <c r="E2185" i="12"/>
  <c r="F2185" i="12" s="1"/>
  <c r="G2185" i="12" s="1"/>
  <c r="I2185" i="12" s="1"/>
  <c r="K2185" i="12" s="1"/>
  <c r="E2184" i="12"/>
  <c r="F2184" i="12" s="1"/>
  <c r="G2184" i="12" s="1"/>
  <c r="I2184" i="12" s="1"/>
  <c r="K2184" i="12" s="1"/>
  <c r="E2183" i="12"/>
  <c r="F2183" i="12" s="1"/>
  <c r="G2183" i="12" s="1"/>
  <c r="I2183" i="12" s="1"/>
  <c r="K2183" i="12" s="1"/>
  <c r="E2182" i="12"/>
  <c r="F2182" i="12" s="1"/>
  <c r="G2182" i="12" s="1"/>
  <c r="I2182" i="12" s="1"/>
  <c r="K2182" i="12" s="1"/>
  <c r="E2181" i="12"/>
  <c r="F2181" i="12" s="1"/>
  <c r="G2181" i="12" s="1"/>
  <c r="I2181" i="12" s="1"/>
  <c r="K2181" i="12" s="1"/>
  <c r="E2180" i="12"/>
  <c r="F2180" i="12" s="1"/>
  <c r="G2180" i="12" s="1"/>
  <c r="I2180" i="12" s="1"/>
  <c r="K2180" i="12" s="1"/>
  <c r="D2179" i="12"/>
  <c r="E2179" i="12" s="1"/>
  <c r="F2179" i="12" s="1"/>
  <c r="G2179" i="12" s="1"/>
  <c r="I2179" i="12" s="1"/>
  <c r="K2179" i="12" s="1"/>
  <c r="D2178" i="12"/>
  <c r="E2177" i="12"/>
  <c r="F2177" i="12" s="1"/>
  <c r="G2177" i="12" s="1"/>
  <c r="I2177" i="12" s="1"/>
  <c r="K2177" i="12" s="1"/>
  <c r="E2176" i="12"/>
  <c r="F2176" i="12" s="1"/>
  <c r="G2176" i="12" s="1"/>
  <c r="I2176" i="12" s="1"/>
  <c r="K2176" i="12" s="1"/>
  <c r="E2175" i="12"/>
  <c r="F2175" i="12" s="1"/>
  <c r="G2175" i="12" s="1"/>
  <c r="I2175" i="12" s="1"/>
  <c r="K2175" i="12" s="1"/>
  <c r="E2174" i="12"/>
  <c r="F2174" i="12" s="1"/>
  <c r="G2174" i="12" s="1"/>
  <c r="I2174" i="12" s="1"/>
  <c r="K2174" i="12" s="1"/>
  <c r="E2173" i="12"/>
  <c r="F2173" i="12" s="1"/>
  <c r="G2173" i="12" s="1"/>
  <c r="I2173" i="12" s="1"/>
  <c r="K2173" i="12" s="1"/>
  <c r="D2172" i="12"/>
  <c r="E2172" i="12" s="1"/>
  <c r="F2172" i="12" s="1"/>
  <c r="G2172" i="12" s="1"/>
  <c r="I2172" i="12" s="1"/>
  <c r="K2172" i="12" s="1"/>
  <c r="E2171" i="12"/>
  <c r="F2171" i="12" s="1"/>
  <c r="G2171" i="12" s="1"/>
  <c r="I2171" i="12" s="1"/>
  <c r="K2171" i="12" s="1"/>
  <c r="E2170" i="12"/>
  <c r="F2170" i="12" s="1"/>
  <c r="G2170" i="12" s="1"/>
  <c r="I2170" i="12" s="1"/>
  <c r="K2170" i="12" s="1"/>
  <c r="E2169" i="12"/>
  <c r="F2169" i="12" s="1"/>
  <c r="G2169" i="12" s="1"/>
  <c r="I2169" i="12" s="1"/>
  <c r="K2169" i="12" s="1"/>
  <c r="E2168" i="12"/>
  <c r="F2168" i="12" s="1"/>
  <c r="G2168" i="12" s="1"/>
  <c r="I2168" i="12" s="1"/>
  <c r="K2168" i="12" s="1"/>
  <c r="E2167" i="12"/>
  <c r="F2167" i="12" s="1"/>
  <c r="G2167" i="12" s="1"/>
  <c r="I2167" i="12" s="1"/>
  <c r="K2167" i="12" s="1"/>
  <c r="E2166" i="12"/>
  <c r="F2166" i="12" s="1"/>
  <c r="G2166" i="12" s="1"/>
  <c r="I2166" i="12" s="1"/>
  <c r="K2166" i="12" s="1"/>
  <c r="E2165" i="12"/>
  <c r="F2165" i="12" s="1"/>
  <c r="G2165" i="12" s="1"/>
  <c r="I2165" i="12" s="1"/>
  <c r="K2165" i="12" s="1"/>
  <c r="D2164" i="12"/>
  <c r="E2164" i="12" s="1"/>
  <c r="F2164" i="12" s="1"/>
  <c r="G2164" i="12" s="1"/>
  <c r="I2164" i="12" s="1"/>
  <c r="K2164" i="12" s="1"/>
  <c r="E2163" i="12"/>
  <c r="F2163" i="12" s="1"/>
  <c r="G2163" i="12" s="1"/>
  <c r="I2163" i="12" s="1"/>
  <c r="K2163" i="12" s="1"/>
  <c r="E2162" i="12"/>
  <c r="F2162" i="12" s="1"/>
  <c r="G2162" i="12" s="1"/>
  <c r="I2162" i="12" s="1"/>
  <c r="K2162" i="12" s="1"/>
  <c r="D2161" i="12"/>
  <c r="E2161" i="12" s="1"/>
  <c r="F2161" i="12" s="1"/>
  <c r="G2161" i="12" s="1"/>
  <c r="I2161" i="12" s="1"/>
  <c r="K2161" i="12" s="1"/>
  <c r="E2160" i="12"/>
  <c r="F2160" i="12" s="1"/>
  <c r="G2160" i="12" s="1"/>
  <c r="I2160" i="12" s="1"/>
  <c r="K2160" i="12" s="1"/>
  <c r="E2159" i="12"/>
  <c r="F2159" i="12" s="1"/>
  <c r="G2159" i="12" s="1"/>
  <c r="I2159" i="12" s="1"/>
  <c r="K2159" i="12" s="1"/>
  <c r="E2158" i="12"/>
  <c r="F2158" i="12" s="1"/>
  <c r="G2158" i="12" s="1"/>
  <c r="I2158" i="12" s="1"/>
  <c r="K2158" i="12" s="1"/>
  <c r="E2157" i="12"/>
  <c r="F2157" i="12" s="1"/>
  <c r="G2157" i="12" s="1"/>
  <c r="I2157" i="12" s="1"/>
  <c r="K2157" i="12" s="1"/>
  <c r="E2156" i="12"/>
  <c r="F2156" i="12" s="1"/>
  <c r="G2156" i="12" s="1"/>
  <c r="I2156" i="12" s="1"/>
  <c r="K2156" i="12" s="1"/>
  <c r="E2155" i="12"/>
  <c r="F2155" i="12" s="1"/>
  <c r="G2155" i="12" s="1"/>
  <c r="I2155" i="12" s="1"/>
  <c r="K2155" i="12" s="1"/>
  <c r="E2154" i="12"/>
  <c r="F2154" i="12" s="1"/>
  <c r="G2154" i="12" s="1"/>
  <c r="I2154" i="12" s="1"/>
  <c r="K2154" i="12" s="1"/>
  <c r="E2153" i="12"/>
  <c r="F2153" i="12" s="1"/>
  <c r="G2153" i="12" s="1"/>
  <c r="I2153" i="12" s="1"/>
  <c r="K2153" i="12" s="1"/>
  <c r="E2152" i="12"/>
  <c r="F2152" i="12" s="1"/>
  <c r="G2152" i="12" s="1"/>
  <c r="I2152" i="12" s="1"/>
  <c r="K2152" i="12" s="1"/>
  <c r="E2151" i="12"/>
  <c r="F2151" i="12" s="1"/>
  <c r="G2151" i="12" s="1"/>
  <c r="I2151" i="12" s="1"/>
  <c r="K2151" i="12" s="1"/>
  <c r="E2150" i="12"/>
  <c r="F2150" i="12" s="1"/>
  <c r="G2150" i="12" s="1"/>
  <c r="I2150" i="12" s="1"/>
  <c r="K2150" i="12" s="1"/>
  <c r="D2149" i="12"/>
  <c r="E2148" i="12"/>
  <c r="F2148" i="12" s="1"/>
  <c r="G2148" i="12" s="1"/>
  <c r="I2148" i="12" s="1"/>
  <c r="K2148" i="12" s="1"/>
  <c r="E2147" i="12"/>
  <c r="F2147" i="12" s="1"/>
  <c r="G2147" i="12" s="1"/>
  <c r="I2147" i="12" s="1"/>
  <c r="K2147" i="12" s="1"/>
  <c r="D2146" i="12"/>
  <c r="E2145" i="12"/>
  <c r="F2145" i="12" s="1"/>
  <c r="G2145" i="12" s="1"/>
  <c r="I2145" i="12" s="1"/>
  <c r="K2145" i="12" s="1"/>
  <c r="D2144" i="12"/>
  <c r="E2143" i="12"/>
  <c r="F2143" i="12" s="1"/>
  <c r="G2143" i="12" s="1"/>
  <c r="I2143" i="12" s="1"/>
  <c r="K2143" i="12" s="1"/>
  <c r="E2142" i="12"/>
  <c r="F2142" i="12" s="1"/>
  <c r="G2142" i="12" s="1"/>
  <c r="I2142" i="12" s="1"/>
  <c r="K2142" i="12" s="1"/>
  <c r="E2141" i="12"/>
  <c r="F2141" i="12" s="1"/>
  <c r="G2141" i="12" s="1"/>
  <c r="I2141" i="12" s="1"/>
  <c r="K2141" i="12" s="1"/>
  <c r="E2140" i="12"/>
  <c r="F2140" i="12" s="1"/>
  <c r="G2140" i="12" s="1"/>
  <c r="I2140" i="12" s="1"/>
  <c r="K2140" i="12" s="1"/>
  <c r="E2139" i="12"/>
  <c r="F2139" i="12" s="1"/>
  <c r="G2139" i="12" s="1"/>
  <c r="I2139" i="12" s="1"/>
  <c r="K2139" i="12" s="1"/>
  <c r="E2138" i="12"/>
  <c r="F2138" i="12" s="1"/>
  <c r="G2138" i="12" s="1"/>
  <c r="I2138" i="12" s="1"/>
  <c r="K2138" i="12" s="1"/>
  <c r="E2137" i="12"/>
  <c r="F2137" i="12" s="1"/>
  <c r="G2137" i="12" s="1"/>
  <c r="I2137" i="12" s="1"/>
  <c r="K2137" i="12" s="1"/>
  <c r="D2136" i="12"/>
  <c r="E2135" i="12"/>
  <c r="F2135" i="12" s="1"/>
  <c r="G2135" i="12" s="1"/>
  <c r="I2135" i="12" s="1"/>
  <c r="K2135" i="12" s="1"/>
  <c r="E2134" i="12"/>
  <c r="F2134" i="12" s="1"/>
  <c r="G2134" i="12" s="1"/>
  <c r="I2134" i="12" s="1"/>
  <c r="K2134" i="12" s="1"/>
  <c r="E2133" i="12"/>
  <c r="F2133" i="12" s="1"/>
  <c r="G2133" i="12" s="1"/>
  <c r="I2133" i="12" s="1"/>
  <c r="K2133" i="12" s="1"/>
  <c r="E2132" i="12"/>
  <c r="F2132" i="12" s="1"/>
  <c r="G2132" i="12" s="1"/>
  <c r="I2132" i="12" s="1"/>
  <c r="K2132" i="12" s="1"/>
  <c r="E2131" i="12"/>
  <c r="F2131" i="12" s="1"/>
  <c r="G2131" i="12" s="1"/>
  <c r="I2131" i="12" s="1"/>
  <c r="K2131" i="12" s="1"/>
  <c r="E2130" i="12"/>
  <c r="F2130" i="12" s="1"/>
  <c r="G2130" i="12" s="1"/>
  <c r="I2130" i="12" s="1"/>
  <c r="K2130" i="12" s="1"/>
  <c r="D2129" i="12"/>
  <c r="E2129" i="12" s="1"/>
  <c r="F2129" i="12" s="1"/>
  <c r="G2129" i="12" s="1"/>
  <c r="I2129" i="12" s="1"/>
  <c r="K2129" i="12" s="1"/>
  <c r="E2128" i="12"/>
  <c r="F2128" i="12" s="1"/>
  <c r="G2128" i="12" s="1"/>
  <c r="I2128" i="12" s="1"/>
  <c r="K2128" i="12" s="1"/>
  <c r="E2127" i="12"/>
  <c r="F2127" i="12" s="1"/>
  <c r="G2127" i="12" s="1"/>
  <c r="I2127" i="12" s="1"/>
  <c r="K2127" i="12" s="1"/>
  <c r="D2126" i="12"/>
  <c r="E2125" i="12"/>
  <c r="F2125" i="12" s="1"/>
  <c r="G2125" i="12" s="1"/>
  <c r="I2125" i="12" s="1"/>
  <c r="K2125" i="12" s="1"/>
  <c r="E2124" i="12"/>
  <c r="F2124" i="12" s="1"/>
  <c r="G2124" i="12" s="1"/>
  <c r="I2124" i="12" s="1"/>
  <c r="K2124" i="12" s="1"/>
  <c r="E2123" i="12"/>
  <c r="F2123" i="12" s="1"/>
  <c r="G2123" i="12" s="1"/>
  <c r="I2123" i="12" s="1"/>
  <c r="K2123" i="12" s="1"/>
  <c r="E2122" i="12"/>
  <c r="F2122" i="12" s="1"/>
  <c r="G2122" i="12" s="1"/>
  <c r="I2122" i="12" s="1"/>
  <c r="K2122" i="12" s="1"/>
  <c r="E2121" i="12"/>
  <c r="F2121" i="12" s="1"/>
  <c r="G2121" i="12" s="1"/>
  <c r="I2121" i="12" s="1"/>
  <c r="K2121" i="12" s="1"/>
  <c r="D2120" i="12"/>
  <c r="E2119" i="12"/>
  <c r="F2119" i="12" s="1"/>
  <c r="G2119" i="12" s="1"/>
  <c r="I2119" i="12" s="1"/>
  <c r="K2119" i="12" s="1"/>
  <c r="E2118" i="12"/>
  <c r="F2118" i="12" s="1"/>
  <c r="G2118" i="12" s="1"/>
  <c r="I2118" i="12" s="1"/>
  <c r="K2118" i="12" s="1"/>
  <c r="D2117" i="12"/>
  <c r="E2116" i="12"/>
  <c r="F2116" i="12" s="1"/>
  <c r="G2116" i="12" s="1"/>
  <c r="I2116" i="12" s="1"/>
  <c r="K2116" i="12" s="1"/>
  <c r="D2115" i="12"/>
  <c r="E2115" i="12" s="1"/>
  <c r="F2115" i="12" s="1"/>
  <c r="G2115" i="12" s="1"/>
  <c r="I2115" i="12" s="1"/>
  <c r="K2115" i="12" s="1"/>
  <c r="E2114" i="12"/>
  <c r="F2114" i="12" s="1"/>
  <c r="G2114" i="12" s="1"/>
  <c r="I2114" i="12" s="1"/>
  <c r="K2114" i="12" s="1"/>
  <c r="E2113" i="12"/>
  <c r="F2113" i="12" s="1"/>
  <c r="G2113" i="12" s="1"/>
  <c r="I2113" i="12" s="1"/>
  <c r="K2113" i="12" s="1"/>
  <c r="D2112" i="12"/>
  <c r="E2111" i="12"/>
  <c r="F2111" i="12" s="1"/>
  <c r="G2111" i="12" s="1"/>
  <c r="I2111" i="12" s="1"/>
  <c r="K2111" i="12" s="1"/>
  <c r="E2110" i="12"/>
  <c r="F2110" i="12" s="1"/>
  <c r="G2110" i="12" s="1"/>
  <c r="I2110" i="12" s="1"/>
  <c r="K2110" i="12" s="1"/>
  <c r="D2109" i="12"/>
  <c r="E2108" i="12"/>
  <c r="F2108" i="12" s="1"/>
  <c r="G2108" i="12" s="1"/>
  <c r="I2108" i="12" s="1"/>
  <c r="K2108" i="12" s="1"/>
  <c r="E2107" i="12"/>
  <c r="F2107" i="12" s="1"/>
  <c r="G2107" i="12" s="1"/>
  <c r="I2107" i="12" s="1"/>
  <c r="K2107" i="12" s="1"/>
  <c r="D2106" i="12"/>
  <c r="E2105" i="12"/>
  <c r="F2105" i="12" s="1"/>
  <c r="G2105" i="12" s="1"/>
  <c r="I2105" i="12" s="1"/>
  <c r="K2105" i="12" s="1"/>
  <c r="E2104" i="12"/>
  <c r="F2104" i="12" s="1"/>
  <c r="G2104" i="12" s="1"/>
  <c r="I2104" i="12" s="1"/>
  <c r="K2104" i="12" s="1"/>
  <c r="D2103" i="12"/>
  <c r="D2102" i="12"/>
  <c r="D2101" i="12"/>
  <c r="E2100" i="12"/>
  <c r="F2100" i="12" s="1"/>
  <c r="G2100" i="12" s="1"/>
  <c r="I2100" i="12" s="1"/>
  <c r="K2100" i="12" s="1"/>
  <c r="E2099" i="12"/>
  <c r="F2099" i="12" s="1"/>
  <c r="G2099" i="12" s="1"/>
  <c r="I2099" i="12" s="1"/>
  <c r="K2099" i="12" s="1"/>
  <c r="E2098" i="12"/>
  <c r="F2098" i="12" s="1"/>
  <c r="G2098" i="12" s="1"/>
  <c r="I2098" i="12" s="1"/>
  <c r="K2098" i="12" s="1"/>
  <c r="E2097" i="12"/>
  <c r="F2097" i="12" s="1"/>
  <c r="G2097" i="12" s="1"/>
  <c r="I2097" i="12" s="1"/>
  <c r="K2097" i="12" s="1"/>
  <c r="E2096" i="12"/>
  <c r="F2096" i="12" s="1"/>
  <c r="G2096" i="12" s="1"/>
  <c r="I2096" i="12" s="1"/>
  <c r="K2096" i="12" s="1"/>
  <c r="E2095" i="12"/>
  <c r="F2095" i="12" s="1"/>
  <c r="G2095" i="12" s="1"/>
  <c r="I2095" i="12" s="1"/>
  <c r="K2095" i="12" s="1"/>
  <c r="D2094" i="12"/>
  <c r="D2093" i="12"/>
  <c r="D2092" i="12"/>
  <c r="E2091" i="12"/>
  <c r="F2091" i="12" s="1"/>
  <c r="G2091" i="12" s="1"/>
  <c r="I2091" i="12" s="1"/>
  <c r="K2091" i="12" s="1"/>
  <c r="E2090" i="12"/>
  <c r="F2090" i="12" s="1"/>
  <c r="G2090" i="12" s="1"/>
  <c r="I2090" i="12" s="1"/>
  <c r="K2090" i="12" s="1"/>
  <c r="E2089" i="12"/>
  <c r="F2089" i="12" s="1"/>
  <c r="G2089" i="12" s="1"/>
  <c r="I2089" i="12" s="1"/>
  <c r="K2089" i="12" s="1"/>
  <c r="E2088" i="12"/>
  <c r="F2088" i="12" s="1"/>
  <c r="G2088" i="12" s="1"/>
  <c r="I2088" i="12" s="1"/>
  <c r="K2088" i="12" s="1"/>
  <c r="E2087" i="12"/>
  <c r="F2087" i="12" s="1"/>
  <c r="G2087" i="12" s="1"/>
  <c r="I2087" i="12" s="1"/>
  <c r="K2087" i="12" s="1"/>
  <c r="E2086" i="12"/>
  <c r="F2086" i="12" s="1"/>
  <c r="G2086" i="12" s="1"/>
  <c r="I2086" i="12" s="1"/>
  <c r="K2086" i="12" s="1"/>
  <c r="E2085" i="12"/>
  <c r="F2085" i="12" s="1"/>
  <c r="G2085" i="12" s="1"/>
  <c r="I2085" i="12" s="1"/>
  <c r="K2085" i="12" s="1"/>
  <c r="E2084" i="12"/>
  <c r="F2084" i="12" s="1"/>
  <c r="G2084" i="12" s="1"/>
  <c r="I2084" i="12" s="1"/>
  <c r="K2084" i="12" s="1"/>
  <c r="E2083" i="12"/>
  <c r="F2083" i="12" s="1"/>
  <c r="G2083" i="12" s="1"/>
  <c r="I2083" i="12" s="1"/>
  <c r="K2083" i="12" s="1"/>
  <c r="E2082" i="12"/>
  <c r="F2082" i="12" s="1"/>
  <c r="G2082" i="12" s="1"/>
  <c r="I2082" i="12" s="1"/>
  <c r="K2082" i="12" s="1"/>
  <c r="E2081" i="12"/>
  <c r="F2081" i="12" s="1"/>
  <c r="G2081" i="12" s="1"/>
  <c r="I2081" i="12" s="1"/>
  <c r="K2081" i="12" s="1"/>
  <c r="D2080" i="12"/>
  <c r="E2079" i="12"/>
  <c r="F2079" i="12" s="1"/>
  <c r="G2079" i="12" s="1"/>
  <c r="I2079" i="12" s="1"/>
  <c r="K2079" i="12" s="1"/>
  <c r="D2078" i="12"/>
  <c r="D2077" i="12"/>
  <c r="E2076" i="12"/>
  <c r="F2076" i="12" s="1"/>
  <c r="G2076" i="12" s="1"/>
  <c r="I2076" i="12" s="1"/>
  <c r="K2076" i="12" s="1"/>
  <c r="E2075" i="12"/>
  <c r="F2075" i="12" s="1"/>
  <c r="G2075" i="12" s="1"/>
  <c r="I2075" i="12" s="1"/>
  <c r="K2075" i="12" s="1"/>
  <c r="D2074" i="12"/>
  <c r="D2073" i="12"/>
  <c r="E2073" i="12" s="1"/>
  <c r="F2073" i="12" s="1"/>
  <c r="G2073" i="12" s="1"/>
  <c r="I2073" i="12" s="1"/>
  <c r="K2073" i="12" s="1"/>
  <c r="D2072" i="12"/>
  <c r="E2071" i="12"/>
  <c r="F2071" i="12" s="1"/>
  <c r="G2071" i="12" s="1"/>
  <c r="I2071" i="12" s="1"/>
  <c r="K2071" i="12" s="1"/>
  <c r="E2070" i="12"/>
  <c r="F2070" i="12" s="1"/>
  <c r="G2070" i="12" s="1"/>
  <c r="I2070" i="12" s="1"/>
  <c r="K2070" i="12" s="1"/>
  <c r="E2069" i="12"/>
  <c r="F2069" i="12" s="1"/>
  <c r="G2069" i="12" s="1"/>
  <c r="I2069" i="12" s="1"/>
  <c r="K2069" i="12" s="1"/>
  <c r="E2068" i="12"/>
  <c r="F2068" i="12" s="1"/>
  <c r="G2068" i="12" s="1"/>
  <c r="I2068" i="12" s="1"/>
  <c r="K2068" i="12" s="1"/>
  <c r="E2067" i="12"/>
  <c r="F2067" i="12" s="1"/>
  <c r="G2067" i="12" s="1"/>
  <c r="I2067" i="12" s="1"/>
  <c r="K2067" i="12" s="1"/>
  <c r="E2066" i="12"/>
  <c r="F2066" i="12" s="1"/>
  <c r="G2066" i="12" s="1"/>
  <c r="I2066" i="12" s="1"/>
  <c r="K2066" i="12" s="1"/>
  <c r="E2065" i="12"/>
  <c r="F2065" i="12" s="1"/>
  <c r="G2065" i="12" s="1"/>
  <c r="I2065" i="12" s="1"/>
  <c r="K2065" i="12" s="1"/>
  <c r="E2064" i="12"/>
  <c r="F2064" i="12" s="1"/>
  <c r="G2064" i="12" s="1"/>
  <c r="I2064" i="12" s="1"/>
  <c r="K2064" i="12" s="1"/>
  <c r="E2063" i="12"/>
  <c r="F2063" i="12" s="1"/>
  <c r="G2063" i="12" s="1"/>
  <c r="I2063" i="12" s="1"/>
  <c r="K2063" i="12" s="1"/>
  <c r="E2062" i="12"/>
  <c r="F2062" i="12" s="1"/>
  <c r="G2062" i="12" s="1"/>
  <c r="I2062" i="12" s="1"/>
  <c r="K2062" i="12" s="1"/>
  <c r="E2061" i="12"/>
  <c r="F2061" i="12" s="1"/>
  <c r="G2061" i="12" s="1"/>
  <c r="I2061" i="12" s="1"/>
  <c r="K2061" i="12" s="1"/>
  <c r="E2060" i="12"/>
  <c r="F2060" i="12" s="1"/>
  <c r="G2060" i="12" s="1"/>
  <c r="I2060" i="12" s="1"/>
  <c r="K2060" i="12" s="1"/>
  <c r="E2059" i="12"/>
  <c r="F2059" i="12" s="1"/>
  <c r="G2059" i="12" s="1"/>
  <c r="I2059" i="12" s="1"/>
  <c r="K2059" i="12" s="1"/>
  <c r="E2058" i="12"/>
  <c r="F2058" i="12" s="1"/>
  <c r="G2058" i="12" s="1"/>
  <c r="I2058" i="12" s="1"/>
  <c r="K2058" i="12" s="1"/>
  <c r="D2057" i="12"/>
  <c r="E2057" i="12" s="1"/>
  <c r="F2057" i="12" s="1"/>
  <c r="G2057" i="12" s="1"/>
  <c r="I2057" i="12" s="1"/>
  <c r="K2057" i="12" s="1"/>
  <c r="E2056" i="12"/>
  <c r="F2056" i="12" s="1"/>
  <c r="G2056" i="12" s="1"/>
  <c r="I2056" i="12" s="1"/>
  <c r="K2056" i="12" s="1"/>
  <c r="E2055" i="12"/>
  <c r="F2055" i="12" s="1"/>
  <c r="G2055" i="12" s="1"/>
  <c r="I2055" i="12" s="1"/>
  <c r="K2055" i="12" s="1"/>
  <c r="D2054" i="12"/>
  <c r="E2053" i="12"/>
  <c r="F2053" i="12" s="1"/>
  <c r="G2053" i="12" s="1"/>
  <c r="I2053" i="12" s="1"/>
  <c r="K2053" i="12" s="1"/>
  <c r="E2052" i="12"/>
  <c r="F2052" i="12" s="1"/>
  <c r="G2052" i="12" s="1"/>
  <c r="I2052" i="12" s="1"/>
  <c r="K2052" i="12" s="1"/>
  <c r="E2051" i="12"/>
  <c r="F2051" i="12" s="1"/>
  <c r="G2051" i="12" s="1"/>
  <c r="I2051" i="12" s="1"/>
  <c r="K2051" i="12" s="1"/>
  <c r="E2050" i="12"/>
  <c r="F2050" i="12" s="1"/>
  <c r="G2050" i="12" s="1"/>
  <c r="I2050" i="12" s="1"/>
  <c r="K2050" i="12" s="1"/>
  <c r="D2049" i="12"/>
  <c r="E2049" i="12" s="1"/>
  <c r="F2049" i="12" s="1"/>
  <c r="G2049" i="12" s="1"/>
  <c r="I2049" i="12" s="1"/>
  <c r="K2049" i="12" s="1"/>
  <c r="E2048" i="12"/>
  <c r="F2048" i="12" s="1"/>
  <c r="G2048" i="12" s="1"/>
  <c r="I2048" i="12" s="1"/>
  <c r="K2048" i="12" s="1"/>
  <c r="E2047" i="12"/>
  <c r="F2047" i="12" s="1"/>
  <c r="G2047" i="12" s="1"/>
  <c r="I2047" i="12" s="1"/>
  <c r="K2047" i="12" s="1"/>
  <c r="E2046" i="12"/>
  <c r="F2046" i="12" s="1"/>
  <c r="G2046" i="12" s="1"/>
  <c r="I2046" i="12" s="1"/>
  <c r="K2046" i="12" s="1"/>
  <c r="D2045" i="12"/>
  <c r="E2044" i="12"/>
  <c r="F2044" i="12" s="1"/>
  <c r="G2044" i="12" s="1"/>
  <c r="I2044" i="12" s="1"/>
  <c r="K2044" i="12" s="1"/>
  <c r="E2043" i="12"/>
  <c r="F2043" i="12" s="1"/>
  <c r="G2043" i="12" s="1"/>
  <c r="I2043" i="12" s="1"/>
  <c r="K2043" i="12" s="1"/>
  <c r="E2042" i="12"/>
  <c r="F2042" i="12" s="1"/>
  <c r="G2042" i="12" s="1"/>
  <c r="I2042" i="12" s="1"/>
  <c r="K2042" i="12" s="1"/>
  <c r="D2041" i="12"/>
  <c r="E2041" i="12" s="1"/>
  <c r="F2041" i="12" s="1"/>
  <c r="G2041" i="12" s="1"/>
  <c r="I2041" i="12" s="1"/>
  <c r="K2041" i="12" s="1"/>
  <c r="E2040" i="12"/>
  <c r="F2040" i="12" s="1"/>
  <c r="G2040" i="12" s="1"/>
  <c r="I2040" i="12" s="1"/>
  <c r="K2040" i="12" s="1"/>
  <c r="D2039" i="12"/>
  <c r="E2038" i="12"/>
  <c r="F2038" i="12" s="1"/>
  <c r="G2038" i="12" s="1"/>
  <c r="I2038" i="12" s="1"/>
  <c r="K2038" i="12" s="1"/>
  <c r="E2037" i="12"/>
  <c r="F2037" i="12" s="1"/>
  <c r="G2037" i="12" s="1"/>
  <c r="I2037" i="12" s="1"/>
  <c r="K2037" i="12" s="1"/>
  <c r="E2036" i="12"/>
  <c r="F2036" i="12" s="1"/>
  <c r="G2036" i="12" s="1"/>
  <c r="I2036" i="12" s="1"/>
  <c r="K2036" i="12" s="1"/>
  <c r="E2035" i="12"/>
  <c r="F2035" i="12" s="1"/>
  <c r="G2035" i="12" s="1"/>
  <c r="I2035" i="12" s="1"/>
  <c r="K2035" i="12" s="1"/>
  <c r="E2034" i="12"/>
  <c r="F2034" i="12" s="1"/>
  <c r="G2034" i="12" s="1"/>
  <c r="I2034" i="12" s="1"/>
  <c r="K2034" i="12" s="1"/>
  <c r="E2033" i="12"/>
  <c r="F2033" i="12" s="1"/>
  <c r="G2033" i="12" s="1"/>
  <c r="I2033" i="12" s="1"/>
  <c r="K2033" i="12" s="1"/>
  <c r="D2032" i="12"/>
  <c r="D2031" i="12"/>
  <c r="D2030" i="12"/>
  <c r="D2029" i="12"/>
  <c r="D2028" i="12"/>
  <c r="D2027" i="12"/>
  <c r="E2027" i="12" s="1"/>
  <c r="F2027" i="12" s="1"/>
  <c r="G2027" i="12" s="1"/>
  <c r="I2027" i="12" s="1"/>
  <c r="K2027" i="12" s="1"/>
  <c r="E2026" i="12"/>
  <c r="F2026" i="12" s="1"/>
  <c r="G2026" i="12" s="1"/>
  <c r="I2026" i="12" s="1"/>
  <c r="K2026" i="12" s="1"/>
  <c r="E2025" i="12"/>
  <c r="F2025" i="12" s="1"/>
  <c r="G2025" i="12" s="1"/>
  <c r="I2025" i="12" s="1"/>
  <c r="K2025" i="12" s="1"/>
  <c r="D2024" i="12"/>
  <c r="D2023" i="12"/>
  <c r="D2022" i="12"/>
  <c r="E2021" i="12"/>
  <c r="F2021" i="12" s="1"/>
  <c r="G2021" i="12" s="1"/>
  <c r="I2021" i="12" s="1"/>
  <c r="K2021" i="12" s="1"/>
  <c r="E2020" i="12"/>
  <c r="F2020" i="12" s="1"/>
  <c r="G2020" i="12" s="1"/>
  <c r="I2020" i="12" s="1"/>
  <c r="K2020" i="12" s="1"/>
  <c r="E2019" i="12"/>
  <c r="F2019" i="12" s="1"/>
  <c r="G2019" i="12" s="1"/>
  <c r="I2019" i="12" s="1"/>
  <c r="K2019" i="12" s="1"/>
  <c r="E2018" i="12"/>
  <c r="F2018" i="12" s="1"/>
  <c r="G2018" i="12" s="1"/>
  <c r="I2018" i="12" s="1"/>
  <c r="K2018" i="12" s="1"/>
  <c r="D2017" i="12"/>
  <c r="E2017" i="12" s="1"/>
  <c r="F2017" i="12" s="1"/>
  <c r="G2017" i="12" s="1"/>
  <c r="I2017" i="12" s="1"/>
  <c r="K2017" i="12" s="1"/>
  <c r="E2016" i="12"/>
  <c r="F2016" i="12" s="1"/>
  <c r="G2016" i="12" s="1"/>
  <c r="I2016" i="12" s="1"/>
  <c r="K2016" i="12" s="1"/>
  <c r="E2015" i="12"/>
  <c r="F2015" i="12" s="1"/>
  <c r="G2015" i="12" s="1"/>
  <c r="I2015" i="12" s="1"/>
  <c r="K2015" i="12" s="1"/>
  <c r="E2014" i="12"/>
  <c r="F2014" i="12" s="1"/>
  <c r="G2014" i="12" s="1"/>
  <c r="I2014" i="12" s="1"/>
  <c r="K2014" i="12" s="1"/>
  <c r="E2013" i="12"/>
  <c r="F2013" i="12" s="1"/>
  <c r="G2013" i="12" s="1"/>
  <c r="I2013" i="12" s="1"/>
  <c r="K2013" i="12" s="1"/>
  <c r="D2012" i="12"/>
  <c r="D2011" i="12"/>
  <c r="E2011" i="12" s="1"/>
  <c r="F2011" i="12" s="1"/>
  <c r="G2011" i="12" s="1"/>
  <c r="I2011" i="12" s="1"/>
  <c r="K2011" i="12" s="1"/>
  <c r="E2010" i="12"/>
  <c r="F2010" i="12" s="1"/>
  <c r="G2010" i="12" s="1"/>
  <c r="I2010" i="12" s="1"/>
  <c r="K2010" i="12" s="1"/>
  <c r="E2009" i="12"/>
  <c r="F2009" i="12" s="1"/>
  <c r="G2009" i="12" s="1"/>
  <c r="I2009" i="12" s="1"/>
  <c r="K2009" i="12" s="1"/>
  <c r="D2008" i="12"/>
  <c r="E2007" i="12"/>
  <c r="F2007" i="12" s="1"/>
  <c r="G2007" i="12" s="1"/>
  <c r="I2007" i="12" s="1"/>
  <c r="K2007" i="12" s="1"/>
  <c r="E2006" i="12"/>
  <c r="F2006" i="12" s="1"/>
  <c r="G2006" i="12" s="1"/>
  <c r="I2006" i="12" s="1"/>
  <c r="K2006" i="12" s="1"/>
  <c r="E2005" i="12"/>
  <c r="F2005" i="12" s="1"/>
  <c r="G2005" i="12" s="1"/>
  <c r="I2005" i="12" s="1"/>
  <c r="K2005" i="12" s="1"/>
  <c r="E2004" i="12"/>
  <c r="F2004" i="12" s="1"/>
  <c r="G2004" i="12" s="1"/>
  <c r="I2004" i="12" s="1"/>
  <c r="K2004" i="12" s="1"/>
  <c r="E2003" i="12"/>
  <c r="F2003" i="12" s="1"/>
  <c r="G2003" i="12" s="1"/>
  <c r="I2003" i="12" s="1"/>
  <c r="K2003" i="12" s="1"/>
  <c r="E2002" i="12"/>
  <c r="F2002" i="12" s="1"/>
  <c r="G2002" i="12" s="1"/>
  <c r="I2002" i="12" s="1"/>
  <c r="K2002" i="12" s="1"/>
  <c r="E2001" i="12"/>
  <c r="F2001" i="12" s="1"/>
  <c r="G2001" i="12" s="1"/>
  <c r="I2001" i="12" s="1"/>
  <c r="K2001" i="12" s="1"/>
  <c r="E2000" i="12"/>
  <c r="F2000" i="12" s="1"/>
  <c r="G2000" i="12" s="1"/>
  <c r="I2000" i="12" s="1"/>
  <c r="K2000" i="12" s="1"/>
  <c r="D1999" i="12"/>
  <c r="E1998" i="12"/>
  <c r="F1998" i="12" s="1"/>
  <c r="G1998" i="12" s="1"/>
  <c r="I1998" i="12" s="1"/>
  <c r="K1998" i="12" s="1"/>
  <c r="D1997" i="12"/>
  <c r="E1996" i="12"/>
  <c r="F1996" i="12" s="1"/>
  <c r="G1996" i="12" s="1"/>
  <c r="I1996" i="12" s="1"/>
  <c r="K1996" i="12" s="1"/>
  <c r="E1995" i="12"/>
  <c r="F1995" i="12" s="1"/>
  <c r="G1995" i="12" s="1"/>
  <c r="I1995" i="12" s="1"/>
  <c r="K1995" i="12" s="1"/>
  <c r="E1994" i="12"/>
  <c r="F1994" i="12" s="1"/>
  <c r="G1994" i="12" s="1"/>
  <c r="I1994" i="12" s="1"/>
  <c r="K1994" i="12" s="1"/>
  <c r="E1993" i="12"/>
  <c r="F1993" i="12" s="1"/>
  <c r="G1993" i="12" s="1"/>
  <c r="I1993" i="12" s="1"/>
  <c r="K1993" i="12" s="1"/>
  <c r="E1992" i="12"/>
  <c r="F1992" i="12" s="1"/>
  <c r="G1992" i="12" s="1"/>
  <c r="I1992" i="12" s="1"/>
  <c r="K1992" i="12" s="1"/>
  <c r="E1991" i="12"/>
  <c r="F1991" i="12" s="1"/>
  <c r="G1991" i="12" s="1"/>
  <c r="I1991" i="12" s="1"/>
  <c r="K1991" i="12" s="1"/>
  <c r="E1990" i="12"/>
  <c r="F1990" i="12" s="1"/>
  <c r="G1990" i="12" s="1"/>
  <c r="I1990" i="12" s="1"/>
  <c r="K1990" i="12" s="1"/>
  <c r="E1989" i="12"/>
  <c r="F1989" i="12" s="1"/>
  <c r="G1989" i="12" s="1"/>
  <c r="I1989" i="12" s="1"/>
  <c r="K1989" i="12" s="1"/>
  <c r="E1988" i="12"/>
  <c r="F1988" i="12" s="1"/>
  <c r="G1988" i="12" s="1"/>
  <c r="I1988" i="12" s="1"/>
  <c r="K1988" i="12" s="1"/>
  <c r="E1987" i="12"/>
  <c r="F1987" i="12" s="1"/>
  <c r="G1987" i="12" s="1"/>
  <c r="I1987" i="12" s="1"/>
  <c r="K1987" i="12" s="1"/>
  <c r="E1986" i="12"/>
  <c r="F1986" i="12" s="1"/>
  <c r="G1986" i="12" s="1"/>
  <c r="I1986" i="12" s="1"/>
  <c r="K1986" i="12" s="1"/>
  <c r="E1985" i="12"/>
  <c r="F1985" i="12" s="1"/>
  <c r="G1985" i="12" s="1"/>
  <c r="I1985" i="12" s="1"/>
  <c r="K1985" i="12" s="1"/>
  <c r="E1984" i="12"/>
  <c r="F1984" i="12" s="1"/>
  <c r="G1984" i="12" s="1"/>
  <c r="I1984" i="12" s="1"/>
  <c r="K1984" i="12" s="1"/>
  <c r="E1983" i="12"/>
  <c r="F1983" i="12" s="1"/>
  <c r="G1983" i="12" s="1"/>
  <c r="I1983" i="12" s="1"/>
  <c r="K1983" i="12" s="1"/>
  <c r="D1982" i="12"/>
  <c r="D1981" i="12"/>
  <c r="E1980" i="12"/>
  <c r="F1980" i="12" s="1"/>
  <c r="G1980" i="12" s="1"/>
  <c r="I1980" i="12" s="1"/>
  <c r="K1980" i="12" s="1"/>
  <c r="E1979" i="12"/>
  <c r="F1979" i="12" s="1"/>
  <c r="G1979" i="12" s="1"/>
  <c r="I1979" i="12" s="1"/>
  <c r="K1979" i="12" s="1"/>
  <c r="E1978" i="12"/>
  <c r="F1978" i="12" s="1"/>
  <c r="G1978" i="12" s="1"/>
  <c r="I1978" i="12" s="1"/>
  <c r="K1978" i="12" s="1"/>
  <c r="E1977" i="12"/>
  <c r="F1977" i="12" s="1"/>
  <c r="G1977" i="12" s="1"/>
  <c r="I1977" i="12" s="1"/>
  <c r="K1977" i="12" s="1"/>
  <c r="E1976" i="12"/>
  <c r="F1976" i="12" s="1"/>
  <c r="G1976" i="12" s="1"/>
  <c r="I1976" i="12" s="1"/>
  <c r="K1976" i="12" s="1"/>
  <c r="D1975" i="12"/>
  <c r="D1974" i="12"/>
  <c r="E1973" i="12"/>
  <c r="F1973" i="12" s="1"/>
  <c r="G1973" i="12" s="1"/>
  <c r="I1973" i="12" s="1"/>
  <c r="K1973" i="12" s="1"/>
  <c r="E1972" i="12"/>
  <c r="F1972" i="12" s="1"/>
  <c r="G1972" i="12" s="1"/>
  <c r="I1972" i="12" s="1"/>
  <c r="K1972" i="12" s="1"/>
  <c r="E1971" i="12"/>
  <c r="F1971" i="12" s="1"/>
  <c r="G1971" i="12" s="1"/>
  <c r="I1971" i="12" s="1"/>
  <c r="K1971" i="12" s="1"/>
  <c r="E1970" i="12"/>
  <c r="F1970" i="12" s="1"/>
  <c r="G1970" i="12" s="1"/>
  <c r="I1970" i="12" s="1"/>
  <c r="K1970" i="12" s="1"/>
  <c r="E1969" i="12"/>
  <c r="F1969" i="12" s="1"/>
  <c r="G1969" i="12" s="1"/>
  <c r="I1969" i="12" s="1"/>
  <c r="K1969" i="12" s="1"/>
  <c r="D1968" i="12"/>
  <c r="E1967" i="12"/>
  <c r="F1967" i="12" s="1"/>
  <c r="G1967" i="12" s="1"/>
  <c r="I1967" i="12" s="1"/>
  <c r="K1967" i="12" s="1"/>
  <c r="E1966" i="12"/>
  <c r="F1966" i="12" s="1"/>
  <c r="G1966" i="12" s="1"/>
  <c r="I1966" i="12" s="1"/>
  <c r="K1966" i="12" s="1"/>
  <c r="E1965" i="12"/>
  <c r="F1965" i="12" s="1"/>
  <c r="G1965" i="12" s="1"/>
  <c r="I1965" i="12" s="1"/>
  <c r="K1965" i="12" s="1"/>
  <c r="E1964" i="12"/>
  <c r="F1964" i="12" s="1"/>
  <c r="G1964" i="12" s="1"/>
  <c r="I1964" i="12" s="1"/>
  <c r="K1964" i="12" s="1"/>
  <c r="D1963" i="12"/>
  <c r="E1963" i="12" s="1"/>
  <c r="F1963" i="12" s="1"/>
  <c r="G1963" i="12" s="1"/>
  <c r="I1963" i="12" s="1"/>
  <c r="K1963" i="12" s="1"/>
  <c r="E1962" i="12"/>
  <c r="F1962" i="12" s="1"/>
  <c r="G1962" i="12" s="1"/>
  <c r="I1962" i="12" s="1"/>
  <c r="K1962" i="12" s="1"/>
  <c r="D1961" i="12"/>
  <c r="E1961" i="12" s="1"/>
  <c r="F1961" i="12" s="1"/>
  <c r="G1961" i="12" s="1"/>
  <c r="I1961" i="12" s="1"/>
  <c r="K1961" i="12" s="1"/>
  <c r="E1960" i="12"/>
  <c r="F1960" i="12" s="1"/>
  <c r="G1960" i="12" s="1"/>
  <c r="I1960" i="12" s="1"/>
  <c r="K1960" i="12" s="1"/>
  <c r="E1959" i="12"/>
  <c r="F1959" i="12" s="1"/>
  <c r="G1959" i="12" s="1"/>
  <c r="I1959" i="12" s="1"/>
  <c r="K1959" i="12" s="1"/>
  <c r="D1958" i="12"/>
  <c r="D1957" i="12"/>
  <c r="E1956" i="12"/>
  <c r="F1956" i="12" s="1"/>
  <c r="G1956" i="12" s="1"/>
  <c r="I1956" i="12" s="1"/>
  <c r="K1956" i="12" s="1"/>
  <c r="E1955" i="12"/>
  <c r="F1955" i="12" s="1"/>
  <c r="G1955" i="12" s="1"/>
  <c r="I1955" i="12" s="1"/>
  <c r="K1955" i="12" s="1"/>
  <c r="E1954" i="12"/>
  <c r="F1954" i="12" s="1"/>
  <c r="G1954" i="12" s="1"/>
  <c r="I1954" i="12" s="1"/>
  <c r="K1954" i="12" s="1"/>
  <c r="E1953" i="12"/>
  <c r="F1953" i="12" s="1"/>
  <c r="G1953" i="12" s="1"/>
  <c r="I1953" i="12" s="1"/>
  <c r="K1953" i="12" s="1"/>
  <c r="D1952" i="12"/>
  <c r="E1951" i="12"/>
  <c r="F1951" i="12" s="1"/>
  <c r="G1951" i="12" s="1"/>
  <c r="I1951" i="12" s="1"/>
  <c r="K1951" i="12" s="1"/>
  <c r="E1950" i="12"/>
  <c r="F1950" i="12" s="1"/>
  <c r="G1950" i="12" s="1"/>
  <c r="I1950" i="12" s="1"/>
  <c r="K1950" i="12" s="1"/>
  <c r="E1949" i="12"/>
  <c r="F1949" i="12" s="1"/>
  <c r="G1949" i="12" s="1"/>
  <c r="I1949" i="12" s="1"/>
  <c r="K1949" i="12" s="1"/>
  <c r="D1948" i="12"/>
  <c r="E1947" i="12"/>
  <c r="F1947" i="12" s="1"/>
  <c r="G1947" i="12" s="1"/>
  <c r="I1947" i="12" s="1"/>
  <c r="K1947" i="12" s="1"/>
  <c r="E1946" i="12"/>
  <c r="F1946" i="12" s="1"/>
  <c r="G1946" i="12" s="1"/>
  <c r="I1946" i="12" s="1"/>
  <c r="K1946" i="12" s="1"/>
  <c r="D1945" i="12"/>
  <c r="E1945" i="12" s="1"/>
  <c r="F1945" i="12" s="1"/>
  <c r="G1945" i="12" s="1"/>
  <c r="I1945" i="12" s="1"/>
  <c r="K1945" i="12" s="1"/>
  <c r="E1944" i="12"/>
  <c r="F1944" i="12" s="1"/>
  <c r="G1944" i="12" s="1"/>
  <c r="I1944" i="12" s="1"/>
  <c r="K1944" i="12" s="1"/>
  <c r="E1943" i="12"/>
  <c r="F1943" i="12" s="1"/>
  <c r="G1943" i="12" s="1"/>
  <c r="I1943" i="12" s="1"/>
  <c r="K1943" i="12" s="1"/>
  <c r="E1942" i="12"/>
  <c r="F1942" i="12" s="1"/>
  <c r="G1942" i="12" s="1"/>
  <c r="I1942" i="12" s="1"/>
  <c r="K1942" i="12" s="1"/>
  <c r="E1941" i="12"/>
  <c r="F1941" i="12" s="1"/>
  <c r="G1941" i="12" s="1"/>
  <c r="I1941" i="12" s="1"/>
  <c r="K1941" i="12" s="1"/>
  <c r="E1940" i="12"/>
  <c r="F1940" i="12" s="1"/>
  <c r="G1940" i="12" s="1"/>
  <c r="I1940" i="12" s="1"/>
  <c r="K1940" i="12" s="1"/>
  <c r="E1939" i="12"/>
  <c r="F1939" i="12" s="1"/>
  <c r="G1939" i="12" s="1"/>
  <c r="I1939" i="12" s="1"/>
  <c r="K1939" i="12" s="1"/>
  <c r="E1938" i="12"/>
  <c r="F1938" i="12" s="1"/>
  <c r="G1938" i="12" s="1"/>
  <c r="I1938" i="12" s="1"/>
  <c r="K1938" i="12" s="1"/>
  <c r="E1937" i="12"/>
  <c r="F1937" i="12" s="1"/>
  <c r="G1937" i="12" s="1"/>
  <c r="I1937" i="12" s="1"/>
  <c r="K1937" i="12" s="1"/>
  <c r="E1936" i="12"/>
  <c r="F1936" i="12" s="1"/>
  <c r="G1936" i="12" s="1"/>
  <c r="I1936" i="12" s="1"/>
  <c r="K1936" i="12" s="1"/>
  <c r="E1935" i="12"/>
  <c r="F1935" i="12" s="1"/>
  <c r="G1935" i="12" s="1"/>
  <c r="I1935" i="12" s="1"/>
  <c r="K1935" i="12" s="1"/>
  <c r="E1934" i="12"/>
  <c r="F1934" i="12" s="1"/>
  <c r="G1934" i="12" s="1"/>
  <c r="I1934" i="12" s="1"/>
  <c r="K1934" i="12" s="1"/>
  <c r="D1933" i="12"/>
  <c r="D1932" i="12"/>
  <c r="E1931" i="12"/>
  <c r="F1931" i="12" s="1"/>
  <c r="G1931" i="12" s="1"/>
  <c r="I1931" i="12" s="1"/>
  <c r="K1931" i="12" s="1"/>
  <c r="E1930" i="12"/>
  <c r="F1930" i="12" s="1"/>
  <c r="G1930" i="12" s="1"/>
  <c r="I1930" i="12" s="1"/>
  <c r="K1930" i="12" s="1"/>
  <c r="D1929" i="12"/>
  <c r="E1929" i="12" s="1"/>
  <c r="F1929" i="12" s="1"/>
  <c r="G1929" i="12" s="1"/>
  <c r="I1929" i="12" s="1"/>
  <c r="K1929" i="12" s="1"/>
  <c r="E1928" i="12"/>
  <c r="F1928" i="12" s="1"/>
  <c r="G1928" i="12" s="1"/>
  <c r="I1928" i="12" s="1"/>
  <c r="K1928" i="12" s="1"/>
  <c r="E1927" i="12"/>
  <c r="F1927" i="12" s="1"/>
  <c r="G1927" i="12" s="1"/>
  <c r="I1927" i="12" s="1"/>
  <c r="K1927" i="12" s="1"/>
  <c r="E1926" i="12"/>
  <c r="F1926" i="12" s="1"/>
  <c r="G1926" i="12" s="1"/>
  <c r="I1926" i="12" s="1"/>
  <c r="K1926" i="12" s="1"/>
  <c r="E1925" i="12"/>
  <c r="F1925" i="12" s="1"/>
  <c r="G1925" i="12" s="1"/>
  <c r="I1925" i="12" s="1"/>
  <c r="K1925" i="12" s="1"/>
  <c r="D1924" i="12"/>
  <c r="E1923" i="12"/>
  <c r="F1923" i="12" s="1"/>
  <c r="G1923" i="12" s="1"/>
  <c r="I1923" i="12" s="1"/>
  <c r="K1923" i="12" s="1"/>
  <c r="E1922" i="12"/>
  <c r="F1922" i="12" s="1"/>
  <c r="G1922" i="12" s="1"/>
  <c r="I1922" i="12" s="1"/>
  <c r="K1922" i="12" s="1"/>
  <c r="E1921" i="12"/>
  <c r="F1921" i="12" s="1"/>
  <c r="G1921" i="12" s="1"/>
  <c r="I1921" i="12" s="1"/>
  <c r="K1921" i="12" s="1"/>
  <c r="E1920" i="12"/>
  <c r="F1920" i="12" s="1"/>
  <c r="G1920" i="12" s="1"/>
  <c r="I1920" i="12" s="1"/>
  <c r="K1920" i="12" s="1"/>
  <c r="E1919" i="12"/>
  <c r="F1919" i="12" s="1"/>
  <c r="G1919" i="12" s="1"/>
  <c r="I1919" i="12" s="1"/>
  <c r="K1919" i="12" s="1"/>
  <c r="E1918" i="12"/>
  <c r="F1918" i="12" s="1"/>
  <c r="G1918" i="12" s="1"/>
  <c r="I1918" i="12" s="1"/>
  <c r="K1918" i="12" s="1"/>
  <c r="D1917" i="12"/>
  <c r="E1916" i="12"/>
  <c r="F1916" i="12" s="1"/>
  <c r="G1916" i="12" s="1"/>
  <c r="I1916" i="12" s="1"/>
  <c r="K1916" i="12" s="1"/>
  <c r="E1915" i="12"/>
  <c r="F1915" i="12" s="1"/>
  <c r="G1915" i="12" s="1"/>
  <c r="I1915" i="12" s="1"/>
  <c r="K1915" i="12" s="1"/>
  <c r="D1914" i="12"/>
  <c r="E1913" i="12"/>
  <c r="F1913" i="12" s="1"/>
  <c r="G1913" i="12" s="1"/>
  <c r="I1913" i="12" s="1"/>
  <c r="K1913" i="12" s="1"/>
  <c r="D1912" i="12"/>
  <c r="D1911" i="12"/>
  <c r="E1910" i="12"/>
  <c r="F1910" i="12" s="1"/>
  <c r="G1910" i="12" s="1"/>
  <c r="I1910" i="12" s="1"/>
  <c r="K1910" i="12" s="1"/>
  <c r="E1909" i="12"/>
  <c r="F1909" i="12" s="1"/>
  <c r="G1909" i="12" s="1"/>
  <c r="I1909" i="12" s="1"/>
  <c r="K1909" i="12" s="1"/>
  <c r="E1908" i="12"/>
  <c r="F1908" i="12" s="1"/>
  <c r="G1908" i="12" s="1"/>
  <c r="I1908" i="12" s="1"/>
  <c r="K1908" i="12" s="1"/>
  <c r="E1907" i="12"/>
  <c r="F1907" i="12" s="1"/>
  <c r="G1907" i="12" s="1"/>
  <c r="I1907" i="12" s="1"/>
  <c r="K1907" i="12" s="1"/>
  <c r="E1906" i="12"/>
  <c r="F1906" i="12" s="1"/>
  <c r="G1906" i="12" s="1"/>
  <c r="I1906" i="12" s="1"/>
  <c r="K1906" i="12" s="1"/>
  <c r="E1905" i="12"/>
  <c r="F1905" i="12" s="1"/>
  <c r="G1905" i="12" s="1"/>
  <c r="I1905" i="12" s="1"/>
  <c r="K1905" i="12" s="1"/>
  <c r="E1904" i="12"/>
  <c r="F1904" i="12" s="1"/>
  <c r="G1904" i="12" s="1"/>
  <c r="I1904" i="12" s="1"/>
  <c r="K1904" i="12" s="1"/>
  <c r="E1903" i="12"/>
  <c r="F1903" i="12" s="1"/>
  <c r="G1903" i="12" s="1"/>
  <c r="I1903" i="12" s="1"/>
  <c r="K1903" i="12" s="1"/>
  <c r="E1902" i="12"/>
  <c r="F1902" i="12" s="1"/>
  <c r="G1902" i="12" s="1"/>
  <c r="I1902" i="12" s="1"/>
  <c r="K1902" i="12" s="1"/>
  <c r="D1901" i="12"/>
  <c r="E1900" i="12"/>
  <c r="F1900" i="12" s="1"/>
  <c r="G1900" i="12" s="1"/>
  <c r="I1900" i="12" s="1"/>
  <c r="K1900" i="12" s="1"/>
  <c r="E1899" i="12"/>
  <c r="F1899" i="12" s="1"/>
  <c r="G1899" i="12" s="1"/>
  <c r="I1899" i="12" s="1"/>
  <c r="K1899" i="12" s="1"/>
  <c r="E1898" i="12"/>
  <c r="F1898" i="12" s="1"/>
  <c r="G1898" i="12" s="1"/>
  <c r="I1898" i="12" s="1"/>
  <c r="K1898" i="12" s="1"/>
  <c r="E1897" i="12"/>
  <c r="F1897" i="12" s="1"/>
  <c r="G1897" i="12" s="1"/>
  <c r="I1897" i="12" s="1"/>
  <c r="K1897" i="12" s="1"/>
  <c r="E1896" i="12"/>
  <c r="F1896" i="12" s="1"/>
  <c r="G1896" i="12" s="1"/>
  <c r="I1896" i="12" s="1"/>
  <c r="K1896" i="12" s="1"/>
  <c r="E1895" i="12"/>
  <c r="F1895" i="12" s="1"/>
  <c r="G1895" i="12" s="1"/>
  <c r="I1895" i="12" s="1"/>
  <c r="K1895" i="12" s="1"/>
  <c r="E1894" i="12"/>
  <c r="F1894" i="12" s="1"/>
  <c r="G1894" i="12" s="1"/>
  <c r="I1894" i="12" s="1"/>
  <c r="K1894" i="12" s="1"/>
  <c r="E1893" i="12"/>
  <c r="F1893" i="12" s="1"/>
  <c r="G1893" i="12" s="1"/>
  <c r="I1893" i="12" s="1"/>
  <c r="K1893" i="12" s="1"/>
  <c r="E1892" i="12"/>
  <c r="F1892" i="12" s="1"/>
  <c r="G1892" i="12" s="1"/>
  <c r="I1892" i="12" s="1"/>
  <c r="K1892" i="12" s="1"/>
  <c r="E1891" i="12"/>
  <c r="F1891" i="12" s="1"/>
  <c r="G1891" i="12" s="1"/>
  <c r="I1891" i="12" s="1"/>
  <c r="K1891" i="12" s="1"/>
  <c r="D1890" i="12"/>
  <c r="D1889" i="12"/>
  <c r="E1889" i="12" s="1"/>
  <c r="F1889" i="12" s="1"/>
  <c r="G1889" i="12" s="1"/>
  <c r="I1889" i="12" s="1"/>
  <c r="K1889" i="12" s="1"/>
  <c r="D1888" i="12"/>
  <c r="D1887" i="12"/>
  <c r="E1886" i="12"/>
  <c r="F1886" i="12" s="1"/>
  <c r="G1886" i="12" s="1"/>
  <c r="I1886" i="12" s="1"/>
  <c r="K1886" i="12" s="1"/>
  <c r="E1885" i="12"/>
  <c r="F1885" i="12" s="1"/>
  <c r="G1885" i="12" s="1"/>
  <c r="I1885" i="12" s="1"/>
  <c r="K1885" i="12" s="1"/>
  <c r="E1884" i="12"/>
  <c r="F1884" i="12" s="1"/>
  <c r="G1884" i="12" s="1"/>
  <c r="I1884" i="12" s="1"/>
  <c r="K1884" i="12" s="1"/>
  <c r="E1883" i="12"/>
  <c r="F1883" i="12" s="1"/>
  <c r="G1883" i="12" s="1"/>
  <c r="I1883" i="12" s="1"/>
  <c r="K1883" i="12" s="1"/>
  <c r="E1882" i="12"/>
  <c r="F1882" i="12" s="1"/>
  <c r="G1882" i="12" s="1"/>
  <c r="I1882" i="12" s="1"/>
  <c r="K1882" i="12" s="1"/>
  <c r="E1881" i="12"/>
  <c r="F1881" i="12" s="1"/>
  <c r="G1881" i="12" s="1"/>
  <c r="I1881" i="12" s="1"/>
  <c r="K1881" i="12" s="1"/>
  <c r="E1880" i="12"/>
  <c r="F1880" i="12" s="1"/>
  <c r="G1880" i="12" s="1"/>
  <c r="I1880" i="12" s="1"/>
  <c r="K1880" i="12" s="1"/>
  <c r="E1879" i="12"/>
  <c r="F1879" i="12" s="1"/>
  <c r="G1879" i="12" s="1"/>
  <c r="I1879" i="12" s="1"/>
  <c r="K1879" i="12" s="1"/>
  <c r="D1878" i="12"/>
  <c r="E1877" i="12"/>
  <c r="F1877" i="12" s="1"/>
  <c r="G1877" i="12" s="1"/>
  <c r="I1877" i="12" s="1"/>
  <c r="K1877" i="12" s="1"/>
  <c r="E1876" i="12"/>
  <c r="F1876" i="12" s="1"/>
  <c r="G1876" i="12" s="1"/>
  <c r="I1876" i="12" s="1"/>
  <c r="K1876" i="12" s="1"/>
  <c r="D1875" i="12"/>
  <c r="E1874" i="12"/>
  <c r="F1874" i="12" s="1"/>
  <c r="G1874" i="12" s="1"/>
  <c r="I1874" i="12" s="1"/>
  <c r="K1874" i="12" s="1"/>
  <c r="E1873" i="12"/>
  <c r="F1873" i="12" s="1"/>
  <c r="G1873" i="12" s="1"/>
  <c r="I1873" i="12" s="1"/>
  <c r="K1873" i="12" s="1"/>
  <c r="E1872" i="12"/>
  <c r="F1872" i="12" s="1"/>
  <c r="G1872" i="12" s="1"/>
  <c r="I1872" i="12" s="1"/>
  <c r="K1872" i="12" s="1"/>
  <c r="E1871" i="12"/>
  <c r="F1871" i="12" s="1"/>
  <c r="G1871" i="12" s="1"/>
  <c r="I1871" i="12" s="1"/>
  <c r="K1871" i="12" s="1"/>
  <c r="E1870" i="12"/>
  <c r="F1870" i="12" s="1"/>
  <c r="G1870" i="12" s="1"/>
  <c r="I1870" i="12" s="1"/>
  <c r="K1870" i="12" s="1"/>
  <c r="E1869" i="12"/>
  <c r="F1869" i="12" s="1"/>
  <c r="G1869" i="12" s="1"/>
  <c r="I1869" i="12" s="1"/>
  <c r="K1869" i="12" s="1"/>
  <c r="E1868" i="12"/>
  <c r="F1868" i="12" s="1"/>
  <c r="G1868" i="12" s="1"/>
  <c r="I1868" i="12" s="1"/>
  <c r="K1868" i="12" s="1"/>
  <c r="D1867" i="12"/>
  <c r="E1866" i="12"/>
  <c r="F1866" i="12" s="1"/>
  <c r="G1866" i="12" s="1"/>
  <c r="I1866" i="12" s="1"/>
  <c r="K1866" i="12" s="1"/>
  <c r="E1865" i="12"/>
  <c r="F1865" i="12" s="1"/>
  <c r="G1865" i="12" s="1"/>
  <c r="I1865" i="12" s="1"/>
  <c r="K1865" i="12" s="1"/>
  <c r="D1864" i="12"/>
  <c r="E1863" i="12"/>
  <c r="F1863" i="12" s="1"/>
  <c r="G1863" i="12" s="1"/>
  <c r="I1863" i="12" s="1"/>
  <c r="K1863" i="12" s="1"/>
  <c r="D1862" i="12"/>
  <c r="E1861" i="12"/>
  <c r="F1861" i="12" s="1"/>
  <c r="G1861" i="12" s="1"/>
  <c r="I1861" i="12" s="1"/>
  <c r="K1861" i="12" s="1"/>
  <c r="D1860" i="12"/>
  <c r="D1859" i="12"/>
  <c r="D1858" i="12"/>
  <c r="D1857" i="12"/>
  <c r="E1857" i="12" s="1"/>
  <c r="F1857" i="12" s="1"/>
  <c r="G1857" i="12" s="1"/>
  <c r="I1857" i="12" s="1"/>
  <c r="K1857" i="12" s="1"/>
  <c r="D1856" i="12"/>
  <c r="D1855" i="12"/>
  <c r="D1854" i="12"/>
  <c r="D1853" i="12"/>
  <c r="D1852" i="12"/>
  <c r="D1851" i="12"/>
  <c r="D1850" i="12"/>
  <c r="D1849" i="12"/>
  <c r="E1849" i="12" s="1"/>
  <c r="F1849" i="12" s="1"/>
  <c r="G1849" i="12" s="1"/>
  <c r="I1849" i="12" s="1"/>
  <c r="K1849" i="12" s="1"/>
  <c r="D1848" i="12"/>
  <c r="D1847" i="12"/>
  <c r="D1846" i="12"/>
  <c r="D1845" i="12"/>
  <c r="D1844" i="12"/>
  <c r="D1843" i="12"/>
  <c r="D1842" i="12"/>
  <c r="D1841" i="12"/>
  <c r="E1841" i="12" s="1"/>
  <c r="F1841" i="12" s="1"/>
  <c r="G1841" i="12" s="1"/>
  <c r="I1841" i="12" s="1"/>
  <c r="K1841" i="12" s="1"/>
  <c r="D1840" i="12"/>
  <c r="D1839" i="12"/>
  <c r="D1838" i="12"/>
  <c r="D1837" i="12"/>
  <c r="D1836" i="12"/>
  <c r="D1835" i="12"/>
  <c r="D1834" i="12"/>
  <c r="D1833" i="12"/>
  <c r="E1833" i="12" s="1"/>
  <c r="F1833" i="12" s="1"/>
  <c r="G1833" i="12" s="1"/>
  <c r="I1833" i="12" s="1"/>
  <c r="K1833" i="12" s="1"/>
  <c r="D1832" i="12"/>
  <c r="E1831" i="12"/>
  <c r="F1831" i="12" s="1"/>
  <c r="G1831" i="12" s="1"/>
  <c r="I1831" i="12" s="1"/>
  <c r="K1831" i="12" s="1"/>
  <c r="E1830" i="12"/>
  <c r="F1830" i="12" s="1"/>
  <c r="G1830" i="12" s="1"/>
  <c r="I1830" i="12" s="1"/>
  <c r="K1830" i="12" s="1"/>
  <c r="E1829" i="12"/>
  <c r="F1829" i="12" s="1"/>
  <c r="G1829" i="12" s="1"/>
  <c r="I1829" i="12" s="1"/>
  <c r="K1829" i="12" s="1"/>
  <c r="D1828" i="12"/>
  <c r="D1827" i="12"/>
  <c r="E1826" i="12"/>
  <c r="F1826" i="12" s="1"/>
  <c r="G1826" i="12" s="1"/>
  <c r="I1826" i="12" s="1"/>
  <c r="K1826" i="12" s="1"/>
  <c r="E1825" i="12"/>
  <c r="F1825" i="12" s="1"/>
  <c r="G1825" i="12" s="1"/>
  <c r="I1825" i="12" s="1"/>
  <c r="K1825" i="12" s="1"/>
  <c r="D1824" i="12"/>
  <c r="D1823" i="12"/>
  <c r="D1822" i="12"/>
  <c r="E1821" i="12"/>
  <c r="F1821" i="12" s="1"/>
  <c r="G1821" i="12" s="1"/>
  <c r="I1821" i="12" s="1"/>
  <c r="K1821" i="12" s="1"/>
  <c r="E1820" i="12"/>
  <c r="F1820" i="12" s="1"/>
  <c r="G1820" i="12" s="1"/>
  <c r="I1820" i="12" s="1"/>
  <c r="K1820" i="12" s="1"/>
  <c r="D1819" i="12"/>
  <c r="E1818" i="12"/>
  <c r="F1818" i="12" s="1"/>
  <c r="G1818" i="12" s="1"/>
  <c r="I1818" i="12" s="1"/>
  <c r="K1818" i="12" s="1"/>
  <c r="E1817" i="12"/>
  <c r="F1817" i="12" s="1"/>
  <c r="G1817" i="12" s="1"/>
  <c r="I1817" i="12" s="1"/>
  <c r="K1817" i="12" s="1"/>
  <c r="D1816" i="12"/>
  <c r="D1815" i="12"/>
  <c r="E1814" i="12"/>
  <c r="F1814" i="12" s="1"/>
  <c r="G1814" i="12" s="1"/>
  <c r="I1814" i="12" s="1"/>
  <c r="K1814" i="12" s="1"/>
  <c r="E1813" i="12"/>
  <c r="F1813" i="12" s="1"/>
  <c r="G1813" i="12" s="1"/>
  <c r="I1813" i="12" s="1"/>
  <c r="K1813" i="12" s="1"/>
  <c r="E1812" i="12"/>
  <c r="F1812" i="12" s="1"/>
  <c r="G1812" i="12" s="1"/>
  <c r="I1812" i="12" s="1"/>
  <c r="K1812" i="12" s="1"/>
  <c r="E1811" i="12"/>
  <c r="F1811" i="12" s="1"/>
  <c r="G1811" i="12" s="1"/>
  <c r="I1811" i="12" s="1"/>
  <c r="K1811" i="12" s="1"/>
  <c r="E1810" i="12"/>
  <c r="F1810" i="12" s="1"/>
  <c r="G1810" i="12" s="1"/>
  <c r="I1810" i="12" s="1"/>
  <c r="K1810" i="12" s="1"/>
  <c r="E1809" i="12"/>
  <c r="F1809" i="12" s="1"/>
  <c r="G1809" i="12" s="1"/>
  <c r="I1809" i="12" s="1"/>
  <c r="K1809" i="12" s="1"/>
  <c r="E1808" i="12"/>
  <c r="F1808" i="12" s="1"/>
  <c r="G1808" i="12" s="1"/>
  <c r="I1808" i="12" s="1"/>
  <c r="K1808" i="12" s="1"/>
  <c r="D1807" i="12"/>
  <c r="E1806" i="12"/>
  <c r="F1806" i="12" s="1"/>
  <c r="G1806" i="12" s="1"/>
  <c r="I1806" i="12" s="1"/>
  <c r="K1806" i="12" s="1"/>
  <c r="E1805" i="12"/>
  <c r="F1805" i="12" s="1"/>
  <c r="G1805" i="12" s="1"/>
  <c r="I1805" i="12" s="1"/>
  <c r="K1805" i="12" s="1"/>
  <c r="D1804" i="12"/>
  <c r="D1803" i="12"/>
  <c r="E1802" i="12"/>
  <c r="F1802" i="12" s="1"/>
  <c r="G1802" i="12" s="1"/>
  <c r="I1802" i="12" s="1"/>
  <c r="K1802" i="12" s="1"/>
  <c r="E1801" i="12"/>
  <c r="F1801" i="12" s="1"/>
  <c r="G1801" i="12" s="1"/>
  <c r="I1801" i="12" s="1"/>
  <c r="K1801" i="12" s="1"/>
  <c r="E1800" i="12"/>
  <c r="F1800" i="12" s="1"/>
  <c r="G1800" i="12" s="1"/>
  <c r="I1800" i="12" s="1"/>
  <c r="K1800" i="12" s="1"/>
  <c r="E1799" i="12"/>
  <c r="F1799" i="12" s="1"/>
  <c r="G1799" i="12" s="1"/>
  <c r="I1799" i="12" s="1"/>
  <c r="K1799" i="12" s="1"/>
  <c r="E1798" i="12"/>
  <c r="F1798" i="12" s="1"/>
  <c r="G1798" i="12" s="1"/>
  <c r="I1798" i="12" s="1"/>
  <c r="K1798" i="12" s="1"/>
  <c r="E1797" i="12"/>
  <c r="F1797" i="12" s="1"/>
  <c r="G1797" i="12" s="1"/>
  <c r="I1797" i="12" s="1"/>
  <c r="K1797" i="12" s="1"/>
  <c r="E1796" i="12"/>
  <c r="F1796" i="12" s="1"/>
  <c r="G1796" i="12" s="1"/>
  <c r="I1796" i="12" s="1"/>
  <c r="K1796" i="12" s="1"/>
  <c r="E1795" i="12"/>
  <c r="F1795" i="12" s="1"/>
  <c r="G1795" i="12" s="1"/>
  <c r="I1795" i="12" s="1"/>
  <c r="K1795" i="12" s="1"/>
  <c r="E1794" i="12"/>
  <c r="F1794" i="12" s="1"/>
  <c r="G1794" i="12" s="1"/>
  <c r="I1794" i="12" s="1"/>
  <c r="K1794" i="12" s="1"/>
  <c r="E1793" i="12"/>
  <c r="F1793" i="12" s="1"/>
  <c r="G1793" i="12" s="1"/>
  <c r="I1793" i="12" s="1"/>
  <c r="K1793" i="12" s="1"/>
  <c r="E1792" i="12"/>
  <c r="F1792" i="12" s="1"/>
  <c r="G1792" i="12" s="1"/>
  <c r="I1792" i="12" s="1"/>
  <c r="K1792" i="12" s="1"/>
  <c r="E1791" i="12"/>
  <c r="F1791" i="12" s="1"/>
  <c r="G1791" i="12" s="1"/>
  <c r="I1791" i="12" s="1"/>
  <c r="K1791" i="12" s="1"/>
  <c r="E1790" i="12"/>
  <c r="F1790" i="12" s="1"/>
  <c r="G1790" i="12" s="1"/>
  <c r="I1790" i="12" s="1"/>
  <c r="K1790" i="12" s="1"/>
  <c r="E1789" i="12"/>
  <c r="F1789" i="12" s="1"/>
  <c r="G1789" i="12" s="1"/>
  <c r="I1789" i="12" s="1"/>
  <c r="K1789" i="12" s="1"/>
  <c r="E1788" i="12"/>
  <c r="F1788" i="12" s="1"/>
  <c r="G1788" i="12" s="1"/>
  <c r="I1788" i="12" s="1"/>
  <c r="K1788" i="12" s="1"/>
  <c r="E1787" i="12"/>
  <c r="F1787" i="12" s="1"/>
  <c r="G1787" i="12" s="1"/>
  <c r="I1787" i="12" s="1"/>
  <c r="K1787" i="12" s="1"/>
  <c r="E1786" i="12"/>
  <c r="F1786" i="12" s="1"/>
  <c r="G1786" i="12" s="1"/>
  <c r="I1786" i="12" s="1"/>
  <c r="K1786" i="12" s="1"/>
  <c r="D1785" i="12"/>
  <c r="E1785" i="12" s="1"/>
  <c r="F1785" i="12" s="1"/>
  <c r="G1785" i="12" s="1"/>
  <c r="I1785" i="12" s="1"/>
  <c r="K1785" i="12" s="1"/>
  <c r="E1784" i="12"/>
  <c r="F1784" i="12" s="1"/>
  <c r="G1784" i="12" s="1"/>
  <c r="I1784" i="12" s="1"/>
  <c r="K1784" i="12" s="1"/>
  <c r="E1783" i="12"/>
  <c r="F1783" i="12" s="1"/>
  <c r="G1783" i="12" s="1"/>
  <c r="I1783" i="12" s="1"/>
  <c r="K1783" i="12" s="1"/>
  <c r="E1782" i="12"/>
  <c r="F1782" i="12" s="1"/>
  <c r="G1782" i="12" s="1"/>
  <c r="I1782" i="12" s="1"/>
  <c r="K1782" i="12" s="1"/>
  <c r="D1781" i="12"/>
  <c r="E1780" i="12"/>
  <c r="F1780" i="12" s="1"/>
  <c r="G1780" i="12" s="1"/>
  <c r="I1780" i="12" s="1"/>
  <c r="K1780" i="12" s="1"/>
  <c r="D1779" i="12"/>
  <c r="D1778" i="12"/>
  <c r="E1777" i="12"/>
  <c r="F1777" i="12" s="1"/>
  <c r="G1777" i="12" s="1"/>
  <c r="I1777" i="12" s="1"/>
  <c r="K1777" i="12" s="1"/>
  <c r="E1776" i="12"/>
  <c r="F1776" i="12" s="1"/>
  <c r="G1776" i="12" s="1"/>
  <c r="I1776" i="12" s="1"/>
  <c r="K1776" i="12" s="1"/>
  <c r="E1775" i="12"/>
  <c r="F1775" i="12" s="1"/>
  <c r="G1775" i="12" s="1"/>
  <c r="I1775" i="12" s="1"/>
  <c r="K1775" i="12" s="1"/>
  <c r="E1774" i="12"/>
  <c r="F1774" i="12" s="1"/>
  <c r="G1774" i="12" s="1"/>
  <c r="I1774" i="12" s="1"/>
  <c r="K1774" i="12" s="1"/>
  <c r="E1773" i="12"/>
  <c r="F1773" i="12" s="1"/>
  <c r="G1773" i="12" s="1"/>
  <c r="I1773" i="12" s="1"/>
  <c r="K1773" i="12" s="1"/>
  <c r="E1772" i="12"/>
  <c r="F1772" i="12" s="1"/>
  <c r="G1772" i="12" s="1"/>
  <c r="I1772" i="12" s="1"/>
  <c r="K1772" i="12" s="1"/>
  <c r="E1771" i="12"/>
  <c r="F1771" i="12" s="1"/>
  <c r="G1771" i="12" s="1"/>
  <c r="I1771" i="12" s="1"/>
  <c r="K1771" i="12" s="1"/>
  <c r="E1770" i="12"/>
  <c r="F1770" i="12" s="1"/>
  <c r="G1770" i="12" s="1"/>
  <c r="I1770" i="12" s="1"/>
  <c r="K1770" i="12" s="1"/>
  <c r="E1769" i="12"/>
  <c r="F1769" i="12" s="1"/>
  <c r="G1769" i="12" s="1"/>
  <c r="I1769" i="12" s="1"/>
  <c r="K1769" i="12" s="1"/>
  <c r="E1768" i="12"/>
  <c r="F1768" i="12" s="1"/>
  <c r="G1768" i="12" s="1"/>
  <c r="I1768" i="12" s="1"/>
  <c r="K1768" i="12" s="1"/>
  <c r="E1767" i="12"/>
  <c r="F1767" i="12" s="1"/>
  <c r="G1767" i="12" s="1"/>
  <c r="I1767" i="12" s="1"/>
  <c r="K1767" i="12" s="1"/>
  <c r="E1766" i="12"/>
  <c r="F1766" i="12" s="1"/>
  <c r="G1766" i="12" s="1"/>
  <c r="I1766" i="12" s="1"/>
  <c r="K1766" i="12" s="1"/>
  <c r="E1765" i="12"/>
  <c r="F1765" i="12" s="1"/>
  <c r="G1765" i="12" s="1"/>
  <c r="I1765" i="12" s="1"/>
  <c r="K1765" i="12" s="1"/>
  <c r="E1764" i="12"/>
  <c r="F1764" i="12" s="1"/>
  <c r="G1764" i="12" s="1"/>
  <c r="I1764" i="12" s="1"/>
  <c r="K1764" i="12" s="1"/>
  <c r="E1763" i="12"/>
  <c r="F1763" i="12" s="1"/>
  <c r="G1763" i="12" s="1"/>
  <c r="I1763" i="12" s="1"/>
  <c r="K1763" i="12" s="1"/>
  <c r="D1762" i="12"/>
  <c r="E1761" i="12"/>
  <c r="F1761" i="12" s="1"/>
  <c r="G1761" i="12" s="1"/>
  <c r="I1761" i="12" s="1"/>
  <c r="K1761" i="12" s="1"/>
  <c r="E1760" i="12"/>
  <c r="F1760" i="12" s="1"/>
  <c r="G1760" i="12" s="1"/>
  <c r="I1760" i="12" s="1"/>
  <c r="K1760" i="12" s="1"/>
  <c r="E1759" i="12"/>
  <c r="F1759" i="12" s="1"/>
  <c r="G1759" i="12" s="1"/>
  <c r="I1759" i="12" s="1"/>
  <c r="K1759" i="12" s="1"/>
  <c r="E1758" i="12"/>
  <c r="F1758" i="12" s="1"/>
  <c r="G1758" i="12" s="1"/>
  <c r="I1758" i="12" s="1"/>
  <c r="K1758" i="12" s="1"/>
  <c r="E1757" i="12"/>
  <c r="F1757" i="12" s="1"/>
  <c r="G1757" i="12" s="1"/>
  <c r="I1757" i="12" s="1"/>
  <c r="K1757" i="12" s="1"/>
  <c r="E1756" i="12"/>
  <c r="F1756" i="12" s="1"/>
  <c r="G1756" i="12" s="1"/>
  <c r="I1756" i="12" s="1"/>
  <c r="K1756" i="12" s="1"/>
  <c r="E1755" i="12"/>
  <c r="F1755" i="12" s="1"/>
  <c r="G1755" i="12" s="1"/>
  <c r="I1755" i="12" s="1"/>
  <c r="K1755" i="12" s="1"/>
  <c r="E1754" i="12"/>
  <c r="F1754" i="12" s="1"/>
  <c r="G1754" i="12" s="1"/>
  <c r="I1754" i="12" s="1"/>
  <c r="K1754" i="12" s="1"/>
  <c r="E1753" i="12"/>
  <c r="F1753" i="12" s="1"/>
  <c r="G1753" i="12" s="1"/>
  <c r="I1753" i="12" s="1"/>
  <c r="K1753" i="12" s="1"/>
  <c r="D1752" i="12"/>
  <c r="E1751" i="12"/>
  <c r="F1751" i="12" s="1"/>
  <c r="G1751" i="12" s="1"/>
  <c r="I1751" i="12" s="1"/>
  <c r="K1751" i="12" s="1"/>
  <c r="E1750" i="12"/>
  <c r="F1750" i="12" s="1"/>
  <c r="G1750" i="12" s="1"/>
  <c r="I1750" i="12" s="1"/>
  <c r="K1750" i="12" s="1"/>
  <c r="D1749" i="12"/>
  <c r="E1748" i="12"/>
  <c r="F1748" i="12" s="1"/>
  <c r="G1748" i="12" s="1"/>
  <c r="I1748" i="12" s="1"/>
  <c r="K1748" i="12" s="1"/>
  <c r="E1747" i="12"/>
  <c r="F1747" i="12" s="1"/>
  <c r="G1747" i="12" s="1"/>
  <c r="I1747" i="12" s="1"/>
  <c r="K1747" i="12" s="1"/>
  <c r="E1746" i="12"/>
  <c r="F1746" i="12" s="1"/>
  <c r="G1746" i="12" s="1"/>
  <c r="I1746" i="12" s="1"/>
  <c r="K1746" i="12" s="1"/>
  <c r="E1745" i="12"/>
  <c r="F1745" i="12" s="1"/>
  <c r="G1745" i="12" s="1"/>
  <c r="I1745" i="12" s="1"/>
  <c r="K1745" i="12" s="1"/>
  <c r="D1744" i="12"/>
  <c r="E1743" i="12"/>
  <c r="F1743" i="12" s="1"/>
  <c r="G1743" i="12" s="1"/>
  <c r="I1743" i="12" s="1"/>
  <c r="K1743" i="12" s="1"/>
  <c r="E1742" i="12"/>
  <c r="F1742" i="12" s="1"/>
  <c r="G1742" i="12" s="1"/>
  <c r="I1742" i="12" s="1"/>
  <c r="K1742" i="12" s="1"/>
  <c r="D1741" i="12"/>
  <c r="E1740" i="12"/>
  <c r="F1740" i="12" s="1"/>
  <c r="G1740" i="12" s="1"/>
  <c r="I1740" i="12" s="1"/>
  <c r="K1740" i="12" s="1"/>
  <c r="E1739" i="12"/>
  <c r="F1739" i="12" s="1"/>
  <c r="G1739" i="12" s="1"/>
  <c r="I1739" i="12" s="1"/>
  <c r="K1739" i="12" s="1"/>
  <c r="E1738" i="12"/>
  <c r="F1738" i="12" s="1"/>
  <c r="G1738" i="12" s="1"/>
  <c r="I1738" i="12" s="1"/>
  <c r="K1738" i="12" s="1"/>
  <c r="E1737" i="12"/>
  <c r="F1737" i="12" s="1"/>
  <c r="G1737" i="12" s="1"/>
  <c r="I1737" i="12" s="1"/>
  <c r="K1737" i="12" s="1"/>
  <c r="E1736" i="12"/>
  <c r="F1736" i="12" s="1"/>
  <c r="G1736" i="12" s="1"/>
  <c r="I1736" i="12" s="1"/>
  <c r="K1736" i="12" s="1"/>
  <c r="E1735" i="12"/>
  <c r="F1735" i="12" s="1"/>
  <c r="G1735" i="12" s="1"/>
  <c r="I1735" i="12" s="1"/>
  <c r="K1735" i="12" s="1"/>
  <c r="D1734" i="12"/>
  <c r="D1733" i="12"/>
  <c r="E1732" i="12"/>
  <c r="F1732" i="12" s="1"/>
  <c r="G1732" i="12" s="1"/>
  <c r="I1732" i="12" s="1"/>
  <c r="K1732" i="12" s="1"/>
  <c r="D1731" i="12"/>
  <c r="E1730" i="12"/>
  <c r="F1730" i="12" s="1"/>
  <c r="G1730" i="12" s="1"/>
  <c r="I1730" i="12" s="1"/>
  <c r="K1730" i="12" s="1"/>
  <c r="D1729" i="12"/>
  <c r="E1729" i="12" s="1"/>
  <c r="F1729" i="12" s="1"/>
  <c r="G1729" i="12" s="1"/>
  <c r="I1729" i="12" s="1"/>
  <c r="K1729" i="12" s="1"/>
  <c r="E1728" i="12"/>
  <c r="F1728" i="12" s="1"/>
  <c r="G1728" i="12" s="1"/>
  <c r="I1728" i="12" s="1"/>
  <c r="K1728" i="12" s="1"/>
  <c r="E1727" i="12"/>
  <c r="F1727" i="12" s="1"/>
  <c r="G1727" i="12" s="1"/>
  <c r="I1727" i="12" s="1"/>
  <c r="K1727" i="12" s="1"/>
  <c r="E1726" i="12"/>
  <c r="F1726" i="12" s="1"/>
  <c r="G1726" i="12" s="1"/>
  <c r="I1726" i="12" s="1"/>
  <c r="K1726" i="12" s="1"/>
  <c r="D1725" i="12"/>
  <c r="D1724" i="12"/>
  <c r="D1723" i="12"/>
  <c r="D1722" i="12"/>
  <c r="E1721" i="12"/>
  <c r="F1721" i="12" s="1"/>
  <c r="G1721" i="12" s="1"/>
  <c r="I1721" i="12" s="1"/>
  <c r="K1721" i="12" s="1"/>
  <c r="E1720" i="12"/>
  <c r="F1720" i="12" s="1"/>
  <c r="G1720" i="12" s="1"/>
  <c r="I1720" i="12" s="1"/>
  <c r="K1720" i="12" s="1"/>
  <c r="E1719" i="12"/>
  <c r="F1719" i="12" s="1"/>
  <c r="G1719" i="12" s="1"/>
  <c r="I1719" i="12" s="1"/>
  <c r="K1719" i="12" s="1"/>
  <c r="D1718" i="12"/>
  <c r="E1717" i="12"/>
  <c r="F1717" i="12" s="1"/>
  <c r="G1717" i="12" s="1"/>
  <c r="I1717" i="12" s="1"/>
  <c r="K1717" i="12" s="1"/>
  <c r="E1716" i="12"/>
  <c r="F1716" i="12" s="1"/>
  <c r="G1716" i="12" s="1"/>
  <c r="I1716" i="12" s="1"/>
  <c r="K1716" i="12" s="1"/>
  <c r="E1715" i="12"/>
  <c r="F1715" i="12" s="1"/>
  <c r="G1715" i="12" s="1"/>
  <c r="I1715" i="12" s="1"/>
  <c r="K1715" i="12" s="1"/>
  <c r="D1714" i="12"/>
  <c r="E1713" i="12"/>
  <c r="F1713" i="12" s="1"/>
  <c r="G1713" i="12" s="1"/>
  <c r="I1713" i="12" s="1"/>
  <c r="K1713" i="12" s="1"/>
  <c r="E1712" i="12"/>
  <c r="F1712" i="12" s="1"/>
  <c r="G1712" i="12" s="1"/>
  <c r="I1712" i="12" s="1"/>
  <c r="K1712" i="12" s="1"/>
  <c r="E1711" i="12"/>
  <c r="F1711" i="12" s="1"/>
  <c r="G1711" i="12" s="1"/>
  <c r="I1711" i="12" s="1"/>
  <c r="K1711" i="12" s="1"/>
  <c r="E1710" i="12"/>
  <c r="F1710" i="12" s="1"/>
  <c r="G1710" i="12" s="1"/>
  <c r="I1710" i="12" s="1"/>
  <c r="K1710" i="12" s="1"/>
  <c r="E1709" i="12"/>
  <c r="F1709" i="12" s="1"/>
  <c r="G1709" i="12" s="1"/>
  <c r="I1709" i="12" s="1"/>
  <c r="K1709" i="12" s="1"/>
  <c r="E1708" i="12"/>
  <c r="F1708" i="12" s="1"/>
  <c r="G1708" i="12" s="1"/>
  <c r="I1708" i="12" s="1"/>
  <c r="K1708" i="12" s="1"/>
  <c r="E1707" i="12"/>
  <c r="F1707" i="12" s="1"/>
  <c r="G1707" i="12" s="1"/>
  <c r="I1707" i="12" s="1"/>
  <c r="K1707" i="12" s="1"/>
  <c r="D1706" i="12"/>
  <c r="E1705" i="12"/>
  <c r="F1705" i="12" s="1"/>
  <c r="G1705" i="12" s="1"/>
  <c r="I1705" i="12" s="1"/>
  <c r="K1705" i="12" s="1"/>
  <c r="E1704" i="12"/>
  <c r="F1704" i="12" s="1"/>
  <c r="G1704" i="12" s="1"/>
  <c r="I1704" i="12" s="1"/>
  <c r="K1704" i="12" s="1"/>
  <c r="D1703" i="12"/>
  <c r="E1702" i="12"/>
  <c r="F1702" i="12" s="1"/>
  <c r="G1702" i="12" s="1"/>
  <c r="I1702" i="12" s="1"/>
  <c r="K1702" i="12" s="1"/>
  <c r="D1701" i="12"/>
  <c r="D1700" i="12"/>
  <c r="E1699" i="12"/>
  <c r="F1699" i="12" s="1"/>
  <c r="G1699" i="12" s="1"/>
  <c r="I1699" i="12" s="1"/>
  <c r="K1699" i="12" s="1"/>
  <c r="E1698" i="12"/>
  <c r="F1698" i="12" s="1"/>
  <c r="G1698" i="12" s="1"/>
  <c r="I1698" i="12" s="1"/>
  <c r="K1698" i="12" s="1"/>
  <c r="E1697" i="12"/>
  <c r="F1697" i="12" s="1"/>
  <c r="G1697" i="12" s="1"/>
  <c r="I1697" i="12" s="1"/>
  <c r="K1697" i="12" s="1"/>
  <c r="E1696" i="12"/>
  <c r="F1696" i="12" s="1"/>
  <c r="G1696" i="12" s="1"/>
  <c r="I1696" i="12" s="1"/>
  <c r="K1696" i="12" s="1"/>
  <c r="E1695" i="12"/>
  <c r="F1695" i="12" s="1"/>
  <c r="G1695" i="12" s="1"/>
  <c r="I1695" i="12" s="1"/>
  <c r="K1695" i="12" s="1"/>
  <c r="E1694" i="12"/>
  <c r="F1694" i="12" s="1"/>
  <c r="G1694" i="12" s="1"/>
  <c r="I1694" i="12" s="1"/>
  <c r="K1694" i="12" s="1"/>
  <c r="E1693" i="12"/>
  <c r="F1693" i="12" s="1"/>
  <c r="G1693" i="12" s="1"/>
  <c r="I1693" i="12" s="1"/>
  <c r="K1693" i="12" s="1"/>
  <c r="E1692" i="12"/>
  <c r="F1692" i="12" s="1"/>
  <c r="G1692" i="12" s="1"/>
  <c r="I1692" i="12" s="1"/>
  <c r="K1692" i="12" s="1"/>
  <c r="E1691" i="12"/>
  <c r="F1691" i="12" s="1"/>
  <c r="G1691" i="12" s="1"/>
  <c r="I1691" i="12" s="1"/>
  <c r="K1691" i="12" s="1"/>
  <c r="E1690" i="12"/>
  <c r="F1690" i="12" s="1"/>
  <c r="G1690" i="12" s="1"/>
  <c r="I1690" i="12" s="1"/>
  <c r="K1690" i="12" s="1"/>
  <c r="E1689" i="12"/>
  <c r="F1689" i="12" s="1"/>
  <c r="G1689" i="12" s="1"/>
  <c r="I1689" i="12" s="1"/>
  <c r="K1689" i="12" s="1"/>
  <c r="E1688" i="12"/>
  <c r="F1688" i="12" s="1"/>
  <c r="G1688" i="12" s="1"/>
  <c r="I1688" i="12" s="1"/>
  <c r="K1688" i="12" s="1"/>
  <c r="D1687" i="12"/>
  <c r="D1686" i="12"/>
  <c r="E1685" i="12"/>
  <c r="F1685" i="12" s="1"/>
  <c r="G1685" i="12" s="1"/>
  <c r="I1685" i="12" s="1"/>
  <c r="K1685" i="12" s="1"/>
  <c r="E1684" i="12"/>
  <c r="F1684" i="12" s="1"/>
  <c r="G1684" i="12" s="1"/>
  <c r="I1684" i="12" s="1"/>
  <c r="K1684" i="12" s="1"/>
  <c r="E1683" i="12"/>
  <c r="F1683" i="12" s="1"/>
  <c r="G1683" i="12" s="1"/>
  <c r="I1683" i="12" s="1"/>
  <c r="K1683" i="12" s="1"/>
  <c r="E1682" i="12"/>
  <c r="F1682" i="12" s="1"/>
  <c r="G1682" i="12" s="1"/>
  <c r="I1682" i="12" s="1"/>
  <c r="K1682" i="12" s="1"/>
  <c r="E1681" i="12"/>
  <c r="F1681" i="12" s="1"/>
  <c r="G1681" i="12" s="1"/>
  <c r="I1681" i="12" s="1"/>
  <c r="K1681" i="12" s="1"/>
  <c r="E1680" i="12"/>
  <c r="F1680" i="12" s="1"/>
  <c r="G1680" i="12" s="1"/>
  <c r="I1680" i="12" s="1"/>
  <c r="K1680" i="12" s="1"/>
  <c r="E1679" i="12"/>
  <c r="F1679" i="12" s="1"/>
  <c r="G1679" i="12" s="1"/>
  <c r="I1679" i="12" s="1"/>
  <c r="K1679" i="12" s="1"/>
  <c r="E1678" i="12"/>
  <c r="F1678" i="12" s="1"/>
  <c r="G1678" i="12" s="1"/>
  <c r="I1678" i="12" s="1"/>
  <c r="K1678" i="12" s="1"/>
  <c r="E1677" i="12"/>
  <c r="F1677" i="12" s="1"/>
  <c r="G1677" i="12" s="1"/>
  <c r="I1677" i="12" s="1"/>
  <c r="K1677" i="12" s="1"/>
  <c r="E1676" i="12"/>
  <c r="F1676" i="12" s="1"/>
  <c r="G1676" i="12" s="1"/>
  <c r="I1676" i="12" s="1"/>
  <c r="K1676" i="12" s="1"/>
  <c r="E1675" i="12"/>
  <c r="F1675" i="12" s="1"/>
  <c r="G1675" i="12" s="1"/>
  <c r="I1675" i="12" s="1"/>
  <c r="K1675" i="12" s="1"/>
  <c r="D1674" i="12"/>
  <c r="D1673" i="12"/>
  <c r="E1673" i="12" s="1"/>
  <c r="F1673" i="12" s="1"/>
  <c r="G1673" i="12" s="1"/>
  <c r="I1673" i="12" s="1"/>
  <c r="K1673" i="12" s="1"/>
  <c r="E1672" i="12"/>
  <c r="F1672" i="12" s="1"/>
  <c r="G1672" i="12" s="1"/>
  <c r="I1672" i="12" s="1"/>
  <c r="K1672" i="12" s="1"/>
  <c r="E1671" i="12"/>
  <c r="F1671" i="12" s="1"/>
  <c r="G1671" i="12" s="1"/>
  <c r="I1671" i="12" s="1"/>
  <c r="K1671" i="12" s="1"/>
  <c r="E1670" i="12"/>
  <c r="F1670" i="12" s="1"/>
  <c r="G1670" i="12" s="1"/>
  <c r="I1670" i="12" s="1"/>
  <c r="K1670" i="12" s="1"/>
  <c r="E1669" i="12"/>
  <c r="F1669" i="12" s="1"/>
  <c r="G1669" i="12" s="1"/>
  <c r="I1669" i="12" s="1"/>
  <c r="K1669" i="12" s="1"/>
  <c r="D1668" i="12"/>
  <c r="E1667" i="12"/>
  <c r="F1667" i="12" s="1"/>
  <c r="G1667" i="12" s="1"/>
  <c r="I1667" i="12" s="1"/>
  <c r="K1667" i="12" s="1"/>
  <c r="E1666" i="12"/>
  <c r="F1666" i="12" s="1"/>
  <c r="G1666" i="12" s="1"/>
  <c r="I1666" i="12" s="1"/>
  <c r="K1666" i="12" s="1"/>
  <c r="E1665" i="12"/>
  <c r="F1665" i="12" s="1"/>
  <c r="G1665" i="12" s="1"/>
  <c r="I1665" i="12" s="1"/>
  <c r="K1665" i="12" s="1"/>
  <c r="E1664" i="12"/>
  <c r="F1664" i="12" s="1"/>
  <c r="G1664" i="12" s="1"/>
  <c r="I1664" i="12" s="1"/>
  <c r="K1664" i="12" s="1"/>
  <c r="E1663" i="12"/>
  <c r="F1663" i="12" s="1"/>
  <c r="G1663" i="12" s="1"/>
  <c r="I1663" i="12" s="1"/>
  <c r="K1663" i="12" s="1"/>
  <c r="E1662" i="12"/>
  <c r="F1662" i="12" s="1"/>
  <c r="G1662" i="12" s="1"/>
  <c r="I1662" i="12" s="1"/>
  <c r="K1662" i="12" s="1"/>
  <c r="E1661" i="12"/>
  <c r="F1661" i="12" s="1"/>
  <c r="G1661" i="12" s="1"/>
  <c r="I1661" i="12" s="1"/>
  <c r="K1661" i="12" s="1"/>
  <c r="E1660" i="12"/>
  <c r="F1660" i="12" s="1"/>
  <c r="G1660" i="12" s="1"/>
  <c r="I1660" i="12" s="1"/>
  <c r="K1660" i="12" s="1"/>
  <c r="E1659" i="12"/>
  <c r="F1659" i="12" s="1"/>
  <c r="G1659" i="12" s="1"/>
  <c r="I1659" i="12" s="1"/>
  <c r="K1659" i="12" s="1"/>
  <c r="E1658" i="12"/>
  <c r="F1658" i="12" s="1"/>
  <c r="G1658" i="12" s="1"/>
  <c r="I1658" i="12" s="1"/>
  <c r="K1658" i="12" s="1"/>
  <c r="D1657" i="12"/>
  <c r="E1657" i="12" s="1"/>
  <c r="F1657" i="12" s="1"/>
  <c r="G1657" i="12" s="1"/>
  <c r="I1657" i="12" s="1"/>
  <c r="K1657" i="12" s="1"/>
  <c r="D1656" i="12"/>
  <c r="D1655" i="12"/>
  <c r="D1654" i="12"/>
  <c r="D1653" i="12"/>
  <c r="D1652" i="12"/>
  <c r="D1651" i="12"/>
  <c r="E1650" i="12"/>
  <c r="F1650" i="12" s="1"/>
  <c r="G1650" i="12" s="1"/>
  <c r="I1650" i="12" s="1"/>
  <c r="K1650" i="12" s="1"/>
  <c r="E1649" i="12"/>
  <c r="F1649" i="12" s="1"/>
  <c r="G1649" i="12" s="1"/>
  <c r="I1649" i="12" s="1"/>
  <c r="K1649" i="12" s="1"/>
  <c r="E1648" i="12"/>
  <c r="F1648" i="12" s="1"/>
  <c r="G1648" i="12" s="1"/>
  <c r="I1648" i="12" s="1"/>
  <c r="K1648" i="12" s="1"/>
  <c r="E1647" i="12"/>
  <c r="F1647" i="12" s="1"/>
  <c r="G1647" i="12" s="1"/>
  <c r="I1647" i="12" s="1"/>
  <c r="K1647" i="12" s="1"/>
  <c r="E1646" i="12"/>
  <c r="F1646" i="12" s="1"/>
  <c r="G1646" i="12" s="1"/>
  <c r="I1646" i="12" s="1"/>
  <c r="K1646" i="12" s="1"/>
  <c r="E1645" i="12"/>
  <c r="F1645" i="12" s="1"/>
  <c r="G1645" i="12" s="1"/>
  <c r="I1645" i="12" s="1"/>
  <c r="K1645" i="12" s="1"/>
  <c r="E1644" i="12"/>
  <c r="F1644" i="12" s="1"/>
  <c r="G1644" i="12" s="1"/>
  <c r="I1644" i="12" s="1"/>
  <c r="K1644" i="12" s="1"/>
  <c r="E1643" i="12"/>
  <c r="F1643" i="12" s="1"/>
  <c r="G1643" i="12" s="1"/>
  <c r="I1643" i="12" s="1"/>
  <c r="K1643" i="12" s="1"/>
  <c r="E1642" i="12"/>
  <c r="F1642" i="12" s="1"/>
  <c r="G1642" i="12" s="1"/>
  <c r="I1642" i="12" s="1"/>
  <c r="K1642" i="12" s="1"/>
  <c r="E1641" i="12"/>
  <c r="F1641" i="12" s="1"/>
  <c r="G1641" i="12" s="1"/>
  <c r="I1641" i="12" s="1"/>
  <c r="K1641" i="12" s="1"/>
  <c r="E1640" i="12"/>
  <c r="F1640" i="12" s="1"/>
  <c r="G1640" i="12" s="1"/>
  <c r="I1640" i="12" s="1"/>
  <c r="K1640" i="12" s="1"/>
  <c r="E1639" i="12"/>
  <c r="F1639" i="12" s="1"/>
  <c r="G1639" i="12" s="1"/>
  <c r="I1639" i="12" s="1"/>
  <c r="K1639" i="12" s="1"/>
  <c r="D1638" i="12"/>
  <c r="E1637" i="12"/>
  <c r="F1637" i="12" s="1"/>
  <c r="G1637" i="12" s="1"/>
  <c r="I1637" i="12" s="1"/>
  <c r="K1637" i="12" s="1"/>
  <c r="D1636" i="12"/>
  <c r="E1635" i="12"/>
  <c r="F1635" i="12" s="1"/>
  <c r="G1635" i="12" s="1"/>
  <c r="I1635" i="12" s="1"/>
  <c r="K1635" i="12" s="1"/>
  <c r="D1634" i="12"/>
  <c r="D1633" i="12"/>
  <c r="E1633" i="12" s="1"/>
  <c r="F1633" i="12" s="1"/>
  <c r="G1633" i="12" s="1"/>
  <c r="I1633" i="12" s="1"/>
  <c r="K1633" i="12" s="1"/>
  <c r="D1632" i="12"/>
  <c r="D1631" i="12"/>
  <c r="E1630" i="12"/>
  <c r="F1630" i="12" s="1"/>
  <c r="G1630" i="12" s="1"/>
  <c r="I1630" i="12" s="1"/>
  <c r="K1630" i="12" s="1"/>
  <c r="E1629" i="12"/>
  <c r="F1629" i="12" s="1"/>
  <c r="G1629" i="12" s="1"/>
  <c r="I1629" i="12" s="1"/>
  <c r="K1629" i="12" s="1"/>
  <c r="E1628" i="12"/>
  <c r="F1628" i="12" s="1"/>
  <c r="G1628" i="12" s="1"/>
  <c r="I1628" i="12" s="1"/>
  <c r="K1628" i="12" s="1"/>
  <c r="E1627" i="12"/>
  <c r="F1627" i="12" s="1"/>
  <c r="G1627" i="12" s="1"/>
  <c r="I1627" i="12" s="1"/>
  <c r="K1627" i="12" s="1"/>
  <c r="D1626" i="12"/>
  <c r="E1625" i="12"/>
  <c r="F1625" i="12" s="1"/>
  <c r="G1625" i="12" s="1"/>
  <c r="I1625" i="12" s="1"/>
  <c r="K1625" i="12" s="1"/>
  <c r="E1624" i="12"/>
  <c r="F1624" i="12" s="1"/>
  <c r="G1624" i="12" s="1"/>
  <c r="I1624" i="12" s="1"/>
  <c r="K1624" i="12" s="1"/>
  <c r="E1623" i="12"/>
  <c r="F1623" i="12" s="1"/>
  <c r="G1623" i="12" s="1"/>
  <c r="I1623" i="12" s="1"/>
  <c r="K1623" i="12" s="1"/>
  <c r="E1622" i="12"/>
  <c r="F1622" i="12" s="1"/>
  <c r="G1622" i="12" s="1"/>
  <c r="I1622" i="12" s="1"/>
  <c r="K1622" i="12" s="1"/>
  <c r="E1621" i="12"/>
  <c r="F1621" i="12" s="1"/>
  <c r="G1621" i="12" s="1"/>
  <c r="I1621" i="12" s="1"/>
  <c r="K1621" i="12" s="1"/>
  <c r="E1620" i="12"/>
  <c r="F1620" i="12" s="1"/>
  <c r="G1620" i="12" s="1"/>
  <c r="I1620" i="12" s="1"/>
  <c r="K1620" i="12" s="1"/>
  <c r="D1619" i="12"/>
  <c r="E1618" i="12"/>
  <c r="F1618" i="12" s="1"/>
  <c r="G1618" i="12" s="1"/>
  <c r="I1618" i="12" s="1"/>
  <c r="K1618" i="12" s="1"/>
  <c r="E1617" i="12"/>
  <c r="F1617" i="12" s="1"/>
  <c r="G1617" i="12" s="1"/>
  <c r="I1617" i="12" s="1"/>
  <c r="K1617" i="12" s="1"/>
  <c r="E1616" i="12"/>
  <c r="F1616" i="12" s="1"/>
  <c r="G1616" i="12" s="1"/>
  <c r="I1616" i="12" s="1"/>
  <c r="K1616" i="12" s="1"/>
  <c r="E1615" i="12"/>
  <c r="F1615" i="12" s="1"/>
  <c r="G1615" i="12" s="1"/>
  <c r="I1615" i="12" s="1"/>
  <c r="K1615" i="12" s="1"/>
  <c r="E1614" i="12"/>
  <c r="F1614" i="12" s="1"/>
  <c r="G1614" i="12" s="1"/>
  <c r="I1614" i="12" s="1"/>
  <c r="K1614" i="12" s="1"/>
  <c r="E1613" i="12"/>
  <c r="F1613" i="12" s="1"/>
  <c r="G1613" i="12" s="1"/>
  <c r="I1613" i="12" s="1"/>
  <c r="K1613" i="12" s="1"/>
  <c r="E1612" i="12"/>
  <c r="F1612" i="12" s="1"/>
  <c r="G1612" i="12" s="1"/>
  <c r="I1612" i="12" s="1"/>
  <c r="K1612" i="12" s="1"/>
  <c r="E1611" i="12"/>
  <c r="F1611" i="12" s="1"/>
  <c r="G1611" i="12" s="1"/>
  <c r="I1611" i="12" s="1"/>
  <c r="K1611" i="12" s="1"/>
  <c r="E1610" i="12"/>
  <c r="F1610" i="12" s="1"/>
  <c r="G1610" i="12" s="1"/>
  <c r="I1610" i="12" s="1"/>
  <c r="K1610" i="12" s="1"/>
  <c r="E1609" i="12"/>
  <c r="F1609" i="12" s="1"/>
  <c r="G1609" i="12" s="1"/>
  <c r="I1609" i="12" s="1"/>
  <c r="K1609" i="12" s="1"/>
  <c r="E1608" i="12"/>
  <c r="F1608" i="12" s="1"/>
  <c r="G1608" i="12" s="1"/>
  <c r="I1608" i="12" s="1"/>
  <c r="K1608" i="12" s="1"/>
  <c r="E1607" i="12"/>
  <c r="F1607" i="12" s="1"/>
  <c r="G1607" i="12" s="1"/>
  <c r="I1607" i="12" s="1"/>
  <c r="K1607" i="12" s="1"/>
  <c r="E1606" i="12"/>
  <c r="F1606" i="12" s="1"/>
  <c r="G1606" i="12" s="1"/>
  <c r="I1606" i="12" s="1"/>
  <c r="K1606" i="12" s="1"/>
  <c r="D1605" i="12"/>
  <c r="E1604" i="12"/>
  <c r="F1604" i="12" s="1"/>
  <c r="G1604" i="12" s="1"/>
  <c r="I1604" i="12" s="1"/>
  <c r="K1604" i="12" s="1"/>
  <c r="E1603" i="12"/>
  <c r="F1603" i="12" s="1"/>
  <c r="G1603" i="12" s="1"/>
  <c r="I1603" i="12" s="1"/>
  <c r="K1603" i="12" s="1"/>
  <c r="E1602" i="12"/>
  <c r="F1602" i="12" s="1"/>
  <c r="G1602" i="12" s="1"/>
  <c r="I1602" i="12" s="1"/>
  <c r="K1602" i="12" s="1"/>
  <c r="D1601" i="12"/>
  <c r="E1601" i="12" s="1"/>
  <c r="F1601" i="12" s="1"/>
  <c r="G1601" i="12" s="1"/>
  <c r="I1601" i="12" s="1"/>
  <c r="K1601" i="12" s="1"/>
  <c r="D1600" i="12"/>
  <c r="E1599" i="12"/>
  <c r="F1599" i="12" s="1"/>
  <c r="G1599" i="12" s="1"/>
  <c r="I1599" i="12" s="1"/>
  <c r="K1599" i="12" s="1"/>
  <c r="E1598" i="12"/>
  <c r="F1598" i="12" s="1"/>
  <c r="G1598" i="12" s="1"/>
  <c r="I1598" i="12" s="1"/>
  <c r="K1598" i="12" s="1"/>
  <c r="E1597" i="12"/>
  <c r="F1597" i="12" s="1"/>
  <c r="G1597" i="12" s="1"/>
  <c r="I1597" i="12" s="1"/>
  <c r="K1597" i="12" s="1"/>
  <c r="E1596" i="12"/>
  <c r="F1596" i="12" s="1"/>
  <c r="G1596" i="12" s="1"/>
  <c r="I1596" i="12" s="1"/>
  <c r="K1596" i="12" s="1"/>
  <c r="E1595" i="12"/>
  <c r="F1595" i="12" s="1"/>
  <c r="G1595" i="12" s="1"/>
  <c r="I1595" i="12" s="1"/>
  <c r="K1595" i="12" s="1"/>
  <c r="D1594" i="12"/>
  <c r="D1593" i="12"/>
  <c r="E1593" i="12" s="1"/>
  <c r="F1593" i="12" s="1"/>
  <c r="G1593" i="12" s="1"/>
  <c r="I1593" i="12" s="1"/>
  <c r="K1593" i="12" s="1"/>
  <c r="D1592" i="12"/>
  <c r="E1591" i="12"/>
  <c r="F1591" i="12" s="1"/>
  <c r="G1591" i="12" s="1"/>
  <c r="I1591" i="12" s="1"/>
  <c r="K1591" i="12" s="1"/>
  <c r="E1590" i="12"/>
  <c r="F1590" i="12" s="1"/>
  <c r="G1590" i="12" s="1"/>
  <c r="I1590" i="12" s="1"/>
  <c r="K1590" i="12" s="1"/>
  <c r="D1589" i="12"/>
  <c r="E1588" i="12"/>
  <c r="F1588" i="12" s="1"/>
  <c r="G1588" i="12" s="1"/>
  <c r="I1588" i="12" s="1"/>
  <c r="K1588" i="12" s="1"/>
  <c r="E1587" i="12"/>
  <c r="F1587" i="12" s="1"/>
  <c r="G1587" i="12" s="1"/>
  <c r="I1587" i="12" s="1"/>
  <c r="K1587" i="12" s="1"/>
  <c r="E1586" i="12"/>
  <c r="F1586" i="12" s="1"/>
  <c r="G1586" i="12" s="1"/>
  <c r="I1586" i="12" s="1"/>
  <c r="K1586" i="12" s="1"/>
  <c r="E1585" i="12"/>
  <c r="F1585" i="12" s="1"/>
  <c r="G1585" i="12" s="1"/>
  <c r="I1585" i="12" s="1"/>
  <c r="K1585" i="12" s="1"/>
  <c r="D1584" i="12"/>
  <c r="E1583" i="12"/>
  <c r="F1583" i="12" s="1"/>
  <c r="G1583" i="12" s="1"/>
  <c r="I1583" i="12" s="1"/>
  <c r="K1583" i="12" s="1"/>
  <c r="E1582" i="12"/>
  <c r="F1582" i="12" s="1"/>
  <c r="G1582" i="12" s="1"/>
  <c r="I1582" i="12" s="1"/>
  <c r="K1582" i="12" s="1"/>
  <c r="E1581" i="12"/>
  <c r="F1581" i="12" s="1"/>
  <c r="G1581" i="12" s="1"/>
  <c r="I1581" i="12" s="1"/>
  <c r="K1581" i="12" s="1"/>
  <c r="D1580" i="12"/>
  <c r="E1579" i="12"/>
  <c r="F1579" i="12" s="1"/>
  <c r="G1579" i="12" s="1"/>
  <c r="I1579" i="12" s="1"/>
  <c r="K1579" i="12" s="1"/>
  <c r="E1578" i="12"/>
  <c r="F1578" i="12" s="1"/>
  <c r="G1578" i="12" s="1"/>
  <c r="I1578" i="12" s="1"/>
  <c r="K1578" i="12" s="1"/>
  <c r="E1577" i="12"/>
  <c r="F1577" i="12" s="1"/>
  <c r="G1577" i="12" s="1"/>
  <c r="I1577" i="12" s="1"/>
  <c r="K1577" i="12" s="1"/>
  <c r="E1576" i="12"/>
  <c r="F1576" i="12" s="1"/>
  <c r="G1576" i="12" s="1"/>
  <c r="I1576" i="12" s="1"/>
  <c r="K1576" i="12" s="1"/>
  <c r="E1575" i="12"/>
  <c r="F1575" i="12" s="1"/>
  <c r="G1575" i="12" s="1"/>
  <c r="I1575" i="12" s="1"/>
  <c r="K1575" i="12" s="1"/>
  <c r="E1574" i="12"/>
  <c r="F1574" i="12" s="1"/>
  <c r="G1574" i="12" s="1"/>
  <c r="I1574" i="12" s="1"/>
  <c r="K1574" i="12" s="1"/>
  <c r="E1573" i="12"/>
  <c r="F1573" i="12" s="1"/>
  <c r="G1573" i="12" s="1"/>
  <c r="I1573" i="12" s="1"/>
  <c r="K1573" i="12" s="1"/>
  <c r="E1572" i="12"/>
  <c r="F1572" i="12" s="1"/>
  <c r="G1572" i="12" s="1"/>
  <c r="I1572" i="12" s="1"/>
  <c r="K1572" i="12" s="1"/>
  <c r="E1571" i="12"/>
  <c r="F1571" i="12" s="1"/>
  <c r="G1571" i="12" s="1"/>
  <c r="I1571" i="12" s="1"/>
  <c r="K1571" i="12" s="1"/>
  <c r="E1570" i="12"/>
  <c r="F1570" i="12" s="1"/>
  <c r="G1570" i="12" s="1"/>
  <c r="I1570" i="12" s="1"/>
  <c r="K1570" i="12" s="1"/>
  <c r="E1569" i="12"/>
  <c r="F1569" i="12" s="1"/>
  <c r="G1569" i="12" s="1"/>
  <c r="I1569" i="12" s="1"/>
  <c r="K1569" i="12" s="1"/>
  <c r="E1568" i="12"/>
  <c r="F1568" i="12" s="1"/>
  <c r="G1568" i="12" s="1"/>
  <c r="I1568" i="12" s="1"/>
  <c r="K1568" i="12" s="1"/>
  <c r="E1567" i="12"/>
  <c r="F1567" i="12" s="1"/>
  <c r="G1567" i="12" s="1"/>
  <c r="I1567" i="12" s="1"/>
  <c r="K1567" i="12" s="1"/>
  <c r="D1566" i="12"/>
  <c r="E1565" i="12"/>
  <c r="F1565" i="12" s="1"/>
  <c r="G1565" i="12" s="1"/>
  <c r="I1565" i="12" s="1"/>
  <c r="K1565" i="12" s="1"/>
  <c r="E1564" i="12"/>
  <c r="F1564" i="12" s="1"/>
  <c r="G1564" i="12" s="1"/>
  <c r="I1564" i="12" s="1"/>
  <c r="K1564" i="12" s="1"/>
  <c r="E1563" i="12"/>
  <c r="F1563" i="12" s="1"/>
  <c r="G1563" i="12" s="1"/>
  <c r="I1563" i="12" s="1"/>
  <c r="K1563" i="12" s="1"/>
  <c r="D1562" i="12"/>
  <c r="D1561" i="12"/>
  <c r="E1561" i="12" s="1"/>
  <c r="F1561" i="12" s="1"/>
  <c r="G1561" i="12" s="1"/>
  <c r="I1561" i="12" s="1"/>
  <c r="K1561" i="12" s="1"/>
  <c r="E1560" i="12"/>
  <c r="F1560" i="12" s="1"/>
  <c r="G1560" i="12" s="1"/>
  <c r="I1560" i="12" s="1"/>
  <c r="K1560" i="12" s="1"/>
  <c r="E1559" i="12"/>
  <c r="F1559" i="12" s="1"/>
  <c r="G1559" i="12" s="1"/>
  <c r="I1559" i="12" s="1"/>
  <c r="K1559" i="12" s="1"/>
  <c r="D1558" i="12"/>
  <c r="E1557" i="12"/>
  <c r="F1557" i="12" s="1"/>
  <c r="G1557" i="12" s="1"/>
  <c r="I1557" i="12" s="1"/>
  <c r="K1557" i="12" s="1"/>
  <c r="D1556" i="12"/>
  <c r="E1555" i="12"/>
  <c r="F1555" i="12" s="1"/>
  <c r="G1555" i="12" s="1"/>
  <c r="I1555" i="12" s="1"/>
  <c r="K1555" i="12" s="1"/>
  <c r="E1554" i="12"/>
  <c r="F1554" i="12" s="1"/>
  <c r="G1554" i="12" s="1"/>
  <c r="I1554" i="12" s="1"/>
  <c r="K1554" i="12" s="1"/>
  <c r="E1553" i="12"/>
  <c r="F1553" i="12" s="1"/>
  <c r="G1553" i="12" s="1"/>
  <c r="I1553" i="12" s="1"/>
  <c r="K1553" i="12" s="1"/>
  <c r="D1552" i="12"/>
  <c r="D1551" i="12"/>
  <c r="D1550" i="12"/>
  <c r="D1549" i="12"/>
  <c r="D1548" i="12"/>
  <c r="E1547" i="12"/>
  <c r="F1547" i="12" s="1"/>
  <c r="G1547" i="12" s="1"/>
  <c r="I1547" i="12" s="1"/>
  <c r="K1547" i="12" s="1"/>
  <c r="D1546" i="12"/>
  <c r="E1545" i="12"/>
  <c r="F1545" i="12" s="1"/>
  <c r="G1545" i="12" s="1"/>
  <c r="I1545" i="12" s="1"/>
  <c r="K1545" i="12" s="1"/>
  <c r="D1544" i="12"/>
  <c r="E1543" i="12"/>
  <c r="F1543" i="12" s="1"/>
  <c r="G1543" i="12" s="1"/>
  <c r="I1543" i="12" s="1"/>
  <c r="K1543" i="12" s="1"/>
  <c r="E1542" i="12"/>
  <c r="F1542" i="12" s="1"/>
  <c r="G1542" i="12" s="1"/>
  <c r="I1542" i="12" s="1"/>
  <c r="K1542" i="12" s="1"/>
  <c r="E1541" i="12"/>
  <c r="F1541" i="12" s="1"/>
  <c r="G1541" i="12" s="1"/>
  <c r="I1541" i="12" s="1"/>
  <c r="K1541" i="12" s="1"/>
  <c r="E1540" i="12"/>
  <c r="F1540" i="12" s="1"/>
  <c r="G1540" i="12" s="1"/>
  <c r="I1540" i="12" s="1"/>
  <c r="K1540" i="12" s="1"/>
  <c r="E1539" i="12"/>
  <c r="F1539" i="12" s="1"/>
  <c r="G1539" i="12" s="1"/>
  <c r="I1539" i="12" s="1"/>
  <c r="K1539" i="12" s="1"/>
  <c r="E1538" i="12"/>
  <c r="F1538" i="12" s="1"/>
  <c r="G1538" i="12" s="1"/>
  <c r="I1538" i="12" s="1"/>
  <c r="K1538" i="12" s="1"/>
  <c r="D1537" i="12"/>
  <c r="E1537" i="12" s="1"/>
  <c r="F1537" i="12" s="1"/>
  <c r="G1537" i="12" s="1"/>
  <c r="I1537" i="12" s="1"/>
  <c r="K1537" i="12" s="1"/>
  <c r="D1536" i="12"/>
  <c r="E1535" i="12"/>
  <c r="F1535" i="12" s="1"/>
  <c r="G1535" i="12" s="1"/>
  <c r="I1535" i="12" s="1"/>
  <c r="K1535" i="12" s="1"/>
  <c r="E1534" i="12"/>
  <c r="F1534" i="12" s="1"/>
  <c r="G1534" i="12" s="1"/>
  <c r="I1534" i="12" s="1"/>
  <c r="K1534" i="12" s="1"/>
  <c r="E1533" i="12"/>
  <c r="F1533" i="12" s="1"/>
  <c r="G1533" i="12" s="1"/>
  <c r="I1533" i="12" s="1"/>
  <c r="K1533" i="12" s="1"/>
  <c r="E1532" i="12"/>
  <c r="F1532" i="12" s="1"/>
  <c r="G1532" i="12" s="1"/>
  <c r="I1532" i="12" s="1"/>
  <c r="K1532" i="12" s="1"/>
  <c r="E1531" i="12"/>
  <c r="F1531" i="12" s="1"/>
  <c r="G1531" i="12" s="1"/>
  <c r="I1531" i="12" s="1"/>
  <c r="K1531" i="12" s="1"/>
  <c r="E1530" i="12"/>
  <c r="F1530" i="12" s="1"/>
  <c r="G1530" i="12" s="1"/>
  <c r="I1530" i="12" s="1"/>
  <c r="K1530" i="12" s="1"/>
  <c r="E1529" i="12"/>
  <c r="F1529" i="12" s="1"/>
  <c r="G1529" i="12" s="1"/>
  <c r="I1529" i="12" s="1"/>
  <c r="K1529" i="12" s="1"/>
  <c r="D1528" i="12"/>
  <c r="E1527" i="12"/>
  <c r="F1527" i="12" s="1"/>
  <c r="G1527" i="12" s="1"/>
  <c r="I1527" i="12" s="1"/>
  <c r="K1527" i="12" s="1"/>
  <c r="E1526" i="12"/>
  <c r="F1526" i="12" s="1"/>
  <c r="G1526" i="12" s="1"/>
  <c r="I1526" i="12" s="1"/>
  <c r="K1526" i="12" s="1"/>
  <c r="E1525" i="12"/>
  <c r="F1525" i="12" s="1"/>
  <c r="G1525" i="12" s="1"/>
  <c r="I1525" i="12" s="1"/>
  <c r="K1525" i="12" s="1"/>
  <c r="E1524" i="12"/>
  <c r="F1524" i="12" s="1"/>
  <c r="G1524" i="12" s="1"/>
  <c r="I1524" i="12" s="1"/>
  <c r="K1524" i="12" s="1"/>
  <c r="E1523" i="12"/>
  <c r="F1523" i="12" s="1"/>
  <c r="G1523" i="12" s="1"/>
  <c r="I1523" i="12" s="1"/>
  <c r="K1523" i="12" s="1"/>
  <c r="E1522" i="12"/>
  <c r="F1522" i="12" s="1"/>
  <c r="G1522" i="12" s="1"/>
  <c r="I1522" i="12" s="1"/>
  <c r="K1522" i="12" s="1"/>
  <c r="E1521" i="12"/>
  <c r="F1521" i="12" s="1"/>
  <c r="G1521" i="12" s="1"/>
  <c r="I1521" i="12" s="1"/>
  <c r="K1521" i="12" s="1"/>
  <c r="E1520" i="12"/>
  <c r="F1520" i="12" s="1"/>
  <c r="G1520" i="12" s="1"/>
  <c r="I1520" i="12" s="1"/>
  <c r="K1520" i="12" s="1"/>
  <c r="D1519" i="12"/>
  <c r="D1518" i="12"/>
  <c r="E1517" i="12"/>
  <c r="F1517" i="12" s="1"/>
  <c r="G1517" i="12" s="1"/>
  <c r="I1517" i="12" s="1"/>
  <c r="K1517" i="12" s="1"/>
  <c r="E1516" i="12"/>
  <c r="F1516" i="12" s="1"/>
  <c r="G1516" i="12" s="1"/>
  <c r="I1516" i="12" s="1"/>
  <c r="K1516" i="12" s="1"/>
  <c r="E1515" i="12"/>
  <c r="F1515" i="12" s="1"/>
  <c r="G1515" i="12" s="1"/>
  <c r="I1515" i="12" s="1"/>
  <c r="K1515" i="12" s="1"/>
  <c r="E1514" i="12"/>
  <c r="F1514" i="12" s="1"/>
  <c r="G1514" i="12" s="1"/>
  <c r="I1514" i="12" s="1"/>
  <c r="K1514" i="12" s="1"/>
  <c r="E1513" i="12"/>
  <c r="F1513" i="12" s="1"/>
  <c r="G1513" i="12" s="1"/>
  <c r="I1513" i="12" s="1"/>
  <c r="K1513" i="12" s="1"/>
  <c r="E1512" i="12"/>
  <c r="F1512" i="12" s="1"/>
  <c r="G1512" i="12" s="1"/>
  <c r="I1512" i="12" s="1"/>
  <c r="K1512" i="12" s="1"/>
  <c r="E1511" i="12"/>
  <c r="F1511" i="12" s="1"/>
  <c r="G1511" i="12" s="1"/>
  <c r="I1511" i="12" s="1"/>
  <c r="K1511" i="12" s="1"/>
  <c r="E1510" i="12"/>
  <c r="F1510" i="12" s="1"/>
  <c r="G1510" i="12" s="1"/>
  <c r="I1510" i="12" s="1"/>
  <c r="K1510" i="12" s="1"/>
  <c r="E1509" i="12"/>
  <c r="F1509" i="12" s="1"/>
  <c r="G1509" i="12" s="1"/>
  <c r="I1509" i="12" s="1"/>
  <c r="K1509" i="12" s="1"/>
  <c r="E1508" i="12"/>
  <c r="F1508" i="12" s="1"/>
  <c r="G1508" i="12" s="1"/>
  <c r="I1508" i="12" s="1"/>
  <c r="K1508" i="12" s="1"/>
  <c r="E1507" i="12"/>
  <c r="F1507" i="12" s="1"/>
  <c r="G1507" i="12" s="1"/>
  <c r="I1507" i="12" s="1"/>
  <c r="K1507" i="12" s="1"/>
  <c r="E1506" i="12"/>
  <c r="F1506" i="12" s="1"/>
  <c r="G1506" i="12" s="1"/>
  <c r="I1506" i="12" s="1"/>
  <c r="K1506" i="12" s="1"/>
  <c r="E1505" i="12"/>
  <c r="F1505" i="12" s="1"/>
  <c r="G1505" i="12" s="1"/>
  <c r="I1505" i="12" s="1"/>
  <c r="K1505" i="12" s="1"/>
  <c r="E1504" i="12"/>
  <c r="F1504" i="12" s="1"/>
  <c r="G1504" i="12" s="1"/>
  <c r="I1504" i="12" s="1"/>
  <c r="K1504" i="12" s="1"/>
  <c r="E1503" i="12"/>
  <c r="F1503" i="12" s="1"/>
  <c r="G1503" i="12" s="1"/>
  <c r="I1503" i="12" s="1"/>
  <c r="K1503" i="12" s="1"/>
  <c r="D1502" i="12"/>
  <c r="D1501" i="12"/>
  <c r="D1500" i="12"/>
  <c r="D1499" i="12"/>
  <c r="E1498" i="12"/>
  <c r="F1498" i="12" s="1"/>
  <c r="G1498" i="12" s="1"/>
  <c r="I1498" i="12" s="1"/>
  <c r="K1498" i="12" s="1"/>
  <c r="E1497" i="12"/>
  <c r="F1497" i="12" s="1"/>
  <c r="G1497" i="12" s="1"/>
  <c r="I1497" i="12" s="1"/>
  <c r="K1497" i="12" s="1"/>
  <c r="E1496" i="12"/>
  <c r="F1496" i="12" s="1"/>
  <c r="G1496" i="12" s="1"/>
  <c r="I1496" i="12" s="1"/>
  <c r="K1496" i="12" s="1"/>
  <c r="D1495" i="12"/>
  <c r="E1494" i="12"/>
  <c r="F1494" i="12" s="1"/>
  <c r="G1494" i="12" s="1"/>
  <c r="I1494" i="12" s="1"/>
  <c r="K1494" i="12" s="1"/>
  <c r="E1493" i="12"/>
  <c r="F1493" i="12" s="1"/>
  <c r="G1493" i="12" s="1"/>
  <c r="I1493" i="12" s="1"/>
  <c r="K1493" i="12" s="1"/>
  <c r="E1492" i="12"/>
  <c r="F1492" i="12" s="1"/>
  <c r="G1492" i="12" s="1"/>
  <c r="I1492" i="12" s="1"/>
  <c r="K1492" i="12" s="1"/>
  <c r="E1491" i="12"/>
  <c r="F1491" i="12" s="1"/>
  <c r="G1491" i="12" s="1"/>
  <c r="I1491" i="12" s="1"/>
  <c r="K1491" i="12" s="1"/>
  <c r="E1490" i="12"/>
  <c r="F1490" i="12" s="1"/>
  <c r="G1490" i="12" s="1"/>
  <c r="I1490" i="12" s="1"/>
  <c r="K1490" i="12" s="1"/>
  <c r="D1489" i="12"/>
  <c r="E1489" i="12" s="1"/>
  <c r="F1489" i="12" s="1"/>
  <c r="G1489" i="12" s="1"/>
  <c r="I1489" i="12" s="1"/>
  <c r="K1489" i="12" s="1"/>
  <c r="D1488" i="12"/>
  <c r="D1487" i="12"/>
  <c r="D1486" i="12"/>
  <c r="D1485" i="12"/>
  <c r="D1484" i="12"/>
  <c r="D1483" i="12"/>
  <c r="E1482" i="12"/>
  <c r="F1482" i="12" s="1"/>
  <c r="G1482" i="12" s="1"/>
  <c r="I1482" i="12" s="1"/>
  <c r="K1482" i="12" s="1"/>
  <c r="E1481" i="12"/>
  <c r="F1481" i="12" s="1"/>
  <c r="G1481" i="12" s="1"/>
  <c r="I1481" i="12" s="1"/>
  <c r="K1481" i="12" s="1"/>
  <c r="E1480" i="12"/>
  <c r="F1480" i="12" s="1"/>
  <c r="G1480" i="12" s="1"/>
  <c r="I1480" i="12" s="1"/>
  <c r="K1480" i="12" s="1"/>
  <c r="E1479" i="12"/>
  <c r="F1479" i="12" s="1"/>
  <c r="G1479" i="12" s="1"/>
  <c r="I1479" i="12" s="1"/>
  <c r="K1479" i="12" s="1"/>
  <c r="E1478" i="12"/>
  <c r="F1478" i="12" s="1"/>
  <c r="G1478" i="12" s="1"/>
  <c r="I1478" i="12" s="1"/>
  <c r="K1478" i="12" s="1"/>
  <c r="E1477" i="12"/>
  <c r="F1477" i="12" s="1"/>
  <c r="G1477" i="12" s="1"/>
  <c r="I1477" i="12" s="1"/>
  <c r="K1477" i="12" s="1"/>
  <c r="E1476" i="12"/>
  <c r="F1476" i="12" s="1"/>
  <c r="G1476" i="12" s="1"/>
  <c r="I1476" i="12" s="1"/>
  <c r="K1476" i="12" s="1"/>
  <c r="D1475" i="12"/>
  <c r="D1474" i="12"/>
  <c r="D1473" i="12"/>
  <c r="E1473" i="12" s="1"/>
  <c r="F1473" i="12" s="1"/>
  <c r="G1473" i="12" s="1"/>
  <c r="I1473" i="12" s="1"/>
  <c r="K1473" i="12" s="1"/>
  <c r="E1472" i="12"/>
  <c r="F1472" i="12" s="1"/>
  <c r="G1472" i="12" s="1"/>
  <c r="I1472" i="12" s="1"/>
  <c r="K1472" i="12" s="1"/>
  <c r="E1471" i="12"/>
  <c r="F1471" i="12" s="1"/>
  <c r="G1471" i="12" s="1"/>
  <c r="I1471" i="12" s="1"/>
  <c r="K1471" i="12" s="1"/>
  <c r="E1470" i="12"/>
  <c r="F1470" i="12" s="1"/>
  <c r="G1470" i="12" s="1"/>
  <c r="I1470" i="12" s="1"/>
  <c r="K1470" i="12" s="1"/>
  <c r="E1469" i="12"/>
  <c r="F1469" i="12" s="1"/>
  <c r="G1469" i="12" s="1"/>
  <c r="I1469" i="12" s="1"/>
  <c r="K1469" i="12" s="1"/>
  <c r="E1468" i="12"/>
  <c r="F1468" i="12" s="1"/>
  <c r="G1468" i="12" s="1"/>
  <c r="I1468" i="12" s="1"/>
  <c r="K1468" i="12" s="1"/>
  <c r="D1467" i="12"/>
  <c r="D1466" i="12"/>
  <c r="E1465" i="12"/>
  <c r="F1465" i="12" s="1"/>
  <c r="G1465" i="12" s="1"/>
  <c r="I1465" i="12" s="1"/>
  <c r="K1465" i="12" s="1"/>
  <c r="E1464" i="12"/>
  <c r="F1464" i="12" s="1"/>
  <c r="G1464" i="12" s="1"/>
  <c r="I1464" i="12" s="1"/>
  <c r="K1464" i="12" s="1"/>
  <c r="E1463" i="12"/>
  <c r="F1463" i="12" s="1"/>
  <c r="G1463" i="12" s="1"/>
  <c r="I1463" i="12" s="1"/>
  <c r="K1463" i="12" s="1"/>
  <c r="D1462" i="12"/>
  <c r="E1461" i="12"/>
  <c r="F1461" i="12" s="1"/>
  <c r="G1461" i="12" s="1"/>
  <c r="I1461" i="12" s="1"/>
  <c r="K1461" i="12" s="1"/>
  <c r="E1460" i="12"/>
  <c r="F1460" i="12" s="1"/>
  <c r="G1460" i="12" s="1"/>
  <c r="I1460" i="12" s="1"/>
  <c r="K1460" i="12" s="1"/>
  <c r="E1459" i="12"/>
  <c r="F1459" i="12" s="1"/>
  <c r="G1459" i="12" s="1"/>
  <c r="I1459" i="12" s="1"/>
  <c r="K1459" i="12" s="1"/>
  <c r="D1458" i="12"/>
  <c r="E1457" i="12"/>
  <c r="F1457" i="12" s="1"/>
  <c r="G1457" i="12" s="1"/>
  <c r="I1457" i="12" s="1"/>
  <c r="K1457" i="12" s="1"/>
  <c r="E1456" i="12"/>
  <c r="F1456" i="12" s="1"/>
  <c r="G1456" i="12" s="1"/>
  <c r="I1456" i="12" s="1"/>
  <c r="K1456" i="12" s="1"/>
  <c r="D1455" i="12"/>
  <c r="E1454" i="12"/>
  <c r="F1454" i="12" s="1"/>
  <c r="G1454" i="12" s="1"/>
  <c r="I1454" i="12" s="1"/>
  <c r="K1454" i="12" s="1"/>
  <c r="E1453" i="12"/>
  <c r="F1453" i="12" s="1"/>
  <c r="G1453" i="12" s="1"/>
  <c r="I1453" i="12" s="1"/>
  <c r="K1453" i="12" s="1"/>
  <c r="E1452" i="12"/>
  <c r="F1452" i="12" s="1"/>
  <c r="G1452" i="12" s="1"/>
  <c r="I1452" i="12" s="1"/>
  <c r="K1452" i="12" s="1"/>
  <c r="E1451" i="12"/>
  <c r="F1451" i="12" s="1"/>
  <c r="G1451" i="12" s="1"/>
  <c r="I1451" i="12" s="1"/>
  <c r="K1451" i="12" s="1"/>
  <c r="E1450" i="12"/>
  <c r="F1450" i="12" s="1"/>
  <c r="G1450" i="12" s="1"/>
  <c r="I1450" i="12" s="1"/>
  <c r="K1450" i="12" s="1"/>
  <c r="E1449" i="12"/>
  <c r="F1449" i="12" s="1"/>
  <c r="G1449" i="12" s="1"/>
  <c r="I1449" i="12" s="1"/>
  <c r="K1449" i="12" s="1"/>
  <c r="E1448" i="12"/>
  <c r="F1448" i="12" s="1"/>
  <c r="G1448" i="12" s="1"/>
  <c r="I1448" i="12" s="1"/>
  <c r="K1448" i="12" s="1"/>
  <c r="D1447" i="12"/>
  <c r="D1446" i="12"/>
  <c r="E1445" i="12"/>
  <c r="F1445" i="12" s="1"/>
  <c r="G1445" i="12" s="1"/>
  <c r="I1445" i="12" s="1"/>
  <c r="K1445" i="12" s="1"/>
  <c r="E1444" i="12"/>
  <c r="F1444" i="12" s="1"/>
  <c r="G1444" i="12" s="1"/>
  <c r="I1444" i="12" s="1"/>
  <c r="K1444" i="12" s="1"/>
  <c r="E1443" i="12"/>
  <c r="F1443" i="12" s="1"/>
  <c r="G1443" i="12" s="1"/>
  <c r="I1443" i="12" s="1"/>
  <c r="K1443" i="12" s="1"/>
  <c r="E1442" i="12"/>
  <c r="F1442" i="12" s="1"/>
  <c r="G1442" i="12" s="1"/>
  <c r="I1442" i="12" s="1"/>
  <c r="K1442" i="12" s="1"/>
  <c r="E1441" i="12"/>
  <c r="F1441" i="12" s="1"/>
  <c r="G1441" i="12" s="1"/>
  <c r="I1441" i="12" s="1"/>
  <c r="K1441" i="12" s="1"/>
  <c r="D1440" i="12"/>
  <c r="E1439" i="12"/>
  <c r="F1439" i="12" s="1"/>
  <c r="G1439" i="12" s="1"/>
  <c r="I1439" i="12" s="1"/>
  <c r="K1439" i="12" s="1"/>
  <c r="E1438" i="12"/>
  <c r="F1438" i="12" s="1"/>
  <c r="G1438" i="12" s="1"/>
  <c r="I1438" i="12" s="1"/>
  <c r="K1438" i="12" s="1"/>
  <c r="E1437" i="12"/>
  <c r="F1437" i="12" s="1"/>
  <c r="G1437" i="12" s="1"/>
  <c r="I1437" i="12" s="1"/>
  <c r="K1437" i="12" s="1"/>
  <c r="E1436" i="12"/>
  <c r="F1436" i="12" s="1"/>
  <c r="G1436" i="12" s="1"/>
  <c r="I1436" i="12" s="1"/>
  <c r="K1436" i="12" s="1"/>
  <c r="E1435" i="12"/>
  <c r="F1435" i="12" s="1"/>
  <c r="G1435" i="12" s="1"/>
  <c r="I1435" i="12" s="1"/>
  <c r="K1435" i="12" s="1"/>
  <c r="D1434" i="12"/>
  <c r="E1433" i="12"/>
  <c r="F1433" i="12" s="1"/>
  <c r="G1433" i="12" s="1"/>
  <c r="I1433" i="12" s="1"/>
  <c r="K1433" i="12" s="1"/>
  <c r="D1432" i="12"/>
  <c r="D1431" i="12"/>
  <c r="E1430" i="12"/>
  <c r="F1430" i="12" s="1"/>
  <c r="G1430" i="12" s="1"/>
  <c r="I1430" i="12" s="1"/>
  <c r="K1430" i="12" s="1"/>
  <c r="E1429" i="12"/>
  <c r="F1429" i="12" s="1"/>
  <c r="G1429" i="12" s="1"/>
  <c r="I1429" i="12" s="1"/>
  <c r="K1429" i="12" s="1"/>
  <c r="E1428" i="12"/>
  <c r="F1428" i="12" s="1"/>
  <c r="G1428" i="12" s="1"/>
  <c r="I1428" i="12" s="1"/>
  <c r="K1428" i="12" s="1"/>
  <c r="D1427" i="12"/>
  <c r="E1426" i="12"/>
  <c r="F1426" i="12" s="1"/>
  <c r="G1426" i="12" s="1"/>
  <c r="I1426" i="12" s="1"/>
  <c r="K1426" i="12" s="1"/>
  <c r="E1425" i="12"/>
  <c r="F1425" i="12" s="1"/>
  <c r="G1425" i="12" s="1"/>
  <c r="I1425" i="12" s="1"/>
  <c r="K1425" i="12" s="1"/>
  <c r="E1424" i="12"/>
  <c r="F1424" i="12" s="1"/>
  <c r="G1424" i="12" s="1"/>
  <c r="I1424" i="12" s="1"/>
  <c r="K1424" i="12" s="1"/>
  <c r="E1423" i="12"/>
  <c r="F1423" i="12" s="1"/>
  <c r="G1423" i="12" s="1"/>
  <c r="I1423" i="12" s="1"/>
  <c r="K1423" i="12" s="1"/>
  <c r="E1422" i="12"/>
  <c r="F1422" i="12" s="1"/>
  <c r="G1422" i="12" s="1"/>
  <c r="I1422" i="12" s="1"/>
  <c r="K1422" i="12" s="1"/>
  <c r="E1421" i="12"/>
  <c r="F1421" i="12" s="1"/>
  <c r="G1421" i="12" s="1"/>
  <c r="I1421" i="12" s="1"/>
  <c r="K1421" i="12" s="1"/>
  <c r="E1420" i="12"/>
  <c r="F1420" i="12" s="1"/>
  <c r="G1420" i="12" s="1"/>
  <c r="I1420" i="12" s="1"/>
  <c r="K1420" i="12" s="1"/>
  <c r="D1419" i="12"/>
  <c r="D1418" i="12"/>
  <c r="E1417" i="12"/>
  <c r="F1417" i="12" s="1"/>
  <c r="G1417" i="12" s="1"/>
  <c r="I1417" i="12" s="1"/>
  <c r="K1417" i="12" s="1"/>
  <c r="D1416" i="12"/>
  <c r="E1415" i="12"/>
  <c r="F1415" i="12" s="1"/>
  <c r="G1415" i="12" s="1"/>
  <c r="I1415" i="12" s="1"/>
  <c r="K1415" i="12" s="1"/>
  <c r="E1414" i="12"/>
  <c r="F1414" i="12" s="1"/>
  <c r="G1414" i="12" s="1"/>
  <c r="I1414" i="12" s="1"/>
  <c r="K1414" i="12" s="1"/>
  <c r="E1413" i="12"/>
  <c r="F1413" i="12" s="1"/>
  <c r="G1413" i="12" s="1"/>
  <c r="I1413" i="12" s="1"/>
  <c r="K1413" i="12" s="1"/>
  <c r="E1412" i="12"/>
  <c r="F1412" i="12" s="1"/>
  <c r="G1412" i="12" s="1"/>
  <c r="I1412" i="12" s="1"/>
  <c r="K1412" i="12" s="1"/>
  <c r="E1411" i="12"/>
  <c r="F1411" i="12" s="1"/>
  <c r="G1411" i="12" s="1"/>
  <c r="I1411" i="12" s="1"/>
  <c r="K1411" i="12" s="1"/>
  <c r="E1410" i="12"/>
  <c r="F1410" i="12" s="1"/>
  <c r="G1410" i="12" s="1"/>
  <c r="I1410" i="12" s="1"/>
  <c r="K1410" i="12" s="1"/>
  <c r="E1409" i="12"/>
  <c r="F1409" i="12" s="1"/>
  <c r="G1409" i="12" s="1"/>
  <c r="I1409" i="12" s="1"/>
  <c r="K1409" i="12" s="1"/>
  <c r="E1408" i="12"/>
  <c r="F1408" i="12" s="1"/>
  <c r="G1408" i="12" s="1"/>
  <c r="I1408" i="12" s="1"/>
  <c r="K1408" i="12" s="1"/>
  <c r="E1407" i="12"/>
  <c r="F1407" i="12" s="1"/>
  <c r="G1407" i="12" s="1"/>
  <c r="I1407" i="12" s="1"/>
  <c r="K1407" i="12" s="1"/>
  <c r="E1406" i="12"/>
  <c r="F1406" i="12" s="1"/>
  <c r="G1406" i="12" s="1"/>
  <c r="I1406" i="12" s="1"/>
  <c r="K1406" i="12" s="1"/>
  <c r="E1405" i="12"/>
  <c r="F1405" i="12" s="1"/>
  <c r="G1405" i="12" s="1"/>
  <c r="I1405" i="12" s="1"/>
  <c r="K1405" i="12" s="1"/>
  <c r="E1404" i="12"/>
  <c r="F1404" i="12" s="1"/>
  <c r="G1404" i="12" s="1"/>
  <c r="I1404" i="12" s="1"/>
  <c r="K1404" i="12" s="1"/>
  <c r="E1403" i="12"/>
  <c r="F1403" i="12" s="1"/>
  <c r="G1403" i="12" s="1"/>
  <c r="I1403" i="12" s="1"/>
  <c r="K1403" i="12" s="1"/>
  <c r="E1402" i="12"/>
  <c r="F1402" i="12" s="1"/>
  <c r="G1402" i="12" s="1"/>
  <c r="I1402" i="12" s="1"/>
  <c r="K1402" i="12" s="1"/>
  <c r="E1401" i="12"/>
  <c r="F1401" i="12" s="1"/>
  <c r="G1401" i="12" s="1"/>
  <c r="I1401" i="12" s="1"/>
  <c r="K1401" i="12" s="1"/>
  <c r="D1400" i="12"/>
  <c r="D1399" i="12"/>
  <c r="D1398" i="12"/>
  <c r="E1397" i="12"/>
  <c r="F1397" i="12" s="1"/>
  <c r="G1397" i="12" s="1"/>
  <c r="I1397" i="12" s="1"/>
  <c r="K1397" i="12" s="1"/>
  <c r="E1396" i="12"/>
  <c r="F1396" i="12" s="1"/>
  <c r="G1396" i="12" s="1"/>
  <c r="I1396" i="12" s="1"/>
  <c r="K1396" i="12" s="1"/>
  <c r="E1395" i="12"/>
  <c r="F1395" i="12" s="1"/>
  <c r="G1395" i="12" s="1"/>
  <c r="I1395" i="12" s="1"/>
  <c r="K1395" i="12" s="1"/>
  <c r="E1394" i="12"/>
  <c r="F1394" i="12" s="1"/>
  <c r="G1394" i="12" s="1"/>
  <c r="I1394" i="12" s="1"/>
  <c r="K1394" i="12" s="1"/>
  <c r="E1393" i="12"/>
  <c r="F1393" i="12" s="1"/>
  <c r="G1393" i="12" s="1"/>
  <c r="I1393" i="12" s="1"/>
  <c r="K1393" i="12" s="1"/>
  <c r="E1392" i="12"/>
  <c r="F1392" i="12" s="1"/>
  <c r="G1392" i="12" s="1"/>
  <c r="I1392" i="12" s="1"/>
  <c r="K1392" i="12" s="1"/>
  <c r="E1391" i="12"/>
  <c r="F1391" i="12" s="1"/>
  <c r="G1391" i="12" s="1"/>
  <c r="I1391" i="12" s="1"/>
  <c r="K1391" i="12" s="1"/>
  <c r="E1390" i="12"/>
  <c r="F1390" i="12" s="1"/>
  <c r="G1390" i="12" s="1"/>
  <c r="I1390" i="12" s="1"/>
  <c r="K1390" i="12" s="1"/>
  <c r="E1389" i="12"/>
  <c r="F1389" i="12" s="1"/>
  <c r="G1389" i="12" s="1"/>
  <c r="I1389" i="12" s="1"/>
  <c r="K1389" i="12" s="1"/>
  <c r="E1388" i="12"/>
  <c r="F1388" i="12" s="1"/>
  <c r="G1388" i="12" s="1"/>
  <c r="I1388" i="12" s="1"/>
  <c r="K1388" i="12" s="1"/>
  <c r="E1387" i="12"/>
  <c r="F1387" i="12" s="1"/>
  <c r="G1387" i="12" s="1"/>
  <c r="I1387" i="12" s="1"/>
  <c r="K1387" i="12" s="1"/>
  <c r="E1386" i="12"/>
  <c r="F1386" i="12" s="1"/>
  <c r="G1386" i="12" s="1"/>
  <c r="I1386" i="12" s="1"/>
  <c r="K1386" i="12" s="1"/>
  <c r="E1385" i="12"/>
  <c r="F1385" i="12" s="1"/>
  <c r="G1385" i="12" s="1"/>
  <c r="I1385" i="12" s="1"/>
  <c r="K1385" i="12" s="1"/>
  <c r="E1384" i="12"/>
  <c r="F1384" i="12" s="1"/>
  <c r="G1384" i="12" s="1"/>
  <c r="I1384" i="12" s="1"/>
  <c r="K1384" i="12" s="1"/>
  <c r="E1383" i="12"/>
  <c r="F1383" i="12" s="1"/>
  <c r="G1383" i="12" s="1"/>
  <c r="I1383" i="12" s="1"/>
  <c r="K1383" i="12" s="1"/>
  <c r="E1382" i="12"/>
  <c r="F1382" i="12" s="1"/>
  <c r="G1382" i="12" s="1"/>
  <c r="I1382" i="12" s="1"/>
  <c r="K1382" i="12" s="1"/>
  <c r="E1381" i="12"/>
  <c r="F1381" i="12" s="1"/>
  <c r="G1381" i="12" s="1"/>
  <c r="I1381" i="12" s="1"/>
  <c r="K1381" i="12" s="1"/>
  <c r="E1380" i="12"/>
  <c r="F1380" i="12" s="1"/>
  <c r="G1380" i="12" s="1"/>
  <c r="I1380" i="12" s="1"/>
  <c r="K1380" i="12" s="1"/>
  <c r="D1379" i="12"/>
  <c r="E1378" i="12"/>
  <c r="F1378" i="12" s="1"/>
  <c r="G1378" i="12" s="1"/>
  <c r="I1378" i="12" s="1"/>
  <c r="K1378" i="12" s="1"/>
  <c r="E1377" i="12"/>
  <c r="F1377" i="12" s="1"/>
  <c r="G1377" i="12" s="1"/>
  <c r="I1377" i="12" s="1"/>
  <c r="K1377" i="12" s="1"/>
  <c r="E1376" i="12"/>
  <c r="F1376" i="12" s="1"/>
  <c r="G1376" i="12" s="1"/>
  <c r="I1376" i="12" s="1"/>
  <c r="K1376" i="12" s="1"/>
  <c r="E1375" i="12"/>
  <c r="F1375" i="12" s="1"/>
  <c r="G1375" i="12" s="1"/>
  <c r="I1375" i="12" s="1"/>
  <c r="K1375" i="12" s="1"/>
  <c r="E1374" i="12"/>
  <c r="F1374" i="12" s="1"/>
  <c r="G1374" i="12" s="1"/>
  <c r="I1374" i="12" s="1"/>
  <c r="K1374" i="12" s="1"/>
  <c r="E1373" i="12"/>
  <c r="F1373" i="12" s="1"/>
  <c r="G1373" i="12" s="1"/>
  <c r="I1373" i="12" s="1"/>
  <c r="K1373" i="12" s="1"/>
  <c r="E1372" i="12"/>
  <c r="F1372" i="12" s="1"/>
  <c r="G1372" i="12" s="1"/>
  <c r="I1372" i="12" s="1"/>
  <c r="K1372" i="12" s="1"/>
  <c r="D1371" i="12"/>
  <c r="D1370" i="12"/>
  <c r="D1369" i="12"/>
  <c r="E1369" i="12" s="1"/>
  <c r="F1369" i="12" s="1"/>
  <c r="G1369" i="12" s="1"/>
  <c r="I1369" i="12" s="1"/>
  <c r="K1369" i="12" s="1"/>
  <c r="E1368" i="12"/>
  <c r="F1368" i="12" s="1"/>
  <c r="G1368" i="12" s="1"/>
  <c r="I1368" i="12" s="1"/>
  <c r="K1368" i="12" s="1"/>
  <c r="D1367" i="12"/>
  <c r="E1366" i="12"/>
  <c r="F1366" i="12" s="1"/>
  <c r="G1366" i="12" s="1"/>
  <c r="I1366" i="12" s="1"/>
  <c r="K1366" i="12" s="1"/>
  <c r="E1365" i="12"/>
  <c r="F1365" i="12" s="1"/>
  <c r="G1365" i="12" s="1"/>
  <c r="I1365" i="12" s="1"/>
  <c r="K1365" i="12" s="1"/>
  <c r="E1364" i="12"/>
  <c r="F1364" i="12" s="1"/>
  <c r="G1364" i="12" s="1"/>
  <c r="I1364" i="12" s="1"/>
  <c r="K1364" i="12" s="1"/>
  <c r="E1363" i="12"/>
  <c r="F1363" i="12" s="1"/>
  <c r="G1363" i="12" s="1"/>
  <c r="I1363" i="12" s="1"/>
  <c r="K1363" i="12" s="1"/>
  <c r="E1362" i="12"/>
  <c r="F1362" i="12" s="1"/>
  <c r="G1362" i="12" s="1"/>
  <c r="I1362" i="12" s="1"/>
  <c r="K1362" i="12" s="1"/>
  <c r="E1361" i="12"/>
  <c r="F1361" i="12" s="1"/>
  <c r="G1361" i="12" s="1"/>
  <c r="I1361" i="12" s="1"/>
  <c r="K1361" i="12" s="1"/>
  <c r="E1360" i="12"/>
  <c r="F1360" i="12" s="1"/>
  <c r="G1360" i="12" s="1"/>
  <c r="I1360" i="12" s="1"/>
  <c r="K1360" i="12" s="1"/>
  <c r="E1359" i="12"/>
  <c r="F1359" i="12" s="1"/>
  <c r="G1359" i="12" s="1"/>
  <c r="I1359" i="12" s="1"/>
  <c r="K1359" i="12" s="1"/>
  <c r="E1358" i="12"/>
  <c r="F1358" i="12" s="1"/>
  <c r="G1358" i="12" s="1"/>
  <c r="I1358" i="12" s="1"/>
  <c r="K1358" i="12" s="1"/>
  <c r="E1357" i="12"/>
  <c r="F1357" i="12" s="1"/>
  <c r="G1357" i="12" s="1"/>
  <c r="I1357" i="12" s="1"/>
  <c r="K1357" i="12" s="1"/>
  <c r="E1356" i="12"/>
  <c r="F1356" i="12" s="1"/>
  <c r="G1356" i="12" s="1"/>
  <c r="I1356" i="12" s="1"/>
  <c r="K1356" i="12" s="1"/>
  <c r="D1355" i="12"/>
  <c r="E1354" i="12"/>
  <c r="F1354" i="12" s="1"/>
  <c r="G1354" i="12" s="1"/>
  <c r="I1354" i="12" s="1"/>
  <c r="K1354" i="12" s="1"/>
  <c r="E1353" i="12"/>
  <c r="F1353" i="12" s="1"/>
  <c r="G1353" i="12" s="1"/>
  <c r="I1353" i="12" s="1"/>
  <c r="K1353" i="12" s="1"/>
  <c r="E1352" i="12"/>
  <c r="F1352" i="12" s="1"/>
  <c r="G1352" i="12" s="1"/>
  <c r="I1352" i="12" s="1"/>
  <c r="K1352" i="12" s="1"/>
  <c r="E1351" i="12"/>
  <c r="F1351" i="12" s="1"/>
  <c r="G1351" i="12" s="1"/>
  <c r="I1351" i="12" s="1"/>
  <c r="K1351" i="12" s="1"/>
  <c r="E1350" i="12"/>
  <c r="F1350" i="12" s="1"/>
  <c r="G1350" i="12" s="1"/>
  <c r="I1350" i="12" s="1"/>
  <c r="K1350" i="12" s="1"/>
  <c r="E1349" i="12"/>
  <c r="F1349" i="12" s="1"/>
  <c r="G1349" i="12" s="1"/>
  <c r="I1349" i="12" s="1"/>
  <c r="K1349" i="12" s="1"/>
  <c r="E1348" i="12"/>
  <c r="F1348" i="12" s="1"/>
  <c r="G1348" i="12" s="1"/>
  <c r="I1348" i="12" s="1"/>
  <c r="K1348" i="12" s="1"/>
  <c r="E1347" i="12"/>
  <c r="F1347" i="12" s="1"/>
  <c r="G1347" i="12" s="1"/>
  <c r="I1347" i="12" s="1"/>
  <c r="K1347" i="12" s="1"/>
  <c r="E1346" i="12"/>
  <c r="F1346" i="12" s="1"/>
  <c r="G1346" i="12" s="1"/>
  <c r="I1346" i="12" s="1"/>
  <c r="K1346" i="12" s="1"/>
  <c r="E1345" i="12"/>
  <c r="F1345" i="12" s="1"/>
  <c r="G1345" i="12" s="1"/>
  <c r="I1345" i="12" s="1"/>
  <c r="K1345" i="12" s="1"/>
  <c r="E1344" i="12"/>
  <c r="F1344" i="12" s="1"/>
  <c r="G1344" i="12" s="1"/>
  <c r="I1344" i="12" s="1"/>
  <c r="K1344" i="12" s="1"/>
  <c r="E1343" i="12"/>
  <c r="F1343" i="12" s="1"/>
  <c r="G1343" i="12" s="1"/>
  <c r="I1343" i="12" s="1"/>
  <c r="K1343" i="12" s="1"/>
  <c r="E1342" i="12"/>
  <c r="F1342" i="12" s="1"/>
  <c r="G1342" i="12" s="1"/>
  <c r="I1342" i="12" s="1"/>
  <c r="K1342" i="12" s="1"/>
  <c r="E1341" i="12"/>
  <c r="F1341" i="12" s="1"/>
  <c r="G1341" i="12" s="1"/>
  <c r="I1341" i="12" s="1"/>
  <c r="K1341" i="12" s="1"/>
  <c r="E1340" i="12"/>
  <c r="F1340" i="12" s="1"/>
  <c r="G1340" i="12" s="1"/>
  <c r="I1340" i="12" s="1"/>
  <c r="K1340" i="12" s="1"/>
  <c r="E1339" i="12"/>
  <c r="F1339" i="12" s="1"/>
  <c r="G1339" i="12" s="1"/>
  <c r="I1339" i="12" s="1"/>
  <c r="K1339" i="12" s="1"/>
  <c r="E1338" i="12"/>
  <c r="F1338" i="12" s="1"/>
  <c r="G1338" i="12" s="1"/>
  <c r="I1338" i="12" s="1"/>
  <c r="K1338" i="12" s="1"/>
  <c r="E1337" i="12"/>
  <c r="F1337" i="12" s="1"/>
  <c r="G1337" i="12" s="1"/>
  <c r="I1337" i="12" s="1"/>
  <c r="K1337" i="12" s="1"/>
  <c r="E1336" i="12"/>
  <c r="F1336" i="12" s="1"/>
  <c r="G1336" i="12" s="1"/>
  <c r="I1336" i="12" s="1"/>
  <c r="K1336" i="12" s="1"/>
  <c r="D1335" i="12"/>
  <c r="E1334" i="12"/>
  <c r="F1334" i="12" s="1"/>
  <c r="G1334" i="12" s="1"/>
  <c r="I1334" i="12" s="1"/>
  <c r="K1334" i="12" s="1"/>
  <c r="E1333" i="12"/>
  <c r="F1333" i="12" s="1"/>
  <c r="G1333" i="12" s="1"/>
  <c r="I1333" i="12" s="1"/>
  <c r="K1333" i="12" s="1"/>
  <c r="E1332" i="12"/>
  <c r="F1332" i="12" s="1"/>
  <c r="G1332" i="12" s="1"/>
  <c r="I1332" i="12" s="1"/>
  <c r="K1332" i="12" s="1"/>
  <c r="D1331" i="12"/>
  <c r="D1330" i="12"/>
  <c r="D1329" i="12"/>
  <c r="E1329" i="12" s="1"/>
  <c r="F1329" i="12" s="1"/>
  <c r="G1329" i="12" s="1"/>
  <c r="I1329" i="12" s="1"/>
  <c r="K1329" i="12" s="1"/>
  <c r="D1328" i="12"/>
  <c r="E1327" i="12"/>
  <c r="F1327" i="12" s="1"/>
  <c r="G1327" i="12" s="1"/>
  <c r="I1327" i="12" s="1"/>
  <c r="K1327" i="12" s="1"/>
  <c r="E1326" i="12"/>
  <c r="F1326" i="12" s="1"/>
  <c r="G1326" i="12" s="1"/>
  <c r="I1326" i="12" s="1"/>
  <c r="K1326" i="12" s="1"/>
  <c r="D1325" i="12"/>
  <c r="D1324" i="12"/>
  <c r="E1323" i="12"/>
  <c r="F1323" i="12" s="1"/>
  <c r="G1323" i="12" s="1"/>
  <c r="I1323" i="12" s="1"/>
  <c r="K1323" i="12" s="1"/>
  <c r="E1322" i="12"/>
  <c r="F1322" i="12" s="1"/>
  <c r="G1322" i="12" s="1"/>
  <c r="I1322" i="12" s="1"/>
  <c r="K1322" i="12" s="1"/>
  <c r="E1321" i="12"/>
  <c r="F1321" i="12" s="1"/>
  <c r="G1321" i="12" s="1"/>
  <c r="I1321" i="12" s="1"/>
  <c r="K1321" i="12" s="1"/>
  <c r="E1320" i="12"/>
  <c r="F1320" i="12" s="1"/>
  <c r="G1320" i="12" s="1"/>
  <c r="I1320" i="12" s="1"/>
  <c r="K1320" i="12" s="1"/>
  <c r="E1319" i="12"/>
  <c r="F1319" i="12" s="1"/>
  <c r="G1319" i="12" s="1"/>
  <c r="I1319" i="12" s="1"/>
  <c r="K1319" i="12" s="1"/>
  <c r="E1318" i="12"/>
  <c r="F1318" i="12" s="1"/>
  <c r="G1318" i="12" s="1"/>
  <c r="I1318" i="12" s="1"/>
  <c r="K1318" i="12" s="1"/>
  <c r="E1317" i="12"/>
  <c r="F1317" i="12" s="1"/>
  <c r="G1317" i="12" s="1"/>
  <c r="I1317" i="12" s="1"/>
  <c r="K1317" i="12" s="1"/>
  <c r="E1316" i="12"/>
  <c r="F1316" i="12" s="1"/>
  <c r="G1316" i="12" s="1"/>
  <c r="I1316" i="12" s="1"/>
  <c r="K1316" i="12" s="1"/>
  <c r="E1315" i="12"/>
  <c r="F1315" i="12" s="1"/>
  <c r="G1315" i="12" s="1"/>
  <c r="I1315" i="12" s="1"/>
  <c r="K1315" i="12" s="1"/>
  <c r="E1314" i="12"/>
  <c r="F1314" i="12" s="1"/>
  <c r="G1314" i="12" s="1"/>
  <c r="I1314" i="12" s="1"/>
  <c r="K1314" i="12" s="1"/>
  <c r="E1313" i="12"/>
  <c r="F1313" i="12" s="1"/>
  <c r="G1313" i="12" s="1"/>
  <c r="I1313" i="12" s="1"/>
  <c r="K1313" i="12" s="1"/>
  <c r="E1312" i="12"/>
  <c r="F1312" i="12" s="1"/>
  <c r="G1312" i="12" s="1"/>
  <c r="I1312" i="12" s="1"/>
  <c r="K1312" i="12" s="1"/>
  <c r="E1311" i="12"/>
  <c r="F1311" i="12" s="1"/>
  <c r="G1311" i="12" s="1"/>
  <c r="I1311" i="12" s="1"/>
  <c r="K1311" i="12" s="1"/>
  <c r="E1310" i="12"/>
  <c r="F1310" i="12" s="1"/>
  <c r="G1310" i="12" s="1"/>
  <c r="I1310" i="12" s="1"/>
  <c r="K1310" i="12" s="1"/>
  <c r="E1309" i="12"/>
  <c r="F1309" i="12" s="1"/>
  <c r="G1309" i="12" s="1"/>
  <c r="I1309" i="12" s="1"/>
  <c r="K1309" i="12" s="1"/>
  <c r="E1308" i="12"/>
  <c r="F1308" i="12" s="1"/>
  <c r="G1308" i="12" s="1"/>
  <c r="I1308" i="12" s="1"/>
  <c r="K1308" i="12" s="1"/>
  <c r="E1307" i="12"/>
  <c r="F1307" i="12" s="1"/>
  <c r="G1307" i="12" s="1"/>
  <c r="I1307" i="12" s="1"/>
  <c r="K1307" i="12" s="1"/>
  <c r="E1306" i="12"/>
  <c r="F1306" i="12" s="1"/>
  <c r="G1306" i="12" s="1"/>
  <c r="I1306" i="12" s="1"/>
  <c r="E1305" i="12"/>
  <c r="F1305" i="12" s="1"/>
  <c r="G1305" i="12" s="1"/>
  <c r="I1305" i="12" s="1"/>
  <c r="K1305" i="12" s="1"/>
  <c r="D1304" i="12"/>
  <c r="D1303" i="12"/>
  <c r="E1302" i="12"/>
  <c r="F1302" i="12" s="1"/>
  <c r="G1302" i="12" s="1"/>
  <c r="I1302" i="12" s="1"/>
  <c r="K1302" i="12" s="1"/>
  <c r="D1301" i="12"/>
  <c r="E1300" i="12"/>
  <c r="F1300" i="12" s="1"/>
  <c r="G1300" i="12" s="1"/>
  <c r="I1300" i="12" s="1"/>
  <c r="K1300" i="12" s="1"/>
  <c r="E1299" i="12"/>
  <c r="F1299" i="12" s="1"/>
  <c r="G1299" i="12" s="1"/>
  <c r="I1299" i="12" s="1"/>
  <c r="K1299" i="12" s="1"/>
  <c r="E1298" i="12"/>
  <c r="F1298" i="12" s="1"/>
  <c r="G1298" i="12" s="1"/>
  <c r="I1298" i="12" s="1"/>
  <c r="K1298" i="12" s="1"/>
  <c r="D1297" i="12"/>
  <c r="E1297" i="12" s="1"/>
  <c r="F1297" i="12" s="1"/>
  <c r="G1297" i="12" s="1"/>
  <c r="I1297" i="12" s="1"/>
  <c r="K1297" i="12" s="1"/>
  <c r="E1296" i="12"/>
  <c r="F1296" i="12" s="1"/>
  <c r="G1296" i="12" s="1"/>
  <c r="I1296" i="12" s="1"/>
  <c r="K1296" i="12" s="1"/>
  <c r="E1295" i="12"/>
  <c r="F1295" i="12" s="1"/>
  <c r="G1295" i="12" s="1"/>
  <c r="I1295" i="12" s="1"/>
  <c r="K1295" i="12" s="1"/>
  <c r="E1294" i="12"/>
  <c r="F1294" i="12" s="1"/>
  <c r="G1294" i="12" s="1"/>
  <c r="I1294" i="12" s="1"/>
  <c r="K1294" i="12" s="1"/>
  <c r="E1293" i="12"/>
  <c r="F1293" i="12" s="1"/>
  <c r="G1293" i="12" s="1"/>
  <c r="I1293" i="12" s="1"/>
  <c r="K1293" i="12" s="1"/>
  <c r="E1292" i="12"/>
  <c r="F1292" i="12" s="1"/>
  <c r="G1292" i="12" s="1"/>
  <c r="I1292" i="12" s="1"/>
  <c r="K1292" i="12" s="1"/>
  <c r="E1291" i="12"/>
  <c r="F1291" i="12" s="1"/>
  <c r="G1291" i="12" s="1"/>
  <c r="I1291" i="12" s="1"/>
  <c r="K1291" i="12" s="1"/>
  <c r="E1290" i="12"/>
  <c r="F1290" i="12" s="1"/>
  <c r="G1290" i="12" s="1"/>
  <c r="I1290" i="12" s="1"/>
  <c r="K1290" i="12" s="1"/>
  <c r="D1289" i="12"/>
  <c r="E1289" i="12" s="1"/>
  <c r="F1289" i="12" s="1"/>
  <c r="G1289" i="12" s="1"/>
  <c r="I1289" i="12" s="1"/>
  <c r="K1289" i="12" s="1"/>
  <c r="E1288" i="12"/>
  <c r="F1288" i="12" s="1"/>
  <c r="G1288" i="12" s="1"/>
  <c r="I1288" i="12" s="1"/>
  <c r="K1288" i="12" s="1"/>
  <c r="E1287" i="12"/>
  <c r="F1287" i="12" s="1"/>
  <c r="G1287" i="12" s="1"/>
  <c r="I1287" i="12" s="1"/>
  <c r="K1287" i="12" s="1"/>
  <c r="E1286" i="12"/>
  <c r="F1286" i="12" s="1"/>
  <c r="G1286" i="12" s="1"/>
  <c r="I1286" i="12" s="1"/>
  <c r="K1286" i="12" s="1"/>
  <c r="E1285" i="12"/>
  <c r="F1285" i="12" s="1"/>
  <c r="G1285" i="12" s="1"/>
  <c r="I1285" i="12" s="1"/>
  <c r="K1285" i="12" s="1"/>
  <c r="E1284" i="12"/>
  <c r="F1284" i="12" s="1"/>
  <c r="G1284" i="12" s="1"/>
  <c r="I1284" i="12" s="1"/>
  <c r="K1284" i="12" s="1"/>
  <c r="E1283" i="12"/>
  <c r="F1283" i="12" s="1"/>
  <c r="G1283" i="12" s="1"/>
  <c r="I1283" i="12" s="1"/>
  <c r="K1283" i="12" s="1"/>
  <c r="E1282" i="12"/>
  <c r="F1282" i="12" s="1"/>
  <c r="G1282" i="12" s="1"/>
  <c r="I1282" i="12" s="1"/>
  <c r="K1282" i="12" s="1"/>
  <c r="E1281" i="12"/>
  <c r="F1281" i="12" s="1"/>
  <c r="G1281" i="12" s="1"/>
  <c r="I1281" i="12" s="1"/>
  <c r="K1281" i="12" s="1"/>
  <c r="E1280" i="12"/>
  <c r="F1280" i="12" s="1"/>
  <c r="G1280" i="12" s="1"/>
  <c r="I1280" i="12" s="1"/>
  <c r="K1280" i="12" s="1"/>
  <c r="E1279" i="12"/>
  <c r="F1279" i="12" s="1"/>
  <c r="G1279" i="12" s="1"/>
  <c r="I1279" i="12" s="1"/>
  <c r="K1279" i="12" s="1"/>
  <c r="E1278" i="12"/>
  <c r="F1278" i="12" s="1"/>
  <c r="G1278" i="12" s="1"/>
  <c r="I1278" i="12" s="1"/>
  <c r="K1278" i="12" s="1"/>
  <c r="E1277" i="12"/>
  <c r="F1277" i="12" s="1"/>
  <c r="G1277" i="12" s="1"/>
  <c r="I1277" i="12" s="1"/>
  <c r="K1277" i="12" s="1"/>
  <c r="E1276" i="12"/>
  <c r="F1276" i="12" s="1"/>
  <c r="G1276" i="12" s="1"/>
  <c r="I1276" i="12" s="1"/>
  <c r="K1276" i="12" s="1"/>
  <c r="E1275" i="12"/>
  <c r="F1275" i="12" s="1"/>
  <c r="G1275" i="12" s="1"/>
  <c r="I1275" i="12" s="1"/>
  <c r="K1275" i="12" s="1"/>
  <c r="E1274" i="12"/>
  <c r="F1274" i="12" s="1"/>
  <c r="G1274" i="12" s="1"/>
  <c r="I1274" i="12" s="1"/>
  <c r="K1274" i="12" s="1"/>
  <c r="E1273" i="12"/>
  <c r="F1273" i="12" s="1"/>
  <c r="G1273" i="12" s="1"/>
  <c r="I1273" i="12" s="1"/>
  <c r="K1273" i="12" s="1"/>
  <c r="E1272" i="12"/>
  <c r="F1272" i="12" s="1"/>
  <c r="G1272" i="12" s="1"/>
  <c r="I1272" i="12" s="1"/>
  <c r="K1272" i="12" s="1"/>
  <c r="E1271" i="12"/>
  <c r="F1271" i="12" s="1"/>
  <c r="G1271" i="12" s="1"/>
  <c r="I1271" i="12" s="1"/>
  <c r="K1271" i="12" s="1"/>
  <c r="E1270" i="12"/>
  <c r="F1270" i="12" s="1"/>
  <c r="G1270" i="12" s="1"/>
  <c r="I1270" i="12" s="1"/>
  <c r="K1270" i="12" s="1"/>
  <c r="D1269" i="12"/>
  <c r="E1268" i="12"/>
  <c r="F1268" i="12" s="1"/>
  <c r="G1268" i="12" s="1"/>
  <c r="I1268" i="12" s="1"/>
  <c r="K1268" i="12" s="1"/>
  <c r="E1267" i="12"/>
  <c r="F1267" i="12" s="1"/>
  <c r="G1267" i="12" s="1"/>
  <c r="I1267" i="12" s="1"/>
  <c r="K1267" i="12" s="1"/>
  <c r="E1266" i="12"/>
  <c r="F1266" i="12" s="1"/>
  <c r="G1266" i="12" s="1"/>
  <c r="I1266" i="12" s="1"/>
  <c r="K1266" i="12" s="1"/>
  <c r="D1265" i="12"/>
  <c r="E1265" i="12" s="1"/>
  <c r="F1265" i="12" s="1"/>
  <c r="G1265" i="12" s="1"/>
  <c r="I1265" i="12" s="1"/>
  <c r="K1265" i="12" s="1"/>
  <c r="E1264" i="12"/>
  <c r="F1264" i="12" s="1"/>
  <c r="G1264" i="12" s="1"/>
  <c r="I1264" i="12" s="1"/>
  <c r="K1264" i="12" s="1"/>
  <c r="D1263" i="12"/>
  <c r="D1262" i="12"/>
  <c r="E1261" i="12"/>
  <c r="F1261" i="12" s="1"/>
  <c r="G1261" i="12" s="1"/>
  <c r="I1261" i="12" s="1"/>
  <c r="K1261" i="12" s="1"/>
  <c r="D1260" i="12"/>
  <c r="E1259" i="12"/>
  <c r="F1259" i="12" s="1"/>
  <c r="G1259" i="12" s="1"/>
  <c r="I1259" i="12" s="1"/>
  <c r="K1259" i="12" s="1"/>
  <c r="E1258" i="12"/>
  <c r="F1258" i="12" s="1"/>
  <c r="G1258" i="12" s="1"/>
  <c r="I1258" i="12" s="1"/>
  <c r="K1258" i="12" s="1"/>
  <c r="E1257" i="12"/>
  <c r="F1257" i="12" s="1"/>
  <c r="G1257" i="12" s="1"/>
  <c r="I1257" i="12" s="1"/>
  <c r="K1257" i="12" s="1"/>
  <c r="E1256" i="12"/>
  <c r="F1256" i="12" s="1"/>
  <c r="G1256" i="12" s="1"/>
  <c r="I1256" i="12" s="1"/>
  <c r="K1256" i="12" s="1"/>
  <c r="D1255" i="12"/>
  <c r="E1254" i="12"/>
  <c r="F1254" i="12" s="1"/>
  <c r="G1254" i="12" s="1"/>
  <c r="I1254" i="12" s="1"/>
  <c r="K1254" i="12" s="1"/>
  <c r="E1253" i="12"/>
  <c r="F1253" i="12" s="1"/>
  <c r="G1253" i="12" s="1"/>
  <c r="I1253" i="12" s="1"/>
  <c r="K1253" i="12" s="1"/>
  <c r="D1252" i="12"/>
  <c r="E1251" i="12"/>
  <c r="F1251" i="12" s="1"/>
  <c r="G1251" i="12" s="1"/>
  <c r="I1251" i="12" s="1"/>
  <c r="K1251" i="12" s="1"/>
  <c r="E1250" i="12"/>
  <c r="F1250" i="12" s="1"/>
  <c r="G1250" i="12" s="1"/>
  <c r="I1250" i="12" s="1"/>
  <c r="K1250" i="12" s="1"/>
  <c r="E1249" i="12"/>
  <c r="F1249" i="12" s="1"/>
  <c r="G1249" i="12" s="1"/>
  <c r="I1249" i="12" s="1"/>
  <c r="K1249" i="12" s="1"/>
  <c r="D1248" i="12"/>
  <c r="E1247" i="12"/>
  <c r="F1247" i="12" s="1"/>
  <c r="G1247" i="12" s="1"/>
  <c r="I1247" i="12" s="1"/>
  <c r="K1247" i="12" s="1"/>
  <c r="E1246" i="12"/>
  <c r="F1246" i="12" s="1"/>
  <c r="G1246" i="12" s="1"/>
  <c r="I1246" i="12" s="1"/>
  <c r="K1246" i="12" s="1"/>
  <c r="E1245" i="12"/>
  <c r="F1245" i="12" s="1"/>
  <c r="G1245" i="12" s="1"/>
  <c r="I1245" i="12" s="1"/>
  <c r="K1245" i="12" s="1"/>
  <c r="E1244" i="12"/>
  <c r="F1244" i="12" s="1"/>
  <c r="G1244" i="12" s="1"/>
  <c r="I1244" i="12" s="1"/>
  <c r="K1244" i="12" s="1"/>
  <c r="E1243" i="12"/>
  <c r="F1243" i="12" s="1"/>
  <c r="G1243" i="12" s="1"/>
  <c r="I1243" i="12" s="1"/>
  <c r="K1243" i="12" s="1"/>
  <c r="E1242" i="12"/>
  <c r="F1242" i="12" s="1"/>
  <c r="G1242" i="12" s="1"/>
  <c r="I1242" i="12" s="1"/>
  <c r="K1242" i="12" s="1"/>
  <c r="E1241" i="12"/>
  <c r="F1241" i="12" s="1"/>
  <c r="G1241" i="12" s="1"/>
  <c r="I1241" i="12" s="1"/>
  <c r="K1241" i="12" s="1"/>
  <c r="E1240" i="12"/>
  <c r="F1240" i="12" s="1"/>
  <c r="G1240" i="12" s="1"/>
  <c r="I1240" i="12" s="1"/>
  <c r="K1240" i="12" s="1"/>
  <c r="E1239" i="12"/>
  <c r="F1239" i="12" s="1"/>
  <c r="G1239" i="12" s="1"/>
  <c r="I1239" i="12" s="1"/>
  <c r="K1239" i="12" s="1"/>
  <c r="E1238" i="12"/>
  <c r="F1238" i="12" s="1"/>
  <c r="G1238" i="12" s="1"/>
  <c r="I1238" i="12" s="1"/>
  <c r="K1238" i="12" s="1"/>
  <c r="E1237" i="12"/>
  <c r="F1237" i="12" s="1"/>
  <c r="G1237" i="12" s="1"/>
  <c r="I1237" i="12" s="1"/>
  <c r="K1237" i="12" s="1"/>
  <c r="D1236" i="12"/>
  <c r="E1235" i="12"/>
  <c r="F1235" i="12" s="1"/>
  <c r="G1235" i="12" s="1"/>
  <c r="I1235" i="12" s="1"/>
  <c r="K1235" i="12" s="1"/>
  <c r="E1234" i="12"/>
  <c r="F1234" i="12" s="1"/>
  <c r="G1234" i="12" s="1"/>
  <c r="I1234" i="12" s="1"/>
  <c r="K1234" i="12" s="1"/>
  <c r="E1233" i="12"/>
  <c r="F1233" i="12" s="1"/>
  <c r="G1233" i="12" s="1"/>
  <c r="I1233" i="12" s="1"/>
  <c r="K1233" i="12" s="1"/>
  <c r="E1232" i="12"/>
  <c r="F1232" i="12" s="1"/>
  <c r="G1232" i="12" s="1"/>
  <c r="I1232" i="12" s="1"/>
  <c r="K1232" i="12" s="1"/>
  <c r="E1231" i="12"/>
  <c r="F1231" i="12" s="1"/>
  <c r="G1231" i="12" s="1"/>
  <c r="I1231" i="12" s="1"/>
  <c r="K1231" i="12" s="1"/>
  <c r="E1230" i="12"/>
  <c r="F1230" i="12" s="1"/>
  <c r="G1230" i="12" s="1"/>
  <c r="I1230" i="12" s="1"/>
  <c r="K1230" i="12" s="1"/>
  <c r="E1229" i="12"/>
  <c r="F1229" i="12" s="1"/>
  <c r="G1229" i="12" s="1"/>
  <c r="I1229" i="12" s="1"/>
  <c r="K1229" i="12" s="1"/>
  <c r="D1228" i="12"/>
  <c r="E1227" i="12"/>
  <c r="F1227" i="12" s="1"/>
  <c r="G1227" i="12" s="1"/>
  <c r="I1227" i="12" s="1"/>
  <c r="K1227" i="12" s="1"/>
  <c r="E1226" i="12"/>
  <c r="F1226" i="12" s="1"/>
  <c r="G1226" i="12" s="1"/>
  <c r="I1226" i="12" s="1"/>
  <c r="K1226" i="12" s="1"/>
  <c r="E1225" i="12"/>
  <c r="F1225" i="12" s="1"/>
  <c r="G1225" i="12" s="1"/>
  <c r="I1225" i="12" s="1"/>
  <c r="K1225" i="12" s="1"/>
  <c r="E1224" i="12"/>
  <c r="F1224" i="12" s="1"/>
  <c r="G1224" i="12" s="1"/>
  <c r="I1224" i="12" s="1"/>
  <c r="K1224" i="12" s="1"/>
  <c r="E1223" i="12"/>
  <c r="F1223" i="12" s="1"/>
  <c r="G1223" i="12" s="1"/>
  <c r="I1223" i="12" s="1"/>
  <c r="K1223" i="12" s="1"/>
  <c r="E1222" i="12"/>
  <c r="F1222" i="12" s="1"/>
  <c r="G1222" i="12" s="1"/>
  <c r="I1222" i="12" s="1"/>
  <c r="K1222" i="12" s="1"/>
  <c r="E1221" i="12"/>
  <c r="F1221" i="12" s="1"/>
  <c r="G1221" i="12" s="1"/>
  <c r="I1221" i="12" s="1"/>
  <c r="K1221" i="12" s="1"/>
  <c r="E1220" i="12"/>
  <c r="F1220" i="12" s="1"/>
  <c r="G1220" i="12" s="1"/>
  <c r="I1220" i="12" s="1"/>
  <c r="K1220" i="12" s="1"/>
  <c r="E1219" i="12"/>
  <c r="F1219" i="12" s="1"/>
  <c r="G1219" i="12" s="1"/>
  <c r="I1219" i="12" s="1"/>
  <c r="K1219" i="12" s="1"/>
  <c r="E1218" i="12"/>
  <c r="F1218" i="12" s="1"/>
  <c r="G1218" i="12" s="1"/>
  <c r="I1218" i="12" s="1"/>
  <c r="K1218" i="12" s="1"/>
  <c r="E1217" i="12"/>
  <c r="F1217" i="12" s="1"/>
  <c r="G1217" i="12" s="1"/>
  <c r="I1217" i="12" s="1"/>
  <c r="K1217" i="12" s="1"/>
  <c r="E1216" i="12"/>
  <c r="F1216" i="12" s="1"/>
  <c r="G1216" i="12" s="1"/>
  <c r="I1216" i="12" s="1"/>
  <c r="K1216" i="12" s="1"/>
  <c r="E1215" i="12"/>
  <c r="F1215" i="12" s="1"/>
  <c r="G1215" i="12" s="1"/>
  <c r="I1215" i="12" s="1"/>
  <c r="K1215" i="12" s="1"/>
  <c r="E1214" i="12"/>
  <c r="F1214" i="12" s="1"/>
  <c r="G1214" i="12" s="1"/>
  <c r="I1214" i="12" s="1"/>
  <c r="K1214" i="12" s="1"/>
  <c r="E1213" i="12"/>
  <c r="F1213" i="12" s="1"/>
  <c r="G1213" i="12" s="1"/>
  <c r="I1213" i="12" s="1"/>
  <c r="K1213" i="12" s="1"/>
  <c r="E1212" i="12"/>
  <c r="F1212" i="12" s="1"/>
  <c r="G1212" i="12" s="1"/>
  <c r="I1212" i="12" s="1"/>
  <c r="K1212" i="12" s="1"/>
  <c r="E1211" i="12"/>
  <c r="F1211" i="12" s="1"/>
  <c r="G1211" i="12" s="1"/>
  <c r="I1211" i="12" s="1"/>
  <c r="K1211" i="12" s="1"/>
  <c r="E1210" i="12"/>
  <c r="F1210" i="12" s="1"/>
  <c r="G1210" i="12" s="1"/>
  <c r="I1210" i="12" s="1"/>
  <c r="K1210" i="12" s="1"/>
  <c r="D1209" i="12"/>
  <c r="E1209" i="12" s="1"/>
  <c r="F1209" i="12" s="1"/>
  <c r="G1209" i="12" s="1"/>
  <c r="I1209" i="12" s="1"/>
  <c r="K1209" i="12" s="1"/>
  <c r="D1208" i="12"/>
  <c r="D1207" i="12"/>
  <c r="D1206" i="12"/>
  <c r="E1205" i="12"/>
  <c r="F1205" i="12" s="1"/>
  <c r="G1205" i="12" s="1"/>
  <c r="I1205" i="12" s="1"/>
  <c r="K1205" i="12" s="1"/>
  <c r="E1204" i="12"/>
  <c r="F1204" i="12" s="1"/>
  <c r="G1204" i="12" s="1"/>
  <c r="I1204" i="12" s="1"/>
  <c r="K1204" i="12" s="1"/>
  <c r="E1203" i="12"/>
  <c r="F1203" i="12" s="1"/>
  <c r="G1203" i="12" s="1"/>
  <c r="I1203" i="12" s="1"/>
  <c r="K1203" i="12" s="1"/>
  <c r="E1202" i="12"/>
  <c r="F1202" i="12" s="1"/>
  <c r="G1202" i="12" s="1"/>
  <c r="I1202" i="12" s="1"/>
  <c r="K1202" i="12" s="1"/>
  <c r="E1201" i="12"/>
  <c r="F1201" i="12" s="1"/>
  <c r="G1201" i="12" s="1"/>
  <c r="I1201" i="12" s="1"/>
  <c r="K1201" i="12" s="1"/>
  <c r="E1200" i="12"/>
  <c r="F1200" i="12" s="1"/>
  <c r="G1200" i="12" s="1"/>
  <c r="I1200" i="12" s="1"/>
  <c r="K1200" i="12" s="1"/>
  <c r="E1199" i="12"/>
  <c r="F1199" i="12" s="1"/>
  <c r="G1199" i="12" s="1"/>
  <c r="I1199" i="12" s="1"/>
  <c r="K1199" i="12" s="1"/>
  <c r="E1198" i="12"/>
  <c r="F1198" i="12" s="1"/>
  <c r="G1198" i="12" s="1"/>
  <c r="I1198" i="12" s="1"/>
  <c r="K1198" i="12" s="1"/>
  <c r="E1197" i="12"/>
  <c r="F1197" i="12" s="1"/>
  <c r="G1197" i="12" s="1"/>
  <c r="I1197" i="12" s="1"/>
  <c r="K1197" i="12" s="1"/>
  <c r="E1196" i="12"/>
  <c r="F1196" i="12" s="1"/>
  <c r="G1196" i="12" s="1"/>
  <c r="I1196" i="12" s="1"/>
  <c r="K1196" i="12" s="1"/>
  <c r="E1195" i="12"/>
  <c r="F1195" i="12" s="1"/>
  <c r="G1195" i="12" s="1"/>
  <c r="I1195" i="12" s="1"/>
  <c r="K1195" i="12" s="1"/>
  <c r="E1194" i="12"/>
  <c r="F1194" i="12" s="1"/>
  <c r="G1194" i="12" s="1"/>
  <c r="I1194" i="12" s="1"/>
  <c r="K1194" i="12" s="1"/>
  <c r="D1193" i="12"/>
  <c r="E1193" i="12" s="1"/>
  <c r="F1193" i="12" s="1"/>
  <c r="G1193" i="12" s="1"/>
  <c r="I1193" i="12" s="1"/>
  <c r="K1193" i="12" s="1"/>
  <c r="E1192" i="12"/>
  <c r="F1192" i="12" s="1"/>
  <c r="G1192" i="12" s="1"/>
  <c r="I1192" i="12" s="1"/>
  <c r="K1192" i="12" s="1"/>
  <c r="E1191" i="12"/>
  <c r="F1191" i="12" s="1"/>
  <c r="G1191" i="12" s="1"/>
  <c r="I1191" i="12" s="1"/>
  <c r="K1191" i="12" s="1"/>
  <c r="E1190" i="12"/>
  <c r="F1190" i="12" s="1"/>
  <c r="G1190" i="12" s="1"/>
  <c r="I1190" i="12" s="1"/>
  <c r="K1190" i="12" s="1"/>
  <c r="D1189" i="12"/>
  <c r="D1188" i="12"/>
  <c r="D1187" i="12"/>
  <c r="E1186" i="12"/>
  <c r="F1186" i="12" s="1"/>
  <c r="G1186" i="12" s="1"/>
  <c r="I1186" i="12" s="1"/>
  <c r="K1186" i="12" s="1"/>
  <c r="E1185" i="12"/>
  <c r="F1185" i="12" s="1"/>
  <c r="G1185" i="12" s="1"/>
  <c r="I1185" i="12" s="1"/>
  <c r="K1185" i="12" s="1"/>
  <c r="E1184" i="12"/>
  <c r="F1184" i="12" s="1"/>
  <c r="G1184" i="12" s="1"/>
  <c r="I1184" i="12" s="1"/>
  <c r="K1184" i="12" s="1"/>
  <c r="E1183" i="12"/>
  <c r="F1183" i="12" s="1"/>
  <c r="G1183" i="12" s="1"/>
  <c r="I1183" i="12" s="1"/>
  <c r="K1183" i="12" s="1"/>
  <c r="E1182" i="12"/>
  <c r="F1182" i="12" s="1"/>
  <c r="G1182" i="12" s="1"/>
  <c r="I1182" i="12" s="1"/>
  <c r="K1182" i="12" s="1"/>
  <c r="E1181" i="12"/>
  <c r="F1181" i="12" s="1"/>
  <c r="G1181" i="12" s="1"/>
  <c r="I1181" i="12" s="1"/>
  <c r="K1181" i="12" s="1"/>
  <c r="E1180" i="12"/>
  <c r="F1180" i="12" s="1"/>
  <c r="G1180" i="12" s="1"/>
  <c r="I1180" i="12" s="1"/>
  <c r="K1180" i="12" s="1"/>
  <c r="D1179" i="12"/>
  <c r="D1178" i="12"/>
  <c r="E1177" i="12"/>
  <c r="F1177" i="12" s="1"/>
  <c r="G1177" i="12" s="1"/>
  <c r="I1177" i="12" s="1"/>
  <c r="K1177" i="12" s="1"/>
  <c r="E1176" i="12"/>
  <c r="F1176" i="12" s="1"/>
  <c r="G1176" i="12" s="1"/>
  <c r="I1176" i="12" s="1"/>
  <c r="K1176" i="12" s="1"/>
  <c r="E1175" i="12"/>
  <c r="F1175" i="12" s="1"/>
  <c r="G1175" i="12" s="1"/>
  <c r="I1175" i="12" s="1"/>
  <c r="K1175" i="12" s="1"/>
  <c r="E1174" i="12"/>
  <c r="F1174" i="12" s="1"/>
  <c r="G1174" i="12" s="1"/>
  <c r="I1174" i="12" s="1"/>
  <c r="K1174" i="12" s="1"/>
  <c r="D1173" i="12"/>
  <c r="D1172" i="12"/>
  <c r="E1171" i="12"/>
  <c r="F1171" i="12" s="1"/>
  <c r="G1171" i="12" s="1"/>
  <c r="I1171" i="12" s="1"/>
  <c r="K1171" i="12" s="1"/>
  <c r="D1170" i="12"/>
  <c r="D1169" i="12"/>
  <c r="E1169" i="12" s="1"/>
  <c r="F1169" i="12" s="1"/>
  <c r="G1169" i="12" s="1"/>
  <c r="I1169" i="12" s="1"/>
  <c r="K1169" i="12" s="1"/>
  <c r="E1168" i="12"/>
  <c r="F1168" i="12" s="1"/>
  <c r="G1168" i="12" s="1"/>
  <c r="I1168" i="12" s="1"/>
  <c r="K1168" i="12" s="1"/>
  <c r="E1167" i="12"/>
  <c r="F1167" i="12" s="1"/>
  <c r="G1167" i="12" s="1"/>
  <c r="I1167" i="12" s="1"/>
  <c r="K1167" i="12" s="1"/>
  <c r="D1166" i="12"/>
  <c r="E1165" i="12"/>
  <c r="F1165" i="12" s="1"/>
  <c r="G1165" i="12" s="1"/>
  <c r="I1165" i="12" s="1"/>
  <c r="K1165" i="12" s="1"/>
  <c r="E1164" i="12"/>
  <c r="F1164" i="12" s="1"/>
  <c r="G1164" i="12" s="1"/>
  <c r="I1164" i="12" s="1"/>
  <c r="K1164" i="12" s="1"/>
  <c r="E1163" i="12"/>
  <c r="F1163" i="12" s="1"/>
  <c r="G1163" i="12" s="1"/>
  <c r="I1163" i="12" s="1"/>
  <c r="K1163" i="12" s="1"/>
  <c r="D1162" i="12"/>
  <c r="D1161" i="12"/>
  <c r="E1161" i="12" s="1"/>
  <c r="F1161" i="12" s="1"/>
  <c r="G1161" i="12" s="1"/>
  <c r="I1161" i="12" s="1"/>
  <c r="K1161" i="12" s="1"/>
  <c r="E1160" i="12"/>
  <c r="F1160" i="12" s="1"/>
  <c r="G1160" i="12" s="1"/>
  <c r="I1160" i="12" s="1"/>
  <c r="K1160" i="12" s="1"/>
  <c r="E1159" i="12"/>
  <c r="F1159" i="12" s="1"/>
  <c r="G1159" i="12" s="1"/>
  <c r="I1159" i="12" s="1"/>
  <c r="K1159" i="12" s="1"/>
  <c r="E1158" i="12"/>
  <c r="F1158" i="12" s="1"/>
  <c r="G1158" i="12" s="1"/>
  <c r="I1158" i="12" s="1"/>
  <c r="K1158" i="12" s="1"/>
  <c r="E1157" i="12"/>
  <c r="F1157" i="12" s="1"/>
  <c r="G1157" i="12" s="1"/>
  <c r="I1157" i="12" s="1"/>
  <c r="K1157" i="12" s="1"/>
  <c r="E1156" i="12"/>
  <c r="F1156" i="12" s="1"/>
  <c r="G1156" i="12" s="1"/>
  <c r="I1156" i="12" s="1"/>
  <c r="K1156" i="12" s="1"/>
  <c r="E1155" i="12"/>
  <c r="F1155" i="12" s="1"/>
  <c r="G1155" i="12" s="1"/>
  <c r="I1155" i="12" s="1"/>
  <c r="K1155" i="12" s="1"/>
  <c r="E1154" i="12"/>
  <c r="F1154" i="12" s="1"/>
  <c r="G1154" i="12" s="1"/>
  <c r="I1154" i="12" s="1"/>
  <c r="K1154" i="12" s="1"/>
  <c r="D1153" i="12"/>
  <c r="E1153" i="12" s="1"/>
  <c r="F1153" i="12" s="1"/>
  <c r="G1153" i="12" s="1"/>
  <c r="I1153" i="12" s="1"/>
  <c r="K1153" i="12" s="1"/>
  <c r="E1152" i="12"/>
  <c r="F1152" i="12" s="1"/>
  <c r="G1152" i="12" s="1"/>
  <c r="I1152" i="12" s="1"/>
  <c r="K1152" i="12" s="1"/>
  <c r="D1151" i="12"/>
  <c r="D1150" i="12"/>
  <c r="D1149" i="12"/>
  <c r="E1148" i="12"/>
  <c r="F1148" i="12" s="1"/>
  <c r="G1148" i="12" s="1"/>
  <c r="I1148" i="12" s="1"/>
  <c r="K1148" i="12" s="1"/>
  <c r="E1147" i="12"/>
  <c r="F1147" i="12" s="1"/>
  <c r="G1147" i="12" s="1"/>
  <c r="I1147" i="12" s="1"/>
  <c r="K1147" i="12" s="1"/>
  <c r="E1146" i="12"/>
  <c r="F1146" i="12" s="1"/>
  <c r="G1146" i="12" s="1"/>
  <c r="I1146" i="12" s="1"/>
  <c r="K1146" i="12" s="1"/>
  <c r="E1145" i="12"/>
  <c r="F1145" i="12" s="1"/>
  <c r="G1145" i="12" s="1"/>
  <c r="I1145" i="12" s="1"/>
  <c r="K1145" i="12" s="1"/>
  <c r="D1144" i="12"/>
  <c r="E1143" i="12"/>
  <c r="F1143" i="12" s="1"/>
  <c r="G1143" i="12" s="1"/>
  <c r="I1143" i="12" s="1"/>
  <c r="K1143" i="12" s="1"/>
  <c r="E1142" i="12"/>
  <c r="F1142" i="12" s="1"/>
  <c r="G1142" i="12" s="1"/>
  <c r="I1142" i="12" s="1"/>
  <c r="K1142" i="12" s="1"/>
  <c r="E1141" i="12"/>
  <c r="F1141" i="12" s="1"/>
  <c r="G1141" i="12" s="1"/>
  <c r="I1141" i="12" s="1"/>
  <c r="K1141" i="12" s="1"/>
  <c r="E1140" i="12"/>
  <c r="F1140" i="12" s="1"/>
  <c r="G1140" i="12" s="1"/>
  <c r="I1140" i="12" s="1"/>
  <c r="K1140" i="12" s="1"/>
  <c r="D1139" i="12"/>
  <c r="E1138" i="12"/>
  <c r="F1138" i="12" s="1"/>
  <c r="G1138" i="12" s="1"/>
  <c r="I1138" i="12" s="1"/>
  <c r="K1138" i="12" s="1"/>
  <c r="E1137" i="12"/>
  <c r="F1137" i="12" s="1"/>
  <c r="G1137" i="12" s="1"/>
  <c r="I1137" i="12" s="1"/>
  <c r="K1137" i="12" s="1"/>
  <c r="E1136" i="12"/>
  <c r="F1136" i="12" s="1"/>
  <c r="G1136" i="12" s="1"/>
  <c r="I1136" i="12" s="1"/>
  <c r="K1136" i="12" s="1"/>
  <c r="E1135" i="12"/>
  <c r="F1135" i="12" s="1"/>
  <c r="G1135" i="12" s="1"/>
  <c r="I1135" i="12" s="1"/>
  <c r="K1135" i="12" s="1"/>
  <c r="E1134" i="12"/>
  <c r="F1134" i="12" s="1"/>
  <c r="G1134" i="12" s="1"/>
  <c r="I1134" i="12" s="1"/>
  <c r="K1134" i="12" s="1"/>
  <c r="E1133" i="12"/>
  <c r="F1133" i="12" s="1"/>
  <c r="G1133" i="12" s="1"/>
  <c r="I1133" i="12" s="1"/>
  <c r="K1133" i="12" s="1"/>
  <c r="E1132" i="12"/>
  <c r="F1132" i="12" s="1"/>
  <c r="G1132" i="12" s="1"/>
  <c r="I1132" i="12" s="1"/>
  <c r="K1132" i="12" s="1"/>
  <c r="E1131" i="12"/>
  <c r="F1131" i="12" s="1"/>
  <c r="G1131" i="12" s="1"/>
  <c r="I1131" i="12" s="1"/>
  <c r="K1131" i="12" s="1"/>
  <c r="D1130" i="12"/>
  <c r="E1129" i="12"/>
  <c r="F1129" i="12" s="1"/>
  <c r="G1129" i="12" s="1"/>
  <c r="I1129" i="12" s="1"/>
  <c r="K1129" i="12" s="1"/>
  <c r="E1128" i="12"/>
  <c r="F1128" i="12" s="1"/>
  <c r="G1128" i="12" s="1"/>
  <c r="I1128" i="12" s="1"/>
  <c r="K1128" i="12" s="1"/>
  <c r="E1127" i="12"/>
  <c r="F1127" i="12" s="1"/>
  <c r="G1127" i="12" s="1"/>
  <c r="I1127" i="12" s="1"/>
  <c r="K1127" i="12" s="1"/>
  <c r="E1126" i="12"/>
  <c r="F1126" i="12" s="1"/>
  <c r="G1126" i="12" s="1"/>
  <c r="I1126" i="12" s="1"/>
  <c r="K1126" i="12" s="1"/>
  <c r="E1125" i="12"/>
  <c r="F1125" i="12" s="1"/>
  <c r="G1125" i="12" s="1"/>
  <c r="I1125" i="12" s="1"/>
  <c r="K1125" i="12" s="1"/>
  <c r="E1124" i="12"/>
  <c r="F1124" i="12" s="1"/>
  <c r="G1124" i="12" s="1"/>
  <c r="I1124" i="12" s="1"/>
  <c r="K1124" i="12" s="1"/>
  <c r="E1123" i="12"/>
  <c r="F1123" i="12" s="1"/>
  <c r="G1123" i="12" s="1"/>
  <c r="I1123" i="12" s="1"/>
  <c r="K1123" i="12" s="1"/>
  <c r="E1122" i="12"/>
  <c r="F1122" i="12" s="1"/>
  <c r="G1122" i="12" s="1"/>
  <c r="I1122" i="12" s="1"/>
  <c r="K1122" i="12" s="1"/>
  <c r="E1121" i="12"/>
  <c r="F1121" i="12" s="1"/>
  <c r="G1121" i="12" s="1"/>
  <c r="I1121" i="12" s="1"/>
  <c r="K1121" i="12" s="1"/>
  <c r="E1120" i="12"/>
  <c r="F1120" i="12" s="1"/>
  <c r="G1120" i="12" s="1"/>
  <c r="I1120" i="12" s="1"/>
  <c r="K1120" i="12" s="1"/>
  <c r="D1119" i="12"/>
  <c r="E1118" i="12"/>
  <c r="F1118" i="12" s="1"/>
  <c r="G1118" i="12" s="1"/>
  <c r="I1118" i="12" s="1"/>
  <c r="K1118" i="12" s="1"/>
  <c r="D1117" i="12"/>
  <c r="D1116" i="12"/>
  <c r="D1115" i="12"/>
  <c r="E1114" i="12"/>
  <c r="F1114" i="12" s="1"/>
  <c r="G1114" i="12" s="1"/>
  <c r="I1114" i="12" s="1"/>
  <c r="K1114" i="12" s="1"/>
  <c r="D1113" i="12"/>
  <c r="E1113" i="12" s="1"/>
  <c r="F1113" i="12" s="1"/>
  <c r="G1113" i="12" s="1"/>
  <c r="I1113" i="12" s="1"/>
  <c r="K1113" i="12" s="1"/>
  <c r="E1112" i="12"/>
  <c r="F1112" i="12" s="1"/>
  <c r="G1112" i="12" s="1"/>
  <c r="I1112" i="12" s="1"/>
  <c r="K1112" i="12" s="1"/>
  <c r="E1111" i="12"/>
  <c r="F1111" i="12" s="1"/>
  <c r="G1111" i="12" s="1"/>
  <c r="I1111" i="12" s="1"/>
  <c r="K1111" i="12" s="1"/>
  <c r="E1110" i="12"/>
  <c r="F1110" i="12" s="1"/>
  <c r="G1110" i="12" s="1"/>
  <c r="I1110" i="12" s="1"/>
  <c r="K1110" i="12" s="1"/>
  <c r="E1109" i="12"/>
  <c r="F1109" i="12" s="1"/>
  <c r="G1109" i="12" s="1"/>
  <c r="I1109" i="12" s="1"/>
  <c r="K1109" i="12" s="1"/>
  <c r="D1108" i="12"/>
  <c r="E1107" i="12"/>
  <c r="F1107" i="12" s="1"/>
  <c r="G1107" i="12" s="1"/>
  <c r="I1107" i="12" s="1"/>
  <c r="K1107" i="12" s="1"/>
  <c r="E1106" i="12"/>
  <c r="F1106" i="12" s="1"/>
  <c r="G1106" i="12" s="1"/>
  <c r="I1106" i="12" s="1"/>
  <c r="K1106" i="12" s="1"/>
  <c r="E1105" i="12"/>
  <c r="F1105" i="12" s="1"/>
  <c r="G1105" i="12" s="1"/>
  <c r="I1105" i="12" s="1"/>
  <c r="K1105" i="12" s="1"/>
  <c r="D1104" i="12"/>
  <c r="E1103" i="12"/>
  <c r="F1103" i="12" s="1"/>
  <c r="G1103" i="12" s="1"/>
  <c r="I1103" i="12" s="1"/>
  <c r="K1103" i="12" s="1"/>
  <c r="E1102" i="12"/>
  <c r="F1102" i="12" s="1"/>
  <c r="G1102" i="12" s="1"/>
  <c r="I1102" i="12" s="1"/>
  <c r="K1102" i="12" s="1"/>
  <c r="D1101" i="12"/>
  <c r="E1100" i="12"/>
  <c r="F1100" i="12" s="1"/>
  <c r="G1100" i="12" s="1"/>
  <c r="I1100" i="12" s="1"/>
  <c r="K1100" i="12" s="1"/>
  <c r="D1099" i="12"/>
  <c r="E1098" i="12"/>
  <c r="F1098" i="12" s="1"/>
  <c r="G1098" i="12" s="1"/>
  <c r="I1098" i="12" s="1"/>
  <c r="K1098" i="12" s="1"/>
  <c r="D1097" i="12"/>
  <c r="E1097" i="12" s="1"/>
  <c r="F1097" i="12" s="1"/>
  <c r="G1097" i="12" s="1"/>
  <c r="I1097" i="12" s="1"/>
  <c r="K1097" i="12" s="1"/>
  <c r="D1096" i="12"/>
  <c r="E1095" i="12"/>
  <c r="F1095" i="12" s="1"/>
  <c r="G1095" i="12" s="1"/>
  <c r="I1095" i="12" s="1"/>
  <c r="K1095" i="12" s="1"/>
  <c r="E1094" i="12"/>
  <c r="F1094" i="12" s="1"/>
  <c r="G1094" i="12" s="1"/>
  <c r="I1094" i="12" s="1"/>
  <c r="K1094" i="12" s="1"/>
  <c r="E1093" i="12"/>
  <c r="F1093" i="12" s="1"/>
  <c r="G1093" i="12" s="1"/>
  <c r="I1093" i="12" s="1"/>
  <c r="K1093" i="12" s="1"/>
  <c r="E1092" i="12"/>
  <c r="F1092" i="12" s="1"/>
  <c r="G1092" i="12" s="1"/>
  <c r="I1092" i="12" s="1"/>
  <c r="K1092" i="12" s="1"/>
  <c r="E1091" i="12"/>
  <c r="F1091" i="12" s="1"/>
  <c r="G1091" i="12" s="1"/>
  <c r="I1091" i="12" s="1"/>
  <c r="K1091" i="12" s="1"/>
  <c r="E1090" i="12"/>
  <c r="F1090" i="12" s="1"/>
  <c r="G1090" i="12" s="1"/>
  <c r="I1090" i="12" s="1"/>
  <c r="K1090" i="12" s="1"/>
  <c r="E1089" i="12"/>
  <c r="F1089" i="12" s="1"/>
  <c r="G1089" i="12" s="1"/>
  <c r="I1089" i="12" s="1"/>
  <c r="K1089" i="12" s="1"/>
  <c r="E1088" i="12"/>
  <c r="F1088" i="12" s="1"/>
  <c r="G1088" i="12" s="1"/>
  <c r="I1088" i="12" s="1"/>
  <c r="K1088" i="12" s="1"/>
  <c r="E1087" i="12"/>
  <c r="F1087" i="12" s="1"/>
  <c r="G1087" i="12" s="1"/>
  <c r="I1087" i="12" s="1"/>
  <c r="K1087" i="12" s="1"/>
  <c r="E1086" i="12"/>
  <c r="F1086" i="12" s="1"/>
  <c r="G1086" i="12" s="1"/>
  <c r="I1086" i="12" s="1"/>
  <c r="K1086" i="12" s="1"/>
  <c r="E1085" i="12"/>
  <c r="F1085" i="12" s="1"/>
  <c r="G1085" i="12" s="1"/>
  <c r="I1085" i="12" s="1"/>
  <c r="K1085" i="12" s="1"/>
  <c r="E1084" i="12"/>
  <c r="F1084" i="12" s="1"/>
  <c r="G1084" i="12" s="1"/>
  <c r="I1084" i="12" s="1"/>
  <c r="K1084" i="12" s="1"/>
  <c r="E1083" i="12"/>
  <c r="F1083" i="12" s="1"/>
  <c r="G1083" i="12" s="1"/>
  <c r="I1083" i="12" s="1"/>
  <c r="K1083" i="12" s="1"/>
  <c r="E1082" i="12"/>
  <c r="F1082" i="12" s="1"/>
  <c r="G1082" i="12" s="1"/>
  <c r="I1082" i="12" s="1"/>
  <c r="K1082" i="12" s="1"/>
  <c r="E1081" i="12"/>
  <c r="F1081" i="12" s="1"/>
  <c r="G1081" i="12" s="1"/>
  <c r="I1081" i="12" s="1"/>
  <c r="K1081" i="12" s="1"/>
  <c r="E1080" i="12"/>
  <c r="F1080" i="12" s="1"/>
  <c r="G1080" i="12" s="1"/>
  <c r="I1080" i="12" s="1"/>
  <c r="K1080" i="12" s="1"/>
  <c r="E1079" i="12"/>
  <c r="F1079" i="12" s="1"/>
  <c r="G1079" i="12" s="1"/>
  <c r="I1079" i="12" s="1"/>
  <c r="K1079" i="12" s="1"/>
  <c r="E1078" i="12"/>
  <c r="F1078" i="12" s="1"/>
  <c r="G1078" i="12" s="1"/>
  <c r="I1078" i="12" s="1"/>
  <c r="K1078" i="12" s="1"/>
  <c r="E1077" i="12"/>
  <c r="F1077" i="12" s="1"/>
  <c r="G1077" i="12" s="1"/>
  <c r="I1077" i="12" s="1"/>
  <c r="K1077" i="12" s="1"/>
  <c r="E1076" i="12"/>
  <c r="F1076" i="12" s="1"/>
  <c r="G1076" i="12" s="1"/>
  <c r="I1076" i="12" s="1"/>
  <c r="K1076" i="12" s="1"/>
  <c r="E1075" i="12"/>
  <c r="F1075" i="12" s="1"/>
  <c r="G1075" i="12" s="1"/>
  <c r="I1075" i="12" s="1"/>
  <c r="K1075" i="12" s="1"/>
  <c r="E1074" i="12"/>
  <c r="F1074" i="12" s="1"/>
  <c r="G1074" i="12" s="1"/>
  <c r="I1074" i="12" s="1"/>
  <c r="K1074" i="12" s="1"/>
  <c r="E1073" i="12"/>
  <c r="F1073" i="12" s="1"/>
  <c r="G1073" i="12" s="1"/>
  <c r="I1073" i="12" s="1"/>
  <c r="K1073" i="12" s="1"/>
  <c r="E1072" i="12"/>
  <c r="F1072" i="12" s="1"/>
  <c r="G1072" i="12" s="1"/>
  <c r="I1072" i="12" s="1"/>
  <c r="K1072" i="12" s="1"/>
  <c r="E1071" i="12"/>
  <c r="F1071" i="12" s="1"/>
  <c r="G1071" i="12" s="1"/>
  <c r="I1071" i="12" s="1"/>
  <c r="K1071" i="12" s="1"/>
  <c r="E1070" i="12"/>
  <c r="F1070" i="12" s="1"/>
  <c r="G1070" i="12" s="1"/>
  <c r="I1070" i="12" s="1"/>
  <c r="K1070" i="12" s="1"/>
  <c r="E1069" i="12"/>
  <c r="F1069" i="12" s="1"/>
  <c r="G1069" i="12" s="1"/>
  <c r="I1069" i="12" s="1"/>
  <c r="K1069" i="12" s="1"/>
  <c r="E1068" i="12"/>
  <c r="F1068" i="12" s="1"/>
  <c r="G1068" i="12" s="1"/>
  <c r="I1068" i="12" s="1"/>
  <c r="K1068" i="12" s="1"/>
  <c r="E1067" i="12"/>
  <c r="F1067" i="12" s="1"/>
  <c r="G1067" i="12" s="1"/>
  <c r="I1067" i="12" s="1"/>
  <c r="K1067" i="12" s="1"/>
  <c r="E1066" i="12"/>
  <c r="F1066" i="12" s="1"/>
  <c r="G1066" i="12" s="1"/>
  <c r="I1066" i="12" s="1"/>
  <c r="K1066" i="12" s="1"/>
  <c r="E1065" i="12"/>
  <c r="F1065" i="12" s="1"/>
  <c r="G1065" i="12" s="1"/>
  <c r="I1065" i="12" s="1"/>
  <c r="K1065" i="12" s="1"/>
  <c r="E1064" i="12"/>
  <c r="F1064" i="12" s="1"/>
  <c r="G1064" i="12" s="1"/>
  <c r="I1064" i="12" s="1"/>
  <c r="K1064" i="12" s="1"/>
  <c r="E1063" i="12"/>
  <c r="F1063" i="12" s="1"/>
  <c r="G1063" i="12" s="1"/>
  <c r="I1063" i="12" s="1"/>
  <c r="K1063" i="12" s="1"/>
  <c r="D1062" i="12"/>
  <c r="E1061" i="12"/>
  <c r="F1061" i="12" s="1"/>
  <c r="G1061" i="12" s="1"/>
  <c r="I1061" i="12" s="1"/>
  <c r="K1061" i="12" s="1"/>
  <c r="E1060" i="12"/>
  <c r="F1060" i="12" s="1"/>
  <c r="G1060" i="12" s="1"/>
  <c r="I1060" i="12" s="1"/>
  <c r="K1060" i="12" s="1"/>
  <c r="D1059" i="12"/>
  <c r="D1058" i="12"/>
  <c r="D1057" i="12"/>
  <c r="E1057" i="12" s="1"/>
  <c r="F1057" i="12" s="1"/>
  <c r="G1057" i="12" s="1"/>
  <c r="I1057" i="12" s="1"/>
  <c r="K1057" i="12" s="1"/>
  <c r="D1056" i="12"/>
  <c r="D1055" i="12"/>
  <c r="E1054" i="12"/>
  <c r="F1054" i="12" s="1"/>
  <c r="G1054" i="12" s="1"/>
  <c r="I1054" i="12" s="1"/>
  <c r="K1054" i="12" s="1"/>
  <c r="D1053" i="12"/>
  <c r="D1052" i="12"/>
  <c r="D1051" i="12"/>
  <c r="E1050" i="12"/>
  <c r="F1050" i="12" s="1"/>
  <c r="G1050" i="12" s="1"/>
  <c r="I1050" i="12" s="1"/>
  <c r="K1050" i="12" s="1"/>
  <c r="E1049" i="12"/>
  <c r="F1049" i="12" s="1"/>
  <c r="G1049" i="12" s="1"/>
  <c r="I1049" i="12" s="1"/>
  <c r="K1049" i="12" s="1"/>
  <c r="D1048" i="12"/>
  <c r="E1047" i="12"/>
  <c r="F1047" i="12" s="1"/>
  <c r="G1047" i="12" s="1"/>
  <c r="I1047" i="12" s="1"/>
  <c r="K1047" i="12" s="1"/>
  <c r="E1046" i="12"/>
  <c r="F1046" i="12" s="1"/>
  <c r="G1046" i="12" s="1"/>
  <c r="I1046" i="12" s="1"/>
  <c r="K1046" i="12" s="1"/>
  <c r="E1045" i="12"/>
  <c r="F1045" i="12" s="1"/>
  <c r="G1045" i="12" s="1"/>
  <c r="I1045" i="12" s="1"/>
  <c r="K1045" i="12" s="1"/>
  <c r="E1044" i="12"/>
  <c r="F1044" i="12" s="1"/>
  <c r="G1044" i="12" s="1"/>
  <c r="I1044" i="12" s="1"/>
  <c r="K1044" i="12" s="1"/>
  <c r="D1043" i="12"/>
  <c r="D1042" i="12"/>
  <c r="E1041" i="12"/>
  <c r="F1041" i="12" s="1"/>
  <c r="G1041" i="12" s="1"/>
  <c r="I1041" i="12" s="1"/>
  <c r="K1041" i="12" s="1"/>
  <c r="E1040" i="12"/>
  <c r="F1040" i="12" s="1"/>
  <c r="G1040" i="12" s="1"/>
  <c r="I1040" i="12" s="1"/>
  <c r="K1040" i="12" s="1"/>
  <c r="E1039" i="12"/>
  <c r="F1039" i="12" s="1"/>
  <c r="G1039" i="12" s="1"/>
  <c r="I1039" i="12" s="1"/>
  <c r="K1039" i="12" s="1"/>
  <c r="D1038" i="12"/>
  <c r="E1037" i="12"/>
  <c r="F1037" i="12" s="1"/>
  <c r="G1037" i="12" s="1"/>
  <c r="I1037" i="12" s="1"/>
  <c r="K1037" i="12" s="1"/>
  <c r="D1036" i="12"/>
  <c r="E1035" i="12"/>
  <c r="F1035" i="12" s="1"/>
  <c r="G1035" i="12" s="1"/>
  <c r="I1035" i="12" s="1"/>
  <c r="K1035" i="12" s="1"/>
  <c r="E1034" i="12"/>
  <c r="F1034" i="12" s="1"/>
  <c r="G1034" i="12" s="1"/>
  <c r="I1034" i="12" s="1"/>
  <c r="K1034" i="12" s="1"/>
  <c r="E1033" i="12"/>
  <c r="F1033" i="12" s="1"/>
  <c r="G1033" i="12" s="1"/>
  <c r="I1033" i="12" s="1"/>
  <c r="K1033" i="12" s="1"/>
  <c r="E1032" i="12"/>
  <c r="F1032" i="12" s="1"/>
  <c r="G1032" i="12" s="1"/>
  <c r="I1032" i="12" s="1"/>
  <c r="K1032" i="12" s="1"/>
  <c r="E1031" i="12"/>
  <c r="F1031" i="12" s="1"/>
  <c r="G1031" i="12" s="1"/>
  <c r="I1031" i="12" s="1"/>
  <c r="K1031" i="12" s="1"/>
  <c r="E1030" i="12"/>
  <c r="F1030" i="12" s="1"/>
  <c r="G1030" i="12" s="1"/>
  <c r="I1030" i="12" s="1"/>
  <c r="K1030" i="12" s="1"/>
  <c r="E1029" i="12"/>
  <c r="F1029" i="12" s="1"/>
  <c r="G1029" i="12" s="1"/>
  <c r="I1029" i="12" s="1"/>
  <c r="K1029" i="12" s="1"/>
  <c r="E1028" i="12"/>
  <c r="F1028" i="12" s="1"/>
  <c r="G1028" i="12" s="1"/>
  <c r="I1028" i="12" s="1"/>
  <c r="K1028" i="12" s="1"/>
  <c r="E1027" i="12"/>
  <c r="F1027" i="12" s="1"/>
  <c r="G1027" i="12" s="1"/>
  <c r="I1027" i="12" s="1"/>
  <c r="K1027" i="12" s="1"/>
  <c r="D1026" i="12"/>
  <c r="E1025" i="12"/>
  <c r="F1025" i="12" s="1"/>
  <c r="G1025" i="12" s="1"/>
  <c r="I1025" i="12" s="1"/>
  <c r="K1025" i="12" s="1"/>
  <c r="E1024" i="12"/>
  <c r="F1024" i="12" s="1"/>
  <c r="G1024" i="12" s="1"/>
  <c r="I1024" i="12" s="1"/>
  <c r="K1024" i="12" s="1"/>
  <c r="E1023" i="12"/>
  <c r="F1023" i="12" s="1"/>
  <c r="G1023" i="12" s="1"/>
  <c r="I1023" i="12" s="1"/>
  <c r="K1023" i="12" s="1"/>
  <c r="E1022" i="12"/>
  <c r="F1022" i="12" s="1"/>
  <c r="G1022" i="12" s="1"/>
  <c r="I1022" i="12" s="1"/>
  <c r="K1022" i="12" s="1"/>
  <c r="E1021" i="12"/>
  <c r="F1021" i="12" s="1"/>
  <c r="G1021" i="12" s="1"/>
  <c r="I1021" i="12" s="1"/>
  <c r="K1021" i="12" s="1"/>
  <c r="D1020" i="12"/>
  <c r="E1019" i="12"/>
  <c r="F1019" i="12" s="1"/>
  <c r="G1019" i="12" s="1"/>
  <c r="I1019" i="12" s="1"/>
  <c r="K1019" i="12" s="1"/>
  <c r="E1018" i="12"/>
  <c r="F1018" i="12" s="1"/>
  <c r="G1018" i="12" s="1"/>
  <c r="I1018" i="12" s="1"/>
  <c r="K1018" i="12" s="1"/>
  <c r="D1017" i="12"/>
  <c r="E1017" i="12" s="1"/>
  <c r="F1017" i="12" s="1"/>
  <c r="G1017" i="12" s="1"/>
  <c r="I1017" i="12" s="1"/>
  <c r="K1017" i="12" s="1"/>
  <c r="E1016" i="12"/>
  <c r="F1016" i="12" s="1"/>
  <c r="G1016" i="12" s="1"/>
  <c r="I1016" i="12" s="1"/>
  <c r="K1016" i="12" s="1"/>
  <c r="E1015" i="12"/>
  <c r="F1015" i="12" s="1"/>
  <c r="G1015" i="12" s="1"/>
  <c r="I1015" i="12" s="1"/>
  <c r="K1015" i="12" s="1"/>
  <c r="E1014" i="12"/>
  <c r="F1014" i="12" s="1"/>
  <c r="G1014" i="12" s="1"/>
  <c r="I1014" i="12" s="1"/>
  <c r="K1014" i="12" s="1"/>
  <c r="E1013" i="12"/>
  <c r="F1013" i="12" s="1"/>
  <c r="G1013" i="12" s="1"/>
  <c r="I1013" i="12" s="1"/>
  <c r="K1013" i="12" s="1"/>
  <c r="E1012" i="12"/>
  <c r="F1012" i="12" s="1"/>
  <c r="G1012" i="12" s="1"/>
  <c r="I1012" i="12" s="1"/>
  <c r="K1012" i="12" s="1"/>
  <c r="E1011" i="12"/>
  <c r="F1011" i="12" s="1"/>
  <c r="G1011" i="12" s="1"/>
  <c r="I1011" i="12" s="1"/>
  <c r="K1011" i="12" s="1"/>
  <c r="E1010" i="12"/>
  <c r="F1010" i="12" s="1"/>
  <c r="G1010" i="12" s="1"/>
  <c r="I1010" i="12" s="1"/>
  <c r="K1010" i="12" s="1"/>
  <c r="E1009" i="12"/>
  <c r="F1009" i="12" s="1"/>
  <c r="G1009" i="12" s="1"/>
  <c r="I1009" i="12" s="1"/>
  <c r="K1009" i="12" s="1"/>
  <c r="E1008" i="12"/>
  <c r="F1008" i="12" s="1"/>
  <c r="G1008" i="12" s="1"/>
  <c r="I1008" i="12" s="1"/>
  <c r="K1008" i="12" s="1"/>
  <c r="E1007" i="12"/>
  <c r="F1007" i="12" s="1"/>
  <c r="G1007" i="12" s="1"/>
  <c r="I1007" i="12" s="1"/>
  <c r="K1007" i="12" s="1"/>
  <c r="E1006" i="12"/>
  <c r="F1006" i="12" s="1"/>
  <c r="G1006" i="12" s="1"/>
  <c r="I1006" i="12" s="1"/>
  <c r="K1006" i="12" s="1"/>
  <c r="E1005" i="12"/>
  <c r="F1005" i="12" s="1"/>
  <c r="G1005" i="12" s="1"/>
  <c r="I1005" i="12" s="1"/>
  <c r="K1005" i="12" s="1"/>
  <c r="D1004" i="12"/>
  <c r="D1003" i="12"/>
  <c r="D1002" i="12"/>
  <c r="E1001" i="12"/>
  <c r="F1001" i="12" s="1"/>
  <c r="G1001" i="12" s="1"/>
  <c r="I1001" i="12" s="1"/>
  <c r="K1001" i="12" s="1"/>
  <c r="E1000" i="12"/>
  <c r="F1000" i="12" s="1"/>
  <c r="G1000" i="12" s="1"/>
  <c r="I1000" i="12" s="1"/>
  <c r="K1000" i="12" s="1"/>
  <c r="E999" i="12"/>
  <c r="F999" i="12" s="1"/>
  <c r="G999" i="12" s="1"/>
  <c r="I999" i="12" s="1"/>
  <c r="K999" i="12" s="1"/>
  <c r="E998" i="12"/>
  <c r="F998" i="12" s="1"/>
  <c r="G998" i="12" s="1"/>
  <c r="I998" i="12" s="1"/>
  <c r="K998" i="12" s="1"/>
  <c r="E997" i="12"/>
  <c r="F997" i="12" s="1"/>
  <c r="G997" i="12" s="1"/>
  <c r="I997" i="12" s="1"/>
  <c r="K997" i="12" s="1"/>
  <c r="E996" i="12"/>
  <c r="F996" i="12" s="1"/>
  <c r="G996" i="12" s="1"/>
  <c r="I996" i="12" s="1"/>
  <c r="K996" i="12" s="1"/>
  <c r="E995" i="12"/>
  <c r="F995" i="12" s="1"/>
  <c r="G995" i="12" s="1"/>
  <c r="I995" i="12" s="1"/>
  <c r="K995" i="12" s="1"/>
  <c r="E994" i="12"/>
  <c r="F994" i="12" s="1"/>
  <c r="G994" i="12" s="1"/>
  <c r="I994" i="12" s="1"/>
  <c r="K994" i="12" s="1"/>
  <c r="D993" i="12"/>
  <c r="E993" i="12" s="1"/>
  <c r="F993" i="12" s="1"/>
  <c r="G993" i="12" s="1"/>
  <c r="I993" i="12" s="1"/>
  <c r="K993" i="12" s="1"/>
  <c r="E992" i="12"/>
  <c r="F992" i="12" s="1"/>
  <c r="G992" i="12" s="1"/>
  <c r="I992" i="12" s="1"/>
  <c r="K992" i="12" s="1"/>
  <c r="E991" i="12"/>
  <c r="F991" i="12" s="1"/>
  <c r="G991" i="12" s="1"/>
  <c r="I991" i="12" s="1"/>
  <c r="K991" i="12" s="1"/>
  <c r="E990" i="12"/>
  <c r="F990" i="12" s="1"/>
  <c r="G990" i="12" s="1"/>
  <c r="I990" i="12" s="1"/>
  <c r="K990" i="12" s="1"/>
  <c r="E989" i="12"/>
  <c r="F989" i="12" s="1"/>
  <c r="G989" i="12" s="1"/>
  <c r="I989" i="12" s="1"/>
  <c r="K989" i="12" s="1"/>
  <c r="E988" i="12"/>
  <c r="F988" i="12" s="1"/>
  <c r="G988" i="12" s="1"/>
  <c r="I988" i="12" s="1"/>
  <c r="K988" i="12" s="1"/>
  <c r="E987" i="12"/>
  <c r="F987" i="12" s="1"/>
  <c r="G987" i="12" s="1"/>
  <c r="I987" i="12" s="1"/>
  <c r="K987" i="12" s="1"/>
  <c r="E986" i="12"/>
  <c r="F986" i="12" s="1"/>
  <c r="G986" i="12" s="1"/>
  <c r="I986" i="12" s="1"/>
  <c r="K986" i="12" s="1"/>
  <c r="E985" i="12"/>
  <c r="F985" i="12" s="1"/>
  <c r="G985" i="12" s="1"/>
  <c r="I985" i="12" s="1"/>
  <c r="K985" i="12" s="1"/>
  <c r="E984" i="12"/>
  <c r="F984" i="12" s="1"/>
  <c r="G984" i="12" s="1"/>
  <c r="I984" i="12" s="1"/>
  <c r="K984" i="12" s="1"/>
  <c r="E983" i="12"/>
  <c r="F983" i="12" s="1"/>
  <c r="G983" i="12" s="1"/>
  <c r="I983" i="12" s="1"/>
  <c r="K983" i="12" s="1"/>
  <c r="E982" i="12"/>
  <c r="F982" i="12" s="1"/>
  <c r="G982" i="12" s="1"/>
  <c r="I982" i="12" s="1"/>
  <c r="K982" i="12" s="1"/>
  <c r="E981" i="12"/>
  <c r="F981" i="12" s="1"/>
  <c r="G981" i="12" s="1"/>
  <c r="I981" i="12" s="1"/>
  <c r="K981" i="12" s="1"/>
  <c r="E980" i="12"/>
  <c r="F980" i="12" s="1"/>
  <c r="G980" i="12" s="1"/>
  <c r="I980" i="12" s="1"/>
  <c r="K980" i="12" s="1"/>
  <c r="D979" i="12"/>
  <c r="D978" i="12"/>
  <c r="E977" i="12"/>
  <c r="F977" i="12" s="1"/>
  <c r="G977" i="12" s="1"/>
  <c r="I977" i="12" s="1"/>
  <c r="K977" i="12" s="1"/>
  <c r="E976" i="12"/>
  <c r="F976" i="12" s="1"/>
  <c r="G976" i="12" s="1"/>
  <c r="I976" i="12" s="1"/>
  <c r="K976" i="12" s="1"/>
  <c r="E975" i="12"/>
  <c r="F975" i="12" s="1"/>
  <c r="G975" i="12" s="1"/>
  <c r="I975" i="12" s="1"/>
  <c r="K975" i="12" s="1"/>
  <c r="E974" i="12"/>
  <c r="F974" i="12" s="1"/>
  <c r="G974" i="12" s="1"/>
  <c r="I974" i="12" s="1"/>
  <c r="K974" i="12" s="1"/>
  <c r="E973" i="12"/>
  <c r="F973" i="12" s="1"/>
  <c r="G973" i="12" s="1"/>
  <c r="I973" i="12" s="1"/>
  <c r="K973" i="12" s="1"/>
  <c r="E972" i="12"/>
  <c r="F972" i="12" s="1"/>
  <c r="G972" i="12" s="1"/>
  <c r="I972" i="12" s="1"/>
  <c r="K972" i="12" s="1"/>
  <c r="E971" i="12"/>
  <c r="F971" i="12" s="1"/>
  <c r="G971" i="12" s="1"/>
  <c r="I971" i="12" s="1"/>
  <c r="K971" i="12" s="1"/>
  <c r="D970" i="12"/>
  <c r="E969" i="12"/>
  <c r="F969" i="12" s="1"/>
  <c r="G969" i="12" s="1"/>
  <c r="I969" i="12" s="1"/>
  <c r="K969" i="12" s="1"/>
  <c r="E968" i="12"/>
  <c r="F968" i="12" s="1"/>
  <c r="G968" i="12" s="1"/>
  <c r="I968" i="12" s="1"/>
  <c r="K968" i="12" s="1"/>
  <c r="E967" i="12"/>
  <c r="F967" i="12" s="1"/>
  <c r="G967" i="12" s="1"/>
  <c r="I967" i="12" s="1"/>
  <c r="K967" i="12" s="1"/>
  <c r="E966" i="12"/>
  <c r="F966" i="12" s="1"/>
  <c r="G966" i="12" s="1"/>
  <c r="I966" i="12" s="1"/>
  <c r="K966" i="12" s="1"/>
  <c r="D965" i="12"/>
  <c r="D964" i="12"/>
  <c r="D963" i="12"/>
  <c r="D962" i="12"/>
  <c r="D961" i="12"/>
  <c r="E961" i="12" s="1"/>
  <c r="F961" i="12" s="1"/>
  <c r="G961" i="12" s="1"/>
  <c r="I961" i="12" s="1"/>
  <c r="K961" i="12" s="1"/>
  <c r="E960" i="12"/>
  <c r="F960" i="12" s="1"/>
  <c r="G960" i="12" s="1"/>
  <c r="I960" i="12" s="1"/>
  <c r="K960" i="12" s="1"/>
  <c r="E959" i="12"/>
  <c r="F959" i="12" s="1"/>
  <c r="G959" i="12" s="1"/>
  <c r="I959" i="12" s="1"/>
  <c r="K959" i="12" s="1"/>
  <c r="E958" i="12"/>
  <c r="F958" i="12" s="1"/>
  <c r="G958" i="12" s="1"/>
  <c r="I958" i="12" s="1"/>
  <c r="K958" i="12" s="1"/>
  <c r="D957" i="12"/>
  <c r="D956" i="12"/>
  <c r="E955" i="12"/>
  <c r="F955" i="12" s="1"/>
  <c r="G955" i="12" s="1"/>
  <c r="I955" i="12" s="1"/>
  <c r="K955" i="12" s="1"/>
  <c r="E954" i="12"/>
  <c r="F954" i="12" s="1"/>
  <c r="G954" i="12" s="1"/>
  <c r="I954" i="12" s="1"/>
  <c r="K954" i="12" s="1"/>
  <c r="E953" i="12"/>
  <c r="F953" i="12" s="1"/>
  <c r="G953" i="12" s="1"/>
  <c r="I953" i="12" s="1"/>
  <c r="K953" i="12" s="1"/>
  <c r="E952" i="12"/>
  <c r="F952" i="12" s="1"/>
  <c r="G952" i="12" s="1"/>
  <c r="I952" i="12" s="1"/>
  <c r="K952" i="12" s="1"/>
  <c r="D951" i="12"/>
  <c r="E950" i="12"/>
  <c r="F950" i="12" s="1"/>
  <c r="G950" i="12" s="1"/>
  <c r="I950" i="12" s="1"/>
  <c r="K950" i="12" s="1"/>
  <c r="E949" i="12"/>
  <c r="F949" i="12" s="1"/>
  <c r="G949" i="12" s="1"/>
  <c r="I949" i="12" s="1"/>
  <c r="K949" i="12" s="1"/>
  <c r="E948" i="12"/>
  <c r="F948" i="12" s="1"/>
  <c r="G948" i="12" s="1"/>
  <c r="I948" i="12" s="1"/>
  <c r="K948" i="12" s="1"/>
  <c r="E946" i="12"/>
  <c r="F946" i="12" s="1"/>
  <c r="G946" i="12" s="1"/>
  <c r="I946" i="12" s="1"/>
  <c r="K946" i="12" s="1"/>
  <c r="E945" i="12"/>
  <c r="F945" i="12" s="1"/>
  <c r="G945" i="12" s="1"/>
  <c r="I945" i="12" s="1"/>
  <c r="K945" i="12" s="1"/>
  <c r="E944" i="12"/>
  <c r="F944" i="12" s="1"/>
  <c r="G944" i="12" s="1"/>
  <c r="I944" i="12" s="1"/>
  <c r="K944" i="12" s="1"/>
  <c r="E943" i="12"/>
  <c r="F943" i="12" s="1"/>
  <c r="G943" i="12" s="1"/>
  <c r="I943" i="12" s="1"/>
  <c r="K943" i="12" s="1"/>
  <c r="D942" i="12"/>
  <c r="D941" i="12"/>
  <c r="D940" i="12"/>
  <c r="E939" i="12"/>
  <c r="F939" i="12" s="1"/>
  <c r="G939" i="12" s="1"/>
  <c r="I939" i="12" s="1"/>
  <c r="K939" i="12" s="1"/>
  <c r="D938" i="12"/>
  <c r="E937" i="12"/>
  <c r="F937" i="12" s="1"/>
  <c r="G937" i="12" s="1"/>
  <c r="I937" i="12" s="1"/>
  <c r="K937" i="12" s="1"/>
  <c r="D936" i="12"/>
  <c r="D935" i="12"/>
  <c r="D934" i="12"/>
  <c r="D933" i="12"/>
  <c r="D932" i="12"/>
  <c r="D931" i="12"/>
  <c r="D930" i="12"/>
  <c r="E929" i="12"/>
  <c r="F929" i="12" s="1"/>
  <c r="G929" i="12" s="1"/>
  <c r="I929" i="12" s="1"/>
  <c r="K929" i="12" s="1"/>
  <c r="E928" i="12"/>
  <c r="F928" i="12" s="1"/>
  <c r="G928" i="12" s="1"/>
  <c r="I928" i="12" s="1"/>
  <c r="K928" i="12" s="1"/>
  <c r="D927" i="12"/>
  <c r="E926" i="12"/>
  <c r="F926" i="12" s="1"/>
  <c r="G926" i="12" s="1"/>
  <c r="I926" i="12" s="1"/>
  <c r="K926" i="12" s="1"/>
  <c r="E925" i="12"/>
  <c r="F925" i="12" s="1"/>
  <c r="G925" i="12" s="1"/>
  <c r="I925" i="12" s="1"/>
  <c r="K925" i="12" s="1"/>
  <c r="E924" i="12"/>
  <c r="F924" i="12" s="1"/>
  <c r="G924" i="12" s="1"/>
  <c r="I924" i="12" s="1"/>
  <c r="K924" i="12" s="1"/>
  <c r="E923" i="12"/>
  <c r="F923" i="12" s="1"/>
  <c r="G923" i="12" s="1"/>
  <c r="I923" i="12" s="1"/>
  <c r="K923" i="12" s="1"/>
  <c r="E922" i="12"/>
  <c r="F922" i="12" s="1"/>
  <c r="G922" i="12" s="1"/>
  <c r="I922" i="12" s="1"/>
  <c r="K922" i="12" s="1"/>
  <c r="E921" i="12"/>
  <c r="F921" i="12" s="1"/>
  <c r="G921" i="12" s="1"/>
  <c r="I921" i="12" s="1"/>
  <c r="K921" i="12" s="1"/>
  <c r="E920" i="12"/>
  <c r="F920" i="12" s="1"/>
  <c r="G920" i="12" s="1"/>
  <c r="I920" i="12" s="1"/>
  <c r="K920" i="12" s="1"/>
  <c r="D919" i="12"/>
  <c r="D918" i="12"/>
  <c r="D917" i="12"/>
  <c r="E916" i="12"/>
  <c r="F916" i="12" s="1"/>
  <c r="G916" i="12" s="1"/>
  <c r="I916" i="12" s="1"/>
  <c r="K916" i="12" s="1"/>
  <c r="E915" i="12"/>
  <c r="F915" i="12" s="1"/>
  <c r="G915" i="12" s="1"/>
  <c r="I915" i="12" s="1"/>
  <c r="K915" i="12" s="1"/>
  <c r="E914" i="12"/>
  <c r="F914" i="12" s="1"/>
  <c r="G914" i="12" s="1"/>
  <c r="I914" i="12" s="1"/>
  <c r="K914" i="12" s="1"/>
  <c r="E913" i="12"/>
  <c r="F913" i="12" s="1"/>
  <c r="G913" i="12" s="1"/>
  <c r="I913" i="12" s="1"/>
  <c r="K913" i="12" s="1"/>
  <c r="D912" i="12"/>
  <c r="D911" i="12"/>
  <c r="E910" i="12"/>
  <c r="F910" i="12" s="1"/>
  <c r="G910" i="12" s="1"/>
  <c r="I910" i="12" s="1"/>
  <c r="K910" i="12" s="1"/>
  <c r="E909" i="12"/>
  <c r="F909" i="12" s="1"/>
  <c r="G909" i="12" s="1"/>
  <c r="I909" i="12" s="1"/>
  <c r="K909" i="12" s="1"/>
  <c r="E908" i="12"/>
  <c r="F908" i="12" s="1"/>
  <c r="G908" i="12" s="1"/>
  <c r="I908" i="12" s="1"/>
  <c r="K908" i="12" s="1"/>
  <c r="E907" i="12"/>
  <c r="F907" i="12" s="1"/>
  <c r="G907" i="12" s="1"/>
  <c r="I907" i="12" s="1"/>
  <c r="K907" i="12" s="1"/>
  <c r="E906" i="12"/>
  <c r="F906" i="12" s="1"/>
  <c r="G906" i="12" s="1"/>
  <c r="I906" i="12" s="1"/>
  <c r="K906" i="12" s="1"/>
  <c r="E905" i="12"/>
  <c r="F905" i="12" s="1"/>
  <c r="G905" i="12" s="1"/>
  <c r="I905" i="12" s="1"/>
  <c r="K905" i="12" s="1"/>
  <c r="E904" i="12"/>
  <c r="F904" i="12" s="1"/>
  <c r="G904" i="12" s="1"/>
  <c r="I904" i="12" s="1"/>
  <c r="K904" i="12" s="1"/>
  <c r="E903" i="12"/>
  <c r="F903" i="12" s="1"/>
  <c r="G903" i="12" s="1"/>
  <c r="I903" i="12" s="1"/>
  <c r="K903" i="12" s="1"/>
  <c r="E902" i="12"/>
  <c r="F902" i="12" s="1"/>
  <c r="G902" i="12" s="1"/>
  <c r="I902" i="12" s="1"/>
  <c r="K902" i="12" s="1"/>
  <c r="E901" i="12"/>
  <c r="F901" i="12" s="1"/>
  <c r="G901" i="12" s="1"/>
  <c r="I901" i="12" s="1"/>
  <c r="K901" i="12" s="1"/>
  <c r="E900" i="12"/>
  <c r="F900" i="12" s="1"/>
  <c r="G900" i="12" s="1"/>
  <c r="I900" i="12" s="1"/>
  <c r="K900" i="12" s="1"/>
  <c r="D899" i="12"/>
  <c r="E898" i="12"/>
  <c r="F898" i="12" s="1"/>
  <c r="G898" i="12" s="1"/>
  <c r="I898" i="12" s="1"/>
  <c r="K898" i="12" s="1"/>
  <c r="D897" i="12"/>
  <c r="E897" i="12" s="1"/>
  <c r="F897" i="12" s="1"/>
  <c r="G897" i="12" s="1"/>
  <c r="I897" i="12" s="1"/>
  <c r="K897" i="12" s="1"/>
  <c r="E896" i="12"/>
  <c r="F896" i="12" s="1"/>
  <c r="G896" i="12" s="1"/>
  <c r="I896" i="12" s="1"/>
  <c r="K896" i="12" s="1"/>
  <c r="E895" i="12"/>
  <c r="F895" i="12" s="1"/>
  <c r="G895" i="12" s="1"/>
  <c r="I895" i="12" s="1"/>
  <c r="K895" i="12" s="1"/>
  <c r="D894" i="12"/>
  <c r="D893" i="12"/>
  <c r="D892" i="12"/>
  <c r="E891" i="12"/>
  <c r="F891" i="12" s="1"/>
  <c r="G891" i="12" s="1"/>
  <c r="I891" i="12" s="1"/>
  <c r="K891" i="12" s="1"/>
  <c r="E890" i="12"/>
  <c r="F890" i="12" s="1"/>
  <c r="G890" i="12" s="1"/>
  <c r="I890" i="12" s="1"/>
  <c r="K890" i="12" s="1"/>
  <c r="E889" i="12"/>
  <c r="F889" i="12" s="1"/>
  <c r="G889" i="12" s="1"/>
  <c r="I889" i="12" s="1"/>
  <c r="K889" i="12" s="1"/>
  <c r="E888" i="12"/>
  <c r="F888" i="12" s="1"/>
  <c r="G888" i="12" s="1"/>
  <c r="I888" i="12" s="1"/>
  <c r="K888" i="12" s="1"/>
  <c r="E887" i="12"/>
  <c r="F887" i="12" s="1"/>
  <c r="G887" i="12" s="1"/>
  <c r="I887" i="12" s="1"/>
  <c r="K887" i="12" s="1"/>
  <c r="E886" i="12"/>
  <c r="F886" i="12" s="1"/>
  <c r="G886" i="12" s="1"/>
  <c r="I886" i="12" s="1"/>
  <c r="K886" i="12" s="1"/>
  <c r="E885" i="12"/>
  <c r="F885" i="12" s="1"/>
  <c r="G885" i="12" s="1"/>
  <c r="I885" i="12" s="1"/>
  <c r="K885" i="12" s="1"/>
  <c r="E884" i="12"/>
  <c r="F884" i="12" s="1"/>
  <c r="G884" i="12" s="1"/>
  <c r="I884" i="12" s="1"/>
  <c r="K884" i="12" s="1"/>
  <c r="E883" i="12"/>
  <c r="F883" i="12" s="1"/>
  <c r="G883" i="12" s="1"/>
  <c r="I883" i="12" s="1"/>
  <c r="K883" i="12" s="1"/>
  <c r="E882" i="12"/>
  <c r="F882" i="12" s="1"/>
  <c r="G882" i="12" s="1"/>
  <c r="I882" i="12" s="1"/>
  <c r="K882" i="12" s="1"/>
  <c r="E881" i="12"/>
  <c r="F881" i="12" s="1"/>
  <c r="G881" i="12" s="1"/>
  <c r="I881" i="12" s="1"/>
  <c r="K881" i="12" s="1"/>
  <c r="E880" i="12"/>
  <c r="F880" i="12" s="1"/>
  <c r="G880" i="12" s="1"/>
  <c r="I880" i="12" s="1"/>
  <c r="K880" i="12" s="1"/>
  <c r="E879" i="12"/>
  <c r="F879" i="12" s="1"/>
  <c r="G879" i="12" s="1"/>
  <c r="I879" i="12" s="1"/>
  <c r="K879" i="12" s="1"/>
  <c r="E878" i="12"/>
  <c r="F878" i="12" s="1"/>
  <c r="G878" i="12" s="1"/>
  <c r="I878" i="12" s="1"/>
  <c r="K878" i="12" s="1"/>
  <c r="E877" i="12"/>
  <c r="F877" i="12" s="1"/>
  <c r="G877" i="12" s="1"/>
  <c r="I877" i="12" s="1"/>
  <c r="K877" i="12" s="1"/>
  <c r="E876" i="12"/>
  <c r="F876" i="12" s="1"/>
  <c r="G876" i="12" s="1"/>
  <c r="I876" i="12" s="1"/>
  <c r="K876" i="12" s="1"/>
  <c r="D875" i="12"/>
  <c r="E874" i="12"/>
  <c r="F874" i="12" s="1"/>
  <c r="G874" i="12" s="1"/>
  <c r="I874" i="12" s="1"/>
  <c r="K874" i="12" s="1"/>
  <c r="E873" i="12"/>
  <c r="F873" i="12" s="1"/>
  <c r="G873" i="12" s="1"/>
  <c r="I873" i="12" s="1"/>
  <c r="K873" i="12" s="1"/>
  <c r="E872" i="12"/>
  <c r="F872" i="12" s="1"/>
  <c r="G872" i="12" s="1"/>
  <c r="I872" i="12" s="1"/>
  <c r="K872" i="12" s="1"/>
  <c r="E871" i="12"/>
  <c r="F871" i="12" s="1"/>
  <c r="G871" i="12" s="1"/>
  <c r="I871" i="12" s="1"/>
  <c r="K871" i="12" s="1"/>
  <c r="E870" i="12"/>
  <c r="F870" i="12" s="1"/>
  <c r="G870" i="12" s="1"/>
  <c r="I870" i="12" s="1"/>
  <c r="K870" i="12" s="1"/>
  <c r="E869" i="12"/>
  <c r="F869" i="12" s="1"/>
  <c r="G869" i="12" s="1"/>
  <c r="I869" i="12" s="1"/>
  <c r="K869" i="12" s="1"/>
  <c r="D868" i="12"/>
  <c r="E867" i="12"/>
  <c r="F867" i="12" s="1"/>
  <c r="G867" i="12" s="1"/>
  <c r="I867" i="12" s="1"/>
  <c r="K867" i="12" s="1"/>
  <c r="E866" i="12"/>
  <c r="F866" i="12" s="1"/>
  <c r="G866" i="12" s="1"/>
  <c r="I866" i="12" s="1"/>
  <c r="K866" i="12" s="1"/>
  <c r="E865" i="12"/>
  <c r="F865" i="12" s="1"/>
  <c r="G865" i="12" s="1"/>
  <c r="I865" i="12" s="1"/>
  <c r="K865" i="12" s="1"/>
  <c r="E864" i="12"/>
  <c r="F864" i="12" s="1"/>
  <c r="G864" i="12" s="1"/>
  <c r="I864" i="12" s="1"/>
  <c r="K864" i="12" s="1"/>
  <c r="E863" i="12"/>
  <c r="F863" i="12" s="1"/>
  <c r="G863" i="12" s="1"/>
  <c r="I863" i="12" s="1"/>
  <c r="K863" i="12" s="1"/>
  <c r="D862" i="12"/>
  <c r="E861" i="12"/>
  <c r="F861" i="12" s="1"/>
  <c r="G861" i="12" s="1"/>
  <c r="I861" i="12" s="1"/>
  <c r="K861" i="12" s="1"/>
  <c r="D860" i="12"/>
  <c r="D859" i="12"/>
  <c r="E858" i="12"/>
  <c r="F858" i="12" s="1"/>
  <c r="G858" i="12" s="1"/>
  <c r="I858" i="12" s="1"/>
  <c r="K858" i="12" s="1"/>
  <c r="E857" i="12"/>
  <c r="F857" i="12" s="1"/>
  <c r="G857" i="12" s="1"/>
  <c r="I857" i="12" s="1"/>
  <c r="K857" i="12" s="1"/>
  <c r="E856" i="12"/>
  <c r="F856" i="12" s="1"/>
  <c r="G856" i="12" s="1"/>
  <c r="I856" i="12" s="1"/>
  <c r="K856" i="12" s="1"/>
  <c r="D855" i="12"/>
  <c r="E854" i="12"/>
  <c r="F854" i="12" s="1"/>
  <c r="G854" i="12" s="1"/>
  <c r="I854" i="12" s="1"/>
  <c r="K854" i="12" s="1"/>
  <c r="E853" i="12"/>
  <c r="F853" i="12" s="1"/>
  <c r="G853" i="12" s="1"/>
  <c r="I853" i="12" s="1"/>
  <c r="K853" i="12" s="1"/>
  <c r="E852" i="12"/>
  <c r="F852" i="12" s="1"/>
  <c r="G852" i="12" s="1"/>
  <c r="I852" i="12" s="1"/>
  <c r="K852" i="12" s="1"/>
  <c r="E851" i="12"/>
  <c r="F851" i="12" s="1"/>
  <c r="G851" i="12" s="1"/>
  <c r="I851" i="12" s="1"/>
  <c r="K851" i="12" s="1"/>
  <c r="E850" i="12"/>
  <c r="F850" i="12" s="1"/>
  <c r="G850" i="12" s="1"/>
  <c r="I850" i="12" s="1"/>
  <c r="K850" i="12" s="1"/>
  <c r="E849" i="12"/>
  <c r="F849" i="12" s="1"/>
  <c r="G849" i="12" s="1"/>
  <c r="I849" i="12" s="1"/>
  <c r="K849" i="12" s="1"/>
  <c r="E848" i="12"/>
  <c r="F848" i="12" s="1"/>
  <c r="G848" i="12" s="1"/>
  <c r="I848" i="12" s="1"/>
  <c r="K848" i="12" s="1"/>
  <c r="E847" i="12"/>
  <c r="F847" i="12" s="1"/>
  <c r="G847" i="12" s="1"/>
  <c r="I847" i="12" s="1"/>
  <c r="K847" i="12" s="1"/>
  <c r="E846" i="12"/>
  <c r="F846" i="12" s="1"/>
  <c r="G846" i="12" s="1"/>
  <c r="I846" i="12" s="1"/>
  <c r="K846" i="12" s="1"/>
  <c r="D845" i="12"/>
  <c r="E844" i="12"/>
  <c r="F844" i="12" s="1"/>
  <c r="G844" i="12" s="1"/>
  <c r="I844" i="12" s="1"/>
  <c r="K844" i="12" s="1"/>
  <c r="E843" i="12"/>
  <c r="F843" i="12" s="1"/>
  <c r="G843" i="12" s="1"/>
  <c r="I843" i="12" s="1"/>
  <c r="K843" i="12" s="1"/>
  <c r="E842" i="12"/>
  <c r="F842" i="12" s="1"/>
  <c r="G842" i="12" s="1"/>
  <c r="I842" i="12" s="1"/>
  <c r="K842" i="12" s="1"/>
  <c r="E841" i="12"/>
  <c r="F841" i="12" s="1"/>
  <c r="G841" i="12" s="1"/>
  <c r="I841" i="12" s="1"/>
  <c r="K841" i="12" s="1"/>
  <c r="E840" i="12"/>
  <c r="F840" i="12" s="1"/>
  <c r="G840" i="12" s="1"/>
  <c r="I840" i="12" s="1"/>
  <c r="K840" i="12" s="1"/>
  <c r="E839" i="12"/>
  <c r="F839" i="12" s="1"/>
  <c r="G839" i="12" s="1"/>
  <c r="I839" i="12" s="1"/>
  <c r="K839" i="12" s="1"/>
  <c r="E838" i="12"/>
  <c r="F838" i="12" s="1"/>
  <c r="G838" i="12" s="1"/>
  <c r="I838" i="12" s="1"/>
  <c r="K838" i="12" s="1"/>
  <c r="E837" i="12"/>
  <c r="F837" i="12" s="1"/>
  <c r="G837" i="12" s="1"/>
  <c r="I837" i="12" s="1"/>
  <c r="K837" i="12" s="1"/>
  <c r="D836" i="12"/>
  <c r="E835" i="12"/>
  <c r="F835" i="12" s="1"/>
  <c r="G835" i="12" s="1"/>
  <c r="I835" i="12" s="1"/>
  <c r="K835" i="12" s="1"/>
  <c r="E834" i="12"/>
  <c r="F834" i="12" s="1"/>
  <c r="G834" i="12" s="1"/>
  <c r="I834" i="12" s="1"/>
  <c r="K834" i="12" s="1"/>
  <c r="D833" i="12"/>
  <c r="E833" i="12" s="1"/>
  <c r="F833" i="12" s="1"/>
  <c r="G833" i="12" s="1"/>
  <c r="I833" i="12" s="1"/>
  <c r="K833" i="12" s="1"/>
  <c r="E832" i="12"/>
  <c r="F832" i="12" s="1"/>
  <c r="G832" i="12" s="1"/>
  <c r="I832" i="12" s="1"/>
  <c r="K832" i="12" s="1"/>
  <c r="E831" i="12"/>
  <c r="F831" i="12" s="1"/>
  <c r="G831" i="12" s="1"/>
  <c r="I831" i="12" s="1"/>
  <c r="K831" i="12" s="1"/>
  <c r="E830" i="12"/>
  <c r="F830" i="12" s="1"/>
  <c r="G830" i="12" s="1"/>
  <c r="I830" i="12" s="1"/>
  <c r="K830" i="12" s="1"/>
  <c r="D829" i="12"/>
  <c r="E828" i="12"/>
  <c r="F828" i="12" s="1"/>
  <c r="G828" i="12" s="1"/>
  <c r="I828" i="12" s="1"/>
  <c r="K828" i="12" s="1"/>
  <c r="D827" i="12"/>
  <c r="E826" i="12"/>
  <c r="F826" i="12" s="1"/>
  <c r="G826" i="12" s="1"/>
  <c r="I826" i="12" s="1"/>
  <c r="K826" i="12" s="1"/>
  <c r="E825" i="12"/>
  <c r="F825" i="12" s="1"/>
  <c r="G825" i="12" s="1"/>
  <c r="I825" i="12" s="1"/>
  <c r="K825" i="12" s="1"/>
  <c r="E824" i="12"/>
  <c r="F824" i="12" s="1"/>
  <c r="G824" i="12" s="1"/>
  <c r="I824" i="12" s="1"/>
  <c r="K824" i="12" s="1"/>
  <c r="E823" i="12"/>
  <c r="F823" i="12" s="1"/>
  <c r="G823" i="12" s="1"/>
  <c r="I823" i="12" s="1"/>
  <c r="K823" i="12" s="1"/>
  <c r="E822" i="12"/>
  <c r="F822" i="12" s="1"/>
  <c r="G822" i="12" s="1"/>
  <c r="I822" i="12" s="1"/>
  <c r="K822" i="12" s="1"/>
  <c r="E821" i="12"/>
  <c r="F821" i="12" s="1"/>
  <c r="G821" i="12" s="1"/>
  <c r="I821" i="12" s="1"/>
  <c r="K821" i="12" s="1"/>
  <c r="E820" i="12"/>
  <c r="F820" i="12" s="1"/>
  <c r="G820" i="12" s="1"/>
  <c r="I820" i="12" s="1"/>
  <c r="K820" i="12" s="1"/>
  <c r="E819" i="12"/>
  <c r="F819" i="12" s="1"/>
  <c r="G819" i="12" s="1"/>
  <c r="I819" i="12" s="1"/>
  <c r="K819" i="12" s="1"/>
  <c r="E818" i="12"/>
  <c r="F818" i="12" s="1"/>
  <c r="G818" i="12" s="1"/>
  <c r="I818" i="12" s="1"/>
  <c r="K818" i="12" s="1"/>
  <c r="E817" i="12"/>
  <c r="F817" i="12" s="1"/>
  <c r="G817" i="12" s="1"/>
  <c r="I817" i="12" s="1"/>
  <c r="K817" i="12" s="1"/>
  <c r="E816" i="12"/>
  <c r="F816" i="12" s="1"/>
  <c r="G816" i="12" s="1"/>
  <c r="I816" i="12" s="1"/>
  <c r="K816" i="12" s="1"/>
  <c r="E815" i="12"/>
  <c r="F815" i="12" s="1"/>
  <c r="G815" i="12" s="1"/>
  <c r="I815" i="12" s="1"/>
  <c r="K815" i="12" s="1"/>
  <c r="E814" i="12"/>
  <c r="F814" i="12" s="1"/>
  <c r="G814" i="12" s="1"/>
  <c r="I814" i="12" s="1"/>
  <c r="K814" i="12" s="1"/>
  <c r="E813" i="12"/>
  <c r="F813" i="12" s="1"/>
  <c r="G813" i="12" s="1"/>
  <c r="I813" i="12" s="1"/>
  <c r="K813" i="12" s="1"/>
  <c r="E812" i="12"/>
  <c r="F812" i="12" s="1"/>
  <c r="G812" i="12" s="1"/>
  <c r="I812" i="12" s="1"/>
  <c r="K812" i="12" s="1"/>
  <c r="E811" i="12"/>
  <c r="F811" i="12" s="1"/>
  <c r="G811" i="12" s="1"/>
  <c r="I811" i="12" s="1"/>
  <c r="K811" i="12" s="1"/>
  <c r="E810" i="12"/>
  <c r="F810" i="12" s="1"/>
  <c r="G810" i="12" s="1"/>
  <c r="I810" i="12" s="1"/>
  <c r="K810" i="12" s="1"/>
  <c r="E809" i="12"/>
  <c r="F809" i="12" s="1"/>
  <c r="G809" i="12" s="1"/>
  <c r="I809" i="12" s="1"/>
  <c r="K809" i="12" s="1"/>
  <c r="E808" i="12"/>
  <c r="F808" i="12" s="1"/>
  <c r="G808" i="12" s="1"/>
  <c r="I808" i="12" s="1"/>
  <c r="K808" i="12" s="1"/>
  <c r="E807" i="12"/>
  <c r="F807" i="12" s="1"/>
  <c r="G807" i="12" s="1"/>
  <c r="I807" i="12" s="1"/>
  <c r="K807" i="12" s="1"/>
  <c r="D806" i="12"/>
  <c r="E805" i="12"/>
  <c r="F805" i="12" s="1"/>
  <c r="G805" i="12" s="1"/>
  <c r="I805" i="12" s="1"/>
  <c r="K805" i="12" s="1"/>
  <c r="E804" i="12"/>
  <c r="F804" i="12" s="1"/>
  <c r="G804" i="12" s="1"/>
  <c r="I804" i="12" s="1"/>
  <c r="K804" i="12" s="1"/>
  <c r="D803" i="12"/>
  <c r="E802" i="12"/>
  <c r="F802" i="12" s="1"/>
  <c r="G802" i="12" s="1"/>
  <c r="I802" i="12" s="1"/>
  <c r="K802" i="12" s="1"/>
  <c r="E801" i="12"/>
  <c r="F801" i="12" s="1"/>
  <c r="G801" i="12" s="1"/>
  <c r="I801" i="12" s="1"/>
  <c r="K801" i="12" s="1"/>
  <c r="E800" i="12"/>
  <c r="F800" i="12" s="1"/>
  <c r="G800" i="12" s="1"/>
  <c r="I800" i="12" s="1"/>
  <c r="K800" i="12" s="1"/>
  <c r="E799" i="12"/>
  <c r="F799" i="12" s="1"/>
  <c r="G799" i="12" s="1"/>
  <c r="I799" i="12" s="1"/>
  <c r="K799" i="12" s="1"/>
  <c r="E798" i="12"/>
  <c r="F798" i="12" s="1"/>
  <c r="G798" i="12" s="1"/>
  <c r="I798" i="12" s="1"/>
  <c r="K798" i="12" s="1"/>
  <c r="E797" i="12"/>
  <c r="F797" i="12" s="1"/>
  <c r="G797" i="12" s="1"/>
  <c r="I797" i="12" s="1"/>
  <c r="K797" i="12" s="1"/>
  <c r="E796" i="12"/>
  <c r="F796" i="12" s="1"/>
  <c r="G796" i="12" s="1"/>
  <c r="I796" i="12" s="1"/>
  <c r="K796" i="12" s="1"/>
  <c r="E795" i="12"/>
  <c r="F795" i="12" s="1"/>
  <c r="G795" i="12" s="1"/>
  <c r="I795" i="12" s="1"/>
  <c r="K795" i="12" s="1"/>
  <c r="E794" i="12"/>
  <c r="F794" i="12" s="1"/>
  <c r="G794" i="12" s="1"/>
  <c r="I794" i="12" s="1"/>
  <c r="K794" i="12" s="1"/>
  <c r="E793" i="12"/>
  <c r="F793" i="12" s="1"/>
  <c r="G793" i="12" s="1"/>
  <c r="I793" i="12" s="1"/>
  <c r="K793" i="12" s="1"/>
  <c r="E792" i="12"/>
  <c r="F792" i="12" s="1"/>
  <c r="G792" i="12" s="1"/>
  <c r="I792" i="12" s="1"/>
  <c r="K792" i="12" s="1"/>
  <c r="E791" i="12"/>
  <c r="F791" i="12" s="1"/>
  <c r="G791" i="12" s="1"/>
  <c r="I791" i="12" s="1"/>
  <c r="K791" i="12" s="1"/>
  <c r="E790" i="12"/>
  <c r="F790" i="12" s="1"/>
  <c r="G790" i="12" s="1"/>
  <c r="I790" i="12" s="1"/>
  <c r="K790" i="12" s="1"/>
  <c r="E789" i="12"/>
  <c r="F789" i="12" s="1"/>
  <c r="G789" i="12" s="1"/>
  <c r="I789" i="12" s="1"/>
  <c r="K789" i="12" s="1"/>
  <c r="E788" i="12"/>
  <c r="F788" i="12" s="1"/>
  <c r="G788" i="12" s="1"/>
  <c r="I788" i="12" s="1"/>
  <c r="K788" i="12" s="1"/>
  <c r="E787" i="12"/>
  <c r="F787" i="12" s="1"/>
  <c r="G787" i="12" s="1"/>
  <c r="I787" i="12" s="1"/>
  <c r="K787" i="12" s="1"/>
  <c r="E786" i="12"/>
  <c r="F786" i="12" s="1"/>
  <c r="G786" i="12" s="1"/>
  <c r="I786" i="12" s="1"/>
  <c r="K786" i="12" s="1"/>
  <c r="E785" i="12"/>
  <c r="F785" i="12" s="1"/>
  <c r="G785" i="12" s="1"/>
  <c r="I785" i="12" s="1"/>
  <c r="K785" i="12" s="1"/>
  <c r="E784" i="12"/>
  <c r="F784" i="12" s="1"/>
  <c r="G784" i="12" s="1"/>
  <c r="I784" i="12" s="1"/>
  <c r="K784" i="12" s="1"/>
  <c r="E783" i="12"/>
  <c r="F783" i="12" s="1"/>
  <c r="G783" i="12" s="1"/>
  <c r="I783" i="12" s="1"/>
  <c r="K783" i="12" s="1"/>
  <c r="D782" i="12"/>
  <c r="D781" i="12"/>
  <c r="D780" i="12"/>
  <c r="D779" i="12"/>
  <c r="D778" i="12"/>
  <c r="D777" i="12"/>
  <c r="E777" i="12" s="1"/>
  <c r="F777" i="12" s="1"/>
  <c r="G777" i="12" s="1"/>
  <c r="I777" i="12" s="1"/>
  <c r="K777" i="12" s="1"/>
  <c r="D776" i="12"/>
  <c r="E775" i="12"/>
  <c r="F775" i="12" s="1"/>
  <c r="G775" i="12" s="1"/>
  <c r="I775" i="12" s="1"/>
  <c r="K775" i="12" s="1"/>
  <c r="E774" i="12"/>
  <c r="F774" i="12" s="1"/>
  <c r="G774" i="12" s="1"/>
  <c r="I774" i="12" s="1"/>
  <c r="K774" i="12" s="1"/>
  <c r="E773" i="12"/>
  <c r="F773" i="12" s="1"/>
  <c r="G773" i="12" s="1"/>
  <c r="I773" i="12" s="1"/>
  <c r="K773" i="12" s="1"/>
  <c r="D772" i="12"/>
  <c r="E771" i="12"/>
  <c r="F771" i="12" s="1"/>
  <c r="G771" i="12" s="1"/>
  <c r="I771" i="12" s="1"/>
  <c r="K771" i="12" s="1"/>
  <c r="E770" i="12"/>
  <c r="F770" i="12" s="1"/>
  <c r="G770" i="12" s="1"/>
  <c r="I770" i="12" s="1"/>
  <c r="K770" i="12" s="1"/>
  <c r="E769" i="12"/>
  <c r="F769" i="12" s="1"/>
  <c r="G769" i="12" s="1"/>
  <c r="I769" i="12" s="1"/>
  <c r="K769" i="12" s="1"/>
  <c r="E768" i="12"/>
  <c r="F768" i="12" s="1"/>
  <c r="G768" i="12" s="1"/>
  <c r="I768" i="12" s="1"/>
  <c r="K768" i="12" s="1"/>
  <c r="E767" i="12"/>
  <c r="F767" i="12" s="1"/>
  <c r="G767" i="12" s="1"/>
  <c r="I767" i="12" s="1"/>
  <c r="K767" i="12" s="1"/>
  <c r="E766" i="12"/>
  <c r="F766" i="12" s="1"/>
  <c r="G766" i="12" s="1"/>
  <c r="I766" i="12" s="1"/>
  <c r="K766" i="12" s="1"/>
  <c r="E765" i="12"/>
  <c r="F765" i="12" s="1"/>
  <c r="G765" i="12" s="1"/>
  <c r="I765" i="12" s="1"/>
  <c r="K765" i="12" s="1"/>
  <c r="D764" i="12"/>
  <c r="E763" i="12"/>
  <c r="F763" i="12" s="1"/>
  <c r="G763" i="12" s="1"/>
  <c r="I763" i="12" s="1"/>
  <c r="K763" i="12" s="1"/>
  <c r="E762" i="12"/>
  <c r="F762" i="12" s="1"/>
  <c r="G762" i="12" s="1"/>
  <c r="I762" i="12" s="1"/>
  <c r="K762" i="12" s="1"/>
  <c r="E761" i="12"/>
  <c r="F761" i="12" s="1"/>
  <c r="G761" i="12" s="1"/>
  <c r="I761" i="12" s="1"/>
  <c r="K761" i="12" s="1"/>
  <c r="E760" i="12"/>
  <c r="F760" i="12" s="1"/>
  <c r="G760" i="12" s="1"/>
  <c r="I760" i="12" s="1"/>
  <c r="K760" i="12" s="1"/>
  <c r="E759" i="12"/>
  <c r="F759" i="12" s="1"/>
  <c r="G759" i="12" s="1"/>
  <c r="I759" i="12" s="1"/>
  <c r="K759" i="12" s="1"/>
  <c r="E758" i="12"/>
  <c r="F758" i="12" s="1"/>
  <c r="G758" i="12" s="1"/>
  <c r="I758" i="12" s="1"/>
  <c r="K758" i="12" s="1"/>
  <c r="E757" i="12"/>
  <c r="F757" i="12" s="1"/>
  <c r="G757" i="12" s="1"/>
  <c r="I757" i="12" s="1"/>
  <c r="K757" i="12" s="1"/>
  <c r="E756" i="12"/>
  <c r="F756" i="12" s="1"/>
  <c r="G756" i="12" s="1"/>
  <c r="I756" i="12" s="1"/>
  <c r="K756" i="12" s="1"/>
  <c r="E755" i="12"/>
  <c r="F755" i="12" s="1"/>
  <c r="G755" i="12" s="1"/>
  <c r="I755" i="12" s="1"/>
  <c r="K755" i="12" s="1"/>
  <c r="E754" i="12"/>
  <c r="F754" i="12" s="1"/>
  <c r="G754" i="12" s="1"/>
  <c r="I754" i="12" s="1"/>
  <c r="K754" i="12" s="1"/>
  <c r="D753" i="12"/>
  <c r="E753" i="12" s="1"/>
  <c r="F753" i="12" s="1"/>
  <c r="G753" i="12" s="1"/>
  <c r="I753" i="12" s="1"/>
  <c r="K753" i="12" s="1"/>
  <c r="E752" i="12"/>
  <c r="F752" i="12" s="1"/>
  <c r="G752" i="12" s="1"/>
  <c r="I752" i="12" s="1"/>
  <c r="K752" i="12" s="1"/>
  <c r="E751" i="12"/>
  <c r="F751" i="12" s="1"/>
  <c r="G751" i="12" s="1"/>
  <c r="I751" i="12" s="1"/>
  <c r="K751" i="12" s="1"/>
  <c r="E750" i="12"/>
  <c r="F750" i="12" s="1"/>
  <c r="G750" i="12" s="1"/>
  <c r="I750" i="12" s="1"/>
  <c r="K750" i="12" s="1"/>
  <c r="E749" i="12"/>
  <c r="F749" i="12" s="1"/>
  <c r="G749" i="12" s="1"/>
  <c r="I749" i="12" s="1"/>
  <c r="K749" i="12" s="1"/>
  <c r="D748" i="12"/>
  <c r="E747" i="12"/>
  <c r="F747" i="12" s="1"/>
  <c r="G747" i="12" s="1"/>
  <c r="I747" i="12" s="1"/>
  <c r="K747" i="12" s="1"/>
  <c r="E746" i="12"/>
  <c r="F746" i="12" s="1"/>
  <c r="G746" i="12" s="1"/>
  <c r="I746" i="12" s="1"/>
  <c r="K746" i="12" s="1"/>
  <c r="E745" i="12"/>
  <c r="F745" i="12" s="1"/>
  <c r="G745" i="12" s="1"/>
  <c r="I745" i="12" s="1"/>
  <c r="K745" i="12" s="1"/>
  <c r="D744" i="12"/>
  <c r="E743" i="12"/>
  <c r="F743" i="12" s="1"/>
  <c r="G743" i="12" s="1"/>
  <c r="I743" i="12" s="1"/>
  <c r="K743" i="12" s="1"/>
  <c r="E742" i="12"/>
  <c r="F742" i="12" s="1"/>
  <c r="G742" i="12" s="1"/>
  <c r="I742" i="12" s="1"/>
  <c r="K742" i="12" s="1"/>
  <c r="E741" i="12"/>
  <c r="F741" i="12" s="1"/>
  <c r="G741" i="12" s="1"/>
  <c r="I741" i="12" s="1"/>
  <c r="K741" i="12" s="1"/>
  <c r="E740" i="12"/>
  <c r="F740" i="12" s="1"/>
  <c r="G740" i="12" s="1"/>
  <c r="I740" i="12" s="1"/>
  <c r="K740" i="12" s="1"/>
  <c r="E739" i="12"/>
  <c r="F739" i="12" s="1"/>
  <c r="G739" i="12" s="1"/>
  <c r="I739" i="12" s="1"/>
  <c r="K739" i="12" s="1"/>
  <c r="D738" i="12"/>
  <c r="E737" i="12"/>
  <c r="F737" i="12" s="1"/>
  <c r="G737" i="12" s="1"/>
  <c r="I737" i="12" s="1"/>
  <c r="K737" i="12" s="1"/>
  <c r="D736" i="12"/>
  <c r="E735" i="12"/>
  <c r="F735" i="12" s="1"/>
  <c r="G735" i="12" s="1"/>
  <c r="I735" i="12" s="1"/>
  <c r="K735" i="12" s="1"/>
  <c r="E734" i="12"/>
  <c r="F734" i="12" s="1"/>
  <c r="G734" i="12" s="1"/>
  <c r="I734" i="12" s="1"/>
  <c r="K734" i="12" s="1"/>
  <c r="E733" i="12"/>
  <c r="F733" i="12" s="1"/>
  <c r="G733" i="12" s="1"/>
  <c r="I733" i="12" s="1"/>
  <c r="K733" i="12" s="1"/>
  <c r="E732" i="12"/>
  <c r="F732" i="12" s="1"/>
  <c r="G732" i="12" s="1"/>
  <c r="I732" i="12" s="1"/>
  <c r="K732" i="12" s="1"/>
  <c r="D731" i="12"/>
  <c r="E730" i="12"/>
  <c r="F730" i="12" s="1"/>
  <c r="G730" i="12" s="1"/>
  <c r="I730" i="12" s="1"/>
  <c r="K730" i="12" s="1"/>
  <c r="E729" i="12"/>
  <c r="F729" i="12" s="1"/>
  <c r="G729" i="12" s="1"/>
  <c r="I729" i="12" s="1"/>
  <c r="K729" i="12" s="1"/>
  <c r="E728" i="12"/>
  <c r="F728" i="12" s="1"/>
  <c r="G728" i="12" s="1"/>
  <c r="I728" i="12" s="1"/>
  <c r="K728" i="12" s="1"/>
  <c r="E727" i="12"/>
  <c r="F727" i="12" s="1"/>
  <c r="G727" i="12" s="1"/>
  <c r="I727" i="12" s="1"/>
  <c r="K727" i="12" s="1"/>
  <c r="E726" i="12"/>
  <c r="F726" i="12" s="1"/>
  <c r="G726" i="12" s="1"/>
  <c r="I726" i="12" s="1"/>
  <c r="K726" i="12" s="1"/>
  <c r="E725" i="12"/>
  <c r="F725" i="12" s="1"/>
  <c r="G725" i="12" s="1"/>
  <c r="I725" i="12" s="1"/>
  <c r="K725" i="12" s="1"/>
  <c r="E724" i="12"/>
  <c r="F724" i="12" s="1"/>
  <c r="G724" i="12" s="1"/>
  <c r="I724" i="12" s="1"/>
  <c r="K724" i="12" s="1"/>
  <c r="I723" i="12"/>
  <c r="K723" i="12" s="1"/>
  <c r="E722" i="12"/>
  <c r="F722" i="12" s="1"/>
  <c r="G722" i="12" s="1"/>
  <c r="I722" i="12" s="1"/>
  <c r="K722" i="12" s="1"/>
  <c r="E721" i="12"/>
  <c r="F721" i="12" s="1"/>
  <c r="G721" i="12" s="1"/>
  <c r="I721" i="12" s="1"/>
  <c r="K721" i="12" s="1"/>
  <c r="E720" i="12"/>
  <c r="F720" i="12" s="1"/>
  <c r="G720" i="12" s="1"/>
  <c r="I720" i="12" s="1"/>
  <c r="K720" i="12" s="1"/>
  <c r="E719" i="12"/>
  <c r="F719" i="12" s="1"/>
  <c r="G719" i="12" s="1"/>
  <c r="I719" i="12" s="1"/>
  <c r="K719" i="12" s="1"/>
  <c r="E718" i="12"/>
  <c r="F718" i="12" s="1"/>
  <c r="G718" i="12" s="1"/>
  <c r="I718" i="12" s="1"/>
  <c r="K718" i="12" s="1"/>
  <c r="E717" i="12"/>
  <c r="F717" i="12" s="1"/>
  <c r="G717" i="12" s="1"/>
  <c r="I717" i="12" s="1"/>
  <c r="K717" i="12" s="1"/>
  <c r="E716" i="12"/>
  <c r="F716" i="12" s="1"/>
  <c r="G716" i="12" s="1"/>
  <c r="I716" i="12" s="1"/>
  <c r="K716" i="12" s="1"/>
  <c r="D715" i="12"/>
  <c r="D714" i="12"/>
  <c r="E713" i="12"/>
  <c r="F713" i="12" s="1"/>
  <c r="G713" i="12" s="1"/>
  <c r="I713" i="12" s="1"/>
  <c r="K713" i="12" s="1"/>
  <c r="E712" i="12"/>
  <c r="F712" i="12" s="1"/>
  <c r="G712" i="12" s="1"/>
  <c r="I712" i="12" s="1"/>
  <c r="K712" i="12" s="1"/>
  <c r="E711" i="12"/>
  <c r="F711" i="12" s="1"/>
  <c r="G711" i="12" s="1"/>
  <c r="I711" i="12" s="1"/>
  <c r="K711" i="12" s="1"/>
  <c r="E710" i="12"/>
  <c r="F710" i="12" s="1"/>
  <c r="G710" i="12" s="1"/>
  <c r="I710" i="12" s="1"/>
  <c r="K710" i="12" s="1"/>
  <c r="D709" i="12"/>
  <c r="E708" i="12"/>
  <c r="F708" i="12" s="1"/>
  <c r="G708" i="12" s="1"/>
  <c r="I708" i="12" s="1"/>
  <c r="K708" i="12" s="1"/>
  <c r="E707" i="12"/>
  <c r="F707" i="12" s="1"/>
  <c r="G707" i="12" s="1"/>
  <c r="I707" i="12" s="1"/>
  <c r="K707" i="12" s="1"/>
  <c r="D706" i="12"/>
  <c r="E705" i="12"/>
  <c r="F705" i="12" s="1"/>
  <c r="G705" i="12" s="1"/>
  <c r="I705" i="12" s="1"/>
  <c r="K705" i="12" s="1"/>
  <c r="E704" i="12"/>
  <c r="F704" i="12" s="1"/>
  <c r="G704" i="12" s="1"/>
  <c r="I704" i="12" s="1"/>
  <c r="K704" i="12" s="1"/>
  <c r="D703" i="12"/>
  <c r="E702" i="12"/>
  <c r="F702" i="12" s="1"/>
  <c r="G702" i="12" s="1"/>
  <c r="I702" i="12" s="1"/>
  <c r="K702" i="12" s="1"/>
  <c r="E701" i="12"/>
  <c r="F701" i="12" s="1"/>
  <c r="G701" i="12" s="1"/>
  <c r="I701" i="12" s="1"/>
  <c r="K701" i="12" s="1"/>
  <c r="E700" i="12"/>
  <c r="F700" i="12" s="1"/>
  <c r="G700" i="12" s="1"/>
  <c r="I700" i="12" s="1"/>
  <c r="K700" i="12" s="1"/>
  <c r="E699" i="12"/>
  <c r="F699" i="12" s="1"/>
  <c r="G699" i="12" s="1"/>
  <c r="I699" i="12" s="1"/>
  <c r="K699" i="12" s="1"/>
  <c r="E698" i="12"/>
  <c r="F698" i="12" s="1"/>
  <c r="G698" i="12" s="1"/>
  <c r="I698" i="12" s="1"/>
  <c r="K698" i="12" s="1"/>
  <c r="E697" i="12"/>
  <c r="F697" i="12" s="1"/>
  <c r="G697" i="12" s="1"/>
  <c r="I697" i="12" s="1"/>
  <c r="K697" i="12" s="1"/>
  <c r="E696" i="12"/>
  <c r="F696" i="12" s="1"/>
  <c r="G696" i="12" s="1"/>
  <c r="I696" i="12" s="1"/>
  <c r="K696" i="12" s="1"/>
  <c r="E695" i="12"/>
  <c r="F695" i="12" s="1"/>
  <c r="G695" i="12" s="1"/>
  <c r="I695" i="12" s="1"/>
  <c r="K695" i="12" s="1"/>
  <c r="E694" i="12"/>
  <c r="F694" i="12" s="1"/>
  <c r="G694" i="12" s="1"/>
  <c r="I694" i="12" s="1"/>
  <c r="K694" i="12" s="1"/>
  <c r="E693" i="12"/>
  <c r="F693" i="12" s="1"/>
  <c r="G693" i="12" s="1"/>
  <c r="I693" i="12" s="1"/>
  <c r="K693" i="12" s="1"/>
  <c r="E692" i="12"/>
  <c r="F692" i="12" s="1"/>
  <c r="G692" i="12" s="1"/>
  <c r="I692" i="12" s="1"/>
  <c r="K692" i="12" s="1"/>
  <c r="E691" i="12"/>
  <c r="F691" i="12" s="1"/>
  <c r="G691" i="12" s="1"/>
  <c r="I691" i="12" s="1"/>
  <c r="K691" i="12" s="1"/>
  <c r="E690" i="12"/>
  <c r="F690" i="12" s="1"/>
  <c r="G690" i="12" s="1"/>
  <c r="I690" i="12" s="1"/>
  <c r="K690" i="12" s="1"/>
  <c r="D689" i="12"/>
  <c r="E689" i="12" s="1"/>
  <c r="F689" i="12" s="1"/>
  <c r="G689" i="12" s="1"/>
  <c r="I689" i="12" s="1"/>
  <c r="K689" i="12" s="1"/>
  <c r="E688" i="12"/>
  <c r="F688" i="12" s="1"/>
  <c r="G688" i="12" s="1"/>
  <c r="I688" i="12" s="1"/>
  <c r="K688" i="12" s="1"/>
  <c r="E687" i="12"/>
  <c r="F687" i="12" s="1"/>
  <c r="G687" i="12" s="1"/>
  <c r="I687" i="12" s="1"/>
  <c r="K687" i="12" s="1"/>
  <c r="E686" i="12"/>
  <c r="F686" i="12" s="1"/>
  <c r="G686" i="12" s="1"/>
  <c r="I686" i="12" s="1"/>
  <c r="K686" i="12" s="1"/>
  <c r="E685" i="12"/>
  <c r="F685" i="12" s="1"/>
  <c r="G685" i="12" s="1"/>
  <c r="I685" i="12" s="1"/>
  <c r="K685" i="12" s="1"/>
  <c r="E684" i="12"/>
  <c r="F684" i="12" s="1"/>
  <c r="G684" i="12" s="1"/>
  <c r="I684" i="12" s="1"/>
  <c r="K684" i="12" s="1"/>
  <c r="E683" i="12"/>
  <c r="F683" i="12" s="1"/>
  <c r="G683" i="12" s="1"/>
  <c r="I683" i="12" s="1"/>
  <c r="K683" i="12" s="1"/>
  <c r="E682" i="12"/>
  <c r="F682" i="12" s="1"/>
  <c r="G682" i="12" s="1"/>
  <c r="I682" i="12" s="1"/>
  <c r="K682" i="12" s="1"/>
  <c r="E681" i="12"/>
  <c r="F681" i="12" s="1"/>
  <c r="G681" i="12" s="1"/>
  <c r="I681" i="12" s="1"/>
  <c r="K681" i="12" s="1"/>
  <c r="E680" i="12"/>
  <c r="F680" i="12" s="1"/>
  <c r="G680" i="12" s="1"/>
  <c r="I680" i="12" s="1"/>
  <c r="K680" i="12" s="1"/>
  <c r="D679" i="12"/>
  <c r="E678" i="12"/>
  <c r="F678" i="12" s="1"/>
  <c r="G678" i="12" s="1"/>
  <c r="I678" i="12" s="1"/>
  <c r="K678" i="12" s="1"/>
  <c r="E677" i="12"/>
  <c r="F677" i="12" s="1"/>
  <c r="G677" i="12" s="1"/>
  <c r="I677" i="12" s="1"/>
  <c r="K677" i="12" s="1"/>
  <c r="E676" i="12"/>
  <c r="F676" i="12" s="1"/>
  <c r="G676" i="12" s="1"/>
  <c r="I676" i="12" s="1"/>
  <c r="K676" i="12" s="1"/>
  <c r="E675" i="12"/>
  <c r="F675" i="12" s="1"/>
  <c r="G675" i="12" s="1"/>
  <c r="I675" i="12" s="1"/>
  <c r="K675" i="12" s="1"/>
  <c r="E674" i="12"/>
  <c r="F674" i="12" s="1"/>
  <c r="G674" i="12" s="1"/>
  <c r="I674" i="12" s="1"/>
  <c r="K674" i="12" s="1"/>
  <c r="E673" i="12"/>
  <c r="F673" i="12" s="1"/>
  <c r="G673" i="12" s="1"/>
  <c r="I673" i="12" s="1"/>
  <c r="K673" i="12" s="1"/>
  <c r="E672" i="12"/>
  <c r="F672" i="12" s="1"/>
  <c r="G672" i="12" s="1"/>
  <c r="I672" i="12" s="1"/>
  <c r="K672" i="12" s="1"/>
  <c r="E671" i="12"/>
  <c r="F671" i="12" s="1"/>
  <c r="G671" i="12" s="1"/>
  <c r="I671" i="12" s="1"/>
  <c r="K671" i="12" s="1"/>
  <c r="E670" i="12"/>
  <c r="F670" i="12" s="1"/>
  <c r="G670" i="12" s="1"/>
  <c r="I670" i="12" s="1"/>
  <c r="K670" i="12" s="1"/>
  <c r="E669" i="12"/>
  <c r="F669" i="12" s="1"/>
  <c r="G669" i="12" s="1"/>
  <c r="I669" i="12" s="1"/>
  <c r="K669" i="12" s="1"/>
  <c r="E668" i="12"/>
  <c r="F668" i="12" s="1"/>
  <c r="G668" i="12" s="1"/>
  <c r="I668" i="12" s="1"/>
  <c r="K668" i="12" s="1"/>
  <c r="D667" i="12"/>
  <c r="E666" i="12"/>
  <c r="F666" i="12" s="1"/>
  <c r="G666" i="12" s="1"/>
  <c r="I666" i="12" s="1"/>
  <c r="K666" i="12" s="1"/>
  <c r="E665" i="12"/>
  <c r="F665" i="12" s="1"/>
  <c r="G665" i="12" s="1"/>
  <c r="I665" i="12" s="1"/>
  <c r="K665" i="12" s="1"/>
  <c r="E664" i="12"/>
  <c r="F664" i="12" s="1"/>
  <c r="G664" i="12" s="1"/>
  <c r="I664" i="12" s="1"/>
  <c r="K664" i="12" s="1"/>
  <c r="E663" i="12"/>
  <c r="F663" i="12" s="1"/>
  <c r="G663" i="12" s="1"/>
  <c r="I663" i="12" s="1"/>
  <c r="K663" i="12" s="1"/>
  <c r="D662" i="12"/>
  <c r="E661" i="12"/>
  <c r="F661" i="12" s="1"/>
  <c r="G661" i="12" s="1"/>
  <c r="I661" i="12" s="1"/>
  <c r="K661" i="12" s="1"/>
  <c r="D660" i="12"/>
  <c r="D659" i="12"/>
  <c r="E658" i="12"/>
  <c r="F658" i="12" s="1"/>
  <c r="G658" i="12" s="1"/>
  <c r="I658" i="12" s="1"/>
  <c r="K658" i="12" s="1"/>
  <c r="D657" i="12"/>
  <c r="E657" i="12" s="1"/>
  <c r="F657" i="12" s="1"/>
  <c r="G657" i="12" s="1"/>
  <c r="I657" i="12" s="1"/>
  <c r="K657" i="12" s="1"/>
  <c r="I656" i="12"/>
  <c r="K656" i="12" s="1"/>
  <c r="D655" i="12"/>
  <c r="D654" i="12"/>
  <c r="E653" i="12"/>
  <c r="F653" i="12" s="1"/>
  <c r="G653" i="12" s="1"/>
  <c r="I653" i="12" s="1"/>
  <c r="K653" i="12" s="1"/>
  <c r="E652" i="12"/>
  <c r="F652" i="12" s="1"/>
  <c r="G652" i="12" s="1"/>
  <c r="I652" i="12" s="1"/>
  <c r="K652" i="12" s="1"/>
  <c r="E651" i="12"/>
  <c r="F651" i="12" s="1"/>
  <c r="G651" i="12" s="1"/>
  <c r="I651" i="12" s="1"/>
  <c r="K651" i="12" s="1"/>
  <c r="E650" i="12"/>
  <c r="F650" i="12" s="1"/>
  <c r="G650" i="12" s="1"/>
  <c r="I650" i="12" s="1"/>
  <c r="K650" i="12" s="1"/>
  <c r="E649" i="12"/>
  <c r="F649" i="12" s="1"/>
  <c r="G649" i="12" s="1"/>
  <c r="I649" i="12" s="1"/>
  <c r="K649" i="12" s="1"/>
  <c r="E648" i="12"/>
  <c r="F648" i="12" s="1"/>
  <c r="G648" i="12" s="1"/>
  <c r="I648" i="12" s="1"/>
  <c r="K648" i="12" s="1"/>
  <c r="E647" i="12"/>
  <c r="F647" i="12" s="1"/>
  <c r="G647" i="12" s="1"/>
  <c r="I647" i="12" s="1"/>
  <c r="K647" i="12" s="1"/>
  <c r="E646" i="12"/>
  <c r="F646" i="12" s="1"/>
  <c r="G646" i="12" s="1"/>
  <c r="I646" i="12" s="1"/>
  <c r="K646" i="12" s="1"/>
  <c r="E645" i="12"/>
  <c r="F645" i="12" s="1"/>
  <c r="G645" i="12" s="1"/>
  <c r="I645" i="12" s="1"/>
  <c r="K645" i="12" s="1"/>
  <c r="E644" i="12"/>
  <c r="F644" i="12" s="1"/>
  <c r="G644" i="12" s="1"/>
  <c r="I644" i="12" s="1"/>
  <c r="K644" i="12" s="1"/>
  <c r="D643" i="12"/>
  <c r="D642" i="12"/>
  <c r="D641" i="12"/>
  <c r="E641" i="12" s="1"/>
  <c r="F641" i="12" s="1"/>
  <c r="G641" i="12" s="1"/>
  <c r="I641" i="12" s="1"/>
  <c r="K641" i="12" s="1"/>
  <c r="D640" i="12"/>
  <c r="E639" i="12"/>
  <c r="F639" i="12" s="1"/>
  <c r="G639" i="12" s="1"/>
  <c r="I639" i="12" s="1"/>
  <c r="K639" i="12" s="1"/>
  <c r="E638" i="12"/>
  <c r="F638" i="12" s="1"/>
  <c r="G638" i="12" s="1"/>
  <c r="I638" i="12" s="1"/>
  <c r="K638" i="12" s="1"/>
  <c r="E637" i="12"/>
  <c r="F637" i="12" s="1"/>
  <c r="G637" i="12" s="1"/>
  <c r="I637" i="12" s="1"/>
  <c r="K637" i="12" s="1"/>
  <c r="D636" i="12"/>
  <c r="E635" i="12"/>
  <c r="F635" i="12" s="1"/>
  <c r="G635" i="12" s="1"/>
  <c r="I635" i="12" s="1"/>
  <c r="K635" i="12" s="1"/>
  <c r="E634" i="12"/>
  <c r="F634" i="12" s="1"/>
  <c r="G634" i="12" s="1"/>
  <c r="I634" i="12" s="1"/>
  <c r="K634" i="12" s="1"/>
  <c r="E633" i="12"/>
  <c r="F633" i="12" s="1"/>
  <c r="G633" i="12" s="1"/>
  <c r="I633" i="12" s="1"/>
  <c r="K633" i="12" s="1"/>
  <c r="E632" i="12"/>
  <c r="F632" i="12" s="1"/>
  <c r="G632" i="12" s="1"/>
  <c r="I632" i="12" s="1"/>
  <c r="K632" i="12" s="1"/>
  <c r="E631" i="12"/>
  <c r="F631" i="12" s="1"/>
  <c r="G631" i="12" s="1"/>
  <c r="I631" i="12" s="1"/>
  <c r="K631" i="12" s="1"/>
  <c r="D630" i="12"/>
  <c r="D629" i="12"/>
  <c r="D628" i="12"/>
  <c r="D627" i="12"/>
  <c r="D626" i="12"/>
  <c r="D625" i="12"/>
  <c r="E625" i="12" s="1"/>
  <c r="F625" i="12" s="1"/>
  <c r="G625" i="12" s="1"/>
  <c r="I625" i="12" s="1"/>
  <c r="K625" i="12" s="1"/>
  <c r="E624" i="12"/>
  <c r="F624" i="12" s="1"/>
  <c r="G624" i="12" s="1"/>
  <c r="I624" i="12" s="1"/>
  <c r="K624" i="12" s="1"/>
  <c r="E623" i="12"/>
  <c r="F623" i="12" s="1"/>
  <c r="G623" i="12" s="1"/>
  <c r="I623" i="12" s="1"/>
  <c r="K623" i="12" s="1"/>
  <c r="E622" i="12"/>
  <c r="F622" i="12" s="1"/>
  <c r="G622" i="12" s="1"/>
  <c r="I622" i="12" s="1"/>
  <c r="K622" i="12" s="1"/>
  <c r="E621" i="12"/>
  <c r="F621" i="12" s="1"/>
  <c r="G621" i="12" s="1"/>
  <c r="I621" i="12" s="1"/>
  <c r="K621" i="12" s="1"/>
  <c r="E620" i="12"/>
  <c r="F620" i="12" s="1"/>
  <c r="G620" i="12" s="1"/>
  <c r="I620" i="12" s="1"/>
  <c r="K620" i="12" s="1"/>
  <c r="E619" i="12"/>
  <c r="F619" i="12" s="1"/>
  <c r="G619" i="12" s="1"/>
  <c r="I619" i="12" s="1"/>
  <c r="K619" i="12" s="1"/>
  <c r="E618" i="12"/>
  <c r="F618" i="12" s="1"/>
  <c r="G618" i="12" s="1"/>
  <c r="I618" i="12" s="1"/>
  <c r="K618" i="12" s="1"/>
  <c r="D617" i="12"/>
  <c r="E617" i="12" s="1"/>
  <c r="F617" i="12" s="1"/>
  <c r="G617" i="12" s="1"/>
  <c r="I617" i="12" s="1"/>
  <c r="K617" i="12" s="1"/>
  <c r="E616" i="12"/>
  <c r="F616" i="12" s="1"/>
  <c r="G616" i="12" s="1"/>
  <c r="I616" i="12" s="1"/>
  <c r="K616" i="12" s="1"/>
  <c r="E615" i="12"/>
  <c r="F615" i="12" s="1"/>
  <c r="G615" i="12" s="1"/>
  <c r="I615" i="12" s="1"/>
  <c r="K615" i="12" s="1"/>
  <c r="D614" i="12"/>
  <c r="E613" i="12"/>
  <c r="F613" i="12" s="1"/>
  <c r="G613" i="12" s="1"/>
  <c r="I613" i="12" s="1"/>
  <c r="K613" i="12" s="1"/>
  <c r="E612" i="12"/>
  <c r="F612" i="12" s="1"/>
  <c r="G612" i="12" s="1"/>
  <c r="I612" i="12" s="1"/>
  <c r="K612" i="12" s="1"/>
  <c r="E611" i="12"/>
  <c r="F611" i="12" s="1"/>
  <c r="G611" i="12" s="1"/>
  <c r="I611" i="12" s="1"/>
  <c r="K611" i="12" s="1"/>
  <c r="E610" i="12"/>
  <c r="F610" i="12" s="1"/>
  <c r="G610" i="12" s="1"/>
  <c r="I610" i="12" s="1"/>
  <c r="K610" i="12" s="1"/>
  <c r="E609" i="12"/>
  <c r="F609" i="12" s="1"/>
  <c r="G609" i="12" s="1"/>
  <c r="I609" i="12" s="1"/>
  <c r="K609" i="12" s="1"/>
  <c r="E608" i="12"/>
  <c r="F608" i="12" s="1"/>
  <c r="G608" i="12" s="1"/>
  <c r="I608" i="12" s="1"/>
  <c r="K608" i="12" s="1"/>
  <c r="E607" i="12"/>
  <c r="F607" i="12" s="1"/>
  <c r="G607" i="12" s="1"/>
  <c r="I607" i="12" s="1"/>
  <c r="K607" i="12" s="1"/>
  <c r="E606" i="12"/>
  <c r="F606" i="12" s="1"/>
  <c r="G606" i="12" s="1"/>
  <c r="I606" i="12" s="1"/>
  <c r="K606" i="12" s="1"/>
  <c r="D605" i="12"/>
  <c r="D604" i="12"/>
  <c r="E603" i="12"/>
  <c r="F603" i="12" s="1"/>
  <c r="G603" i="12" s="1"/>
  <c r="I603" i="12" s="1"/>
  <c r="K603" i="12" s="1"/>
  <c r="E602" i="12"/>
  <c r="F602" i="12" s="1"/>
  <c r="G602" i="12" s="1"/>
  <c r="I602" i="12" s="1"/>
  <c r="K602" i="12" s="1"/>
  <c r="E601" i="12"/>
  <c r="F601" i="12" s="1"/>
  <c r="G601" i="12" s="1"/>
  <c r="I601" i="12" s="1"/>
  <c r="K601" i="12" s="1"/>
  <c r="E600" i="12"/>
  <c r="F600" i="12" s="1"/>
  <c r="G600" i="12" s="1"/>
  <c r="I600" i="12" s="1"/>
  <c r="K600" i="12" s="1"/>
  <c r="E599" i="12"/>
  <c r="F599" i="12" s="1"/>
  <c r="G599" i="12" s="1"/>
  <c r="I599" i="12" s="1"/>
  <c r="K599" i="12" s="1"/>
  <c r="E598" i="12"/>
  <c r="F598" i="12" s="1"/>
  <c r="G598" i="12" s="1"/>
  <c r="I598" i="12" s="1"/>
  <c r="K598" i="12" s="1"/>
  <c r="E597" i="12"/>
  <c r="F597" i="12" s="1"/>
  <c r="G597" i="12" s="1"/>
  <c r="I597" i="12" s="1"/>
  <c r="K597" i="12" s="1"/>
  <c r="E596" i="12"/>
  <c r="F596" i="12" s="1"/>
  <c r="G596" i="12" s="1"/>
  <c r="I596" i="12" s="1"/>
  <c r="K596" i="12" s="1"/>
  <c r="D595" i="12"/>
  <c r="E594" i="12"/>
  <c r="F594" i="12" s="1"/>
  <c r="G594" i="12" s="1"/>
  <c r="I594" i="12" s="1"/>
  <c r="K594" i="12" s="1"/>
  <c r="E593" i="12"/>
  <c r="F593" i="12" s="1"/>
  <c r="G593" i="12" s="1"/>
  <c r="I593" i="12" s="1"/>
  <c r="K593" i="12" s="1"/>
  <c r="E592" i="12"/>
  <c r="F592" i="12" s="1"/>
  <c r="G592" i="12" s="1"/>
  <c r="I592" i="12" s="1"/>
  <c r="K592" i="12" s="1"/>
  <c r="E591" i="12"/>
  <c r="F591" i="12" s="1"/>
  <c r="G591" i="12" s="1"/>
  <c r="I591" i="12" s="1"/>
  <c r="K591" i="12" s="1"/>
  <c r="E590" i="12"/>
  <c r="F590" i="12" s="1"/>
  <c r="G590" i="12" s="1"/>
  <c r="I590" i="12" s="1"/>
  <c r="K590" i="12" s="1"/>
  <c r="E589" i="12"/>
  <c r="F589" i="12" s="1"/>
  <c r="G589" i="12" s="1"/>
  <c r="I589" i="12" s="1"/>
  <c r="K589" i="12" s="1"/>
  <c r="E588" i="12"/>
  <c r="F588" i="12" s="1"/>
  <c r="G588" i="12" s="1"/>
  <c r="I588" i="12" s="1"/>
  <c r="K588" i="12" s="1"/>
  <c r="E587" i="12"/>
  <c r="F587" i="12" s="1"/>
  <c r="G587" i="12" s="1"/>
  <c r="I587" i="12" s="1"/>
  <c r="K587" i="12" s="1"/>
  <c r="E586" i="12"/>
  <c r="F586" i="12" s="1"/>
  <c r="G586" i="12" s="1"/>
  <c r="I586" i="12" s="1"/>
  <c r="K586" i="12" s="1"/>
  <c r="E585" i="12"/>
  <c r="F585" i="12" s="1"/>
  <c r="G585" i="12" s="1"/>
  <c r="I585" i="12" s="1"/>
  <c r="K585" i="12" s="1"/>
  <c r="E584" i="12"/>
  <c r="F584" i="12" s="1"/>
  <c r="G584" i="12" s="1"/>
  <c r="I584" i="12" s="1"/>
  <c r="K584" i="12" s="1"/>
  <c r="E583" i="12"/>
  <c r="F583" i="12" s="1"/>
  <c r="G583" i="12" s="1"/>
  <c r="I583" i="12" s="1"/>
  <c r="K583" i="12" s="1"/>
  <c r="E582" i="12"/>
  <c r="F582" i="12" s="1"/>
  <c r="G582" i="12" s="1"/>
  <c r="I582" i="12" s="1"/>
  <c r="K582" i="12" s="1"/>
  <c r="E581" i="12"/>
  <c r="F581" i="12" s="1"/>
  <c r="G581" i="12" s="1"/>
  <c r="I581" i="12" s="1"/>
  <c r="K581" i="12" s="1"/>
  <c r="E580" i="12"/>
  <c r="F580" i="12" s="1"/>
  <c r="G580" i="12" s="1"/>
  <c r="I580" i="12" s="1"/>
  <c r="K580" i="12" s="1"/>
  <c r="E579" i="12"/>
  <c r="F579" i="12" s="1"/>
  <c r="G579" i="12" s="1"/>
  <c r="I579" i="12" s="1"/>
  <c r="K579" i="12" s="1"/>
  <c r="E578" i="12"/>
  <c r="F578" i="12" s="1"/>
  <c r="G578" i="12" s="1"/>
  <c r="I578" i="12" s="1"/>
  <c r="K578" i="12" s="1"/>
  <c r="E577" i="12"/>
  <c r="F577" i="12" s="1"/>
  <c r="G577" i="12" s="1"/>
  <c r="I577" i="12" s="1"/>
  <c r="K577" i="12" s="1"/>
  <c r="E576" i="12"/>
  <c r="F576" i="12" s="1"/>
  <c r="G576" i="12" s="1"/>
  <c r="I576" i="12" s="1"/>
  <c r="K576" i="12" s="1"/>
  <c r="E575" i="12"/>
  <c r="F575" i="12" s="1"/>
  <c r="G575" i="12" s="1"/>
  <c r="I575" i="12" s="1"/>
  <c r="K575" i="12" s="1"/>
  <c r="E574" i="12"/>
  <c r="F574" i="12" s="1"/>
  <c r="G574" i="12" s="1"/>
  <c r="I574" i="12" s="1"/>
  <c r="K574" i="12" s="1"/>
  <c r="E573" i="12"/>
  <c r="F573" i="12" s="1"/>
  <c r="G573" i="12" s="1"/>
  <c r="I573" i="12" s="1"/>
  <c r="K573" i="12" s="1"/>
  <c r="E572" i="12"/>
  <c r="F572" i="12" s="1"/>
  <c r="G572" i="12" s="1"/>
  <c r="I572" i="12" s="1"/>
  <c r="K572" i="12" s="1"/>
  <c r="E571" i="12"/>
  <c r="F571" i="12" s="1"/>
  <c r="G571" i="12" s="1"/>
  <c r="I571" i="12" s="1"/>
  <c r="K571" i="12" s="1"/>
  <c r="E570" i="12"/>
  <c r="F570" i="12" s="1"/>
  <c r="G570" i="12" s="1"/>
  <c r="I570" i="12" s="1"/>
  <c r="K570" i="12" s="1"/>
  <c r="E569" i="12"/>
  <c r="F569" i="12" s="1"/>
  <c r="G569" i="12" s="1"/>
  <c r="I569" i="12" s="1"/>
  <c r="K569" i="12" s="1"/>
  <c r="E568" i="12"/>
  <c r="F568" i="12" s="1"/>
  <c r="G568" i="12" s="1"/>
  <c r="I568" i="12" s="1"/>
  <c r="K568" i="12" s="1"/>
  <c r="E567" i="12"/>
  <c r="F567" i="12" s="1"/>
  <c r="G567" i="12" s="1"/>
  <c r="I567" i="12" s="1"/>
  <c r="K567" i="12" s="1"/>
  <c r="E566" i="12"/>
  <c r="F566" i="12" s="1"/>
  <c r="G566" i="12" s="1"/>
  <c r="I566" i="12" s="1"/>
  <c r="K566" i="12" s="1"/>
  <c r="E565" i="12"/>
  <c r="F565" i="12" s="1"/>
  <c r="G565" i="12" s="1"/>
  <c r="I565" i="12" s="1"/>
  <c r="K565" i="12" s="1"/>
  <c r="E564" i="12"/>
  <c r="F564" i="12" s="1"/>
  <c r="G564" i="12" s="1"/>
  <c r="I564" i="12" s="1"/>
  <c r="K564" i="12" s="1"/>
  <c r="E563" i="12"/>
  <c r="F563" i="12" s="1"/>
  <c r="G563" i="12" s="1"/>
  <c r="I563" i="12" s="1"/>
  <c r="K563" i="12" s="1"/>
  <c r="E562" i="12"/>
  <c r="F562" i="12" s="1"/>
  <c r="G562" i="12" s="1"/>
  <c r="I562" i="12" s="1"/>
  <c r="K562" i="12" s="1"/>
  <c r="E561" i="12"/>
  <c r="F561" i="12" s="1"/>
  <c r="G561" i="12" s="1"/>
  <c r="I561" i="12" s="1"/>
  <c r="K561" i="12" s="1"/>
  <c r="E560" i="12"/>
  <c r="F560" i="12" s="1"/>
  <c r="G560" i="12" s="1"/>
  <c r="I560" i="12" s="1"/>
  <c r="K560" i="12" s="1"/>
  <c r="E559" i="12"/>
  <c r="F559" i="12" s="1"/>
  <c r="G559" i="12" s="1"/>
  <c r="I559" i="12" s="1"/>
  <c r="K559" i="12" s="1"/>
  <c r="E558" i="12"/>
  <c r="F558" i="12" s="1"/>
  <c r="G558" i="12" s="1"/>
  <c r="I558" i="12" s="1"/>
  <c r="K558" i="12" s="1"/>
  <c r="E557" i="12"/>
  <c r="F557" i="12" s="1"/>
  <c r="G557" i="12" s="1"/>
  <c r="I557" i="12" s="1"/>
  <c r="K557" i="12" s="1"/>
  <c r="E556" i="12"/>
  <c r="F556" i="12" s="1"/>
  <c r="G556" i="12" s="1"/>
  <c r="I556" i="12" s="1"/>
  <c r="K556" i="12" s="1"/>
  <c r="D555" i="12"/>
  <c r="D554" i="12"/>
  <c r="D553" i="12"/>
  <c r="E553" i="12" s="1"/>
  <c r="F553" i="12" s="1"/>
  <c r="G553" i="12" s="1"/>
  <c r="I553" i="12" s="1"/>
  <c r="K553" i="12" s="1"/>
  <c r="D552" i="12"/>
  <c r="E551" i="12"/>
  <c r="F551" i="12" s="1"/>
  <c r="G551" i="12" s="1"/>
  <c r="I551" i="12" s="1"/>
  <c r="K551" i="12" s="1"/>
  <c r="E550" i="12"/>
  <c r="F550" i="12" s="1"/>
  <c r="G550" i="12" s="1"/>
  <c r="I550" i="12" s="1"/>
  <c r="K550" i="12" s="1"/>
  <c r="E549" i="12"/>
  <c r="F549" i="12" s="1"/>
  <c r="G549" i="12" s="1"/>
  <c r="I549" i="12" s="1"/>
  <c r="K549" i="12" s="1"/>
  <c r="E548" i="12"/>
  <c r="F548" i="12" s="1"/>
  <c r="G548" i="12" s="1"/>
  <c r="I548" i="12" s="1"/>
  <c r="K548" i="12" s="1"/>
  <c r="E547" i="12"/>
  <c r="F547" i="12" s="1"/>
  <c r="G547" i="12" s="1"/>
  <c r="I547" i="12" s="1"/>
  <c r="K547" i="12" s="1"/>
  <c r="E546" i="12"/>
  <c r="F546" i="12" s="1"/>
  <c r="G546" i="12" s="1"/>
  <c r="I546" i="12" s="1"/>
  <c r="K546" i="12" s="1"/>
  <c r="E545" i="12"/>
  <c r="F545" i="12" s="1"/>
  <c r="G545" i="12" s="1"/>
  <c r="I545" i="12" s="1"/>
  <c r="K545" i="12" s="1"/>
  <c r="D544" i="12"/>
  <c r="E543" i="12"/>
  <c r="F543" i="12" s="1"/>
  <c r="G543" i="12" s="1"/>
  <c r="I543" i="12" s="1"/>
  <c r="K543" i="12" s="1"/>
  <c r="E542" i="12"/>
  <c r="F542" i="12" s="1"/>
  <c r="G542" i="12" s="1"/>
  <c r="I542" i="12" s="1"/>
  <c r="K542" i="12" s="1"/>
  <c r="E541" i="12"/>
  <c r="F541" i="12" s="1"/>
  <c r="G541" i="12" s="1"/>
  <c r="I541" i="12" s="1"/>
  <c r="K541" i="12" s="1"/>
  <c r="E540" i="12"/>
  <c r="F540" i="12" s="1"/>
  <c r="G540" i="12" s="1"/>
  <c r="I540" i="12" s="1"/>
  <c r="K540" i="12" s="1"/>
  <c r="E539" i="12"/>
  <c r="F539" i="12" s="1"/>
  <c r="G539" i="12" s="1"/>
  <c r="I539" i="12" s="1"/>
  <c r="K539" i="12" s="1"/>
  <c r="E538" i="12"/>
  <c r="F538" i="12" s="1"/>
  <c r="G538" i="12" s="1"/>
  <c r="I538" i="12" s="1"/>
  <c r="K538" i="12" s="1"/>
  <c r="E537" i="12"/>
  <c r="F537" i="12" s="1"/>
  <c r="G537" i="12" s="1"/>
  <c r="I537" i="12" s="1"/>
  <c r="K537" i="12" s="1"/>
  <c r="E536" i="12"/>
  <c r="F536" i="12" s="1"/>
  <c r="G536" i="12" s="1"/>
  <c r="I536" i="12" s="1"/>
  <c r="K536" i="12" s="1"/>
  <c r="E535" i="12"/>
  <c r="F535" i="12" s="1"/>
  <c r="G535" i="12" s="1"/>
  <c r="I535" i="12" s="1"/>
  <c r="K535" i="12" s="1"/>
  <c r="E534" i="12"/>
  <c r="F534" i="12" s="1"/>
  <c r="G534" i="12" s="1"/>
  <c r="I534" i="12" s="1"/>
  <c r="K534" i="12" s="1"/>
  <c r="E533" i="12"/>
  <c r="F533" i="12" s="1"/>
  <c r="G533" i="12" s="1"/>
  <c r="I533" i="12" s="1"/>
  <c r="K533" i="12" s="1"/>
  <c r="E532" i="12"/>
  <c r="F532" i="12" s="1"/>
  <c r="G532" i="12" s="1"/>
  <c r="I532" i="12" s="1"/>
  <c r="K532" i="12" s="1"/>
  <c r="E531" i="12"/>
  <c r="F531" i="12" s="1"/>
  <c r="G531" i="12" s="1"/>
  <c r="I531" i="12" s="1"/>
  <c r="K531" i="12" s="1"/>
  <c r="E530" i="12"/>
  <c r="F530" i="12" s="1"/>
  <c r="G530" i="12" s="1"/>
  <c r="I530" i="12" s="1"/>
  <c r="K530" i="12" s="1"/>
  <c r="E529" i="12"/>
  <c r="F529" i="12" s="1"/>
  <c r="G529" i="12" s="1"/>
  <c r="I529" i="12" s="1"/>
  <c r="K529" i="12" s="1"/>
  <c r="D528" i="12"/>
  <c r="D527" i="12"/>
  <c r="E526" i="12"/>
  <c r="F526" i="12" s="1"/>
  <c r="G526" i="12" s="1"/>
  <c r="I526" i="12" s="1"/>
  <c r="K526" i="12" s="1"/>
  <c r="E525" i="12"/>
  <c r="F525" i="12" s="1"/>
  <c r="G525" i="12" s="1"/>
  <c r="I525" i="12" s="1"/>
  <c r="K525" i="12" s="1"/>
  <c r="E524" i="12"/>
  <c r="F524" i="12" s="1"/>
  <c r="G524" i="12" s="1"/>
  <c r="I524" i="12" s="1"/>
  <c r="K524" i="12" s="1"/>
  <c r="E523" i="12"/>
  <c r="F523" i="12" s="1"/>
  <c r="G523" i="12" s="1"/>
  <c r="I523" i="12" s="1"/>
  <c r="K523" i="12" s="1"/>
  <c r="E522" i="12"/>
  <c r="F522" i="12" s="1"/>
  <c r="G522" i="12" s="1"/>
  <c r="I522" i="12" s="1"/>
  <c r="K522" i="12" s="1"/>
  <c r="E521" i="12"/>
  <c r="F521" i="12" s="1"/>
  <c r="G521" i="12" s="1"/>
  <c r="I521" i="12" s="1"/>
  <c r="K521" i="12" s="1"/>
  <c r="E520" i="12"/>
  <c r="F520" i="12" s="1"/>
  <c r="G520" i="12" s="1"/>
  <c r="I520" i="12" s="1"/>
  <c r="K520" i="12" s="1"/>
  <c r="E519" i="12"/>
  <c r="F519" i="12" s="1"/>
  <c r="G519" i="12" s="1"/>
  <c r="I519" i="12" s="1"/>
  <c r="K519" i="12" s="1"/>
  <c r="E518" i="12"/>
  <c r="F518" i="12" s="1"/>
  <c r="G518" i="12" s="1"/>
  <c r="I518" i="12" s="1"/>
  <c r="K518" i="12" s="1"/>
  <c r="E517" i="12"/>
  <c r="F517" i="12" s="1"/>
  <c r="G517" i="12" s="1"/>
  <c r="I517" i="12" s="1"/>
  <c r="K517" i="12" s="1"/>
  <c r="E516" i="12"/>
  <c r="F516" i="12" s="1"/>
  <c r="G516" i="12" s="1"/>
  <c r="I516" i="12" s="1"/>
  <c r="K516" i="12" s="1"/>
  <c r="E515" i="12"/>
  <c r="F515" i="12" s="1"/>
  <c r="G515" i="12" s="1"/>
  <c r="I515" i="12" s="1"/>
  <c r="K515" i="12" s="1"/>
  <c r="E514" i="12"/>
  <c r="F514" i="12" s="1"/>
  <c r="G514" i="12" s="1"/>
  <c r="I514" i="12" s="1"/>
  <c r="K514" i="12" s="1"/>
  <c r="E513" i="12"/>
  <c r="F513" i="12" s="1"/>
  <c r="G513" i="12" s="1"/>
  <c r="I513" i="12" s="1"/>
  <c r="K513" i="12" s="1"/>
  <c r="E512" i="12"/>
  <c r="F512" i="12" s="1"/>
  <c r="G512" i="12" s="1"/>
  <c r="I512" i="12" s="1"/>
  <c r="K512" i="12" s="1"/>
  <c r="E511" i="12"/>
  <c r="F511" i="12" s="1"/>
  <c r="G511" i="12" s="1"/>
  <c r="I511" i="12" s="1"/>
  <c r="K511" i="12" s="1"/>
  <c r="D510" i="12"/>
  <c r="E509" i="12"/>
  <c r="F509" i="12" s="1"/>
  <c r="G509" i="12" s="1"/>
  <c r="I509" i="12" s="1"/>
  <c r="K509" i="12" s="1"/>
  <c r="E508" i="12"/>
  <c r="F508" i="12" s="1"/>
  <c r="G508" i="12" s="1"/>
  <c r="I508" i="12" s="1"/>
  <c r="K508" i="12" s="1"/>
  <c r="E507" i="12"/>
  <c r="F507" i="12" s="1"/>
  <c r="G507" i="12" s="1"/>
  <c r="I507" i="12" s="1"/>
  <c r="K507" i="12" s="1"/>
  <c r="E506" i="12"/>
  <c r="F506" i="12" s="1"/>
  <c r="G506" i="12" s="1"/>
  <c r="I506" i="12" s="1"/>
  <c r="K506" i="12" s="1"/>
  <c r="E505" i="12"/>
  <c r="F505" i="12" s="1"/>
  <c r="G505" i="12" s="1"/>
  <c r="I505" i="12" s="1"/>
  <c r="K505" i="12" s="1"/>
  <c r="E504" i="12"/>
  <c r="F504" i="12" s="1"/>
  <c r="G504" i="12" s="1"/>
  <c r="I504" i="12" s="1"/>
  <c r="K504" i="12" s="1"/>
  <c r="D503" i="12"/>
  <c r="D502" i="12"/>
  <c r="E501" i="12"/>
  <c r="F501" i="12" s="1"/>
  <c r="G501" i="12" s="1"/>
  <c r="I501" i="12" s="1"/>
  <c r="K501" i="12" s="1"/>
  <c r="E500" i="12"/>
  <c r="F500" i="12" s="1"/>
  <c r="G500" i="12" s="1"/>
  <c r="I500" i="12" s="1"/>
  <c r="K500" i="12" s="1"/>
  <c r="E499" i="12"/>
  <c r="F499" i="12" s="1"/>
  <c r="G499" i="12" s="1"/>
  <c r="I499" i="12" s="1"/>
  <c r="K499" i="12" s="1"/>
  <c r="E498" i="12"/>
  <c r="F498" i="12" s="1"/>
  <c r="G498" i="12" s="1"/>
  <c r="I498" i="12" s="1"/>
  <c r="K498" i="12" s="1"/>
  <c r="E497" i="12"/>
  <c r="F497" i="12" s="1"/>
  <c r="G497" i="12" s="1"/>
  <c r="I497" i="12" s="1"/>
  <c r="K497" i="12" s="1"/>
  <c r="E496" i="12"/>
  <c r="F496" i="12" s="1"/>
  <c r="G496" i="12" s="1"/>
  <c r="I496" i="12" s="1"/>
  <c r="K496" i="12" s="1"/>
  <c r="E495" i="12"/>
  <c r="F495" i="12" s="1"/>
  <c r="G495" i="12" s="1"/>
  <c r="I495" i="12" s="1"/>
  <c r="K495" i="12" s="1"/>
  <c r="D494" i="12"/>
  <c r="E493" i="12"/>
  <c r="F493" i="12" s="1"/>
  <c r="G493" i="12" s="1"/>
  <c r="I493" i="12" s="1"/>
  <c r="K493" i="12" s="1"/>
  <c r="E492" i="12"/>
  <c r="F492" i="12" s="1"/>
  <c r="G492" i="12" s="1"/>
  <c r="I492" i="12" s="1"/>
  <c r="K492" i="12" s="1"/>
  <c r="E491" i="12"/>
  <c r="F491" i="12" s="1"/>
  <c r="G491" i="12" s="1"/>
  <c r="I491" i="12" s="1"/>
  <c r="K491" i="12" s="1"/>
  <c r="E490" i="12"/>
  <c r="F490" i="12" s="1"/>
  <c r="G490" i="12" s="1"/>
  <c r="I490" i="12" s="1"/>
  <c r="K490" i="12" s="1"/>
  <c r="E489" i="12"/>
  <c r="F489" i="12" s="1"/>
  <c r="G489" i="12" s="1"/>
  <c r="I489" i="12" s="1"/>
  <c r="K489" i="12" s="1"/>
  <c r="D488" i="12"/>
  <c r="E487" i="12"/>
  <c r="F487" i="12" s="1"/>
  <c r="G487" i="12" s="1"/>
  <c r="I487" i="12" s="1"/>
  <c r="K487" i="12" s="1"/>
  <c r="E486" i="12"/>
  <c r="F486" i="12" s="1"/>
  <c r="G486" i="12" s="1"/>
  <c r="I486" i="12" s="1"/>
  <c r="K486" i="12" s="1"/>
  <c r="E485" i="12"/>
  <c r="F485" i="12" s="1"/>
  <c r="G485" i="12" s="1"/>
  <c r="I485" i="12" s="1"/>
  <c r="K485" i="12" s="1"/>
  <c r="D484" i="12"/>
  <c r="E483" i="12"/>
  <c r="F483" i="12" s="1"/>
  <c r="G483" i="12" s="1"/>
  <c r="I483" i="12" s="1"/>
  <c r="K483" i="12" s="1"/>
  <c r="E482" i="12"/>
  <c r="F482" i="12" s="1"/>
  <c r="G482" i="12" s="1"/>
  <c r="I482" i="12" s="1"/>
  <c r="K482" i="12" s="1"/>
  <c r="E481" i="12"/>
  <c r="F481" i="12" s="1"/>
  <c r="G481" i="12" s="1"/>
  <c r="I481" i="12" s="1"/>
  <c r="K481" i="12" s="1"/>
  <c r="E480" i="12"/>
  <c r="F480" i="12" s="1"/>
  <c r="G480" i="12" s="1"/>
  <c r="I480" i="12" s="1"/>
  <c r="K480" i="12" s="1"/>
  <c r="E479" i="12"/>
  <c r="F479" i="12" s="1"/>
  <c r="G479" i="12" s="1"/>
  <c r="I479" i="12" s="1"/>
  <c r="K479" i="12" s="1"/>
  <c r="E478" i="12"/>
  <c r="F478" i="12" s="1"/>
  <c r="G478" i="12" s="1"/>
  <c r="I478" i="12" s="1"/>
  <c r="K478" i="12" s="1"/>
  <c r="E477" i="12"/>
  <c r="F477" i="12" s="1"/>
  <c r="G477" i="12" s="1"/>
  <c r="I477" i="12" s="1"/>
  <c r="K477" i="12" s="1"/>
  <c r="E476" i="12"/>
  <c r="F476" i="12" s="1"/>
  <c r="G476" i="12" s="1"/>
  <c r="I476" i="12" s="1"/>
  <c r="K476" i="12" s="1"/>
  <c r="E475" i="12"/>
  <c r="F475" i="12" s="1"/>
  <c r="G475" i="12" s="1"/>
  <c r="I475" i="12" s="1"/>
  <c r="K475" i="12" s="1"/>
  <c r="E474" i="12"/>
  <c r="F474" i="12" s="1"/>
  <c r="G474" i="12" s="1"/>
  <c r="I474" i="12" s="1"/>
  <c r="K474" i="12" s="1"/>
  <c r="E473" i="12"/>
  <c r="F473" i="12" s="1"/>
  <c r="G473" i="12" s="1"/>
  <c r="I473" i="12" s="1"/>
  <c r="K473" i="12" s="1"/>
  <c r="E472" i="12"/>
  <c r="F472" i="12" s="1"/>
  <c r="G472" i="12" s="1"/>
  <c r="I472" i="12" s="1"/>
  <c r="K472" i="12" s="1"/>
  <c r="E471" i="12"/>
  <c r="F471" i="12" s="1"/>
  <c r="G471" i="12" s="1"/>
  <c r="I471" i="12" s="1"/>
  <c r="K471" i="12" s="1"/>
  <c r="D470" i="12"/>
  <c r="D469" i="12"/>
  <c r="E468" i="12"/>
  <c r="F468" i="12" s="1"/>
  <c r="G468" i="12" s="1"/>
  <c r="I468" i="12" s="1"/>
  <c r="K468" i="12" s="1"/>
  <c r="E467" i="12"/>
  <c r="F467" i="12" s="1"/>
  <c r="G467" i="12" s="1"/>
  <c r="I467" i="12" s="1"/>
  <c r="K467" i="12" s="1"/>
  <c r="E466" i="12"/>
  <c r="F466" i="12" s="1"/>
  <c r="G466" i="12" s="1"/>
  <c r="I466" i="12" s="1"/>
  <c r="K466" i="12" s="1"/>
  <c r="E465" i="12"/>
  <c r="F465" i="12" s="1"/>
  <c r="G465" i="12" s="1"/>
  <c r="I465" i="12" s="1"/>
  <c r="K465" i="12" s="1"/>
  <c r="D464" i="12"/>
  <c r="E463" i="12"/>
  <c r="F463" i="12" s="1"/>
  <c r="G463" i="12" s="1"/>
  <c r="I463" i="12" s="1"/>
  <c r="K463" i="12" s="1"/>
  <c r="D462" i="12"/>
  <c r="E461" i="12"/>
  <c r="F461" i="12" s="1"/>
  <c r="G461" i="12" s="1"/>
  <c r="I461" i="12" s="1"/>
  <c r="K461" i="12" s="1"/>
  <c r="E460" i="12"/>
  <c r="F460" i="12" s="1"/>
  <c r="G460" i="12" s="1"/>
  <c r="I460" i="12" s="1"/>
  <c r="K460" i="12" s="1"/>
  <c r="D459" i="12"/>
  <c r="D458" i="12"/>
  <c r="D457" i="12"/>
  <c r="E457" i="12" s="1"/>
  <c r="F457" i="12" s="1"/>
  <c r="G457" i="12" s="1"/>
  <c r="I457" i="12" s="1"/>
  <c r="K457" i="12" s="1"/>
  <c r="D456" i="12"/>
  <c r="E455" i="12"/>
  <c r="F455" i="12" s="1"/>
  <c r="G455" i="12" s="1"/>
  <c r="I455" i="12" s="1"/>
  <c r="K455" i="12" s="1"/>
  <c r="E454" i="12"/>
  <c r="F454" i="12" s="1"/>
  <c r="G454" i="12" s="1"/>
  <c r="I454" i="12" s="1"/>
  <c r="K454" i="12" s="1"/>
  <c r="E453" i="12"/>
  <c r="F453" i="12" s="1"/>
  <c r="G453" i="12" s="1"/>
  <c r="I453" i="12" s="1"/>
  <c r="K453" i="12" s="1"/>
  <c r="E452" i="12"/>
  <c r="F452" i="12" s="1"/>
  <c r="G452" i="12" s="1"/>
  <c r="I452" i="12" s="1"/>
  <c r="K452" i="12" s="1"/>
  <c r="E451" i="12"/>
  <c r="F451" i="12" s="1"/>
  <c r="G451" i="12" s="1"/>
  <c r="I451" i="12" s="1"/>
  <c r="K451" i="12" s="1"/>
  <c r="E450" i="12"/>
  <c r="F450" i="12" s="1"/>
  <c r="G450" i="12" s="1"/>
  <c r="I450" i="12" s="1"/>
  <c r="K450" i="12" s="1"/>
  <c r="D449" i="12"/>
  <c r="E449" i="12" s="1"/>
  <c r="F449" i="12" s="1"/>
  <c r="G449" i="12" s="1"/>
  <c r="I449" i="12" s="1"/>
  <c r="K449" i="12" s="1"/>
  <c r="D448" i="12"/>
  <c r="E447" i="12"/>
  <c r="F447" i="12" s="1"/>
  <c r="G447" i="12" s="1"/>
  <c r="I447" i="12" s="1"/>
  <c r="K447" i="12" s="1"/>
  <c r="D446" i="12"/>
  <c r="D445" i="12"/>
  <c r="D444" i="12"/>
  <c r="D443" i="12"/>
  <c r="E442" i="12"/>
  <c r="F442" i="12" s="1"/>
  <c r="G442" i="12" s="1"/>
  <c r="I442" i="12" s="1"/>
  <c r="K442" i="12" s="1"/>
  <c r="E441" i="12"/>
  <c r="F441" i="12" s="1"/>
  <c r="G441" i="12" s="1"/>
  <c r="I441" i="12" s="1"/>
  <c r="K441" i="12" s="1"/>
  <c r="D440" i="12"/>
  <c r="D439" i="12"/>
  <c r="E438" i="12"/>
  <c r="F438" i="12" s="1"/>
  <c r="G438" i="12" s="1"/>
  <c r="I438" i="12" s="1"/>
  <c r="K438" i="12" s="1"/>
  <c r="E437" i="12"/>
  <c r="F437" i="12" s="1"/>
  <c r="G437" i="12" s="1"/>
  <c r="I437" i="12" s="1"/>
  <c r="K437" i="12" s="1"/>
  <c r="D436" i="12"/>
  <c r="D435" i="12"/>
  <c r="D434" i="12"/>
  <c r="D433" i="12"/>
  <c r="E433" i="12" s="1"/>
  <c r="F433" i="12" s="1"/>
  <c r="G433" i="12" s="1"/>
  <c r="I433" i="12" s="1"/>
  <c r="K433" i="12" s="1"/>
  <c r="D432" i="12"/>
  <c r="E431" i="12"/>
  <c r="F431" i="12" s="1"/>
  <c r="G431" i="12" s="1"/>
  <c r="I431" i="12" s="1"/>
  <c r="K431" i="12" s="1"/>
  <c r="E430" i="12"/>
  <c r="F430" i="12" s="1"/>
  <c r="G430" i="12" s="1"/>
  <c r="I430" i="12" s="1"/>
  <c r="K430" i="12" s="1"/>
  <c r="E429" i="12"/>
  <c r="F429" i="12" s="1"/>
  <c r="G429" i="12" s="1"/>
  <c r="I429" i="12" s="1"/>
  <c r="K429" i="12" s="1"/>
  <c r="E428" i="12"/>
  <c r="F428" i="12" s="1"/>
  <c r="G428" i="12" s="1"/>
  <c r="I428" i="12" s="1"/>
  <c r="K428" i="12" s="1"/>
  <c r="E427" i="12"/>
  <c r="F427" i="12" s="1"/>
  <c r="G427" i="12" s="1"/>
  <c r="I427" i="12" s="1"/>
  <c r="K427" i="12" s="1"/>
  <c r="E426" i="12"/>
  <c r="F426" i="12" s="1"/>
  <c r="G426" i="12" s="1"/>
  <c r="I426" i="12" s="1"/>
  <c r="K426" i="12" s="1"/>
  <c r="E425" i="12"/>
  <c r="F425" i="12" s="1"/>
  <c r="G425" i="12" s="1"/>
  <c r="I425" i="12" s="1"/>
  <c r="K425" i="12" s="1"/>
  <c r="E424" i="12"/>
  <c r="F424" i="12" s="1"/>
  <c r="G424" i="12" s="1"/>
  <c r="I424" i="12" s="1"/>
  <c r="K424" i="12" s="1"/>
  <c r="E423" i="12"/>
  <c r="F423" i="12" s="1"/>
  <c r="G423" i="12" s="1"/>
  <c r="I423" i="12" s="1"/>
  <c r="K423" i="12" s="1"/>
  <c r="E422" i="12"/>
  <c r="F422" i="12" s="1"/>
  <c r="G422" i="12" s="1"/>
  <c r="I422" i="12" s="1"/>
  <c r="K422" i="12" s="1"/>
  <c r="E421" i="12"/>
  <c r="F421" i="12" s="1"/>
  <c r="G421" i="12" s="1"/>
  <c r="I421" i="12" s="1"/>
  <c r="K421" i="12" s="1"/>
  <c r="E420" i="12"/>
  <c r="F420" i="12" s="1"/>
  <c r="G420" i="12" s="1"/>
  <c r="I420" i="12" s="1"/>
  <c r="K420" i="12" s="1"/>
  <c r="E419" i="12"/>
  <c r="F419" i="12" s="1"/>
  <c r="G419" i="12" s="1"/>
  <c r="I419" i="12" s="1"/>
  <c r="K419" i="12" s="1"/>
  <c r="D418" i="12"/>
  <c r="D417" i="12"/>
  <c r="E417" i="12" s="1"/>
  <c r="F417" i="12" s="1"/>
  <c r="G417" i="12" s="1"/>
  <c r="I417" i="12" s="1"/>
  <c r="K417" i="12" s="1"/>
  <c r="E416" i="12"/>
  <c r="F416" i="12" s="1"/>
  <c r="G416" i="12" s="1"/>
  <c r="I416" i="12" s="1"/>
  <c r="K416" i="12" s="1"/>
  <c r="E415" i="12"/>
  <c r="F415" i="12" s="1"/>
  <c r="G415" i="12" s="1"/>
  <c r="I415" i="12" s="1"/>
  <c r="K415" i="12" s="1"/>
  <c r="D414" i="12"/>
  <c r="E413" i="12"/>
  <c r="F413" i="12" s="1"/>
  <c r="G413" i="12" s="1"/>
  <c r="I413" i="12" s="1"/>
  <c r="K413" i="12" s="1"/>
  <c r="E412" i="12"/>
  <c r="F412" i="12" s="1"/>
  <c r="G412" i="12" s="1"/>
  <c r="I412" i="12" s="1"/>
  <c r="K412" i="12" s="1"/>
  <c r="E411" i="12"/>
  <c r="F411" i="12" s="1"/>
  <c r="G411" i="12" s="1"/>
  <c r="I411" i="12" s="1"/>
  <c r="K411" i="12" s="1"/>
  <c r="E410" i="12"/>
  <c r="F410" i="12" s="1"/>
  <c r="G410" i="12" s="1"/>
  <c r="I410" i="12" s="1"/>
  <c r="K410" i="12" s="1"/>
  <c r="E409" i="12"/>
  <c r="F409" i="12" s="1"/>
  <c r="G409" i="12" s="1"/>
  <c r="I409" i="12" s="1"/>
  <c r="K409" i="12" s="1"/>
  <c r="E408" i="12"/>
  <c r="F408" i="12" s="1"/>
  <c r="G408" i="12" s="1"/>
  <c r="I408" i="12" s="1"/>
  <c r="K408" i="12" s="1"/>
  <c r="E407" i="12"/>
  <c r="F407" i="12" s="1"/>
  <c r="G407" i="12" s="1"/>
  <c r="I407" i="12" s="1"/>
  <c r="K407" i="12" s="1"/>
  <c r="D406" i="12"/>
  <c r="D405" i="12"/>
  <c r="D404" i="12"/>
  <c r="D403" i="12"/>
  <c r="E402" i="12"/>
  <c r="F402" i="12" s="1"/>
  <c r="G402" i="12" s="1"/>
  <c r="I402" i="12" s="1"/>
  <c r="K402" i="12" s="1"/>
  <c r="E401" i="12"/>
  <c r="F401" i="12" s="1"/>
  <c r="G401" i="12" s="1"/>
  <c r="I401" i="12" s="1"/>
  <c r="K401" i="12" s="1"/>
  <c r="E400" i="12"/>
  <c r="F400" i="12" s="1"/>
  <c r="G400" i="12" s="1"/>
  <c r="I400" i="12" s="1"/>
  <c r="K400" i="12" s="1"/>
  <c r="D399" i="12"/>
  <c r="E398" i="12"/>
  <c r="F398" i="12" s="1"/>
  <c r="G398" i="12" s="1"/>
  <c r="I398" i="12" s="1"/>
  <c r="K398" i="12" s="1"/>
  <c r="E397" i="12"/>
  <c r="F397" i="12" s="1"/>
  <c r="G397" i="12" s="1"/>
  <c r="I397" i="12" s="1"/>
  <c r="K397" i="12" s="1"/>
  <c r="E396" i="12"/>
  <c r="F396" i="12" s="1"/>
  <c r="G396" i="12" s="1"/>
  <c r="I396" i="12" s="1"/>
  <c r="K396" i="12" s="1"/>
  <c r="E395" i="12"/>
  <c r="F395" i="12" s="1"/>
  <c r="G395" i="12" s="1"/>
  <c r="I395" i="12" s="1"/>
  <c r="K395" i="12" s="1"/>
  <c r="E394" i="12"/>
  <c r="F394" i="12" s="1"/>
  <c r="G394" i="12" s="1"/>
  <c r="I394" i="12" s="1"/>
  <c r="K394" i="12" s="1"/>
  <c r="D393" i="12"/>
  <c r="E393" i="12" s="1"/>
  <c r="F393" i="12" s="1"/>
  <c r="G393" i="12" s="1"/>
  <c r="I393" i="12" s="1"/>
  <c r="K393" i="12" s="1"/>
  <c r="E392" i="12"/>
  <c r="F392" i="12" s="1"/>
  <c r="G392" i="12" s="1"/>
  <c r="I392" i="12" s="1"/>
  <c r="K392" i="12" s="1"/>
  <c r="D391" i="12"/>
  <c r="E390" i="12"/>
  <c r="F390" i="12" s="1"/>
  <c r="G390" i="12" s="1"/>
  <c r="I390" i="12" s="1"/>
  <c r="K390" i="12" s="1"/>
  <c r="D389" i="12"/>
  <c r="E388" i="12"/>
  <c r="F388" i="12" s="1"/>
  <c r="G388" i="12" s="1"/>
  <c r="I388" i="12" s="1"/>
  <c r="K388" i="12" s="1"/>
  <c r="E387" i="12"/>
  <c r="F387" i="12" s="1"/>
  <c r="G387" i="12" s="1"/>
  <c r="I387" i="12" s="1"/>
  <c r="K387" i="12" s="1"/>
  <c r="E386" i="12"/>
  <c r="F386" i="12" s="1"/>
  <c r="G386" i="12" s="1"/>
  <c r="I386" i="12" s="1"/>
  <c r="K386" i="12" s="1"/>
  <c r="D385" i="12"/>
  <c r="E385" i="12" s="1"/>
  <c r="F385" i="12" s="1"/>
  <c r="G385" i="12" s="1"/>
  <c r="I385" i="12" s="1"/>
  <c r="K385" i="12" s="1"/>
  <c r="D384" i="12"/>
  <c r="D383" i="12"/>
  <c r="D382" i="12"/>
  <c r="D381" i="12"/>
  <c r="D380" i="12"/>
  <c r="D379" i="12"/>
  <c r="D378" i="12"/>
  <c r="D377" i="12"/>
  <c r="E377" i="12" s="1"/>
  <c r="F377" i="12" s="1"/>
  <c r="G377" i="12" s="1"/>
  <c r="I377" i="12" s="1"/>
  <c r="K377" i="12" s="1"/>
  <c r="D376" i="12"/>
  <c r="D375" i="12"/>
  <c r="D374" i="12"/>
  <c r="D373" i="12"/>
  <c r="D372" i="12"/>
  <c r="D371" i="12"/>
  <c r="D370" i="12"/>
  <c r="D369" i="12"/>
  <c r="E369" i="12" s="1"/>
  <c r="F369" i="12" s="1"/>
  <c r="G369" i="12" s="1"/>
  <c r="I369" i="12" s="1"/>
  <c r="K369" i="12" s="1"/>
  <c r="D368" i="12"/>
  <c r="E367" i="12"/>
  <c r="F367" i="12" s="1"/>
  <c r="G367" i="12" s="1"/>
  <c r="I367" i="12" s="1"/>
  <c r="K367" i="12" s="1"/>
  <c r="E366" i="12"/>
  <c r="F366" i="12" s="1"/>
  <c r="G366" i="12" s="1"/>
  <c r="I366" i="12" s="1"/>
  <c r="K366" i="12" s="1"/>
  <c r="E365" i="12"/>
  <c r="F365" i="12" s="1"/>
  <c r="G365" i="12" s="1"/>
  <c r="I365" i="12" s="1"/>
  <c r="K365" i="12" s="1"/>
  <c r="D364" i="12"/>
  <c r="D363" i="12"/>
  <c r="D362" i="12"/>
  <c r="D361" i="12"/>
  <c r="E361" i="12" s="1"/>
  <c r="F361" i="12" s="1"/>
  <c r="G361" i="12" s="1"/>
  <c r="I361" i="12" s="1"/>
  <c r="K361" i="12" s="1"/>
  <c r="D360" i="12"/>
  <c r="D359" i="12"/>
  <c r="D358" i="12"/>
  <c r="D357" i="12"/>
  <c r="D356" i="12"/>
  <c r="D355" i="12"/>
  <c r="D354" i="12"/>
  <c r="D353" i="12"/>
  <c r="E353" i="12" s="1"/>
  <c r="F353" i="12" s="1"/>
  <c r="G353" i="12" s="1"/>
  <c r="I353" i="12" s="1"/>
  <c r="K353" i="12" s="1"/>
  <c r="D352" i="12"/>
  <c r="D351" i="12"/>
  <c r="D350" i="12"/>
  <c r="D349" i="12"/>
  <c r="D348" i="12"/>
  <c r="D347" i="12"/>
  <c r="D346" i="12"/>
  <c r="D345" i="12"/>
  <c r="E345" i="12" s="1"/>
  <c r="F345" i="12" s="1"/>
  <c r="G345" i="12" s="1"/>
  <c r="I345" i="12" s="1"/>
  <c r="K345" i="12" s="1"/>
  <c r="D344" i="12"/>
  <c r="D343" i="12"/>
  <c r="D342" i="12"/>
  <c r="D341" i="12"/>
  <c r="D340" i="12"/>
  <c r="D339" i="12"/>
  <c r="D338" i="12"/>
  <c r="D337" i="12"/>
  <c r="E337" i="12" s="1"/>
  <c r="F337" i="12" s="1"/>
  <c r="G337" i="12" s="1"/>
  <c r="I337" i="12" s="1"/>
  <c r="K337" i="12" s="1"/>
  <c r="D336" i="12"/>
  <c r="D335" i="12"/>
  <c r="D334" i="12"/>
  <c r="D333" i="12"/>
  <c r="D332" i="12"/>
  <c r="E331" i="12"/>
  <c r="F331" i="12" s="1"/>
  <c r="G331" i="12" s="1"/>
  <c r="I331" i="12" s="1"/>
  <c r="K331" i="12" s="1"/>
  <c r="E330" i="12"/>
  <c r="F330" i="12" s="1"/>
  <c r="G330" i="12" s="1"/>
  <c r="I330" i="12" s="1"/>
  <c r="K330" i="12" s="1"/>
  <c r="E329" i="12"/>
  <c r="F329" i="12" s="1"/>
  <c r="G329" i="12" s="1"/>
  <c r="I329" i="12" s="1"/>
  <c r="K329" i="12" s="1"/>
  <c r="E328" i="12"/>
  <c r="F328" i="12" s="1"/>
  <c r="G328" i="12" s="1"/>
  <c r="I328" i="12" s="1"/>
  <c r="K328" i="12" s="1"/>
  <c r="E327" i="12"/>
  <c r="F327" i="12" s="1"/>
  <c r="G327" i="12" s="1"/>
  <c r="I327" i="12" s="1"/>
  <c r="K327" i="12" s="1"/>
  <c r="E326" i="12"/>
  <c r="F326" i="12" s="1"/>
  <c r="G326" i="12" s="1"/>
  <c r="I326" i="12" s="1"/>
  <c r="K326" i="12" s="1"/>
  <c r="D325" i="12"/>
  <c r="D324" i="12"/>
  <c r="D323" i="12"/>
  <c r="E322" i="12"/>
  <c r="F322" i="12" s="1"/>
  <c r="G322" i="12" s="1"/>
  <c r="I322" i="12" s="1"/>
  <c r="K322" i="12" s="1"/>
  <c r="E321" i="12"/>
  <c r="F321" i="12" s="1"/>
  <c r="G321" i="12" s="1"/>
  <c r="I321" i="12" s="1"/>
  <c r="K321" i="12" s="1"/>
  <c r="E320" i="12"/>
  <c r="F320" i="12" s="1"/>
  <c r="G320" i="12" s="1"/>
  <c r="I320" i="12" s="1"/>
  <c r="K320" i="12" s="1"/>
  <c r="E319" i="12"/>
  <c r="F319" i="12" s="1"/>
  <c r="G319" i="12" s="1"/>
  <c r="I319" i="12" s="1"/>
  <c r="K319" i="12" s="1"/>
  <c r="E318" i="12"/>
  <c r="F318" i="12" s="1"/>
  <c r="G318" i="12" s="1"/>
  <c r="I318" i="12" s="1"/>
  <c r="K318" i="12" s="1"/>
  <c r="E317" i="12"/>
  <c r="F317" i="12" s="1"/>
  <c r="G317" i="12" s="1"/>
  <c r="I317" i="12" s="1"/>
  <c r="K317" i="12" s="1"/>
  <c r="E316" i="12"/>
  <c r="F316" i="12" s="1"/>
  <c r="G316" i="12" s="1"/>
  <c r="I316" i="12" s="1"/>
  <c r="K316" i="12" s="1"/>
  <c r="E315" i="12"/>
  <c r="F315" i="12" s="1"/>
  <c r="G315" i="12" s="1"/>
  <c r="I315" i="12" s="1"/>
  <c r="K315" i="12" s="1"/>
  <c r="E314" i="12"/>
  <c r="F314" i="12" s="1"/>
  <c r="G314" i="12" s="1"/>
  <c r="I314" i="12" s="1"/>
  <c r="K314" i="12" s="1"/>
  <c r="E313" i="12"/>
  <c r="F313" i="12" s="1"/>
  <c r="G313" i="12" s="1"/>
  <c r="I313" i="12" s="1"/>
  <c r="K313" i="12" s="1"/>
  <c r="E312" i="12"/>
  <c r="F312" i="12" s="1"/>
  <c r="G312" i="12" s="1"/>
  <c r="I312" i="12" s="1"/>
  <c r="K312" i="12" s="1"/>
  <c r="E311" i="12"/>
  <c r="F311" i="12" s="1"/>
  <c r="G311" i="12" s="1"/>
  <c r="I311" i="12" s="1"/>
  <c r="K311" i="12" s="1"/>
  <c r="E310" i="12"/>
  <c r="F310" i="12" s="1"/>
  <c r="G310" i="12" s="1"/>
  <c r="I310" i="12" s="1"/>
  <c r="K310" i="12" s="1"/>
  <c r="E309" i="12"/>
  <c r="F309" i="12" s="1"/>
  <c r="G309" i="12" s="1"/>
  <c r="I309" i="12" s="1"/>
  <c r="K309" i="12" s="1"/>
  <c r="D308" i="12"/>
  <c r="D307" i="12"/>
  <c r="D306" i="12"/>
  <c r="E305" i="12"/>
  <c r="F305" i="12" s="1"/>
  <c r="G305" i="12" s="1"/>
  <c r="I305" i="12" s="1"/>
  <c r="K305" i="12" s="1"/>
  <c r="D304" i="12"/>
  <c r="E303" i="12"/>
  <c r="F303" i="12" s="1"/>
  <c r="G303" i="12" s="1"/>
  <c r="I303" i="12" s="1"/>
  <c r="K303" i="12" s="1"/>
  <c r="E302" i="12"/>
  <c r="F302" i="12" s="1"/>
  <c r="G302" i="12" s="1"/>
  <c r="I302" i="12" s="1"/>
  <c r="K302" i="12" s="1"/>
  <c r="E301" i="12"/>
  <c r="F301" i="12" s="1"/>
  <c r="G301" i="12" s="1"/>
  <c r="I301" i="12" s="1"/>
  <c r="K301" i="12" s="1"/>
  <c r="E300" i="12"/>
  <c r="F300" i="12" s="1"/>
  <c r="G300" i="12" s="1"/>
  <c r="I300" i="12" s="1"/>
  <c r="K300" i="12" s="1"/>
  <c r="E299" i="12"/>
  <c r="F299" i="12" s="1"/>
  <c r="G299" i="12" s="1"/>
  <c r="I299" i="12" s="1"/>
  <c r="K299" i="12" s="1"/>
  <c r="D298" i="12"/>
  <c r="E297" i="12"/>
  <c r="F297" i="12" s="1"/>
  <c r="G297" i="12" s="1"/>
  <c r="I297" i="12" s="1"/>
  <c r="K297" i="12" s="1"/>
  <c r="E296" i="12"/>
  <c r="F296" i="12" s="1"/>
  <c r="G296" i="12" s="1"/>
  <c r="I296" i="12" s="1"/>
  <c r="K296" i="12" s="1"/>
  <c r="E295" i="12"/>
  <c r="F295" i="12" s="1"/>
  <c r="G295" i="12" s="1"/>
  <c r="I295" i="12" s="1"/>
  <c r="K295" i="12" s="1"/>
  <c r="D294" i="12"/>
  <c r="D293" i="12"/>
  <c r="E292" i="12"/>
  <c r="F292" i="12" s="1"/>
  <c r="G292" i="12" s="1"/>
  <c r="I292" i="12" s="1"/>
  <c r="K292" i="12" s="1"/>
  <c r="E291" i="12"/>
  <c r="F291" i="12" s="1"/>
  <c r="G291" i="12" s="1"/>
  <c r="I291" i="12" s="1"/>
  <c r="K291" i="12" s="1"/>
  <c r="D290" i="12"/>
  <c r="E289" i="12"/>
  <c r="F289" i="12" s="1"/>
  <c r="G289" i="12" s="1"/>
  <c r="I289" i="12" s="1"/>
  <c r="K289" i="12" s="1"/>
  <c r="E288" i="12"/>
  <c r="F288" i="12" s="1"/>
  <c r="G288" i="12" s="1"/>
  <c r="I288" i="12" s="1"/>
  <c r="K288" i="12" s="1"/>
  <c r="D287" i="12"/>
  <c r="D286" i="12"/>
  <c r="D285" i="12"/>
  <c r="E284" i="12"/>
  <c r="F284" i="12" s="1"/>
  <c r="G284" i="12" s="1"/>
  <c r="I284" i="12" s="1"/>
  <c r="K284" i="12" s="1"/>
  <c r="E283" i="12"/>
  <c r="F283" i="12" s="1"/>
  <c r="G283" i="12" s="1"/>
  <c r="I283" i="12" s="1"/>
  <c r="K283" i="12" s="1"/>
  <c r="E282" i="12"/>
  <c r="F282" i="12" s="1"/>
  <c r="G282" i="12" s="1"/>
  <c r="I282" i="12" s="1"/>
  <c r="K282" i="12" s="1"/>
  <c r="D281" i="12"/>
  <c r="E281" i="12" s="1"/>
  <c r="F281" i="12" s="1"/>
  <c r="G281" i="12" s="1"/>
  <c r="I281" i="12" s="1"/>
  <c r="K281" i="12" s="1"/>
  <c r="D280" i="12"/>
  <c r="D279" i="12"/>
  <c r="D278" i="12"/>
  <c r="D277" i="12"/>
  <c r="D276" i="12"/>
  <c r="E275" i="12"/>
  <c r="F275" i="12" s="1"/>
  <c r="G275" i="12" s="1"/>
  <c r="I275" i="12" s="1"/>
  <c r="K275" i="12" s="1"/>
  <c r="E274" i="12"/>
  <c r="F274" i="12" s="1"/>
  <c r="G274" i="12" s="1"/>
  <c r="I274" i="12" s="1"/>
  <c r="K274" i="12" s="1"/>
  <c r="E273" i="12"/>
  <c r="F273" i="12" s="1"/>
  <c r="G273" i="12" s="1"/>
  <c r="I273" i="12" s="1"/>
  <c r="K273" i="12" s="1"/>
  <c r="E272" i="12"/>
  <c r="F272" i="12" s="1"/>
  <c r="G272" i="12" s="1"/>
  <c r="I272" i="12" s="1"/>
  <c r="K272" i="12" s="1"/>
  <c r="E271" i="12"/>
  <c r="F271" i="12" s="1"/>
  <c r="G271" i="12" s="1"/>
  <c r="I271" i="12" s="1"/>
  <c r="K271" i="12" s="1"/>
  <c r="E270" i="12"/>
  <c r="F270" i="12" s="1"/>
  <c r="G270" i="12" s="1"/>
  <c r="I270" i="12" s="1"/>
  <c r="K270" i="12" s="1"/>
  <c r="E269" i="12"/>
  <c r="F269" i="12" s="1"/>
  <c r="G269" i="12" s="1"/>
  <c r="I269" i="12" s="1"/>
  <c r="K269" i="12" s="1"/>
  <c r="E268" i="12"/>
  <c r="F268" i="12" s="1"/>
  <c r="G268" i="12" s="1"/>
  <c r="I268" i="12" s="1"/>
  <c r="K268" i="12" s="1"/>
  <c r="D267" i="12"/>
  <c r="E266" i="12"/>
  <c r="F266" i="12" s="1"/>
  <c r="G266" i="12" s="1"/>
  <c r="I266" i="12" s="1"/>
  <c r="K266" i="12" s="1"/>
  <c r="D265" i="12"/>
  <c r="E265" i="12" s="1"/>
  <c r="F265" i="12" s="1"/>
  <c r="G265" i="12" s="1"/>
  <c r="I265" i="12" s="1"/>
  <c r="K265" i="12" s="1"/>
  <c r="E264" i="12"/>
  <c r="F264" i="12" s="1"/>
  <c r="G264" i="12" s="1"/>
  <c r="I264" i="12" s="1"/>
  <c r="K264" i="12" s="1"/>
  <c r="E263" i="12"/>
  <c r="F263" i="12" s="1"/>
  <c r="G263" i="12" s="1"/>
  <c r="I263" i="12" s="1"/>
  <c r="K263" i="12" s="1"/>
  <c r="E262" i="12"/>
  <c r="F262" i="12" s="1"/>
  <c r="G262" i="12" s="1"/>
  <c r="I262" i="12" s="1"/>
  <c r="K262" i="12" s="1"/>
  <c r="D261" i="12"/>
  <c r="D260" i="12"/>
  <c r="E259" i="12"/>
  <c r="F259" i="12" s="1"/>
  <c r="G259" i="12" s="1"/>
  <c r="I259" i="12" s="1"/>
  <c r="K259" i="12" s="1"/>
  <c r="E258" i="12"/>
  <c r="F258" i="12" s="1"/>
  <c r="G258" i="12" s="1"/>
  <c r="I258" i="12" s="1"/>
  <c r="K258" i="12" s="1"/>
  <c r="E257" i="12"/>
  <c r="F257" i="12" s="1"/>
  <c r="G257" i="12" s="1"/>
  <c r="I257" i="12" s="1"/>
  <c r="K257" i="12" s="1"/>
  <c r="E256" i="12"/>
  <c r="F256" i="12" s="1"/>
  <c r="G256" i="12" s="1"/>
  <c r="I256" i="12" s="1"/>
  <c r="K256" i="12" s="1"/>
  <c r="E255" i="12"/>
  <c r="F255" i="12" s="1"/>
  <c r="G255" i="12" s="1"/>
  <c r="I255" i="12" s="1"/>
  <c r="K255" i="12" s="1"/>
  <c r="E254" i="12"/>
  <c r="F254" i="12" s="1"/>
  <c r="G254" i="12" s="1"/>
  <c r="I254" i="12" s="1"/>
  <c r="K254" i="12" s="1"/>
  <c r="D253" i="12"/>
  <c r="D252" i="12"/>
  <c r="E251" i="12"/>
  <c r="F251" i="12" s="1"/>
  <c r="G251" i="12" s="1"/>
  <c r="I251" i="12" s="1"/>
  <c r="K251" i="12" s="1"/>
  <c r="E250" i="12"/>
  <c r="F250" i="12" s="1"/>
  <c r="G250" i="12" s="1"/>
  <c r="I250" i="12" s="1"/>
  <c r="K250" i="12" s="1"/>
  <c r="E249" i="12"/>
  <c r="F249" i="12" s="1"/>
  <c r="G249" i="12" s="1"/>
  <c r="I249" i="12" s="1"/>
  <c r="K249" i="12" s="1"/>
  <c r="E248" i="12"/>
  <c r="F248" i="12" s="1"/>
  <c r="G248" i="12" s="1"/>
  <c r="I248" i="12" s="1"/>
  <c r="K248" i="12" s="1"/>
  <c r="E247" i="12"/>
  <c r="F247" i="12" s="1"/>
  <c r="G247" i="12" s="1"/>
  <c r="I247" i="12" s="1"/>
  <c r="K247" i="12" s="1"/>
  <c r="D246" i="12"/>
  <c r="D245" i="12"/>
  <c r="D244" i="12"/>
  <c r="D243" i="12"/>
  <c r="D242" i="12"/>
  <c r="D241" i="12"/>
  <c r="E241" i="12" s="1"/>
  <c r="F241" i="12" s="1"/>
  <c r="G241" i="12" s="1"/>
  <c r="I241" i="12" s="1"/>
  <c r="K241" i="12" s="1"/>
  <c r="K240" i="12"/>
  <c r="K239" i="12"/>
  <c r="E238" i="12"/>
  <c r="F238" i="12" s="1"/>
  <c r="G238" i="12" s="1"/>
  <c r="I238" i="12" s="1"/>
  <c r="K238" i="12" s="1"/>
  <c r="D237" i="12"/>
  <c r="D236" i="12"/>
  <c r="D235" i="12"/>
  <c r="D234" i="12"/>
  <c r="D233" i="12"/>
  <c r="E233" i="12" s="1"/>
  <c r="F233" i="12" s="1"/>
  <c r="G233" i="12" s="1"/>
  <c r="I233" i="12" s="1"/>
  <c r="K233" i="12" s="1"/>
  <c r="D232" i="12"/>
  <c r="E231" i="12"/>
  <c r="F231" i="12" s="1"/>
  <c r="G231" i="12" s="1"/>
  <c r="I231" i="12" s="1"/>
  <c r="K231" i="12" s="1"/>
  <c r="E230" i="12"/>
  <c r="F230" i="12" s="1"/>
  <c r="G230" i="12" s="1"/>
  <c r="I230" i="12" s="1"/>
  <c r="K230" i="12" s="1"/>
  <c r="D229" i="12"/>
  <c r="D228" i="12"/>
  <c r="E227" i="12"/>
  <c r="F227" i="12" s="1"/>
  <c r="G227" i="12" s="1"/>
  <c r="I227" i="12" s="1"/>
  <c r="K227" i="12" s="1"/>
  <c r="D226" i="12"/>
  <c r="D225" i="12"/>
  <c r="E225" i="12" s="1"/>
  <c r="F225" i="12" s="1"/>
  <c r="G225" i="12" s="1"/>
  <c r="I225" i="12" s="1"/>
  <c r="K225" i="12" s="1"/>
  <c r="E224" i="12"/>
  <c r="F224" i="12" s="1"/>
  <c r="G224" i="12" s="1"/>
  <c r="I224" i="12" s="1"/>
  <c r="K224" i="12" s="1"/>
  <c r="E223" i="12"/>
  <c r="F223" i="12" s="1"/>
  <c r="G223" i="12" s="1"/>
  <c r="I223" i="12" s="1"/>
  <c r="K223" i="12" s="1"/>
  <c r="E222" i="12"/>
  <c r="F222" i="12" s="1"/>
  <c r="G222" i="12" s="1"/>
  <c r="I222" i="12" s="1"/>
  <c r="K222" i="12" s="1"/>
  <c r="D221" i="12"/>
  <c r="D220" i="12"/>
  <c r="D219" i="12"/>
  <c r="D218" i="12"/>
  <c r="E217" i="12"/>
  <c r="F217" i="12" s="1"/>
  <c r="G217" i="12" s="1"/>
  <c r="I217" i="12" s="1"/>
  <c r="K217" i="12" s="1"/>
  <c r="E216" i="12"/>
  <c r="F216" i="12" s="1"/>
  <c r="G216" i="12" s="1"/>
  <c r="I216" i="12" s="1"/>
  <c r="K216" i="12" s="1"/>
  <c r="D215" i="12"/>
  <c r="E214" i="12"/>
  <c r="F214" i="12" s="1"/>
  <c r="G214" i="12" s="1"/>
  <c r="I214" i="12" s="1"/>
  <c r="K214" i="12" s="1"/>
  <c r="E213" i="12"/>
  <c r="F213" i="12" s="1"/>
  <c r="G213" i="12" s="1"/>
  <c r="I213" i="12" s="1"/>
  <c r="K213" i="12" s="1"/>
  <c r="E212" i="12"/>
  <c r="F212" i="12" s="1"/>
  <c r="G212" i="12" s="1"/>
  <c r="I212" i="12" s="1"/>
  <c r="K212" i="12" s="1"/>
  <c r="E211" i="12"/>
  <c r="F211" i="12" s="1"/>
  <c r="G211" i="12" s="1"/>
  <c r="I211" i="12" s="1"/>
  <c r="K211" i="12" s="1"/>
  <c r="E210" i="12"/>
  <c r="F210" i="12" s="1"/>
  <c r="G210" i="12" s="1"/>
  <c r="I210" i="12" s="1"/>
  <c r="K210" i="12" s="1"/>
  <c r="E209" i="12"/>
  <c r="F209" i="12" s="1"/>
  <c r="G209" i="12" s="1"/>
  <c r="I209" i="12" s="1"/>
  <c r="K209" i="12" s="1"/>
  <c r="E208" i="12"/>
  <c r="F208" i="12" s="1"/>
  <c r="G208" i="12" s="1"/>
  <c r="I208" i="12" s="1"/>
  <c r="K208" i="12" s="1"/>
  <c r="E207" i="12"/>
  <c r="F207" i="12" s="1"/>
  <c r="G207" i="12" s="1"/>
  <c r="I207" i="12" s="1"/>
  <c r="K207" i="12" s="1"/>
  <c r="E206" i="12"/>
  <c r="F206" i="12" s="1"/>
  <c r="G206" i="12" s="1"/>
  <c r="I206" i="12" s="1"/>
  <c r="K206" i="12" s="1"/>
  <c r="E205" i="12"/>
  <c r="F205" i="12" s="1"/>
  <c r="G205" i="12" s="1"/>
  <c r="I205" i="12" s="1"/>
  <c r="K205" i="12" s="1"/>
  <c r="E204" i="12"/>
  <c r="F204" i="12" s="1"/>
  <c r="G204" i="12" s="1"/>
  <c r="I204" i="12" s="1"/>
  <c r="K204" i="12" s="1"/>
  <c r="E203" i="12"/>
  <c r="F203" i="12" s="1"/>
  <c r="G203" i="12" s="1"/>
  <c r="I203" i="12" s="1"/>
  <c r="K203" i="12" s="1"/>
  <c r="E202" i="12"/>
  <c r="F202" i="12" s="1"/>
  <c r="G202" i="12" s="1"/>
  <c r="I202" i="12" s="1"/>
  <c r="K202" i="12" s="1"/>
  <c r="D201" i="12"/>
  <c r="E201" i="12" s="1"/>
  <c r="F201" i="12" s="1"/>
  <c r="G201" i="12" s="1"/>
  <c r="I201" i="12" s="1"/>
  <c r="K201" i="12" s="1"/>
  <c r="E200" i="12"/>
  <c r="F200" i="12" s="1"/>
  <c r="G200" i="12" s="1"/>
  <c r="I200" i="12" s="1"/>
  <c r="K200" i="12" s="1"/>
  <c r="D199" i="12"/>
  <c r="D198" i="12"/>
  <c r="D197" i="12"/>
  <c r="E196" i="12"/>
  <c r="F196" i="12" s="1"/>
  <c r="G196" i="12" s="1"/>
  <c r="I196" i="12" s="1"/>
  <c r="K196" i="12" s="1"/>
  <c r="E195" i="12"/>
  <c r="F195" i="12" s="1"/>
  <c r="G195" i="12" s="1"/>
  <c r="I195" i="12" s="1"/>
  <c r="K195" i="12" s="1"/>
  <c r="E194" i="12"/>
  <c r="F194" i="12" s="1"/>
  <c r="G194" i="12" s="1"/>
  <c r="I194" i="12" s="1"/>
  <c r="K194" i="12" s="1"/>
  <c r="E193" i="12"/>
  <c r="F193" i="12" s="1"/>
  <c r="G193" i="12" s="1"/>
  <c r="I193" i="12" s="1"/>
  <c r="K193" i="12" s="1"/>
  <c r="E192" i="12"/>
  <c r="F192" i="12" s="1"/>
  <c r="G192" i="12" s="1"/>
  <c r="I192" i="12" s="1"/>
  <c r="K192" i="12" s="1"/>
  <c r="E191" i="12"/>
  <c r="F191" i="12" s="1"/>
  <c r="G191" i="12" s="1"/>
  <c r="I191" i="12" s="1"/>
  <c r="K191" i="12" s="1"/>
  <c r="E190" i="12"/>
  <c r="F190" i="12" s="1"/>
  <c r="G190" i="12" s="1"/>
  <c r="I190" i="12" s="1"/>
  <c r="K190" i="12" s="1"/>
  <c r="D189" i="12"/>
  <c r="E188" i="12"/>
  <c r="F188" i="12" s="1"/>
  <c r="G188" i="12" s="1"/>
  <c r="I188" i="12" s="1"/>
  <c r="K188" i="12" s="1"/>
  <c r="D187" i="12"/>
  <c r="E186" i="12"/>
  <c r="F186" i="12" s="1"/>
  <c r="G186" i="12" s="1"/>
  <c r="I186" i="12" s="1"/>
  <c r="K186" i="12" s="1"/>
  <c r="D185" i="12"/>
  <c r="E185" i="12" s="1"/>
  <c r="F185" i="12" s="1"/>
  <c r="G185" i="12" s="1"/>
  <c r="I185" i="12" s="1"/>
  <c r="K185" i="12" s="1"/>
  <c r="D184" i="12"/>
  <c r="E183" i="12"/>
  <c r="F183" i="12" s="1"/>
  <c r="G183" i="12" s="1"/>
  <c r="I183" i="12" s="1"/>
  <c r="K183" i="12" s="1"/>
  <c r="D182" i="12"/>
  <c r="D181" i="12"/>
  <c r="D180" i="12"/>
  <c r="E179" i="12"/>
  <c r="F179" i="12" s="1"/>
  <c r="G179" i="12" s="1"/>
  <c r="I179" i="12" s="1"/>
  <c r="K179" i="12" s="1"/>
  <c r="D178" i="12"/>
  <c r="D177" i="12"/>
  <c r="E177" i="12" s="1"/>
  <c r="F177" i="12" s="1"/>
  <c r="G177" i="12" s="1"/>
  <c r="I177" i="12" s="1"/>
  <c r="K177" i="12" s="1"/>
  <c r="D176" i="12"/>
  <c r="E175" i="12"/>
  <c r="F175" i="12" s="1"/>
  <c r="G175" i="12" s="1"/>
  <c r="I175" i="12" s="1"/>
  <c r="K175" i="12" s="1"/>
  <c r="D174" i="12"/>
  <c r="D173" i="12"/>
  <c r="E172" i="12"/>
  <c r="F172" i="12" s="1"/>
  <c r="G172" i="12" s="1"/>
  <c r="I172" i="12" s="1"/>
  <c r="K172" i="12" s="1"/>
  <c r="D171" i="12"/>
  <c r="E170" i="12"/>
  <c r="F170" i="12" s="1"/>
  <c r="G170" i="12" s="1"/>
  <c r="I170" i="12" s="1"/>
  <c r="K170" i="12" s="1"/>
  <c r="E169" i="12"/>
  <c r="F169" i="12" s="1"/>
  <c r="G169" i="12" s="1"/>
  <c r="I169" i="12" s="1"/>
  <c r="K169" i="12" s="1"/>
  <c r="D168" i="12"/>
  <c r="E167" i="12"/>
  <c r="F167" i="12" s="1"/>
  <c r="G167" i="12" s="1"/>
  <c r="I167" i="12" s="1"/>
  <c r="K167" i="12" s="1"/>
  <c r="D166" i="12"/>
  <c r="E165" i="12"/>
  <c r="F165" i="12" s="1"/>
  <c r="G165" i="12" s="1"/>
  <c r="I165" i="12" s="1"/>
  <c r="K165" i="12" s="1"/>
  <c r="D164" i="12"/>
  <c r="D163" i="12"/>
  <c r="E162" i="12"/>
  <c r="F162" i="12" s="1"/>
  <c r="G162" i="12" s="1"/>
  <c r="I162" i="12" s="1"/>
  <c r="K162" i="12" s="1"/>
  <c r="D161" i="12"/>
  <c r="E161" i="12" s="1"/>
  <c r="F161" i="12" s="1"/>
  <c r="G161" i="12" s="1"/>
  <c r="I161" i="12" s="1"/>
  <c r="K161" i="12" s="1"/>
  <c r="E160" i="12"/>
  <c r="F160" i="12" s="1"/>
  <c r="G160" i="12" s="1"/>
  <c r="I160" i="12" s="1"/>
  <c r="K160" i="12" s="1"/>
  <c r="D159" i="12"/>
  <c r="E158" i="12"/>
  <c r="F158" i="12" s="1"/>
  <c r="G158" i="12" s="1"/>
  <c r="I158" i="12" s="1"/>
  <c r="K158" i="12" s="1"/>
  <c r="D157" i="12"/>
  <c r="E156" i="12"/>
  <c r="F156" i="12" s="1"/>
  <c r="G156" i="12" s="1"/>
  <c r="I156" i="12" s="1"/>
  <c r="K156" i="12" s="1"/>
  <c r="D155" i="12"/>
  <c r="D154" i="12"/>
  <c r="D153" i="12"/>
  <c r="E153" i="12" s="1"/>
  <c r="F153" i="12" s="1"/>
  <c r="G153" i="12" s="1"/>
  <c r="I153" i="12" s="1"/>
  <c r="K153" i="12" s="1"/>
  <c r="E152" i="12"/>
  <c r="F152" i="12" s="1"/>
  <c r="G152" i="12" s="1"/>
  <c r="I152" i="12" s="1"/>
  <c r="K152" i="12" s="1"/>
  <c r="D151" i="12"/>
  <c r="D150" i="12"/>
  <c r="E149" i="12"/>
  <c r="F149" i="12" s="1"/>
  <c r="G149" i="12" s="1"/>
  <c r="I149" i="12" s="1"/>
  <c r="K149" i="12" s="1"/>
  <c r="D148" i="12"/>
  <c r="E147" i="12"/>
  <c r="F147" i="12" s="1"/>
  <c r="G147" i="12" s="1"/>
  <c r="I147" i="12" s="1"/>
  <c r="K147" i="12" s="1"/>
  <c r="D146" i="12"/>
  <c r="E145" i="12"/>
  <c r="F145" i="12" s="1"/>
  <c r="G145" i="12" s="1"/>
  <c r="I145" i="12" s="1"/>
  <c r="K145" i="12" s="1"/>
  <c r="D143" i="12"/>
  <c r="E142" i="12"/>
  <c r="F142" i="12" s="1"/>
  <c r="G142" i="12" s="1"/>
  <c r="I142" i="12" s="1"/>
  <c r="K142" i="12" s="1"/>
  <c r="D141" i="12"/>
  <c r="E140" i="12"/>
  <c r="F140" i="12" s="1"/>
  <c r="G140" i="12" s="1"/>
  <c r="I140" i="12" s="1"/>
  <c r="K140" i="12" s="1"/>
  <c r="D139" i="12"/>
  <c r="E138" i="12"/>
  <c r="F138" i="12" s="1"/>
  <c r="G138" i="12" s="1"/>
  <c r="I138" i="12" s="1"/>
  <c r="K138" i="12" s="1"/>
  <c r="D137" i="12"/>
  <c r="E137" i="12" s="1"/>
  <c r="F137" i="12" s="1"/>
  <c r="G137" i="12" s="1"/>
  <c r="I137" i="12" s="1"/>
  <c r="K137" i="12" s="1"/>
  <c r="D136" i="12"/>
  <c r="D135" i="12"/>
  <c r="E134" i="12"/>
  <c r="F134" i="12" s="1"/>
  <c r="G134" i="12" s="1"/>
  <c r="I134" i="12" s="1"/>
  <c r="K134" i="12" s="1"/>
  <c r="D133" i="12"/>
  <c r="E132" i="12"/>
  <c r="F132" i="12" s="1"/>
  <c r="G132" i="12" s="1"/>
  <c r="I132" i="12" s="1"/>
  <c r="K132" i="12" s="1"/>
  <c r="D131" i="12"/>
  <c r="E130" i="12"/>
  <c r="F130" i="12" s="1"/>
  <c r="G130" i="12" s="1"/>
  <c r="I130" i="12" s="1"/>
  <c r="K130" i="12" s="1"/>
  <c r="D129" i="12"/>
  <c r="E129" i="12" s="1"/>
  <c r="F129" i="12" s="1"/>
  <c r="G129" i="12" s="1"/>
  <c r="I129" i="12" s="1"/>
  <c r="K129" i="12" s="1"/>
  <c r="E128" i="12"/>
  <c r="F128" i="12" s="1"/>
  <c r="G128" i="12" s="1"/>
  <c r="I128" i="12" s="1"/>
  <c r="K128" i="12" s="1"/>
  <c r="D126" i="12"/>
  <c r="E125" i="12"/>
  <c r="F125" i="12" s="1"/>
  <c r="G125" i="12" s="1"/>
  <c r="I125" i="12" s="1"/>
  <c r="K125" i="12" s="1"/>
  <c r="D124" i="12"/>
  <c r="E123" i="12"/>
  <c r="F123" i="12" s="1"/>
  <c r="G123" i="12" s="1"/>
  <c r="I123" i="12" s="1"/>
  <c r="K123" i="12" s="1"/>
  <c r="D122" i="12"/>
  <c r="E121" i="12"/>
  <c r="F121" i="12" s="1"/>
  <c r="G121" i="12" s="1"/>
  <c r="I121" i="12" s="1"/>
  <c r="K121" i="12" s="1"/>
  <c r="D120" i="12"/>
  <c r="E119" i="12"/>
  <c r="F119" i="12" s="1"/>
  <c r="G119" i="12" s="1"/>
  <c r="I119" i="12" s="1"/>
  <c r="K119" i="12" s="1"/>
  <c r="D118" i="12"/>
  <c r="E117" i="12"/>
  <c r="F117" i="12" s="1"/>
  <c r="G117" i="12" s="1"/>
  <c r="I117" i="12" s="1"/>
  <c r="K117" i="12" s="1"/>
  <c r="E116" i="12"/>
  <c r="F116" i="12" s="1"/>
  <c r="G116" i="12" s="1"/>
  <c r="I116" i="12" s="1"/>
  <c r="K116" i="12" s="1"/>
  <c r="D115" i="12"/>
  <c r="E114" i="12"/>
  <c r="F114" i="12" s="1"/>
  <c r="G114" i="12" s="1"/>
  <c r="I114" i="12" s="1"/>
  <c r="K114" i="12" s="1"/>
  <c r="D113" i="12"/>
  <c r="E113" i="12" s="1"/>
  <c r="F113" i="12" s="1"/>
  <c r="G113" i="12" s="1"/>
  <c r="I113" i="12" s="1"/>
  <c r="K113" i="12" s="1"/>
  <c r="E112" i="12"/>
  <c r="F112" i="12" s="1"/>
  <c r="G112" i="12" s="1"/>
  <c r="I112" i="12" s="1"/>
  <c r="K112" i="12" s="1"/>
  <c r="E111" i="12"/>
  <c r="F111" i="12" s="1"/>
  <c r="G111" i="12" s="1"/>
  <c r="I111" i="12" s="1"/>
  <c r="K111" i="12" s="1"/>
  <c r="D110" i="12"/>
  <c r="E109" i="12"/>
  <c r="F109" i="12" s="1"/>
  <c r="G109" i="12" s="1"/>
  <c r="I109" i="12" s="1"/>
  <c r="K109" i="12" s="1"/>
  <c r="D108" i="12"/>
  <c r="E107" i="12"/>
  <c r="F107" i="12" s="1"/>
  <c r="G107" i="12" s="1"/>
  <c r="I107" i="12" s="1"/>
  <c r="K107" i="12" s="1"/>
  <c r="E106" i="12"/>
  <c r="F106" i="12" s="1"/>
  <c r="G106" i="12" s="1"/>
  <c r="I106" i="12" s="1"/>
  <c r="K106" i="12" s="1"/>
  <c r="D105" i="12"/>
  <c r="E105" i="12" s="1"/>
  <c r="F105" i="12" s="1"/>
  <c r="G105" i="12" s="1"/>
  <c r="I105" i="12" s="1"/>
  <c r="K105" i="12" s="1"/>
  <c r="E104" i="12"/>
  <c r="F104" i="12" s="1"/>
  <c r="G104" i="12" s="1"/>
  <c r="I104" i="12" s="1"/>
  <c r="K104" i="12" s="1"/>
  <c r="E103" i="12"/>
  <c r="F103" i="12" s="1"/>
  <c r="G103" i="12" s="1"/>
  <c r="I103" i="12" s="1"/>
  <c r="K103" i="12" s="1"/>
  <c r="D102" i="12"/>
  <c r="E101" i="12"/>
  <c r="F101" i="12" s="1"/>
  <c r="G101" i="12" s="1"/>
  <c r="I101" i="12" s="1"/>
  <c r="K101" i="12" s="1"/>
  <c r="D100" i="12"/>
  <c r="E99" i="12"/>
  <c r="F99" i="12" s="1"/>
  <c r="G99" i="12" s="1"/>
  <c r="I99" i="12" s="1"/>
  <c r="K99" i="12" s="1"/>
  <c r="D98" i="12"/>
  <c r="E97" i="12"/>
  <c r="F97" i="12" s="1"/>
  <c r="G97" i="12" s="1"/>
  <c r="I97" i="12" s="1"/>
  <c r="K97" i="12" s="1"/>
  <c r="D96" i="12"/>
  <c r="E95" i="12"/>
  <c r="F95" i="12" s="1"/>
  <c r="G95" i="12" s="1"/>
  <c r="I95" i="12" s="1"/>
  <c r="K95" i="12" s="1"/>
  <c r="D94" i="12"/>
  <c r="E93" i="12"/>
  <c r="F93" i="12" s="1"/>
  <c r="G93" i="12" s="1"/>
  <c r="I93" i="12" s="1"/>
  <c r="K93" i="12" s="1"/>
  <c r="D92" i="12"/>
  <c r="E91" i="12"/>
  <c r="F91" i="12" s="1"/>
  <c r="G91" i="12" s="1"/>
  <c r="I91" i="12" s="1"/>
  <c r="K91" i="12" s="1"/>
  <c r="D90" i="12"/>
  <c r="E89" i="12"/>
  <c r="F89" i="12" s="1"/>
  <c r="G89" i="12" s="1"/>
  <c r="I89" i="12" s="1"/>
  <c r="K89" i="12" s="1"/>
  <c r="D88" i="12"/>
  <c r="E87" i="12"/>
  <c r="F87" i="12" s="1"/>
  <c r="G87" i="12" s="1"/>
  <c r="I87" i="12" s="1"/>
  <c r="K87" i="12" s="1"/>
  <c r="E86" i="12"/>
  <c r="F86" i="12" s="1"/>
  <c r="G86" i="12" s="1"/>
  <c r="I86" i="12" s="1"/>
  <c r="K86" i="12" s="1"/>
  <c r="D85" i="12"/>
  <c r="E84" i="12"/>
  <c r="F84" i="12" s="1"/>
  <c r="G84" i="12" s="1"/>
  <c r="I84" i="12" s="1"/>
  <c r="K84" i="12" s="1"/>
  <c r="E83" i="12"/>
  <c r="F83" i="12" s="1"/>
  <c r="G83" i="12" s="1"/>
  <c r="I83" i="12" s="1"/>
  <c r="K83" i="12" s="1"/>
  <c r="E82" i="12"/>
  <c r="F82" i="12" s="1"/>
  <c r="G82" i="12" s="1"/>
  <c r="I82" i="12" s="1"/>
  <c r="K82" i="12" s="1"/>
  <c r="E81" i="12"/>
  <c r="F81" i="12" s="1"/>
  <c r="G81" i="12" s="1"/>
  <c r="I81" i="12" s="1"/>
  <c r="K81" i="12" s="1"/>
  <c r="D80" i="12"/>
  <c r="E79" i="12"/>
  <c r="F79" i="12" s="1"/>
  <c r="G79" i="12" s="1"/>
  <c r="I79" i="12" s="1"/>
  <c r="K79" i="12" s="1"/>
  <c r="E78" i="12"/>
  <c r="F78" i="12" s="1"/>
  <c r="G78" i="12" s="1"/>
  <c r="I78" i="12" s="1"/>
  <c r="K78" i="12" s="1"/>
  <c r="E77" i="12"/>
  <c r="F77" i="12" s="1"/>
  <c r="G77" i="12" s="1"/>
  <c r="I77" i="12" s="1"/>
  <c r="K77" i="12" s="1"/>
  <c r="E76" i="12"/>
  <c r="F76" i="12" s="1"/>
  <c r="G76" i="12" s="1"/>
  <c r="I76" i="12" s="1"/>
  <c r="K76" i="12" s="1"/>
  <c r="D75" i="12"/>
  <c r="E74" i="12"/>
  <c r="F74" i="12" s="1"/>
  <c r="G74" i="12" s="1"/>
  <c r="I74" i="12" s="1"/>
  <c r="K74" i="12" s="1"/>
  <c r="D73" i="12"/>
  <c r="E73" i="12" s="1"/>
  <c r="F73" i="12" s="1"/>
  <c r="G73" i="12" s="1"/>
  <c r="I73" i="12" s="1"/>
  <c r="K73" i="12" s="1"/>
  <c r="D72" i="12"/>
  <c r="D71" i="12"/>
  <c r="D70" i="12"/>
  <c r="D69" i="12"/>
  <c r="E68" i="12"/>
  <c r="F68" i="12" s="1"/>
  <c r="G68" i="12" s="1"/>
  <c r="I68" i="12" s="1"/>
  <c r="K68" i="12" s="1"/>
  <c r="D67" i="12"/>
  <c r="E66" i="12"/>
  <c r="F66" i="12" s="1"/>
  <c r="G66" i="12" s="1"/>
  <c r="I66" i="12" s="1"/>
  <c r="K66" i="12" s="1"/>
  <c r="D65" i="12"/>
  <c r="E65" i="12" s="1"/>
  <c r="F65" i="12" s="1"/>
  <c r="G65" i="12" s="1"/>
  <c r="I65" i="12" s="1"/>
  <c r="K65" i="12" s="1"/>
  <c r="D64" i="12"/>
  <c r="E63" i="12"/>
  <c r="F63" i="12" s="1"/>
  <c r="G63" i="12" s="1"/>
  <c r="I63" i="12" s="1"/>
  <c r="K63" i="12" s="1"/>
  <c r="D62" i="12"/>
  <c r="D61" i="12"/>
  <c r="E60" i="12"/>
  <c r="F60" i="12" s="1"/>
  <c r="G60" i="12" s="1"/>
  <c r="I60" i="12" s="1"/>
  <c r="K60" i="12" s="1"/>
  <c r="D59" i="12"/>
  <c r="E58" i="12"/>
  <c r="F58" i="12" s="1"/>
  <c r="G58" i="12" s="1"/>
  <c r="I58" i="12" s="1"/>
  <c r="K58" i="12" s="1"/>
  <c r="D57" i="12"/>
  <c r="E57" i="12" s="1"/>
  <c r="F57" i="12" s="1"/>
  <c r="G57" i="12" s="1"/>
  <c r="I57" i="12" s="1"/>
  <c r="K57" i="12" s="1"/>
  <c r="D56" i="12"/>
  <c r="E55" i="12"/>
  <c r="F55" i="12" s="1"/>
  <c r="G55" i="12" s="1"/>
  <c r="I55" i="12" s="1"/>
  <c r="K55" i="12" s="1"/>
  <c r="D54" i="12"/>
  <c r="E53" i="12"/>
  <c r="F53" i="12" s="1"/>
  <c r="G53" i="12" s="1"/>
  <c r="I53" i="12" s="1"/>
  <c r="K53" i="12" s="1"/>
  <c r="D52" i="12"/>
  <c r="D51" i="12"/>
  <c r="E50" i="12"/>
  <c r="F50" i="12" s="1"/>
  <c r="G50" i="12" s="1"/>
  <c r="I50" i="12" s="1"/>
  <c r="K50" i="12" s="1"/>
  <c r="D49" i="12"/>
  <c r="E49" i="12" s="1"/>
  <c r="F49" i="12" s="1"/>
  <c r="G49" i="12" s="1"/>
  <c r="I49" i="12" s="1"/>
  <c r="K49" i="12" s="1"/>
  <c r="E48" i="12"/>
  <c r="F48" i="12" s="1"/>
  <c r="G48" i="12" s="1"/>
  <c r="I48" i="12" s="1"/>
  <c r="K48" i="12" s="1"/>
  <c r="D47" i="12"/>
  <c r="D46" i="12"/>
  <c r="E45" i="12"/>
  <c r="F45" i="12" s="1"/>
  <c r="G45" i="12" s="1"/>
  <c r="I45" i="12" s="1"/>
  <c r="K45" i="12" s="1"/>
  <c r="D44" i="12"/>
  <c r="D43" i="12"/>
  <c r="D42" i="12"/>
  <c r="E41" i="12"/>
  <c r="F41" i="12" s="1"/>
  <c r="G41" i="12" s="1"/>
  <c r="I41" i="12" s="1"/>
  <c r="K41" i="12" s="1"/>
  <c r="E40" i="12"/>
  <c r="F40" i="12" s="1"/>
  <c r="G40" i="12" s="1"/>
  <c r="I40" i="12" s="1"/>
  <c r="K40" i="12" s="1"/>
  <c r="E39" i="12"/>
  <c r="F39" i="12" s="1"/>
  <c r="G39" i="12" s="1"/>
  <c r="I39" i="12" s="1"/>
  <c r="K39" i="12" s="1"/>
  <c r="E38" i="12"/>
  <c r="F38" i="12" s="1"/>
  <c r="G38" i="12" s="1"/>
  <c r="I38" i="12" s="1"/>
  <c r="K38" i="12" s="1"/>
  <c r="D37" i="12"/>
  <c r="E36" i="12"/>
  <c r="F36" i="12" s="1"/>
  <c r="G36" i="12" s="1"/>
  <c r="I36" i="12" s="1"/>
  <c r="K36" i="12" s="1"/>
  <c r="E35" i="12"/>
  <c r="F35" i="12" s="1"/>
  <c r="G35" i="12" s="1"/>
  <c r="I35" i="12" s="1"/>
  <c r="K35" i="12" s="1"/>
  <c r="D34" i="12"/>
  <c r="E33" i="12"/>
  <c r="F33" i="12" s="1"/>
  <c r="G33" i="12" s="1"/>
  <c r="I33" i="12" s="1"/>
  <c r="K33" i="12" s="1"/>
  <c r="D32" i="12"/>
  <c r="E31" i="12"/>
  <c r="F31" i="12" s="1"/>
  <c r="G31" i="12" s="1"/>
  <c r="I31" i="12" s="1"/>
  <c r="K31" i="12" s="1"/>
  <c r="D30" i="12"/>
  <c r="E29" i="12"/>
  <c r="F29" i="12" s="1"/>
  <c r="G29" i="12" s="1"/>
  <c r="I29" i="12" s="1"/>
  <c r="K29" i="12" s="1"/>
  <c r="E28" i="12"/>
  <c r="F28" i="12" s="1"/>
  <c r="G28" i="12" s="1"/>
  <c r="I28" i="12" s="1"/>
  <c r="K28" i="12" s="1"/>
  <c r="E27" i="12"/>
  <c r="F27" i="12" s="1"/>
  <c r="G27" i="12" s="1"/>
  <c r="I27" i="12" s="1"/>
  <c r="K27" i="12" s="1"/>
  <c r="E26" i="12"/>
  <c r="F26" i="12" s="1"/>
  <c r="G26" i="12" s="1"/>
  <c r="I26" i="12" s="1"/>
  <c r="K26" i="12" s="1"/>
  <c r="E25" i="12"/>
  <c r="F25" i="12" s="1"/>
  <c r="G25" i="12" s="1"/>
  <c r="I25" i="12" s="1"/>
  <c r="K25" i="12" s="1"/>
  <c r="E24" i="12"/>
  <c r="F24" i="12" s="1"/>
  <c r="G24" i="12" s="1"/>
  <c r="I24" i="12" s="1"/>
  <c r="K24" i="12" s="1"/>
  <c r="E23" i="12"/>
  <c r="F23" i="12" s="1"/>
  <c r="G23" i="12" s="1"/>
  <c r="I23" i="12" s="1"/>
  <c r="K23" i="12" s="1"/>
  <c r="E22" i="12"/>
  <c r="F22" i="12" s="1"/>
  <c r="G22" i="12" s="1"/>
  <c r="I22" i="12" s="1"/>
  <c r="K22" i="12" s="1"/>
  <c r="E21" i="12"/>
  <c r="F21" i="12" s="1"/>
  <c r="G21" i="12" s="1"/>
  <c r="I21" i="12" s="1"/>
  <c r="K21" i="12" s="1"/>
  <c r="E20" i="12"/>
  <c r="F20" i="12" s="1"/>
  <c r="G20" i="12" s="1"/>
  <c r="I20" i="12" s="1"/>
  <c r="K20" i="12" s="1"/>
  <c r="E19" i="12"/>
  <c r="F19" i="12" s="1"/>
  <c r="G19" i="12" s="1"/>
  <c r="I19" i="12" s="1"/>
  <c r="K19" i="12" s="1"/>
  <c r="D18" i="12"/>
  <c r="E17" i="12"/>
  <c r="F17" i="12" s="1"/>
  <c r="G17" i="12" s="1"/>
  <c r="I17" i="12" s="1"/>
  <c r="K17" i="12" s="1"/>
  <c r="E16" i="12"/>
  <c r="F16" i="12" s="1"/>
  <c r="G16" i="12" s="1"/>
  <c r="I16" i="12" s="1"/>
  <c r="K16" i="12" s="1"/>
  <c r="E15" i="12"/>
  <c r="F15" i="12" s="1"/>
  <c r="G15" i="12" s="1"/>
  <c r="I15" i="12" s="1"/>
  <c r="K15" i="12" s="1"/>
  <c r="E14" i="12"/>
  <c r="F14" i="12" s="1"/>
  <c r="G14" i="12" s="1"/>
  <c r="I14" i="12" s="1"/>
  <c r="K14" i="12" s="1"/>
  <c r="E13" i="12"/>
  <c r="F13" i="12" s="1"/>
  <c r="G13" i="12" s="1"/>
  <c r="I13" i="12" s="1"/>
  <c r="K13" i="12" s="1"/>
  <c r="E12" i="12"/>
  <c r="F12" i="12" s="1"/>
  <c r="G12" i="12" s="1"/>
  <c r="I12" i="12" s="1"/>
  <c r="K12" i="12" s="1"/>
  <c r="E11" i="12"/>
  <c r="F11" i="12" s="1"/>
  <c r="G11" i="12" s="1"/>
  <c r="I11" i="12" s="1"/>
  <c r="K11" i="12" s="1"/>
  <c r="E10" i="12"/>
  <c r="F10" i="12" s="1"/>
  <c r="G10" i="12" s="1"/>
  <c r="I10" i="12" s="1"/>
  <c r="K10" i="12" s="1"/>
  <c r="E9" i="12"/>
  <c r="F9" i="12" s="1"/>
  <c r="G9" i="12" s="1"/>
  <c r="I9" i="12" s="1"/>
  <c r="K9" i="12" s="1"/>
  <c r="E8" i="12"/>
  <c r="F8" i="12" s="1"/>
  <c r="G8" i="12" s="1"/>
  <c r="I8" i="12" s="1"/>
  <c r="K8" i="12" s="1"/>
  <c r="E7" i="12"/>
  <c r="F7" i="12" s="1"/>
  <c r="G7" i="12" s="1"/>
  <c r="I7" i="12" s="1"/>
  <c r="K7" i="12" s="1"/>
  <c r="E6" i="12"/>
  <c r="F6" i="12" s="1"/>
  <c r="G6" i="12" s="1"/>
  <c r="I6" i="12" s="1"/>
  <c r="K6" i="12" s="1"/>
  <c r="E5" i="12"/>
  <c r="F5" i="12" s="1"/>
  <c r="G5" i="12" s="1"/>
  <c r="I5" i="12" s="1"/>
  <c r="K5" i="12" s="1"/>
  <c r="E4" i="12"/>
  <c r="F4" i="12" s="1"/>
  <c r="G4" i="12" s="1"/>
  <c r="I4" i="12" s="1"/>
  <c r="K4" i="12" s="1"/>
  <c r="E3" i="12"/>
  <c r="F3" i="12" s="1"/>
  <c r="G3" i="12" s="1"/>
  <c r="I3" i="12" s="1"/>
  <c r="K3" i="12" s="1"/>
  <c r="E67" i="12" l="1"/>
  <c r="F67" i="12" s="1"/>
  <c r="G67" i="12" s="1"/>
  <c r="I67" i="12" s="1"/>
  <c r="K67" i="12" s="1"/>
  <c r="A67" i="12"/>
  <c r="E347" i="12"/>
  <c r="F347" i="12" s="1"/>
  <c r="G347" i="12" s="1"/>
  <c r="I347" i="12" s="1"/>
  <c r="K347" i="12" s="1"/>
  <c r="A347" i="12"/>
  <c r="E363" i="12"/>
  <c r="F363" i="12" s="1"/>
  <c r="G363" i="12" s="1"/>
  <c r="I363" i="12" s="1"/>
  <c r="K363" i="12" s="1"/>
  <c r="A363" i="12"/>
  <c r="E403" i="12"/>
  <c r="F403" i="12" s="1"/>
  <c r="G403" i="12" s="1"/>
  <c r="I403" i="12" s="1"/>
  <c r="K403" i="12" s="1"/>
  <c r="A403" i="12"/>
  <c r="E435" i="12"/>
  <c r="F435" i="12" s="1"/>
  <c r="G435" i="12" s="1"/>
  <c r="I435" i="12" s="1"/>
  <c r="K435" i="12" s="1"/>
  <c r="A435" i="12"/>
  <c r="E219" i="12"/>
  <c r="F219" i="12" s="1"/>
  <c r="G219" i="12" s="1"/>
  <c r="I219" i="12" s="1"/>
  <c r="K219" i="12" s="1"/>
  <c r="A219" i="12"/>
  <c r="E243" i="12"/>
  <c r="F243" i="12" s="1"/>
  <c r="G243" i="12" s="1"/>
  <c r="I243" i="12" s="1"/>
  <c r="K243" i="12" s="1"/>
  <c r="A243" i="12"/>
  <c r="E307" i="12"/>
  <c r="F307" i="12" s="1"/>
  <c r="G307" i="12" s="1"/>
  <c r="I307" i="12" s="1"/>
  <c r="K307" i="12" s="1"/>
  <c r="A307" i="12"/>
  <c r="E339" i="12"/>
  <c r="F339" i="12" s="1"/>
  <c r="G339" i="12" s="1"/>
  <c r="I339" i="12" s="1"/>
  <c r="K339" i="12" s="1"/>
  <c r="A339" i="12"/>
  <c r="E371" i="12"/>
  <c r="F371" i="12" s="1"/>
  <c r="G371" i="12" s="1"/>
  <c r="I371" i="12" s="1"/>
  <c r="K371" i="12" s="1"/>
  <c r="A371" i="12"/>
  <c r="E18" i="12"/>
  <c r="F18" i="12" s="1"/>
  <c r="G18" i="12" s="1"/>
  <c r="I18" i="12" s="1"/>
  <c r="K18" i="12" s="1"/>
  <c r="A18" i="12"/>
  <c r="E34" i="12"/>
  <c r="F34" i="12" s="1"/>
  <c r="G34" i="12" s="1"/>
  <c r="I34" i="12" s="1"/>
  <c r="K34" i="12" s="1"/>
  <c r="A34" i="12"/>
  <c r="E42" i="12"/>
  <c r="F42" i="12" s="1"/>
  <c r="G42" i="12" s="1"/>
  <c r="I42" i="12" s="1"/>
  <c r="K42" i="12" s="1"/>
  <c r="A42" i="12"/>
  <c r="E90" i="12"/>
  <c r="F90" i="12" s="1"/>
  <c r="G90" i="12" s="1"/>
  <c r="I90" i="12" s="1"/>
  <c r="K90" i="12" s="1"/>
  <c r="A90" i="12"/>
  <c r="E98" i="12"/>
  <c r="F98" i="12" s="1"/>
  <c r="G98" i="12" s="1"/>
  <c r="I98" i="12" s="1"/>
  <c r="K98" i="12" s="1"/>
  <c r="A98" i="12"/>
  <c r="E122" i="12"/>
  <c r="F122" i="12" s="1"/>
  <c r="G122" i="12" s="1"/>
  <c r="I122" i="12" s="1"/>
  <c r="K122" i="12" s="1"/>
  <c r="A122" i="12"/>
  <c r="E146" i="12"/>
  <c r="F146" i="12" s="1"/>
  <c r="G146" i="12" s="1"/>
  <c r="I146" i="12" s="1"/>
  <c r="K146" i="12" s="1"/>
  <c r="A146" i="12"/>
  <c r="E154" i="12"/>
  <c r="F154" i="12" s="1"/>
  <c r="G154" i="12" s="1"/>
  <c r="I154" i="12" s="1"/>
  <c r="K154" i="12" s="1"/>
  <c r="A154" i="12"/>
  <c r="E178" i="12"/>
  <c r="F178" i="12" s="1"/>
  <c r="G178" i="12" s="1"/>
  <c r="I178" i="12" s="1"/>
  <c r="K178" i="12" s="1"/>
  <c r="A178" i="12"/>
  <c r="E218" i="12"/>
  <c r="F218" i="12" s="1"/>
  <c r="G218" i="12" s="1"/>
  <c r="I218" i="12" s="1"/>
  <c r="K218" i="12" s="1"/>
  <c r="A218" i="12"/>
  <c r="E226" i="12"/>
  <c r="F226" i="12" s="1"/>
  <c r="G226" i="12" s="1"/>
  <c r="I226" i="12" s="1"/>
  <c r="K226" i="12" s="1"/>
  <c r="A226" i="12"/>
  <c r="E234" i="12"/>
  <c r="F234" i="12" s="1"/>
  <c r="G234" i="12" s="1"/>
  <c r="I234" i="12" s="1"/>
  <c r="K234" i="12" s="1"/>
  <c r="A234" i="12"/>
  <c r="E242" i="12"/>
  <c r="F242" i="12" s="1"/>
  <c r="G242" i="12" s="1"/>
  <c r="I242" i="12" s="1"/>
  <c r="K242" i="12" s="1"/>
  <c r="A242" i="12"/>
  <c r="E290" i="12"/>
  <c r="F290" i="12" s="1"/>
  <c r="G290" i="12" s="1"/>
  <c r="I290" i="12" s="1"/>
  <c r="K290" i="12" s="1"/>
  <c r="A290" i="12"/>
  <c r="E298" i="12"/>
  <c r="F298" i="12" s="1"/>
  <c r="G298" i="12" s="1"/>
  <c r="I298" i="12" s="1"/>
  <c r="K298" i="12" s="1"/>
  <c r="A298" i="12"/>
  <c r="E306" i="12"/>
  <c r="F306" i="12" s="1"/>
  <c r="G306" i="12" s="1"/>
  <c r="I306" i="12" s="1"/>
  <c r="K306" i="12" s="1"/>
  <c r="A306" i="12"/>
  <c r="E338" i="12"/>
  <c r="F338" i="12" s="1"/>
  <c r="G338" i="12" s="1"/>
  <c r="I338" i="12" s="1"/>
  <c r="K338" i="12" s="1"/>
  <c r="A338" i="12"/>
  <c r="E346" i="12"/>
  <c r="F346" i="12" s="1"/>
  <c r="G346" i="12" s="1"/>
  <c r="I346" i="12" s="1"/>
  <c r="K346" i="12" s="1"/>
  <c r="A346" i="12"/>
  <c r="E354" i="12"/>
  <c r="F354" i="12" s="1"/>
  <c r="G354" i="12" s="1"/>
  <c r="I354" i="12" s="1"/>
  <c r="K354" i="12" s="1"/>
  <c r="A354" i="12"/>
  <c r="E362" i="12"/>
  <c r="F362" i="12" s="1"/>
  <c r="G362" i="12" s="1"/>
  <c r="I362" i="12" s="1"/>
  <c r="K362" i="12" s="1"/>
  <c r="A362" i="12"/>
  <c r="E370" i="12"/>
  <c r="F370" i="12" s="1"/>
  <c r="G370" i="12" s="1"/>
  <c r="I370" i="12" s="1"/>
  <c r="K370" i="12" s="1"/>
  <c r="A370" i="12"/>
  <c r="E378" i="12"/>
  <c r="F378" i="12" s="1"/>
  <c r="G378" i="12" s="1"/>
  <c r="I378" i="12" s="1"/>
  <c r="K378" i="12" s="1"/>
  <c r="A378" i="12"/>
  <c r="A3155" i="12"/>
  <c r="A3035" i="12"/>
  <c r="A2971" i="12"/>
  <c r="A2947" i="12"/>
  <c r="E43" i="12"/>
  <c r="F43" i="12" s="1"/>
  <c r="G43" i="12" s="1"/>
  <c r="I43" i="12" s="1"/>
  <c r="K43" i="12" s="1"/>
  <c r="A43" i="12"/>
  <c r="E59" i="12"/>
  <c r="F59" i="12" s="1"/>
  <c r="G59" i="12" s="1"/>
  <c r="I59" i="12" s="1"/>
  <c r="K59" i="12" s="1"/>
  <c r="A59" i="12"/>
  <c r="E75" i="12"/>
  <c r="F75" i="12" s="1"/>
  <c r="G75" i="12" s="1"/>
  <c r="I75" i="12" s="1"/>
  <c r="K75" i="12" s="1"/>
  <c r="A75" i="12"/>
  <c r="E115" i="12"/>
  <c r="F115" i="12" s="1"/>
  <c r="G115" i="12" s="1"/>
  <c r="I115" i="12" s="1"/>
  <c r="K115" i="12" s="1"/>
  <c r="A115" i="12"/>
  <c r="E131" i="12"/>
  <c r="F131" i="12" s="1"/>
  <c r="G131" i="12" s="1"/>
  <c r="I131" i="12" s="1"/>
  <c r="K131" i="12" s="1"/>
  <c r="A131" i="12"/>
  <c r="E155" i="12"/>
  <c r="F155" i="12" s="1"/>
  <c r="G155" i="12" s="1"/>
  <c r="I155" i="12" s="1"/>
  <c r="K155" i="12" s="1"/>
  <c r="A155" i="12"/>
  <c r="E171" i="12"/>
  <c r="F171" i="12" s="1"/>
  <c r="G171" i="12" s="1"/>
  <c r="I171" i="12" s="1"/>
  <c r="K171" i="12" s="1"/>
  <c r="A171" i="12"/>
  <c r="E355" i="12"/>
  <c r="F355" i="12" s="1"/>
  <c r="G355" i="12" s="1"/>
  <c r="I355" i="12" s="1"/>
  <c r="K355" i="12" s="1"/>
  <c r="A355" i="12"/>
  <c r="E379" i="12"/>
  <c r="F379" i="12" s="1"/>
  <c r="G379" i="12" s="1"/>
  <c r="I379" i="12" s="1"/>
  <c r="K379" i="12" s="1"/>
  <c r="A379" i="12"/>
  <c r="E555" i="12"/>
  <c r="F555" i="12" s="1"/>
  <c r="G555" i="12" s="1"/>
  <c r="I555" i="12" s="1"/>
  <c r="K555" i="12" s="1"/>
  <c r="A555" i="12"/>
  <c r="E595" i="12"/>
  <c r="F595" i="12" s="1"/>
  <c r="G595" i="12" s="1"/>
  <c r="I595" i="12" s="1"/>
  <c r="K595" i="12" s="1"/>
  <c r="A595" i="12"/>
  <c r="E627" i="12"/>
  <c r="F627" i="12" s="1"/>
  <c r="G627" i="12" s="1"/>
  <c r="I627" i="12" s="1"/>
  <c r="K627" i="12" s="1"/>
  <c r="A627" i="12"/>
  <c r="E715" i="12"/>
  <c r="F715" i="12" s="1"/>
  <c r="G715" i="12" s="1"/>
  <c r="I715" i="12" s="1"/>
  <c r="K715" i="12" s="1"/>
  <c r="A715" i="12"/>
  <c r="E779" i="12"/>
  <c r="F779" i="12" s="1"/>
  <c r="G779" i="12" s="1"/>
  <c r="I779" i="12" s="1"/>
  <c r="K779" i="12" s="1"/>
  <c r="A779" i="12"/>
  <c r="E803" i="12"/>
  <c r="F803" i="12" s="1"/>
  <c r="G803" i="12" s="1"/>
  <c r="I803" i="12" s="1"/>
  <c r="K803" i="12" s="1"/>
  <c r="A803" i="12"/>
  <c r="E827" i="12"/>
  <c r="F827" i="12" s="1"/>
  <c r="G827" i="12" s="1"/>
  <c r="I827" i="12" s="1"/>
  <c r="K827" i="12" s="1"/>
  <c r="A827" i="12"/>
  <c r="E875" i="12"/>
  <c r="F875" i="12" s="1"/>
  <c r="G875" i="12" s="1"/>
  <c r="I875" i="12" s="1"/>
  <c r="K875" i="12" s="1"/>
  <c r="A875" i="12"/>
  <c r="E899" i="12"/>
  <c r="F899" i="12" s="1"/>
  <c r="G899" i="12" s="1"/>
  <c r="I899" i="12" s="1"/>
  <c r="K899" i="12" s="1"/>
  <c r="A899" i="12"/>
  <c r="E1004" i="12"/>
  <c r="F1004" i="12" s="1"/>
  <c r="G1004" i="12" s="1"/>
  <c r="I1004" i="12" s="1"/>
  <c r="K1004" i="12" s="1"/>
  <c r="A1004" i="12"/>
  <c r="E1020" i="12"/>
  <c r="F1020" i="12" s="1"/>
  <c r="G1020" i="12" s="1"/>
  <c r="I1020" i="12" s="1"/>
  <c r="K1020" i="12" s="1"/>
  <c r="A1020" i="12"/>
  <c r="E1052" i="12"/>
  <c r="F1052" i="12" s="1"/>
  <c r="G1052" i="12" s="1"/>
  <c r="I1052" i="12" s="1"/>
  <c r="K1052" i="12" s="1"/>
  <c r="A1052" i="12"/>
  <c r="E1116" i="12"/>
  <c r="F1116" i="12" s="1"/>
  <c r="G1116" i="12" s="1"/>
  <c r="I1116" i="12" s="1"/>
  <c r="K1116" i="12" s="1"/>
  <c r="A1116" i="12"/>
  <c r="E1172" i="12"/>
  <c r="F1172" i="12" s="1"/>
  <c r="G1172" i="12" s="1"/>
  <c r="I1172" i="12" s="1"/>
  <c r="K1172" i="12" s="1"/>
  <c r="A1172" i="12"/>
  <c r="E1260" i="12"/>
  <c r="F1260" i="12" s="1"/>
  <c r="G1260" i="12" s="1"/>
  <c r="I1260" i="12" s="1"/>
  <c r="K1260" i="12" s="1"/>
  <c r="A1260" i="12"/>
  <c r="E1370" i="12"/>
  <c r="F1370" i="12" s="1"/>
  <c r="G1370" i="12" s="1"/>
  <c r="I1370" i="12" s="1"/>
  <c r="K1370" i="12" s="1"/>
  <c r="A1370" i="12"/>
  <c r="E1418" i="12"/>
  <c r="F1418" i="12" s="1"/>
  <c r="G1418" i="12" s="1"/>
  <c r="I1418" i="12" s="1"/>
  <c r="K1418" i="12" s="1"/>
  <c r="A1418" i="12"/>
  <c r="E1434" i="12"/>
  <c r="F1434" i="12" s="1"/>
  <c r="G1434" i="12" s="1"/>
  <c r="I1434" i="12" s="1"/>
  <c r="K1434" i="12" s="1"/>
  <c r="A1434" i="12"/>
  <c r="E1458" i="12"/>
  <c r="F1458" i="12" s="1"/>
  <c r="G1458" i="12" s="1"/>
  <c r="I1458" i="12" s="1"/>
  <c r="K1458" i="12" s="1"/>
  <c r="A1458" i="12"/>
  <c r="E1562" i="12"/>
  <c r="F1562" i="12" s="1"/>
  <c r="G1562" i="12" s="1"/>
  <c r="I1562" i="12" s="1"/>
  <c r="K1562" i="12" s="1"/>
  <c r="A1562" i="12"/>
  <c r="E1634" i="12"/>
  <c r="F1634" i="12" s="1"/>
  <c r="G1634" i="12" s="1"/>
  <c r="I1634" i="12" s="1"/>
  <c r="K1634" i="12" s="1"/>
  <c r="A1634" i="12"/>
  <c r="E1674" i="12"/>
  <c r="F1674" i="12" s="1"/>
  <c r="G1674" i="12" s="1"/>
  <c r="I1674" i="12" s="1"/>
  <c r="K1674" i="12" s="1"/>
  <c r="A1674" i="12"/>
  <c r="E2074" i="12"/>
  <c r="F2074" i="12" s="1"/>
  <c r="G2074" i="12" s="1"/>
  <c r="I2074" i="12" s="1"/>
  <c r="K2074" i="12" s="1"/>
  <c r="A2074" i="12"/>
  <c r="E2178" i="12"/>
  <c r="F2178" i="12" s="1"/>
  <c r="G2178" i="12" s="1"/>
  <c r="I2178" i="12" s="1"/>
  <c r="K2178" i="12" s="1"/>
  <c r="A2178" i="12"/>
  <c r="E2218" i="12"/>
  <c r="F2218" i="12" s="1"/>
  <c r="G2218" i="12" s="1"/>
  <c r="I2218" i="12" s="1"/>
  <c r="K2218" i="12" s="1"/>
  <c r="A2218" i="12"/>
  <c r="E2362" i="12"/>
  <c r="F2362" i="12" s="1"/>
  <c r="G2362" i="12" s="1"/>
  <c r="I2362" i="12" s="1"/>
  <c r="K2362" i="12" s="1"/>
  <c r="A2362" i="12"/>
  <c r="E2378" i="12"/>
  <c r="F2378" i="12" s="1"/>
  <c r="G2378" i="12" s="1"/>
  <c r="I2378" i="12" s="1"/>
  <c r="K2378" i="12" s="1"/>
  <c r="A2378" i="12"/>
  <c r="E2490" i="12"/>
  <c r="F2490" i="12" s="1"/>
  <c r="G2490" i="12" s="1"/>
  <c r="I2490" i="12" s="1"/>
  <c r="K2490" i="12" s="1"/>
  <c r="A2490" i="12"/>
  <c r="E2610" i="12"/>
  <c r="F2610" i="12" s="1"/>
  <c r="G2610" i="12" s="1"/>
  <c r="I2610" i="12" s="1"/>
  <c r="K2610" i="12" s="1"/>
  <c r="A2610" i="12"/>
  <c r="E2729" i="12"/>
  <c r="F2729" i="12" s="1"/>
  <c r="G2729" i="12" s="1"/>
  <c r="I2729" i="12" s="1"/>
  <c r="K2729" i="12" s="1"/>
  <c r="A2729" i="12"/>
  <c r="E2737" i="12"/>
  <c r="F2737" i="12" s="1"/>
  <c r="G2737" i="12" s="1"/>
  <c r="I2737" i="12" s="1"/>
  <c r="K2737" i="12" s="1"/>
  <c r="A2737" i="12"/>
  <c r="E2761" i="12"/>
  <c r="F2761" i="12" s="1"/>
  <c r="G2761" i="12" s="1"/>
  <c r="I2761" i="12" s="1"/>
  <c r="K2761" i="12" s="1"/>
  <c r="A2761" i="12"/>
  <c r="E2840" i="12"/>
  <c r="F2840" i="12" s="1"/>
  <c r="G2840" i="12" s="1"/>
  <c r="I2840" i="12" s="1"/>
  <c r="K2840" i="12" s="1"/>
  <c r="A2840" i="12"/>
  <c r="E2855" i="12"/>
  <c r="F2855" i="12" s="1"/>
  <c r="G2855" i="12" s="1"/>
  <c r="I2855" i="12" s="1"/>
  <c r="K2855" i="12" s="1"/>
  <c r="A2855" i="12"/>
  <c r="E2885" i="12"/>
  <c r="F2885" i="12" s="1"/>
  <c r="G2885" i="12" s="1"/>
  <c r="I2885" i="12" s="1"/>
  <c r="K2885" i="12" s="1"/>
  <c r="A2885" i="12"/>
  <c r="E3162" i="12"/>
  <c r="F3162" i="12" s="1"/>
  <c r="G3162" i="12" s="1"/>
  <c r="I3162" i="12" s="1"/>
  <c r="K3162" i="12" s="1"/>
  <c r="A3162" i="12"/>
  <c r="E3242" i="12"/>
  <c r="F3242" i="12" s="1"/>
  <c r="G3242" i="12" s="1"/>
  <c r="I3242" i="12" s="1"/>
  <c r="K3242" i="12" s="1"/>
  <c r="A3242" i="12"/>
  <c r="E3265" i="12"/>
  <c r="F3265" i="12" s="1"/>
  <c r="G3265" i="12" s="1"/>
  <c r="I3265" i="12" s="1"/>
  <c r="K3265" i="12" s="1"/>
  <c r="A3265" i="12"/>
  <c r="E3305" i="12"/>
  <c r="F3305" i="12" s="1"/>
  <c r="G3305" i="12" s="1"/>
  <c r="I3305" i="12" s="1"/>
  <c r="K3305" i="12" s="1"/>
  <c r="A3305" i="12"/>
  <c r="E3337" i="12"/>
  <c r="F3337" i="12" s="1"/>
  <c r="G3337" i="12" s="1"/>
  <c r="I3337" i="12" s="1"/>
  <c r="K3337" i="12" s="1"/>
  <c r="A3337" i="12"/>
  <c r="E3441" i="12"/>
  <c r="F3441" i="12" s="1"/>
  <c r="G3441" i="12" s="1"/>
  <c r="I3441" i="12" s="1"/>
  <c r="K3441" i="12" s="1"/>
  <c r="A3441" i="12"/>
  <c r="E3449" i="12"/>
  <c r="F3449" i="12" s="1"/>
  <c r="G3449" i="12" s="1"/>
  <c r="I3449" i="12" s="1"/>
  <c r="K3449" i="12" s="1"/>
  <c r="A3449" i="12"/>
  <c r="E3457" i="12"/>
  <c r="F3457" i="12" s="1"/>
  <c r="G3457" i="12" s="1"/>
  <c r="I3457" i="12" s="1"/>
  <c r="K3457" i="12" s="1"/>
  <c r="A3457" i="12"/>
  <c r="E3473" i="12"/>
  <c r="F3473" i="12" s="1"/>
  <c r="G3473" i="12" s="1"/>
  <c r="I3473" i="12" s="1"/>
  <c r="K3473" i="12" s="1"/>
  <c r="A3473" i="12"/>
  <c r="E3505" i="12"/>
  <c r="F3505" i="12" s="1"/>
  <c r="G3505" i="12" s="1"/>
  <c r="I3505" i="12" s="1"/>
  <c r="K3505" i="12" s="1"/>
  <c r="A3505" i="12"/>
  <c r="E3529" i="12"/>
  <c r="F3529" i="12" s="1"/>
  <c r="G3529" i="12" s="1"/>
  <c r="I3529" i="12" s="1"/>
  <c r="K3529" i="12" s="1"/>
  <c r="A3529" i="12"/>
  <c r="E51" i="12"/>
  <c r="F51" i="12" s="1"/>
  <c r="G51" i="12" s="1"/>
  <c r="I51" i="12" s="1"/>
  <c r="K51" i="12" s="1"/>
  <c r="A51" i="12"/>
  <c r="E139" i="12"/>
  <c r="F139" i="12" s="1"/>
  <c r="G139" i="12" s="1"/>
  <c r="I139" i="12" s="1"/>
  <c r="K139" i="12" s="1"/>
  <c r="A139" i="12"/>
  <c r="E163" i="12"/>
  <c r="F163" i="12" s="1"/>
  <c r="G163" i="12" s="1"/>
  <c r="I163" i="12" s="1"/>
  <c r="K163" i="12" s="1"/>
  <c r="A163" i="12"/>
  <c r="E187" i="12"/>
  <c r="F187" i="12" s="1"/>
  <c r="G187" i="12" s="1"/>
  <c r="I187" i="12" s="1"/>
  <c r="K187" i="12" s="1"/>
  <c r="A187" i="12"/>
  <c r="E235" i="12"/>
  <c r="F235" i="12" s="1"/>
  <c r="G235" i="12" s="1"/>
  <c r="I235" i="12" s="1"/>
  <c r="K235" i="12" s="1"/>
  <c r="A235" i="12"/>
  <c r="E267" i="12"/>
  <c r="F267" i="12" s="1"/>
  <c r="G267" i="12" s="1"/>
  <c r="I267" i="12" s="1"/>
  <c r="K267" i="12" s="1"/>
  <c r="A267" i="12"/>
  <c r="E323" i="12"/>
  <c r="F323" i="12" s="1"/>
  <c r="G323" i="12" s="1"/>
  <c r="I323" i="12" s="1"/>
  <c r="K323" i="12" s="1"/>
  <c r="A323" i="12"/>
  <c r="E443" i="12"/>
  <c r="F443" i="12" s="1"/>
  <c r="G443" i="12" s="1"/>
  <c r="I443" i="12" s="1"/>
  <c r="K443" i="12" s="1"/>
  <c r="A443" i="12"/>
  <c r="E459" i="12"/>
  <c r="F459" i="12" s="1"/>
  <c r="G459" i="12" s="1"/>
  <c r="I459" i="12" s="1"/>
  <c r="K459" i="12" s="1"/>
  <c r="A459" i="12"/>
  <c r="E643" i="12"/>
  <c r="F643" i="12" s="1"/>
  <c r="G643" i="12" s="1"/>
  <c r="I643" i="12" s="1"/>
  <c r="K643" i="12" s="1"/>
  <c r="A643" i="12"/>
  <c r="E659" i="12"/>
  <c r="F659" i="12" s="1"/>
  <c r="G659" i="12" s="1"/>
  <c r="I659" i="12" s="1"/>
  <c r="K659" i="12" s="1"/>
  <c r="A659" i="12"/>
  <c r="E667" i="12"/>
  <c r="F667" i="12" s="1"/>
  <c r="G667" i="12" s="1"/>
  <c r="I667" i="12" s="1"/>
  <c r="K667" i="12" s="1"/>
  <c r="A667" i="12"/>
  <c r="E731" i="12"/>
  <c r="F731" i="12" s="1"/>
  <c r="G731" i="12" s="1"/>
  <c r="I731" i="12" s="1"/>
  <c r="K731" i="12" s="1"/>
  <c r="A731" i="12"/>
  <c r="E859" i="12"/>
  <c r="F859" i="12" s="1"/>
  <c r="G859" i="12" s="1"/>
  <c r="I859" i="12" s="1"/>
  <c r="K859" i="12" s="1"/>
  <c r="A859" i="12"/>
  <c r="E931" i="12"/>
  <c r="F931" i="12" s="1"/>
  <c r="G931" i="12" s="1"/>
  <c r="I931" i="12" s="1"/>
  <c r="K931" i="12" s="1"/>
  <c r="A931" i="12"/>
  <c r="E956" i="12"/>
  <c r="F956" i="12" s="1"/>
  <c r="G956" i="12" s="1"/>
  <c r="I956" i="12" s="1"/>
  <c r="K956" i="12" s="1"/>
  <c r="A956" i="12"/>
  <c r="E964" i="12"/>
  <c r="F964" i="12" s="1"/>
  <c r="G964" i="12" s="1"/>
  <c r="I964" i="12" s="1"/>
  <c r="K964" i="12" s="1"/>
  <c r="A964" i="12"/>
  <c r="E1036" i="12"/>
  <c r="F1036" i="12" s="1"/>
  <c r="G1036" i="12" s="1"/>
  <c r="I1036" i="12" s="1"/>
  <c r="K1036" i="12" s="1"/>
  <c r="A1036" i="12"/>
  <c r="E1108" i="12"/>
  <c r="F1108" i="12" s="1"/>
  <c r="G1108" i="12" s="1"/>
  <c r="I1108" i="12" s="1"/>
  <c r="K1108" i="12" s="1"/>
  <c r="A1108" i="12"/>
  <c r="E1188" i="12"/>
  <c r="F1188" i="12" s="1"/>
  <c r="G1188" i="12" s="1"/>
  <c r="I1188" i="12" s="1"/>
  <c r="K1188" i="12" s="1"/>
  <c r="A1188" i="12"/>
  <c r="E1228" i="12"/>
  <c r="F1228" i="12" s="1"/>
  <c r="G1228" i="12" s="1"/>
  <c r="I1228" i="12" s="1"/>
  <c r="K1228" i="12" s="1"/>
  <c r="A1228" i="12"/>
  <c r="E1236" i="12"/>
  <c r="F1236" i="12" s="1"/>
  <c r="G1236" i="12" s="1"/>
  <c r="I1236" i="12" s="1"/>
  <c r="K1236" i="12" s="1"/>
  <c r="A1236" i="12"/>
  <c r="E1252" i="12"/>
  <c r="F1252" i="12" s="1"/>
  <c r="G1252" i="12" s="1"/>
  <c r="I1252" i="12" s="1"/>
  <c r="K1252" i="12" s="1"/>
  <c r="A1252" i="12"/>
  <c r="E1331" i="12"/>
  <c r="F1331" i="12" s="1"/>
  <c r="G1331" i="12" s="1"/>
  <c r="I1331" i="12" s="1"/>
  <c r="K1331" i="12" s="1"/>
  <c r="A1331" i="12"/>
  <c r="E1466" i="12"/>
  <c r="F1466" i="12" s="1"/>
  <c r="G1466" i="12" s="1"/>
  <c r="I1466" i="12" s="1"/>
  <c r="K1466" i="12" s="1"/>
  <c r="A1466" i="12"/>
  <c r="E1474" i="12"/>
  <c r="F1474" i="12" s="1"/>
  <c r="G1474" i="12" s="1"/>
  <c r="I1474" i="12" s="1"/>
  <c r="K1474" i="12" s="1"/>
  <c r="A1474" i="12"/>
  <c r="E1546" i="12"/>
  <c r="F1546" i="12" s="1"/>
  <c r="G1546" i="12" s="1"/>
  <c r="I1546" i="12" s="1"/>
  <c r="K1546" i="12" s="1"/>
  <c r="A1546" i="12"/>
  <c r="E1594" i="12"/>
  <c r="F1594" i="12" s="1"/>
  <c r="G1594" i="12" s="1"/>
  <c r="I1594" i="12" s="1"/>
  <c r="K1594" i="12" s="1"/>
  <c r="A1594" i="12"/>
  <c r="E1626" i="12"/>
  <c r="F1626" i="12" s="1"/>
  <c r="G1626" i="12" s="1"/>
  <c r="I1626" i="12" s="1"/>
  <c r="K1626" i="12" s="1"/>
  <c r="A1626" i="12"/>
  <c r="E1706" i="12"/>
  <c r="F1706" i="12" s="1"/>
  <c r="G1706" i="12" s="1"/>
  <c r="I1706" i="12" s="1"/>
  <c r="K1706" i="12" s="1"/>
  <c r="A1706" i="12"/>
  <c r="E1714" i="12"/>
  <c r="F1714" i="12" s="1"/>
  <c r="G1714" i="12" s="1"/>
  <c r="I1714" i="12" s="1"/>
  <c r="K1714" i="12" s="1"/>
  <c r="A1714" i="12"/>
  <c r="E1722" i="12"/>
  <c r="F1722" i="12" s="1"/>
  <c r="G1722" i="12" s="1"/>
  <c r="I1722" i="12" s="1"/>
  <c r="K1722" i="12" s="1"/>
  <c r="A1722" i="12"/>
  <c r="E1762" i="12"/>
  <c r="F1762" i="12" s="1"/>
  <c r="G1762" i="12" s="1"/>
  <c r="I1762" i="12" s="1"/>
  <c r="K1762" i="12" s="1"/>
  <c r="A1762" i="12"/>
  <c r="E1778" i="12"/>
  <c r="F1778" i="12" s="1"/>
  <c r="G1778" i="12" s="1"/>
  <c r="I1778" i="12" s="1"/>
  <c r="K1778" i="12" s="1"/>
  <c r="A1778" i="12"/>
  <c r="E1834" i="12"/>
  <c r="F1834" i="12" s="1"/>
  <c r="G1834" i="12" s="1"/>
  <c r="I1834" i="12" s="1"/>
  <c r="K1834" i="12" s="1"/>
  <c r="A1834" i="12"/>
  <c r="E1842" i="12"/>
  <c r="F1842" i="12" s="1"/>
  <c r="G1842" i="12" s="1"/>
  <c r="I1842" i="12" s="1"/>
  <c r="K1842" i="12" s="1"/>
  <c r="A1842" i="12"/>
  <c r="E1850" i="12"/>
  <c r="F1850" i="12" s="1"/>
  <c r="G1850" i="12" s="1"/>
  <c r="I1850" i="12" s="1"/>
  <c r="K1850" i="12" s="1"/>
  <c r="A1850" i="12"/>
  <c r="E1858" i="12"/>
  <c r="F1858" i="12" s="1"/>
  <c r="G1858" i="12" s="1"/>
  <c r="I1858" i="12" s="1"/>
  <c r="K1858" i="12" s="1"/>
  <c r="A1858" i="12"/>
  <c r="E1890" i="12"/>
  <c r="F1890" i="12" s="1"/>
  <c r="G1890" i="12" s="1"/>
  <c r="I1890" i="12" s="1"/>
  <c r="K1890" i="12" s="1"/>
  <c r="A1890" i="12"/>
  <c r="E1914" i="12"/>
  <c r="F1914" i="12" s="1"/>
  <c r="G1914" i="12" s="1"/>
  <c r="I1914" i="12" s="1"/>
  <c r="K1914" i="12" s="1"/>
  <c r="A1914" i="12"/>
  <c r="E2106" i="12"/>
  <c r="F2106" i="12" s="1"/>
  <c r="G2106" i="12" s="1"/>
  <c r="I2106" i="12" s="1"/>
  <c r="K2106" i="12" s="1"/>
  <c r="A2106" i="12"/>
  <c r="E2146" i="12"/>
  <c r="F2146" i="12" s="1"/>
  <c r="G2146" i="12" s="1"/>
  <c r="I2146" i="12" s="1"/>
  <c r="K2146" i="12" s="1"/>
  <c r="A2146" i="12"/>
  <c r="E2298" i="12"/>
  <c r="F2298" i="12" s="1"/>
  <c r="G2298" i="12" s="1"/>
  <c r="I2298" i="12" s="1"/>
  <c r="K2298" i="12" s="1"/>
  <c r="A2298" i="12"/>
  <c r="E2386" i="12"/>
  <c r="F2386" i="12" s="1"/>
  <c r="G2386" i="12" s="1"/>
  <c r="I2386" i="12" s="1"/>
  <c r="K2386" i="12" s="1"/>
  <c r="A2386" i="12"/>
  <c r="E2394" i="12"/>
  <c r="F2394" i="12" s="1"/>
  <c r="G2394" i="12" s="1"/>
  <c r="I2394" i="12" s="1"/>
  <c r="K2394" i="12" s="1"/>
  <c r="A2394" i="12"/>
  <c r="E2402" i="12"/>
  <c r="F2402" i="12" s="1"/>
  <c r="G2402" i="12" s="1"/>
  <c r="I2402" i="12" s="1"/>
  <c r="K2402" i="12" s="1"/>
  <c r="A2402" i="12"/>
  <c r="E2426" i="12"/>
  <c r="F2426" i="12" s="1"/>
  <c r="G2426" i="12" s="1"/>
  <c r="I2426" i="12" s="1"/>
  <c r="K2426" i="12" s="1"/>
  <c r="A2426" i="12"/>
  <c r="E2434" i="12"/>
  <c r="F2434" i="12" s="1"/>
  <c r="G2434" i="12" s="1"/>
  <c r="I2434" i="12" s="1"/>
  <c r="K2434" i="12" s="1"/>
  <c r="A2434" i="12"/>
  <c r="E2618" i="12"/>
  <c r="F2618" i="12" s="1"/>
  <c r="G2618" i="12" s="1"/>
  <c r="I2618" i="12" s="1"/>
  <c r="K2618" i="12" s="1"/>
  <c r="A2618" i="12"/>
  <c r="E44" i="12"/>
  <c r="F44" i="12" s="1"/>
  <c r="G44" i="12" s="1"/>
  <c r="I44" i="12" s="1"/>
  <c r="K44" i="12" s="1"/>
  <c r="A44" i="12"/>
  <c r="E52" i="12"/>
  <c r="F52" i="12" s="1"/>
  <c r="G52" i="12" s="1"/>
  <c r="I52" i="12" s="1"/>
  <c r="K52" i="12" s="1"/>
  <c r="A52" i="12"/>
  <c r="E92" i="12"/>
  <c r="F92" i="12" s="1"/>
  <c r="G92" i="12" s="1"/>
  <c r="I92" i="12" s="1"/>
  <c r="K92" i="12" s="1"/>
  <c r="A92" i="12"/>
  <c r="E100" i="12"/>
  <c r="F100" i="12" s="1"/>
  <c r="G100" i="12" s="1"/>
  <c r="I100" i="12" s="1"/>
  <c r="K100" i="12" s="1"/>
  <c r="A100" i="12"/>
  <c r="E108" i="12"/>
  <c r="F108" i="12" s="1"/>
  <c r="G108" i="12" s="1"/>
  <c r="I108" i="12" s="1"/>
  <c r="K108" i="12" s="1"/>
  <c r="C10" i="7"/>
  <c r="A108" i="12"/>
  <c r="E124" i="12"/>
  <c r="F124" i="12" s="1"/>
  <c r="G124" i="12" s="1"/>
  <c r="I124" i="12" s="1"/>
  <c r="K124" i="12" s="1"/>
  <c r="A124" i="12"/>
  <c r="E148" i="12"/>
  <c r="F148" i="12" s="1"/>
  <c r="G148" i="12" s="1"/>
  <c r="I148" i="12" s="1"/>
  <c r="K148" i="12" s="1"/>
  <c r="A148" i="12"/>
  <c r="E164" i="12"/>
  <c r="F164" i="12" s="1"/>
  <c r="G164" i="12" s="1"/>
  <c r="I164" i="12" s="1"/>
  <c r="K164" i="12" s="1"/>
  <c r="A164" i="12"/>
  <c r="E180" i="12"/>
  <c r="F180" i="12" s="1"/>
  <c r="G180" i="12" s="1"/>
  <c r="I180" i="12" s="1"/>
  <c r="K180" i="12" s="1"/>
  <c r="A180" i="12"/>
  <c r="A2619" i="12"/>
  <c r="A2611" i="12"/>
  <c r="A2491" i="12"/>
  <c r="A2435" i="12"/>
  <c r="A2427" i="12"/>
  <c r="A2387" i="12"/>
  <c r="A2371" i="12"/>
  <c r="A2363" i="12"/>
  <c r="A2049" i="12"/>
  <c r="A1889" i="12"/>
  <c r="A1841" i="12"/>
  <c r="A1193" i="12"/>
  <c r="A1169" i="12"/>
  <c r="A1097" i="12"/>
  <c r="A1017" i="12"/>
  <c r="A689" i="12"/>
  <c r="A625" i="12"/>
  <c r="A617" i="12"/>
  <c r="A233" i="12"/>
  <c r="A57" i="12"/>
  <c r="E220" i="12"/>
  <c r="F220" i="12" s="1"/>
  <c r="G220" i="12" s="1"/>
  <c r="I220" i="12" s="1"/>
  <c r="K220" i="12" s="1"/>
  <c r="A220" i="12"/>
  <c r="E228" i="12"/>
  <c r="F228" i="12" s="1"/>
  <c r="G228" i="12" s="1"/>
  <c r="I228" i="12" s="1"/>
  <c r="K228" i="12" s="1"/>
  <c r="A228" i="12"/>
  <c r="E244" i="12"/>
  <c r="F244" i="12" s="1"/>
  <c r="G244" i="12" s="1"/>
  <c r="I244" i="12" s="1"/>
  <c r="K244" i="12" s="1"/>
  <c r="A244" i="12"/>
  <c r="E260" i="12"/>
  <c r="F260" i="12" s="1"/>
  <c r="G260" i="12" s="1"/>
  <c r="I260" i="12" s="1"/>
  <c r="K260" i="12" s="1"/>
  <c r="A260" i="12"/>
  <c r="E276" i="12"/>
  <c r="F276" i="12" s="1"/>
  <c r="G276" i="12" s="1"/>
  <c r="I276" i="12" s="1"/>
  <c r="K276" i="12" s="1"/>
  <c r="A276" i="12"/>
  <c r="E332" i="12"/>
  <c r="F332" i="12" s="1"/>
  <c r="G332" i="12" s="1"/>
  <c r="I332" i="12" s="1"/>
  <c r="K332" i="12" s="1"/>
  <c r="A332" i="12"/>
  <c r="E348" i="12"/>
  <c r="F348" i="12" s="1"/>
  <c r="G348" i="12" s="1"/>
  <c r="I348" i="12" s="1"/>
  <c r="K348" i="12" s="1"/>
  <c r="A348" i="12"/>
  <c r="E372" i="12"/>
  <c r="F372" i="12" s="1"/>
  <c r="G372" i="12" s="1"/>
  <c r="I372" i="12" s="1"/>
  <c r="K372" i="12" s="1"/>
  <c r="A372" i="12"/>
  <c r="E380" i="12"/>
  <c r="F380" i="12" s="1"/>
  <c r="G380" i="12" s="1"/>
  <c r="I380" i="12" s="1"/>
  <c r="K380" i="12" s="1"/>
  <c r="A380" i="12"/>
  <c r="E628" i="12"/>
  <c r="F628" i="12" s="1"/>
  <c r="G628" i="12" s="1"/>
  <c r="I628" i="12" s="1"/>
  <c r="K628" i="12" s="1"/>
  <c r="A628" i="12"/>
  <c r="E660" i="12"/>
  <c r="F660" i="12" s="1"/>
  <c r="G660" i="12" s="1"/>
  <c r="I660" i="12" s="1"/>
  <c r="K660" i="12" s="1"/>
  <c r="A660" i="12"/>
  <c r="E764" i="12"/>
  <c r="F764" i="12" s="1"/>
  <c r="G764" i="12" s="1"/>
  <c r="I764" i="12" s="1"/>
  <c r="K764" i="12" s="1"/>
  <c r="A764" i="12"/>
  <c r="E1324" i="12"/>
  <c r="F1324" i="12" s="1"/>
  <c r="G1324" i="12" s="1"/>
  <c r="I1324" i="12" s="1"/>
  <c r="K1324" i="12" s="1"/>
  <c r="A1324" i="12"/>
  <c r="E1355" i="12"/>
  <c r="F1355" i="12" s="1"/>
  <c r="G1355" i="12" s="1"/>
  <c r="I1355" i="12" s="1"/>
  <c r="K1355" i="12" s="1"/>
  <c r="A1355" i="12"/>
  <c r="E1371" i="12"/>
  <c r="F1371" i="12" s="1"/>
  <c r="G1371" i="12" s="1"/>
  <c r="I1371" i="12" s="1"/>
  <c r="K1371" i="12" s="1"/>
  <c r="A1371" i="12"/>
  <c r="E1379" i="12"/>
  <c r="F1379" i="12" s="1"/>
  <c r="G1379" i="12" s="1"/>
  <c r="I1379" i="12" s="1"/>
  <c r="K1379" i="12" s="1"/>
  <c r="A1379" i="12"/>
  <c r="E1419" i="12"/>
  <c r="F1419" i="12" s="1"/>
  <c r="G1419" i="12" s="1"/>
  <c r="I1419" i="12" s="1"/>
  <c r="K1419" i="12" s="1"/>
  <c r="A1419" i="12"/>
  <c r="E1427" i="12"/>
  <c r="F1427" i="12" s="1"/>
  <c r="G1427" i="12" s="1"/>
  <c r="I1427" i="12" s="1"/>
  <c r="K1427" i="12" s="1"/>
  <c r="A1427" i="12"/>
  <c r="E1467" i="12"/>
  <c r="F1467" i="12" s="1"/>
  <c r="G1467" i="12" s="1"/>
  <c r="I1467" i="12" s="1"/>
  <c r="K1467" i="12" s="1"/>
  <c r="A1467" i="12"/>
  <c r="E1475" i="12"/>
  <c r="F1475" i="12" s="1"/>
  <c r="G1475" i="12" s="1"/>
  <c r="I1475" i="12" s="1"/>
  <c r="K1475" i="12" s="1"/>
  <c r="A1475" i="12"/>
  <c r="E1483" i="12"/>
  <c r="F1483" i="12" s="1"/>
  <c r="G1483" i="12" s="1"/>
  <c r="I1483" i="12" s="1"/>
  <c r="K1483" i="12" s="1"/>
  <c r="A1483" i="12"/>
  <c r="E1499" i="12"/>
  <c r="F1499" i="12" s="1"/>
  <c r="G1499" i="12" s="1"/>
  <c r="I1499" i="12" s="1"/>
  <c r="K1499" i="12" s="1"/>
  <c r="A1499" i="12"/>
  <c r="E1619" i="12"/>
  <c r="F1619" i="12" s="1"/>
  <c r="G1619" i="12" s="1"/>
  <c r="I1619" i="12" s="1"/>
  <c r="K1619" i="12" s="1"/>
  <c r="A1619" i="12"/>
  <c r="E1651" i="12"/>
  <c r="F1651" i="12" s="1"/>
  <c r="G1651" i="12" s="1"/>
  <c r="I1651" i="12" s="1"/>
  <c r="K1651" i="12" s="1"/>
  <c r="A1651" i="12"/>
  <c r="E1723" i="12"/>
  <c r="F1723" i="12" s="1"/>
  <c r="G1723" i="12" s="1"/>
  <c r="I1723" i="12" s="1"/>
  <c r="K1723" i="12" s="1"/>
  <c r="A1723" i="12"/>
  <c r="E1731" i="12"/>
  <c r="F1731" i="12" s="1"/>
  <c r="G1731" i="12" s="1"/>
  <c r="I1731" i="12" s="1"/>
  <c r="K1731" i="12" s="1"/>
  <c r="A1731" i="12"/>
  <c r="E1779" i="12"/>
  <c r="F1779" i="12" s="1"/>
  <c r="G1779" i="12" s="1"/>
  <c r="I1779" i="12" s="1"/>
  <c r="K1779" i="12" s="1"/>
  <c r="A1779" i="12"/>
  <c r="E1803" i="12"/>
  <c r="F1803" i="12" s="1"/>
  <c r="G1803" i="12" s="1"/>
  <c r="I1803" i="12" s="1"/>
  <c r="K1803" i="12" s="1"/>
  <c r="A1803" i="12"/>
  <c r="E1819" i="12"/>
  <c r="F1819" i="12" s="1"/>
  <c r="G1819" i="12" s="1"/>
  <c r="I1819" i="12" s="1"/>
  <c r="K1819" i="12" s="1"/>
  <c r="A1819" i="12"/>
  <c r="E1827" i="12"/>
  <c r="F1827" i="12" s="1"/>
  <c r="G1827" i="12" s="1"/>
  <c r="I1827" i="12" s="1"/>
  <c r="K1827" i="12" s="1"/>
  <c r="A1827" i="12"/>
  <c r="E1835" i="12"/>
  <c r="F1835" i="12" s="1"/>
  <c r="G1835" i="12" s="1"/>
  <c r="I1835" i="12" s="1"/>
  <c r="K1835" i="12" s="1"/>
  <c r="A1835" i="12"/>
  <c r="E1843" i="12"/>
  <c r="F1843" i="12" s="1"/>
  <c r="G1843" i="12" s="1"/>
  <c r="I1843" i="12" s="1"/>
  <c r="K1843" i="12" s="1"/>
  <c r="A1843" i="12"/>
  <c r="E1851" i="12"/>
  <c r="F1851" i="12" s="1"/>
  <c r="G1851" i="12" s="1"/>
  <c r="I1851" i="12" s="1"/>
  <c r="K1851" i="12" s="1"/>
  <c r="A1851" i="12"/>
  <c r="E1859" i="12"/>
  <c r="F1859" i="12" s="1"/>
  <c r="G1859" i="12" s="1"/>
  <c r="I1859" i="12" s="1"/>
  <c r="K1859" i="12" s="1"/>
  <c r="A1859" i="12"/>
  <c r="E1867" i="12"/>
  <c r="F1867" i="12" s="1"/>
  <c r="G1867" i="12" s="1"/>
  <c r="I1867" i="12" s="1"/>
  <c r="K1867" i="12" s="1"/>
  <c r="A1867" i="12"/>
  <c r="E1875" i="12"/>
  <c r="F1875" i="12" s="1"/>
  <c r="G1875" i="12" s="1"/>
  <c r="I1875" i="12" s="1"/>
  <c r="K1875" i="12" s="1"/>
  <c r="A1875" i="12"/>
  <c r="A3538" i="12"/>
  <c r="A3530" i="12"/>
  <c r="A3514" i="12"/>
  <c r="A3506" i="12"/>
  <c r="A3498" i="12"/>
  <c r="A3474" i="12"/>
  <c r="A3458" i="12"/>
  <c r="A3442" i="12"/>
  <c r="A3386" i="12"/>
  <c r="A3370" i="12"/>
  <c r="A3330" i="12"/>
  <c r="A3322" i="12"/>
  <c r="A3306" i="12"/>
  <c r="A3266" i="12"/>
  <c r="A3258" i="12"/>
  <c r="A3250" i="12"/>
  <c r="A3154" i="12"/>
  <c r="A3122" i="12"/>
  <c r="A3098" i="12"/>
  <c r="A3074" i="12"/>
  <c r="A3066" i="12"/>
  <c r="A3050" i="12"/>
  <c r="A3002" i="12"/>
  <c r="A2978" i="12"/>
  <c r="A2970" i="12"/>
  <c r="A2946" i="12"/>
  <c r="A2898" i="12"/>
  <c r="A2866" i="12"/>
  <c r="A2858" i="12"/>
  <c r="A2850" i="12"/>
  <c r="A2842" i="12"/>
  <c r="A2826" i="12"/>
  <c r="A2802" i="12"/>
  <c r="A2786" i="12"/>
  <c r="A2722" i="12"/>
  <c r="A2714" i="12"/>
  <c r="A2353" i="12"/>
  <c r="A2268" i="12"/>
  <c r="A2057" i="12"/>
  <c r="A1945" i="12"/>
  <c r="A1833" i="12"/>
  <c r="A897" i="12"/>
  <c r="A449" i="12"/>
  <c r="A153" i="12"/>
  <c r="A137" i="12"/>
  <c r="A73" i="12"/>
  <c r="E173" i="12"/>
  <c r="F173" i="12" s="1"/>
  <c r="G173" i="12" s="1"/>
  <c r="I173" i="12" s="1"/>
  <c r="K173" i="12" s="1"/>
  <c r="A173" i="12"/>
  <c r="E181" i="12"/>
  <c r="F181" i="12" s="1"/>
  <c r="G181" i="12" s="1"/>
  <c r="I181" i="12" s="1"/>
  <c r="K181" i="12" s="1"/>
  <c r="A181" i="12"/>
  <c r="E189" i="12"/>
  <c r="F189" i="12" s="1"/>
  <c r="G189" i="12" s="1"/>
  <c r="I189" i="12" s="1"/>
  <c r="K189" i="12" s="1"/>
  <c r="A189" i="12"/>
  <c r="E197" i="12"/>
  <c r="F197" i="12" s="1"/>
  <c r="G197" i="12" s="1"/>
  <c r="I197" i="12" s="1"/>
  <c r="K197" i="12" s="1"/>
  <c r="A197" i="12"/>
  <c r="E221" i="12"/>
  <c r="F221" i="12" s="1"/>
  <c r="G221" i="12" s="1"/>
  <c r="I221" i="12" s="1"/>
  <c r="K221" i="12" s="1"/>
  <c r="A221" i="12"/>
  <c r="E229" i="12"/>
  <c r="F229" i="12" s="1"/>
  <c r="G229" i="12" s="1"/>
  <c r="I229" i="12" s="1"/>
  <c r="K229" i="12" s="1"/>
  <c r="A229" i="12"/>
  <c r="E237" i="12"/>
  <c r="F237" i="12" s="1"/>
  <c r="G237" i="12" s="1"/>
  <c r="I237" i="12" s="1"/>
  <c r="K237" i="12" s="1"/>
  <c r="A237" i="12"/>
  <c r="E253" i="12"/>
  <c r="F253" i="12" s="1"/>
  <c r="G253" i="12" s="1"/>
  <c r="I253" i="12" s="1"/>
  <c r="K253" i="12" s="1"/>
  <c r="A253" i="12"/>
  <c r="E261" i="12"/>
  <c r="F261" i="12" s="1"/>
  <c r="G261" i="12" s="1"/>
  <c r="I261" i="12" s="1"/>
  <c r="K261" i="12" s="1"/>
  <c r="A261" i="12"/>
  <c r="E277" i="12"/>
  <c r="F277" i="12" s="1"/>
  <c r="G277" i="12" s="1"/>
  <c r="I277" i="12" s="1"/>
  <c r="K277" i="12" s="1"/>
  <c r="A277" i="12"/>
  <c r="E285" i="12"/>
  <c r="F285" i="12" s="1"/>
  <c r="G285" i="12" s="1"/>
  <c r="I285" i="12" s="1"/>
  <c r="K285" i="12" s="1"/>
  <c r="A285" i="12"/>
  <c r="E293" i="12"/>
  <c r="F293" i="12" s="1"/>
  <c r="G293" i="12" s="1"/>
  <c r="I293" i="12" s="1"/>
  <c r="K293" i="12" s="1"/>
  <c r="A293" i="12"/>
  <c r="E325" i="12"/>
  <c r="F325" i="12" s="1"/>
  <c r="G325" i="12" s="1"/>
  <c r="I325" i="12" s="1"/>
  <c r="K325" i="12" s="1"/>
  <c r="A325" i="12"/>
  <c r="E333" i="12"/>
  <c r="F333" i="12" s="1"/>
  <c r="G333" i="12" s="1"/>
  <c r="I333" i="12" s="1"/>
  <c r="K333" i="12" s="1"/>
  <c r="A333" i="12"/>
  <c r="E341" i="12"/>
  <c r="F341" i="12" s="1"/>
  <c r="G341" i="12" s="1"/>
  <c r="I341" i="12" s="1"/>
  <c r="K341" i="12" s="1"/>
  <c r="A341" i="12"/>
  <c r="E349" i="12"/>
  <c r="F349" i="12" s="1"/>
  <c r="G349" i="12" s="1"/>
  <c r="I349" i="12" s="1"/>
  <c r="K349" i="12" s="1"/>
  <c r="A349" i="12"/>
  <c r="E357" i="12"/>
  <c r="F357" i="12" s="1"/>
  <c r="G357" i="12" s="1"/>
  <c r="I357" i="12" s="1"/>
  <c r="K357" i="12" s="1"/>
  <c r="A357" i="12"/>
  <c r="E373" i="12"/>
  <c r="F373" i="12" s="1"/>
  <c r="G373" i="12" s="1"/>
  <c r="I373" i="12" s="1"/>
  <c r="K373" i="12" s="1"/>
  <c r="A373" i="12"/>
  <c r="E381" i="12"/>
  <c r="F381" i="12" s="1"/>
  <c r="G381" i="12" s="1"/>
  <c r="I381" i="12" s="1"/>
  <c r="K381" i="12" s="1"/>
  <c r="A381" i="12"/>
  <c r="E389" i="12"/>
  <c r="F389" i="12" s="1"/>
  <c r="G389" i="12" s="1"/>
  <c r="I389" i="12" s="1"/>
  <c r="K389" i="12" s="1"/>
  <c r="A389" i="12"/>
  <c r="E405" i="12"/>
  <c r="F405" i="12" s="1"/>
  <c r="G405" i="12" s="1"/>
  <c r="I405" i="12" s="1"/>
  <c r="K405" i="12" s="1"/>
  <c r="A405" i="12"/>
  <c r="E445" i="12"/>
  <c r="F445" i="12" s="1"/>
  <c r="G445" i="12" s="1"/>
  <c r="I445" i="12" s="1"/>
  <c r="K445" i="12" s="1"/>
  <c r="A445" i="12"/>
  <c r="E469" i="12"/>
  <c r="F469" i="12" s="1"/>
  <c r="G469" i="12" s="1"/>
  <c r="I469" i="12" s="1"/>
  <c r="K469" i="12" s="1"/>
  <c r="A469" i="12"/>
  <c r="E605" i="12"/>
  <c r="F605" i="12" s="1"/>
  <c r="G605" i="12" s="1"/>
  <c r="I605" i="12" s="1"/>
  <c r="K605" i="12" s="1"/>
  <c r="A605" i="12"/>
  <c r="E629" i="12"/>
  <c r="F629" i="12" s="1"/>
  <c r="G629" i="12" s="1"/>
  <c r="I629" i="12" s="1"/>
  <c r="K629" i="12" s="1"/>
  <c r="A629" i="12"/>
  <c r="E709" i="12"/>
  <c r="F709" i="12" s="1"/>
  <c r="G709" i="12" s="1"/>
  <c r="I709" i="12" s="1"/>
  <c r="K709" i="12" s="1"/>
  <c r="A709" i="12"/>
  <c r="E781" i="12"/>
  <c r="F781" i="12" s="1"/>
  <c r="G781" i="12" s="1"/>
  <c r="I781" i="12" s="1"/>
  <c r="K781" i="12" s="1"/>
  <c r="A781" i="12"/>
  <c r="E829" i="12"/>
  <c r="F829" i="12" s="1"/>
  <c r="G829" i="12" s="1"/>
  <c r="I829" i="12" s="1"/>
  <c r="K829" i="12" s="1"/>
  <c r="A829" i="12"/>
  <c r="E845" i="12"/>
  <c r="F845" i="12" s="1"/>
  <c r="G845" i="12" s="1"/>
  <c r="I845" i="12" s="1"/>
  <c r="K845" i="12" s="1"/>
  <c r="A845" i="12"/>
  <c r="E893" i="12"/>
  <c r="F893" i="12" s="1"/>
  <c r="G893" i="12" s="1"/>
  <c r="I893" i="12" s="1"/>
  <c r="K893" i="12" s="1"/>
  <c r="A893" i="12"/>
  <c r="E917" i="12"/>
  <c r="F917" i="12" s="1"/>
  <c r="G917" i="12" s="1"/>
  <c r="I917" i="12" s="1"/>
  <c r="K917" i="12" s="1"/>
  <c r="A917" i="12"/>
  <c r="E933" i="12"/>
  <c r="F933" i="12" s="1"/>
  <c r="G933" i="12" s="1"/>
  <c r="I933" i="12" s="1"/>
  <c r="K933" i="12" s="1"/>
  <c r="A933" i="12"/>
  <c r="E941" i="12"/>
  <c r="F941" i="12" s="1"/>
  <c r="G941" i="12" s="1"/>
  <c r="I941" i="12" s="1"/>
  <c r="K941" i="12" s="1"/>
  <c r="A941" i="12"/>
  <c r="E1038" i="12"/>
  <c r="F1038" i="12" s="1"/>
  <c r="G1038" i="12" s="1"/>
  <c r="I1038" i="12" s="1"/>
  <c r="K1038" i="12" s="1"/>
  <c r="A1038" i="12"/>
  <c r="E1062" i="12"/>
  <c r="F1062" i="12" s="1"/>
  <c r="G1062" i="12" s="1"/>
  <c r="I1062" i="12" s="1"/>
  <c r="K1062" i="12" s="1"/>
  <c r="A1062" i="12"/>
  <c r="E1150" i="12"/>
  <c r="F1150" i="12" s="1"/>
  <c r="G1150" i="12" s="1"/>
  <c r="I1150" i="12" s="1"/>
  <c r="K1150" i="12" s="1"/>
  <c r="A1150" i="12"/>
  <c r="E1166" i="12"/>
  <c r="F1166" i="12" s="1"/>
  <c r="G1166" i="12" s="1"/>
  <c r="I1166" i="12" s="1"/>
  <c r="K1166" i="12" s="1"/>
  <c r="A1166" i="12"/>
  <c r="E1206" i="12"/>
  <c r="F1206" i="12" s="1"/>
  <c r="G1206" i="12" s="1"/>
  <c r="I1206" i="12" s="1"/>
  <c r="K1206" i="12" s="1"/>
  <c r="A1206" i="12"/>
  <c r="E1262" i="12"/>
  <c r="F1262" i="12" s="1"/>
  <c r="G1262" i="12" s="1"/>
  <c r="I1262" i="12" s="1"/>
  <c r="K1262" i="12" s="1"/>
  <c r="A1262" i="12"/>
  <c r="E1325" i="12"/>
  <c r="F1325" i="12" s="1"/>
  <c r="G1325" i="12" s="1"/>
  <c r="I1325" i="12" s="1"/>
  <c r="K1325" i="12" s="1"/>
  <c r="A1325" i="12"/>
  <c r="E1484" i="12"/>
  <c r="F1484" i="12" s="1"/>
  <c r="G1484" i="12" s="1"/>
  <c r="I1484" i="12" s="1"/>
  <c r="K1484" i="12" s="1"/>
  <c r="A1484" i="12"/>
  <c r="E1500" i="12"/>
  <c r="F1500" i="12" s="1"/>
  <c r="G1500" i="12" s="1"/>
  <c r="I1500" i="12" s="1"/>
  <c r="K1500" i="12" s="1"/>
  <c r="A1500" i="12"/>
  <c r="E1548" i="12"/>
  <c r="F1548" i="12" s="1"/>
  <c r="G1548" i="12" s="1"/>
  <c r="I1548" i="12" s="1"/>
  <c r="K1548" i="12" s="1"/>
  <c r="A1548" i="12"/>
  <c r="E1556" i="12"/>
  <c r="F1556" i="12" s="1"/>
  <c r="G1556" i="12" s="1"/>
  <c r="I1556" i="12" s="1"/>
  <c r="K1556" i="12" s="1"/>
  <c r="A1556" i="12"/>
  <c r="E1580" i="12"/>
  <c r="F1580" i="12" s="1"/>
  <c r="G1580" i="12" s="1"/>
  <c r="I1580" i="12" s="1"/>
  <c r="K1580" i="12" s="1"/>
  <c r="A1580" i="12"/>
  <c r="E1636" i="12"/>
  <c r="F1636" i="12" s="1"/>
  <c r="G1636" i="12" s="1"/>
  <c r="I1636" i="12" s="1"/>
  <c r="K1636" i="12" s="1"/>
  <c r="A1636" i="12"/>
  <c r="E1652" i="12"/>
  <c r="F1652" i="12" s="1"/>
  <c r="G1652" i="12" s="1"/>
  <c r="I1652" i="12" s="1"/>
  <c r="K1652" i="12" s="1"/>
  <c r="A1652" i="12"/>
  <c r="E1668" i="12"/>
  <c r="F1668" i="12" s="1"/>
  <c r="G1668" i="12" s="1"/>
  <c r="I1668" i="12" s="1"/>
  <c r="K1668" i="12" s="1"/>
  <c r="A1668" i="12"/>
  <c r="E1700" i="12"/>
  <c r="F1700" i="12" s="1"/>
  <c r="G1700" i="12" s="1"/>
  <c r="I1700" i="12" s="1"/>
  <c r="K1700" i="12" s="1"/>
  <c r="A1700" i="12"/>
  <c r="E1724" i="12"/>
  <c r="F1724" i="12" s="1"/>
  <c r="G1724" i="12" s="1"/>
  <c r="I1724" i="12" s="1"/>
  <c r="K1724" i="12" s="1"/>
  <c r="A1724" i="12"/>
  <c r="E1804" i="12"/>
  <c r="F1804" i="12" s="1"/>
  <c r="G1804" i="12" s="1"/>
  <c r="I1804" i="12" s="1"/>
  <c r="K1804" i="12" s="1"/>
  <c r="A1804" i="12"/>
  <c r="E1828" i="12"/>
  <c r="F1828" i="12" s="1"/>
  <c r="G1828" i="12" s="1"/>
  <c r="I1828" i="12" s="1"/>
  <c r="K1828" i="12" s="1"/>
  <c r="A1828" i="12"/>
  <c r="E1836" i="12"/>
  <c r="F1836" i="12" s="1"/>
  <c r="G1836" i="12" s="1"/>
  <c r="I1836" i="12" s="1"/>
  <c r="K1836" i="12" s="1"/>
  <c r="A1836" i="12"/>
  <c r="E1844" i="12"/>
  <c r="F1844" i="12" s="1"/>
  <c r="G1844" i="12" s="1"/>
  <c r="I1844" i="12" s="1"/>
  <c r="K1844" i="12" s="1"/>
  <c r="A1844" i="12"/>
  <c r="E1852" i="12"/>
  <c r="F1852" i="12" s="1"/>
  <c r="G1852" i="12" s="1"/>
  <c r="I1852" i="12" s="1"/>
  <c r="K1852" i="12" s="1"/>
  <c r="A1852" i="12"/>
  <c r="E1860" i="12"/>
  <c r="F1860" i="12" s="1"/>
  <c r="G1860" i="12" s="1"/>
  <c r="I1860" i="12" s="1"/>
  <c r="K1860" i="12" s="1"/>
  <c r="A1860" i="12"/>
  <c r="E1924" i="12"/>
  <c r="F1924" i="12" s="1"/>
  <c r="G1924" i="12" s="1"/>
  <c r="I1924" i="12" s="1"/>
  <c r="K1924" i="12" s="1"/>
  <c r="A1924" i="12"/>
  <c r="E1932" i="12"/>
  <c r="F1932" i="12" s="1"/>
  <c r="G1932" i="12" s="1"/>
  <c r="I1932" i="12" s="1"/>
  <c r="K1932" i="12" s="1"/>
  <c r="A1932" i="12"/>
  <c r="E1948" i="12"/>
  <c r="F1948" i="12" s="1"/>
  <c r="G1948" i="12" s="1"/>
  <c r="I1948" i="12" s="1"/>
  <c r="K1948" i="12" s="1"/>
  <c r="A1948" i="12"/>
  <c r="E2012" i="12"/>
  <c r="F2012" i="12" s="1"/>
  <c r="G2012" i="12" s="1"/>
  <c r="I2012" i="12" s="1"/>
  <c r="K2012" i="12" s="1"/>
  <c r="A2012" i="12"/>
  <c r="E2028" i="12"/>
  <c r="F2028" i="12" s="1"/>
  <c r="G2028" i="12" s="1"/>
  <c r="I2028" i="12" s="1"/>
  <c r="K2028" i="12" s="1"/>
  <c r="A2028" i="12"/>
  <c r="E2092" i="12"/>
  <c r="F2092" i="12" s="1"/>
  <c r="G2092" i="12" s="1"/>
  <c r="I2092" i="12" s="1"/>
  <c r="K2092" i="12" s="1"/>
  <c r="A2092" i="12"/>
  <c r="A3241" i="12"/>
  <c r="A3233" i="12"/>
  <c r="A3193" i="12"/>
  <c r="A3177" i="12"/>
  <c r="A3161" i="12"/>
  <c r="A3121" i="12"/>
  <c r="A3073" i="12"/>
  <c r="A3065" i="12"/>
  <c r="A3049" i="12"/>
  <c r="A3033" i="12"/>
  <c r="A2985" i="12"/>
  <c r="A2945" i="12"/>
  <c r="A2881" i="12"/>
  <c r="A2825" i="12"/>
  <c r="A2657" i="12"/>
  <c r="A2641" i="12"/>
  <c r="A2625" i="12"/>
  <c r="A2617" i="12"/>
  <c r="A2609" i="12"/>
  <c r="A2489" i="12"/>
  <c r="A2465" i="12"/>
  <c r="A2457" i="12"/>
  <c r="A2425" i="12"/>
  <c r="A2401" i="12"/>
  <c r="A2361" i="12"/>
  <c r="A2284" i="12"/>
  <c r="A2129" i="12"/>
  <c r="A2073" i="12"/>
  <c r="A1729" i="12"/>
  <c r="A1329" i="12"/>
  <c r="A753" i="12"/>
  <c r="A553" i="12"/>
  <c r="A457" i="12"/>
  <c r="A185" i="12"/>
  <c r="E932" i="12"/>
  <c r="F932" i="12" s="1"/>
  <c r="G932" i="12" s="1"/>
  <c r="I932" i="12" s="1"/>
  <c r="K932" i="12" s="1"/>
  <c r="A932" i="12"/>
  <c r="E940" i="12"/>
  <c r="F940" i="12" s="1"/>
  <c r="G940" i="12" s="1"/>
  <c r="I940" i="12" s="1"/>
  <c r="K940" i="12" s="1"/>
  <c r="A940" i="12"/>
  <c r="E1117" i="12"/>
  <c r="F1117" i="12" s="1"/>
  <c r="G1117" i="12" s="1"/>
  <c r="I1117" i="12" s="1"/>
  <c r="K1117" i="12" s="1"/>
  <c r="A1117" i="12"/>
  <c r="E1173" i="12"/>
  <c r="F1173" i="12" s="1"/>
  <c r="G1173" i="12" s="1"/>
  <c r="I1173" i="12" s="1"/>
  <c r="K1173" i="12" s="1"/>
  <c r="A1173" i="12"/>
  <c r="E1301" i="12"/>
  <c r="F1301" i="12" s="1"/>
  <c r="G1301" i="12" s="1"/>
  <c r="I1301" i="12" s="1"/>
  <c r="K1301" i="12" s="1"/>
  <c r="A1301" i="12"/>
  <c r="E37" i="12"/>
  <c r="F37" i="12" s="1"/>
  <c r="G37" i="12" s="1"/>
  <c r="I37" i="12" s="1"/>
  <c r="K37" i="12" s="1"/>
  <c r="A37" i="12"/>
  <c r="E61" i="12"/>
  <c r="F61" i="12" s="1"/>
  <c r="G61" i="12" s="1"/>
  <c r="I61" i="12" s="1"/>
  <c r="K61" i="12" s="1"/>
  <c r="A61" i="12"/>
  <c r="E69" i="12"/>
  <c r="F69" i="12" s="1"/>
  <c r="G69" i="12" s="1"/>
  <c r="I69" i="12" s="1"/>
  <c r="K69" i="12" s="1"/>
  <c r="A69" i="12"/>
  <c r="E245" i="12"/>
  <c r="F245" i="12" s="1"/>
  <c r="G245" i="12" s="1"/>
  <c r="I245" i="12" s="1"/>
  <c r="K245" i="12" s="1"/>
  <c r="A245" i="12"/>
  <c r="E30" i="12"/>
  <c r="F30" i="12" s="1"/>
  <c r="G30" i="12" s="1"/>
  <c r="I30" i="12" s="1"/>
  <c r="K30" i="12" s="1"/>
  <c r="A30" i="12"/>
  <c r="E46" i="12"/>
  <c r="F46" i="12" s="1"/>
  <c r="G46" i="12" s="1"/>
  <c r="I46" i="12" s="1"/>
  <c r="K46" i="12" s="1"/>
  <c r="A46" i="12"/>
  <c r="E54" i="12"/>
  <c r="F54" i="12" s="1"/>
  <c r="G54" i="12" s="1"/>
  <c r="I54" i="12" s="1"/>
  <c r="K54" i="12" s="1"/>
  <c r="A54" i="12"/>
  <c r="E62" i="12"/>
  <c r="F62" i="12" s="1"/>
  <c r="G62" i="12" s="1"/>
  <c r="I62" i="12" s="1"/>
  <c r="K62" i="12" s="1"/>
  <c r="A62" i="12"/>
  <c r="E70" i="12"/>
  <c r="F70" i="12" s="1"/>
  <c r="G70" i="12" s="1"/>
  <c r="I70" i="12" s="1"/>
  <c r="K70" i="12" s="1"/>
  <c r="A70" i="12"/>
  <c r="E94" i="12"/>
  <c r="F94" i="12" s="1"/>
  <c r="G94" i="12" s="1"/>
  <c r="I94" i="12" s="1"/>
  <c r="K94" i="12" s="1"/>
  <c r="A94" i="12"/>
  <c r="E102" i="12"/>
  <c r="F102" i="12" s="1"/>
  <c r="G102" i="12" s="1"/>
  <c r="I102" i="12" s="1"/>
  <c r="K102" i="12" s="1"/>
  <c r="A102" i="12"/>
  <c r="E110" i="12"/>
  <c r="F110" i="12" s="1"/>
  <c r="G110" i="12" s="1"/>
  <c r="I110" i="12" s="1"/>
  <c r="K110" i="12" s="1"/>
  <c r="A110" i="12"/>
  <c r="E118" i="12"/>
  <c r="F118" i="12" s="1"/>
  <c r="G118" i="12" s="1"/>
  <c r="I118" i="12" s="1"/>
  <c r="K118" i="12" s="1"/>
  <c r="A118" i="12"/>
  <c r="E126" i="12"/>
  <c r="F126" i="12" s="1"/>
  <c r="G126" i="12" s="1"/>
  <c r="I126" i="12" s="1"/>
  <c r="K126" i="12" s="1"/>
  <c r="A126" i="12"/>
  <c r="E150" i="12"/>
  <c r="F150" i="12" s="1"/>
  <c r="G150" i="12" s="1"/>
  <c r="I150" i="12" s="1"/>
  <c r="K150" i="12" s="1"/>
  <c r="A150" i="12"/>
  <c r="E166" i="12"/>
  <c r="F166" i="12" s="1"/>
  <c r="G166" i="12" s="1"/>
  <c r="I166" i="12" s="1"/>
  <c r="K166" i="12" s="1"/>
  <c r="A166" i="12"/>
  <c r="E174" i="12"/>
  <c r="F174" i="12" s="1"/>
  <c r="G174" i="12" s="1"/>
  <c r="I174" i="12" s="1"/>
  <c r="K174" i="12" s="1"/>
  <c r="A174" i="12"/>
  <c r="E182" i="12"/>
  <c r="F182" i="12" s="1"/>
  <c r="G182" i="12" s="1"/>
  <c r="I182" i="12" s="1"/>
  <c r="K182" i="12" s="1"/>
  <c r="A182" i="12"/>
  <c r="E198" i="12"/>
  <c r="F198" i="12" s="1"/>
  <c r="G198" i="12" s="1"/>
  <c r="I198" i="12" s="1"/>
  <c r="K198" i="12" s="1"/>
  <c r="A198" i="12"/>
  <c r="E246" i="12"/>
  <c r="F246" i="12" s="1"/>
  <c r="G246" i="12" s="1"/>
  <c r="I246" i="12" s="1"/>
  <c r="K246" i="12" s="1"/>
  <c r="A246" i="12"/>
  <c r="E278" i="12"/>
  <c r="F278" i="12" s="1"/>
  <c r="G278" i="12" s="1"/>
  <c r="I278" i="12" s="1"/>
  <c r="K278" i="12" s="1"/>
  <c r="A278" i="12"/>
  <c r="E286" i="12"/>
  <c r="F286" i="12" s="1"/>
  <c r="G286" i="12" s="1"/>
  <c r="I286" i="12" s="1"/>
  <c r="K286" i="12" s="1"/>
  <c r="A286" i="12"/>
  <c r="E294" i="12"/>
  <c r="F294" i="12" s="1"/>
  <c r="G294" i="12" s="1"/>
  <c r="I294" i="12" s="1"/>
  <c r="K294" i="12" s="1"/>
  <c r="A294" i="12"/>
  <c r="E334" i="12"/>
  <c r="F334" i="12" s="1"/>
  <c r="G334" i="12" s="1"/>
  <c r="I334" i="12" s="1"/>
  <c r="K334" i="12" s="1"/>
  <c r="A334" i="12"/>
  <c r="E342" i="12"/>
  <c r="F342" i="12" s="1"/>
  <c r="G342" i="12" s="1"/>
  <c r="I342" i="12" s="1"/>
  <c r="K342" i="12" s="1"/>
  <c r="A342" i="12"/>
  <c r="E350" i="12"/>
  <c r="F350" i="12" s="1"/>
  <c r="G350" i="12" s="1"/>
  <c r="I350" i="12" s="1"/>
  <c r="K350" i="12" s="1"/>
  <c r="A350" i="12"/>
  <c r="E358" i="12"/>
  <c r="F358" i="12" s="1"/>
  <c r="G358" i="12" s="1"/>
  <c r="I358" i="12" s="1"/>
  <c r="K358" i="12" s="1"/>
  <c r="A358" i="12"/>
  <c r="E374" i="12"/>
  <c r="F374" i="12" s="1"/>
  <c r="G374" i="12" s="1"/>
  <c r="I374" i="12" s="1"/>
  <c r="K374" i="12" s="1"/>
  <c r="A374" i="12"/>
  <c r="E382" i="12"/>
  <c r="F382" i="12" s="1"/>
  <c r="G382" i="12" s="1"/>
  <c r="I382" i="12" s="1"/>
  <c r="K382" i="12" s="1"/>
  <c r="A382" i="12"/>
  <c r="E406" i="12"/>
  <c r="F406" i="12" s="1"/>
  <c r="G406" i="12" s="1"/>
  <c r="I406" i="12" s="1"/>
  <c r="K406" i="12" s="1"/>
  <c r="A406" i="12"/>
  <c r="E414" i="12"/>
  <c r="F414" i="12" s="1"/>
  <c r="G414" i="12" s="1"/>
  <c r="I414" i="12" s="1"/>
  <c r="K414" i="12" s="1"/>
  <c r="A414" i="12"/>
  <c r="E446" i="12"/>
  <c r="F446" i="12" s="1"/>
  <c r="G446" i="12" s="1"/>
  <c r="I446" i="12" s="1"/>
  <c r="K446" i="12" s="1"/>
  <c r="A446" i="12"/>
  <c r="E462" i="12"/>
  <c r="F462" i="12" s="1"/>
  <c r="G462" i="12" s="1"/>
  <c r="I462" i="12" s="1"/>
  <c r="K462" i="12" s="1"/>
  <c r="A462" i="12"/>
  <c r="E470" i="12"/>
  <c r="F470" i="12" s="1"/>
  <c r="G470" i="12" s="1"/>
  <c r="I470" i="12" s="1"/>
  <c r="K470" i="12" s="1"/>
  <c r="A470" i="12"/>
  <c r="E494" i="12"/>
  <c r="F494" i="12" s="1"/>
  <c r="G494" i="12" s="1"/>
  <c r="I494" i="12" s="1"/>
  <c r="K494" i="12" s="1"/>
  <c r="A494" i="12"/>
  <c r="E502" i="12"/>
  <c r="F502" i="12" s="1"/>
  <c r="G502" i="12" s="1"/>
  <c r="I502" i="12" s="1"/>
  <c r="K502" i="12" s="1"/>
  <c r="A502" i="12"/>
  <c r="E510" i="12"/>
  <c r="F510" i="12" s="1"/>
  <c r="G510" i="12" s="1"/>
  <c r="I510" i="12" s="1"/>
  <c r="K510" i="12" s="1"/>
  <c r="A510" i="12"/>
  <c r="E614" i="12"/>
  <c r="F614" i="12" s="1"/>
  <c r="G614" i="12" s="1"/>
  <c r="I614" i="12" s="1"/>
  <c r="K614" i="12" s="1"/>
  <c r="A614" i="12"/>
  <c r="E630" i="12"/>
  <c r="F630" i="12" s="1"/>
  <c r="G630" i="12" s="1"/>
  <c r="I630" i="12" s="1"/>
  <c r="K630" i="12" s="1"/>
  <c r="A630" i="12"/>
  <c r="E654" i="12"/>
  <c r="F654" i="12" s="1"/>
  <c r="G654" i="12" s="1"/>
  <c r="I654" i="12" s="1"/>
  <c r="K654" i="12" s="1"/>
  <c r="A654" i="12"/>
  <c r="E662" i="12"/>
  <c r="F662" i="12" s="1"/>
  <c r="G662" i="12" s="1"/>
  <c r="I662" i="12" s="1"/>
  <c r="K662" i="12" s="1"/>
  <c r="A662" i="12"/>
  <c r="E782" i="12"/>
  <c r="F782" i="12" s="1"/>
  <c r="G782" i="12" s="1"/>
  <c r="I782" i="12" s="1"/>
  <c r="K782" i="12" s="1"/>
  <c r="A782" i="12"/>
  <c r="E806" i="12"/>
  <c r="F806" i="12" s="1"/>
  <c r="G806" i="12" s="1"/>
  <c r="I806" i="12" s="1"/>
  <c r="K806" i="12" s="1"/>
  <c r="A806" i="12"/>
  <c r="E862" i="12"/>
  <c r="F862" i="12" s="1"/>
  <c r="G862" i="12" s="1"/>
  <c r="I862" i="12" s="1"/>
  <c r="K862" i="12" s="1"/>
  <c r="A862" i="12"/>
  <c r="E894" i="12"/>
  <c r="F894" i="12" s="1"/>
  <c r="G894" i="12" s="1"/>
  <c r="I894" i="12" s="1"/>
  <c r="K894" i="12" s="1"/>
  <c r="A894" i="12"/>
  <c r="E918" i="12"/>
  <c r="F918" i="12" s="1"/>
  <c r="G918" i="12" s="1"/>
  <c r="I918" i="12" s="1"/>
  <c r="K918" i="12" s="1"/>
  <c r="A918" i="12"/>
  <c r="E934" i="12"/>
  <c r="F934" i="12" s="1"/>
  <c r="G934" i="12" s="1"/>
  <c r="I934" i="12" s="1"/>
  <c r="K934" i="12" s="1"/>
  <c r="A934" i="12"/>
  <c r="E942" i="12"/>
  <c r="F942" i="12" s="1"/>
  <c r="G942" i="12" s="1"/>
  <c r="I942" i="12" s="1"/>
  <c r="K942" i="12" s="1"/>
  <c r="A942" i="12"/>
  <c r="E951" i="12"/>
  <c r="F951" i="12" s="1"/>
  <c r="G951" i="12" s="1"/>
  <c r="I951" i="12" s="1"/>
  <c r="K951" i="12" s="1"/>
  <c r="A951" i="12"/>
  <c r="E1055" i="12"/>
  <c r="F1055" i="12" s="1"/>
  <c r="G1055" i="12" s="1"/>
  <c r="I1055" i="12" s="1"/>
  <c r="K1055" i="12" s="1"/>
  <c r="A1055" i="12"/>
  <c r="E1119" i="12"/>
  <c r="F1119" i="12" s="1"/>
  <c r="G1119" i="12" s="1"/>
  <c r="I1119" i="12" s="1"/>
  <c r="K1119" i="12" s="1"/>
  <c r="A1119" i="12"/>
  <c r="E1151" i="12"/>
  <c r="F1151" i="12" s="1"/>
  <c r="G1151" i="12" s="1"/>
  <c r="I1151" i="12" s="1"/>
  <c r="K1151" i="12" s="1"/>
  <c r="A1151" i="12"/>
  <c r="E1207" i="12"/>
  <c r="F1207" i="12" s="1"/>
  <c r="G1207" i="12" s="1"/>
  <c r="I1207" i="12" s="1"/>
  <c r="K1207" i="12" s="1"/>
  <c r="A1207" i="12"/>
  <c r="E1255" i="12"/>
  <c r="F1255" i="12" s="1"/>
  <c r="G1255" i="12" s="1"/>
  <c r="I1255" i="12" s="1"/>
  <c r="K1255" i="12" s="1"/>
  <c r="A1255" i="12"/>
  <c r="E1263" i="12"/>
  <c r="F1263" i="12" s="1"/>
  <c r="G1263" i="12" s="1"/>
  <c r="I1263" i="12" s="1"/>
  <c r="K1263" i="12" s="1"/>
  <c r="A1263" i="12"/>
  <c r="E1303" i="12"/>
  <c r="F1303" i="12" s="1"/>
  <c r="G1303" i="12" s="1"/>
  <c r="I1303" i="12" s="1"/>
  <c r="K1303" i="12" s="1"/>
  <c r="A1303" i="12"/>
  <c r="E1485" i="12"/>
  <c r="F1485" i="12" s="1"/>
  <c r="G1485" i="12" s="1"/>
  <c r="I1485" i="12" s="1"/>
  <c r="K1485" i="12" s="1"/>
  <c r="A1485" i="12"/>
  <c r="E1501" i="12"/>
  <c r="F1501" i="12" s="1"/>
  <c r="G1501" i="12" s="1"/>
  <c r="I1501" i="12" s="1"/>
  <c r="K1501" i="12" s="1"/>
  <c r="A1501" i="12"/>
  <c r="E1549" i="12"/>
  <c r="F1549" i="12" s="1"/>
  <c r="G1549" i="12" s="1"/>
  <c r="I1549" i="12" s="1"/>
  <c r="K1549" i="12" s="1"/>
  <c r="A1549" i="12"/>
  <c r="E1589" i="12"/>
  <c r="F1589" i="12" s="1"/>
  <c r="G1589" i="12" s="1"/>
  <c r="I1589" i="12" s="1"/>
  <c r="K1589" i="12" s="1"/>
  <c r="A1589" i="12"/>
  <c r="E1605" i="12"/>
  <c r="F1605" i="12" s="1"/>
  <c r="G1605" i="12" s="1"/>
  <c r="I1605" i="12" s="1"/>
  <c r="K1605" i="12" s="1"/>
  <c r="A1605" i="12"/>
  <c r="E1653" i="12"/>
  <c r="F1653" i="12" s="1"/>
  <c r="G1653" i="12" s="1"/>
  <c r="I1653" i="12" s="1"/>
  <c r="K1653" i="12" s="1"/>
  <c r="A1653" i="12"/>
  <c r="E1701" i="12"/>
  <c r="F1701" i="12" s="1"/>
  <c r="G1701" i="12" s="1"/>
  <c r="I1701" i="12" s="1"/>
  <c r="K1701" i="12" s="1"/>
  <c r="A1701" i="12"/>
  <c r="E1725" i="12"/>
  <c r="F1725" i="12" s="1"/>
  <c r="G1725" i="12" s="1"/>
  <c r="I1725" i="12" s="1"/>
  <c r="K1725" i="12" s="1"/>
  <c r="A1725" i="12"/>
  <c r="E1733" i="12"/>
  <c r="F1733" i="12" s="1"/>
  <c r="G1733" i="12" s="1"/>
  <c r="I1733" i="12" s="1"/>
  <c r="K1733" i="12" s="1"/>
  <c r="A1733" i="12"/>
  <c r="E1741" i="12"/>
  <c r="F1741" i="12" s="1"/>
  <c r="G1741" i="12" s="1"/>
  <c r="I1741" i="12" s="1"/>
  <c r="K1741" i="12" s="1"/>
  <c r="A1741" i="12"/>
  <c r="E1749" i="12"/>
  <c r="F1749" i="12" s="1"/>
  <c r="G1749" i="12" s="1"/>
  <c r="I1749" i="12" s="1"/>
  <c r="K1749" i="12" s="1"/>
  <c r="A1749" i="12"/>
  <c r="E1781" i="12"/>
  <c r="F1781" i="12" s="1"/>
  <c r="G1781" i="12" s="1"/>
  <c r="I1781" i="12" s="1"/>
  <c r="K1781" i="12" s="1"/>
  <c r="A1781" i="12"/>
  <c r="E1837" i="12"/>
  <c r="F1837" i="12" s="1"/>
  <c r="G1837" i="12" s="1"/>
  <c r="I1837" i="12" s="1"/>
  <c r="K1837" i="12" s="1"/>
  <c r="A1837" i="12"/>
  <c r="E1845" i="12"/>
  <c r="F1845" i="12" s="1"/>
  <c r="G1845" i="12" s="1"/>
  <c r="I1845" i="12" s="1"/>
  <c r="K1845" i="12" s="1"/>
  <c r="A1845" i="12"/>
  <c r="E1853" i="12"/>
  <c r="F1853" i="12" s="1"/>
  <c r="G1853" i="12" s="1"/>
  <c r="I1853" i="12" s="1"/>
  <c r="K1853" i="12" s="1"/>
  <c r="A1853" i="12"/>
  <c r="E1901" i="12"/>
  <c r="F1901" i="12" s="1"/>
  <c r="G1901" i="12" s="1"/>
  <c r="I1901" i="12" s="1"/>
  <c r="K1901" i="12" s="1"/>
  <c r="A1901" i="12"/>
  <c r="E1917" i="12"/>
  <c r="F1917" i="12" s="1"/>
  <c r="G1917" i="12" s="1"/>
  <c r="I1917" i="12" s="1"/>
  <c r="K1917" i="12" s="1"/>
  <c r="A1917" i="12"/>
  <c r="E1933" i="12"/>
  <c r="F1933" i="12" s="1"/>
  <c r="G1933" i="12" s="1"/>
  <c r="I1933" i="12" s="1"/>
  <c r="K1933" i="12" s="1"/>
  <c r="A1933" i="12"/>
  <c r="E1957" i="12"/>
  <c r="F1957" i="12" s="1"/>
  <c r="G1957" i="12" s="1"/>
  <c r="I1957" i="12" s="1"/>
  <c r="K1957" i="12" s="1"/>
  <c r="A1957" i="12"/>
  <c r="E1981" i="12"/>
  <c r="F1981" i="12" s="1"/>
  <c r="G1981" i="12" s="1"/>
  <c r="I1981" i="12" s="1"/>
  <c r="K1981" i="12" s="1"/>
  <c r="A1981" i="12"/>
  <c r="E1997" i="12"/>
  <c r="F1997" i="12" s="1"/>
  <c r="G1997" i="12" s="1"/>
  <c r="I1997" i="12" s="1"/>
  <c r="K1997" i="12" s="1"/>
  <c r="A1997" i="12"/>
  <c r="E2029" i="12"/>
  <c r="F2029" i="12" s="1"/>
  <c r="G2029" i="12" s="1"/>
  <c r="I2029" i="12" s="1"/>
  <c r="K2029" i="12" s="1"/>
  <c r="A2029" i="12"/>
  <c r="E2045" i="12"/>
  <c r="F2045" i="12" s="1"/>
  <c r="G2045" i="12" s="1"/>
  <c r="I2045" i="12" s="1"/>
  <c r="K2045" i="12" s="1"/>
  <c r="A2045" i="12"/>
  <c r="E2077" i="12"/>
  <c r="F2077" i="12" s="1"/>
  <c r="G2077" i="12" s="1"/>
  <c r="I2077" i="12" s="1"/>
  <c r="K2077" i="12" s="1"/>
  <c r="A2077" i="12"/>
  <c r="E2093" i="12"/>
  <c r="F2093" i="12" s="1"/>
  <c r="G2093" i="12" s="1"/>
  <c r="I2093" i="12" s="1"/>
  <c r="K2093" i="12" s="1"/>
  <c r="A2093" i="12"/>
  <c r="E2101" i="12"/>
  <c r="F2101" i="12" s="1"/>
  <c r="G2101" i="12" s="1"/>
  <c r="I2101" i="12" s="1"/>
  <c r="K2101" i="12" s="1"/>
  <c r="A2101" i="12"/>
  <c r="E2109" i="12"/>
  <c r="F2109" i="12" s="1"/>
  <c r="G2109" i="12" s="1"/>
  <c r="I2109" i="12" s="1"/>
  <c r="K2109" i="12" s="1"/>
  <c r="A2109" i="12"/>
  <c r="E2117" i="12"/>
  <c r="F2117" i="12" s="1"/>
  <c r="G2117" i="12" s="1"/>
  <c r="I2117" i="12" s="1"/>
  <c r="K2117" i="12" s="1"/>
  <c r="A2117" i="12"/>
  <c r="E2149" i="12"/>
  <c r="F2149" i="12" s="1"/>
  <c r="G2149" i="12" s="1"/>
  <c r="I2149" i="12" s="1"/>
  <c r="K2149" i="12" s="1"/>
  <c r="A2149" i="12"/>
  <c r="E2269" i="12"/>
  <c r="F2269" i="12" s="1"/>
  <c r="G2269" i="12" s="1"/>
  <c r="I2269" i="12" s="1"/>
  <c r="K2269" i="12" s="1"/>
  <c r="A2269" i="12"/>
  <c r="A3528" i="12"/>
  <c r="A3504" i="12"/>
  <c r="A3456" i="12"/>
  <c r="A3304" i="12"/>
  <c r="A3296" i="12"/>
  <c r="A3192" i="12"/>
  <c r="A3176" i="12"/>
  <c r="A3152" i="12"/>
  <c r="A3104" i="12"/>
  <c r="A3096" i="12"/>
  <c r="A2984" i="12"/>
  <c r="A2960" i="12"/>
  <c r="A2952" i="12"/>
  <c r="A2936" i="12"/>
  <c r="A2888" i="12"/>
  <c r="A2864" i="12"/>
  <c r="A2736" i="12"/>
  <c r="A2720" i="12"/>
  <c r="A2712" i="12"/>
  <c r="A2656" i="12"/>
  <c r="A2632" i="12"/>
  <c r="A2608" i="12"/>
  <c r="A2520" i="12"/>
  <c r="A2488" i="12"/>
  <c r="A2464" i="12"/>
  <c r="A2432" i="12"/>
  <c r="A2416" i="12"/>
  <c r="A2392" i="12"/>
  <c r="A2368" i="12"/>
  <c r="A2292" i="12"/>
  <c r="A2172" i="12"/>
  <c r="A2164" i="12"/>
  <c r="A2011" i="12"/>
  <c r="A1963" i="12"/>
  <c r="A1633" i="12"/>
  <c r="A1265" i="12"/>
  <c r="A1209" i="12"/>
  <c r="A657" i="12"/>
  <c r="A361" i="12"/>
  <c r="A281" i="12"/>
  <c r="E252" i="12"/>
  <c r="F252" i="12" s="1"/>
  <c r="G252" i="12" s="1"/>
  <c r="I252" i="12" s="1"/>
  <c r="K252" i="12" s="1"/>
  <c r="A252" i="12"/>
  <c r="E356" i="12"/>
  <c r="F356" i="12" s="1"/>
  <c r="G356" i="12" s="1"/>
  <c r="I356" i="12" s="1"/>
  <c r="K356" i="12" s="1"/>
  <c r="A356" i="12"/>
  <c r="E636" i="12"/>
  <c r="F636" i="12" s="1"/>
  <c r="G636" i="12" s="1"/>
  <c r="I636" i="12" s="1"/>
  <c r="K636" i="12" s="1"/>
  <c r="A636" i="12"/>
  <c r="E748" i="12"/>
  <c r="F748" i="12" s="1"/>
  <c r="G748" i="12" s="1"/>
  <c r="I748" i="12" s="1"/>
  <c r="K748" i="12" s="1"/>
  <c r="A748" i="12"/>
  <c r="E772" i="12"/>
  <c r="F772" i="12" s="1"/>
  <c r="G772" i="12" s="1"/>
  <c r="I772" i="12" s="1"/>
  <c r="K772" i="12" s="1"/>
  <c r="A772" i="12"/>
  <c r="E780" i="12"/>
  <c r="F780" i="12" s="1"/>
  <c r="G780" i="12" s="1"/>
  <c r="I780" i="12" s="1"/>
  <c r="K780" i="12" s="1"/>
  <c r="A780" i="12"/>
  <c r="E836" i="12"/>
  <c r="F836" i="12" s="1"/>
  <c r="G836" i="12" s="1"/>
  <c r="I836" i="12" s="1"/>
  <c r="K836" i="12" s="1"/>
  <c r="A836" i="12"/>
  <c r="E860" i="12"/>
  <c r="F860" i="12" s="1"/>
  <c r="G860" i="12" s="1"/>
  <c r="I860" i="12" s="1"/>
  <c r="K860" i="12" s="1"/>
  <c r="A860" i="12"/>
  <c r="E868" i="12"/>
  <c r="F868" i="12" s="1"/>
  <c r="G868" i="12" s="1"/>
  <c r="I868" i="12" s="1"/>
  <c r="K868" i="12" s="1"/>
  <c r="A868" i="12"/>
  <c r="E892" i="12"/>
  <c r="F892" i="12" s="1"/>
  <c r="G892" i="12" s="1"/>
  <c r="I892" i="12" s="1"/>
  <c r="K892" i="12" s="1"/>
  <c r="A892" i="12"/>
  <c r="E957" i="12"/>
  <c r="F957" i="12" s="1"/>
  <c r="G957" i="12" s="1"/>
  <c r="I957" i="12" s="1"/>
  <c r="K957" i="12" s="1"/>
  <c r="A957" i="12"/>
  <c r="E965" i="12"/>
  <c r="F965" i="12" s="1"/>
  <c r="G965" i="12" s="1"/>
  <c r="I965" i="12" s="1"/>
  <c r="K965" i="12" s="1"/>
  <c r="A965" i="12"/>
  <c r="E1053" i="12"/>
  <c r="F1053" i="12" s="1"/>
  <c r="G1053" i="12" s="1"/>
  <c r="I1053" i="12" s="1"/>
  <c r="K1053" i="12" s="1"/>
  <c r="A1053" i="12"/>
  <c r="E1101" i="12"/>
  <c r="F1101" i="12" s="1"/>
  <c r="G1101" i="12" s="1"/>
  <c r="I1101" i="12" s="1"/>
  <c r="K1101" i="12" s="1"/>
  <c r="A1101" i="12"/>
  <c r="E1149" i="12"/>
  <c r="F1149" i="12" s="1"/>
  <c r="G1149" i="12" s="1"/>
  <c r="I1149" i="12" s="1"/>
  <c r="K1149" i="12" s="1"/>
  <c r="A1149" i="12"/>
  <c r="E1189" i="12"/>
  <c r="F1189" i="12" s="1"/>
  <c r="G1189" i="12" s="1"/>
  <c r="I1189" i="12" s="1"/>
  <c r="K1189" i="12" s="1"/>
  <c r="A1189" i="12"/>
  <c r="E1269" i="12"/>
  <c r="F1269" i="12" s="1"/>
  <c r="G1269" i="12" s="1"/>
  <c r="I1269" i="12" s="1"/>
  <c r="K1269" i="12" s="1"/>
  <c r="A1269" i="12"/>
  <c r="E85" i="12"/>
  <c r="F85" i="12" s="1"/>
  <c r="G85" i="12" s="1"/>
  <c r="I85" i="12" s="1"/>
  <c r="K85" i="12" s="1"/>
  <c r="A85" i="12"/>
  <c r="E133" i="12"/>
  <c r="F133" i="12" s="1"/>
  <c r="G133" i="12" s="1"/>
  <c r="I133" i="12" s="1"/>
  <c r="K133" i="12" s="1"/>
  <c r="A133" i="12"/>
  <c r="E141" i="12"/>
  <c r="F141" i="12" s="1"/>
  <c r="G141" i="12" s="1"/>
  <c r="I141" i="12" s="1"/>
  <c r="K141" i="12" s="1"/>
  <c r="A141" i="12"/>
  <c r="E157" i="12"/>
  <c r="F157" i="12" s="1"/>
  <c r="G157" i="12" s="1"/>
  <c r="I157" i="12" s="1"/>
  <c r="K157" i="12" s="1"/>
  <c r="A157" i="12"/>
  <c r="E47" i="12"/>
  <c r="F47" i="12" s="1"/>
  <c r="G47" i="12" s="1"/>
  <c r="I47" i="12" s="1"/>
  <c r="K47" i="12" s="1"/>
  <c r="A47" i="12"/>
  <c r="E71" i="12"/>
  <c r="F71" i="12" s="1"/>
  <c r="G71" i="12" s="1"/>
  <c r="I71" i="12" s="1"/>
  <c r="K71" i="12" s="1"/>
  <c r="A71" i="12"/>
  <c r="E127" i="12"/>
  <c r="F127" i="12" s="1"/>
  <c r="G127" i="12" s="1"/>
  <c r="I127" i="12" s="1"/>
  <c r="K127" i="12" s="1"/>
  <c r="A127" i="12"/>
  <c r="E135" i="12"/>
  <c r="F135" i="12" s="1"/>
  <c r="G135" i="12" s="1"/>
  <c r="I135" i="12" s="1"/>
  <c r="K135" i="12" s="1"/>
  <c r="A135" i="12"/>
  <c r="E143" i="12"/>
  <c r="F143" i="12" s="1"/>
  <c r="G143" i="12" s="1"/>
  <c r="I143" i="12" s="1"/>
  <c r="K143" i="12" s="1"/>
  <c r="A143" i="12"/>
  <c r="E151" i="12"/>
  <c r="F151" i="12" s="1"/>
  <c r="G151" i="12" s="1"/>
  <c r="I151" i="12" s="1"/>
  <c r="K151" i="12" s="1"/>
  <c r="A151" i="12"/>
  <c r="E159" i="12"/>
  <c r="F159" i="12" s="1"/>
  <c r="G159" i="12" s="1"/>
  <c r="I159" i="12" s="1"/>
  <c r="K159" i="12" s="1"/>
  <c r="A159" i="12"/>
  <c r="E199" i="12"/>
  <c r="F199" i="12" s="1"/>
  <c r="G199" i="12" s="1"/>
  <c r="I199" i="12" s="1"/>
  <c r="K199" i="12" s="1"/>
  <c r="A199" i="12"/>
  <c r="E215" i="12"/>
  <c r="F215" i="12" s="1"/>
  <c r="G215" i="12" s="1"/>
  <c r="I215" i="12" s="1"/>
  <c r="K215" i="12" s="1"/>
  <c r="A215" i="12"/>
  <c r="E279" i="12"/>
  <c r="F279" i="12" s="1"/>
  <c r="G279" i="12" s="1"/>
  <c r="I279" i="12" s="1"/>
  <c r="K279" i="12" s="1"/>
  <c r="A279" i="12"/>
  <c r="E287" i="12"/>
  <c r="F287" i="12" s="1"/>
  <c r="G287" i="12" s="1"/>
  <c r="I287" i="12" s="1"/>
  <c r="K287" i="12" s="1"/>
  <c r="A287" i="12"/>
  <c r="E335" i="12"/>
  <c r="F335" i="12" s="1"/>
  <c r="G335" i="12" s="1"/>
  <c r="I335" i="12" s="1"/>
  <c r="K335" i="12" s="1"/>
  <c r="A335" i="12"/>
  <c r="E343" i="12"/>
  <c r="F343" i="12" s="1"/>
  <c r="G343" i="12" s="1"/>
  <c r="I343" i="12" s="1"/>
  <c r="K343" i="12" s="1"/>
  <c r="A343" i="12"/>
  <c r="E351" i="12"/>
  <c r="F351" i="12" s="1"/>
  <c r="G351" i="12" s="1"/>
  <c r="I351" i="12" s="1"/>
  <c r="K351" i="12" s="1"/>
  <c r="A351" i="12"/>
  <c r="E359" i="12"/>
  <c r="F359" i="12" s="1"/>
  <c r="G359" i="12" s="1"/>
  <c r="I359" i="12" s="1"/>
  <c r="K359" i="12" s="1"/>
  <c r="A359" i="12"/>
  <c r="E375" i="12"/>
  <c r="F375" i="12" s="1"/>
  <c r="G375" i="12" s="1"/>
  <c r="I375" i="12" s="1"/>
  <c r="K375" i="12" s="1"/>
  <c r="A375" i="12"/>
  <c r="E383" i="12"/>
  <c r="F383" i="12" s="1"/>
  <c r="G383" i="12" s="1"/>
  <c r="I383" i="12" s="1"/>
  <c r="K383" i="12" s="1"/>
  <c r="A383" i="12"/>
  <c r="E391" i="12"/>
  <c r="F391" i="12" s="1"/>
  <c r="G391" i="12" s="1"/>
  <c r="I391" i="12" s="1"/>
  <c r="K391" i="12" s="1"/>
  <c r="A391" i="12"/>
  <c r="E399" i="12"/>
  <c r="F399" i="12" s="1"/>
  <c r="G399" i="12" s="1"/>
  <c r="I399" i="12" s="1"/>
  <c r="K399" i="12" s="1"/>
  <c r="A399" i="12"/>
  <c r="E439" i="12"/>
  <c r="F439" i="12" s="1"/>
  <c r="G439" i="12" s="1"/>
  <c r="I439" i="12" s="1"/>
  <c r="K439" i="12" s="1"/>
  <c r="A439" i="12"/>
  <c r="E503" i="12"/>
  <c r="F503" i="12" s="1"/>
  <c r="G503" i="12" s="1"/>
  <c r="I503" i="12" s="1"/>
  <c r="K503" i="12" s="1"/>
  <c r="A503" i="12"/>
  <c r="E527" i="12"/>
  <c r="F527" i="12" s="1"/>
  <c r="G527" i="12" s="1"/>
  <c r="I527" i="12" s="1"/>
  <c r="K527" i="12" s="1"/>
  <c r="A527" i="12"/>
  <c r="E655" i="12"/>
  <c r="F655" i="12" s="1"/>
  <c r="G655" i="12" s="1"/>
  <c r="I655" i="12" s="1"/>
  <c r="K655" i="12" s="1"/>
  <c r="A655" i="12"/>
  <c r="E679" i="12"/>
  <c r="F679" i="12" s="1"/>
  <c r="G679" i="12" s="1"/>
  <c r="I679" i="12" s="1"/>
  <c r="K679" i="12" s="1"/>
  <c r="A679" i="12"/>
  <c r="E703" i="12"/>
  <c r="F703" i="12" s="1"/>
  <c r="G703" i="12" s="1"/>
  <c r="I703" i="12" s="1"/>
  <c r="K703" i="12" s="1"/>
  <c r="A703" i="12"/>
  <c r="E855" i="12"/>
  <c r="F855" i="12" s="1"/>
  <c r="G855" i="12" s="1"/>
  <c r="I855" i="12" s="1"/>
  <c r="K855" i="12" s="1"/>
  <c r="A855" i="12"/>
  <c r="E911" i="12"/>
  <c r="F911" i="12" s="1"/>
  <c r="G911" i="12" s="1"/>
  <c r="I911" i="12" s="1"/>
  <c r="K911" i="12" s="1"/>
  <c r="A911" i="12"/>
  <c r="E919" i="12"/>
  <c r="F919" i="12" s="1"/>
  <c r="G919" i="12" s="1"/>
  <c r="I919" i="12" s="1"/>
  <c r="K919" i="12" s="1"/>
  <c r="A919" i="12"/>
  <c r="E927" i="12"/>
  <c r="F927" i="12" s="1"/>
  <c r="G927" i="12" s="1"/>
  <c r="I927" i="12" s="1"/>
  <c r="K927" i="12" s="1"/>
  <c r="A927" i="12"/>
  <c r="E935" i="12"/>
  <c r="F935" i="12" s="1"/>
  <c r="G935" i="12" s="1"/>
  <c r="I935" i="12" s="1"/>
  <c r="K935" i="12" s="1"/>
  <c r="A935" i="12"/>
  <c r="E1048" i="12"/>
  <c r="F1048" i="12" s="1"/>
  <c r="G1048" i="12" s="1"/>
  <c r="I1048" i="12" s="1"/>
  <c r="K1048" i="12" s="1"/>
  <c r="A1048" i="12"/>
  <c r="E1056" i="12"/>
  <c r="F1056" i="12" s="1"/>
  <c r="G1056" i="12" s="1"/>
  <c r="I1056" i="12" s="1"/>
  <c r="K1056" i="12" s="1"/>
  <c r="A1056" i="12"/>
  <c r="E1096" i="12"/>
  <c r="F1096" i="12" s="1"/>
  <c r="G1096" i="12" s="1"/>
  <c r="I1096" i="12" s="1"/>
  <c r="K1096" i="12" s="1"/>
  <c r="A1096" i="12"/>
  <c r="E1104" i="12"/>
  <c r="F1104" i="12" s="1"/>
  <c r="G1104" i="12" s="1"/>
  <c r="I1104" i="12" s="1"/>
  <c r="K1104" i="12" s="1"/>
  <c r="A1104" i="12"/>
  <c r="E1144" i="12"/>
  <c r="F1144" i="12" s="1"/>
  <c r="G1144" i="12" s="1"/>
  <c r="I1144" i="12" s="1"/>
  <c r="K1144" i="12" s="1"/>
  <c r="A1144" i="12"/>
  <c r="E1208" i="12"/>
  <c r="F1208" i="12" s="1"/>
  <c r="G1208" i="12" s="1"/>
  <c r="I1208" i="12" s="1"/>
  <c r="K1208" i="12" s="1"/>
  <c r="A1208" i="12"/>
  <c r="E1248" i="12"/>
  <c r="F1248" i="12" s="1"/>
  <c r="G1248" i="12" s="1"/>
  <c r="I1248" i="12" s="1"/>
  <c r="K1248" i="12" s="1"/>
  <c r="A1248" i="12"/>
  <c r="E1304" i="12"/>
  <c r="F1304" i="12" s="1"/>
  <c r="G1304" i="12" s="1"/>
  <c r="I1304" i="12" s="1"/>
  <c r="K1304" i="12" s="1"/>
  <c r="A1304" i="12"/>
  <c r="E1335" i="12"/>
  <c r="F1335" i="12" s="1"/>
  <c r="G1335" i="12" s="1"/>
  <c r="I1335" i="12" s="1"/>
  <c r="A1335" i="12"/>
  <c r="E1398" i="12"/>
  <c r="F1398" i="12" s="1"/>
  <c r="G1398" i="12" s="1"/>
  <c r="I1398" i="12" s="1"/>
  <c r="K1398" i="12" s="1"/>
  <c r="A1398" i="12"/>
  <c r="E1446" i="12"/>
  <c r="F1446" i="12" s="1"/>
  <c r="G1446" i="12" s="1"/>
  <c r="I1446" i="12" s="1"/>
  <c r="K1446" i="12" s="1"/>
  <c r="A1446" i="12"/>
  <c r="E1462" i="12"/>
  <c r="F1462" i="12" s="1"/>
  <c r="G1462" i="12" s="1"/>
  <c r="I1462" i="12" s="1"/>
  <c r="K1462" i="12" s="1"/>
  <c r="A1462" i="12"/>
  <c r="E1486" i="12"/>
  <c r="F1486" i="12" s="1"/>
  <c r="G1486" i="12" s="1"/>
  <c r="I1486" i="12" s="1"/>
  <c r="K1486" i="12" s="1"/>
  <c r="A1486" i="12"/>
  <c r="E1502" i="12"/>
  <c r="F1502" i="12" s="1"/>
  <c r="G1502" i="12" s="1"/>
  <c r="I1502" i="12" s="1"/>
  <c r="K1502" i="12" s="1"/>
  <c r="A1502" i="12"/>
  <c r="E1518" i="12"/>
  <c r="F1518" i="12" s="1"/>
  <c r="G1518" i="12" s="1"/>
  <c r="I1518" i="12" s="1"/>
  <c r="K1518" i="12" s="1"/>
  <c r="A1518" i="12"/>
  <c r="E1550" i="12"/>
  <c r="F1550" i="12" s="1"/>
  <c r="G1550" i="12" s="1"/>
  <c r="I1550" i="12" s="1"/>
  <c r="K1550" i="12" s="1"/>
  <c r="A1550" i="12"/>
  <c r="E1558" i="12"/>
  <c r="F1558" i="12" s="1"/>
  <c r="G1558" i="12" s="1"/>
  <c r="I1558" i="12" s="1"/>
  <c r="K1558" i="12" s="1"/>
  <c r="A1558" i="12"/>
  <c r="E1566" i="12"/>
  <c r="F1566" i="12" s="1"/>
  <c r="G1566" i="12" s="1"/>
  <c r="I1566" i="12" s="1"/>
  <c r="K1566" i="12" s="1"/>
  <c r="A1566" i="12"/>
  <c r="E1638" i="12"/>
  <c r="F1638" i="12" s="1"/>
  <c r="G1638" i="12" s="1"/>
  <c r="I1638" i="12" s="1"/>
  <c r="K1638" i="12" s="1"/>
  <c r="A1638" i="12"/>
  <c r="E1654" i="12"/>
  <c r="F1654" i="12" s="1"/>
  <c r="G1654" i="12" s="1"/>
  <c r="I1654" i="12" s="1"/>
  <c r="K1654" i="12" s="1"/>
  <c r="A1654" i="12"/>
  <c r="E1686" i="12"/>
  <c r="F1686" i="12" s="1"/>
  <c r="G1686" i="12" s="1"/>
  <c r="I1686" i="12" s="1"/>
  <c r="K1686" i="12" s="1"/>
  <c r="A1686" i="12"/>
  <c r="E1718" i="12"/>
  <c r="F1718" i="12" s="1"/>
  <c r="G1718" i="12" s="1"/>
  <c r="I1718" i="12" s="1"/>
  <c r="K1718" i="12" s="1"/>
  <c r="A1718" i="12"/>
  <c r="E1734" i="12"/>
  <c r="F1734" i="12" s="1"/>
  <c r="G1734" i="12" s="1"/>
  <c r="I1734" i="12" s="1"/>
  <c r="K1734" i="12" s="1"/>
  <c r="A1734" i="12"/>
  <c r="E1822" i="12"/>
  <c r="F1822" i="12" s="1"/>
  <c r="G1822" i="12" s="1"/>
  <c r="I1822" i="12" s="1"/>
  <c r="K1822" i="12" s="1"/>
  <c r="A1822" i="12"/>
  <c r="E1838" i="12"/>
  <c r="F1838" i="12" s="1"/>
  <c r="G1838" i="12" s="1"/>
  <c r="I1838" i="12" s="1"/>
  <c r="K1838" i="12" s="1"/>
  <c r="A1838" i="12"/>
  <c r="E1846" i="12"/>
  <c r="F1846" i="12" s="1"/>
  <c r="G1846" i="12" s="1"/>
  <c r="I1846" i="12" s="1"/>
  <c r="K1846" i="12" s="1"/>
  <c r="A1846" i="12"/>
  <c r="E1854" i="12"/>
  <c r="F1854" i="12" s="1"/>
  <c r="G1854" i="12" s="1"/>
  <c r="I1854" i="12" s="1"/>
  <c r="K1854" i="12" s="1"/>
  <c r="A1854" i="12"/>
  <c r="E1862" i="12"/>
  <c r="F1862" i="12" s="1"/>
  <c r="G1862" i="12" s="1"/>
  <c r="I1862" i="12" s="1"/>
  <c r="K1862" i="12" s="1"/>
  <c r="A1862" i="12"/>
  <c r="E1878" i="12"/>
  <c r="F1878" i="12" s="1"/>
  <c r="G1878" i="12" s="1"/>
  <c r="I1878" i="12" s="1"/>
  <c r="K1878" i="12" s="1"/>
  <c r="A1878" i="12"/>
  <c r="E1958" i="12"/>
  <c r="F1958" i="12" s="1"/>
  <c r="G1958" i="12" s="1"/>
  <c r="I1958" i="12" s="1"/>
  <c r="K1958" i="12" s="1"/>
  <c r="A1958" i="12"/>
  <c r="E1974" i="12"/>
  <c r="F1974" i="12" s="1"/>
  <c r="G1974" i="12" s="1"/>
  <c r="I1974" i="12" s="1"/>
  <c r="K1974" i="12" s="1"/>
  <c r="A1974" i="12"/>
  <c r="E1982" i="12"/>
  <c r="F1982" i="12" s="1"/>
  <c r="G1982" i="12" s="1"/>
  <c r="I1982" i="12" s="1"/>
  <c r="K1982" i="12" s="1"/>
  <c r="A1982" i="12"/>
  <c r="E2022" i="12"/>
  <c r="F2022" i="12" s="1"/>
  <c r="G2022" i="12" s="1"/>
  <c r="I2022" i="12" s="1"/>
  <c r="K2022" i="12" s="1"/>
  <c r="A2022" i="12"/>
  <c r="E2030" i="12"/>
  <c r="F2030" i="12" s="1"/>
  <c r="G2030" i="12" s="1"/>
  <c r="I2030" i="12" s="1"/>
  <c r="K2030" i="12" s="1"/>
  <c r="A2030" i="12"/>
  <c r="E2054" i="12"/>
  <c r="F2054" i="12" s="1"/>
  <c r="G2054" i="12" s="1"/>
  <c r="I2054" i="12" s="1"/>
  <c r="K2054" i="12" s="1"/>
  <c r="A2054" i="12"/>
  <c r="E2078" i="12"/>
  <c r="F2078" i="12" s="1"/>
  <c r="G2078" i="12" s="1"/>
  <c r="I2078" i="12" s="1"/>
  <c r="K2078" i="12" s="1"/>
  <c r="A2078" i="12"/>
  <c r="E2094" i="12"/>
  <c r="F2094" i="12" s="1"/>
  <c r="G2094" i="12" s="1"/>
  <c r="I2094" i="12" s="1"/>
  <c r="K2094" i="12" s="1"/>
  <c r="A2094" i="12"/>
  <c r="E2102" i="12"/>
  <c r="F2102" i="12" s="1"/>
  <c r="G2102" i="12" s="1"/>
  <c r="I2102" i="12" s="1"/>
  <c r="K2102" i="12" s="1"/>
  <c r="A2102" i="12"/>
  <c r="E2126" i="12"/>
  <c r="F2126" i="12" s="1"/>
  <c r="G2126" i="12" s="1"/>
  <c r="I2126" i="12" s="1"/>
  <c r="K2126" i="12" s="1"/>
  <c r="A2126" i="12"/>
  <c r="E2190" i="12"/>
  <c r="F2190" i="12" s="1"/>
  <c r="G2190" i="12" s="1"/>
  <c r="I2190" i="12" s="1"/>
  <c r="K2190" i="12" s="1"/>
  <c r="A2190" i="12"/>
  <c r="E2198" i="12"/>
  <c r="F2198" i="12" s="1"/>
  <c r="G2198" i="12" s="1"/>
  <c r="I2198" i="12" s="1"/>
  <c r="K2198" i="12" s="1"/>
  <c r="A2198" i="12"/>
  <c r="E2222" i="12"/>
  <c r="F2222" i="12" s="1"/>
  <c r="G2222" i="12" s="1"/>
  <c r="I2222" i="12" s="1"/>
  <c r="K2222" i="12" s="1"/>
  <c r="A2222" i="12"/>
  <c r="E2350" i="12"/>
  <c r="F2350" i="12" s="1"/>
  <c r="G2350" i="12" s="1"/>
  <c r="I2350" i="12" s="1"/>
  <c r="K2350" i="12" s="1"/>
  <c r="A2350" i="12"/>
  <c r="E2358" i="12"/>
  <c r="F2358" i="12" s="1"/>
  <c r="G2358" i="12" s="1"/>
  <c r="I2358" i="12" s="1"/>
  <c r="K2358" i="12" s="1"/>
  <c r="A2358" i="12"/>
  <c r="A3527" i="12"/>
  <c r="A3503" i="12"/>
  <c r="A3487" i="12"/>
  <c r="A3471" i="12"/>
  <c r="A3455" i="12"/>
  <c r="A3399" i="12"/>
  <c r="A3343" i="12"/>
  <c r="A3311" i="12"/>
  <c r="A3303" i="12"/>
  <c r="A3295" i="12"/>
  <c r="A3263" i="12"/>
  <c r="A3223" i="12"/>
  <c r="A3207" i="12"/>
  <c r="A3183" i="12"/>
  <c r="A3175" i="12"/>
  <c r="A3151" i="12"/>
  <c r="A3135" i="12"/>
  <c r="A3095" i="12"/>
  <c r="A3055" i="12"/>
  <c r="A3047" i="12"/>
  <c r="A3031" i="12"/>
  <c r="A3023" i="12"/>
  <c r="A3007" i="12"/>
  <c r="A2951" i="12"/>
  <c r="A2911" i="12"/>
  <c r="A2887" i="12"/>
  <c r="A2807" i="12"/>
  <c r="A2719" i="12"/>
  <c r="A2687" i="12"/>
  <c r="A2655" i="12"/>
  <c r="A2631" i="12"/>
  <c r="A2607" i="12"/>
  <c r="A2519" i="12"/>
  <c r="A2391" i="12"/>
  <c r="A2367" i="12"/>
  <c r="A2300" i="12"/>
  <c r="A2265" i="12"/>
  <c r="A2249" i="12"/>
  <c r="A1657" i="12"/>
  <c r="A1593" i="12"/>
  <c r="A1489" i="12"/>
  <c r="A1473" i="12"/>
  <c r="A1297" i="12"/>
  <c r="A1289" i="12"/>
  <c r="A1113" i="12"/>
  <c r="A1057" i="12"/>
  <c r="A353" i="12"/>
  <c r="A241" i="12"/>
  <c r="A225" i="12"/>
  <c r="A105" i="12"/>
  <c r="A65" i="12"/>
  <c r="A49" i="12"/>
  <c r="E308" i="12"/>
  <c r="F308" i="12" s="1"/>
  <c r="G308" i="12" s="1"/>
  <c r="I308" i="12" s="1"/>
  <c r="K308" i="12" s="1"/>
  <c r="A308" i="12"/>
  <c r="E324" i="12"/>
  <c r="F324" i="12" s="1"/>
  <c r="G324" i="12" s="1"/>
  <c r="I324" i="12" s="1"/>
  <c r="K324" i="12" s="1"/>
  <c r="A324" i="12"/>
  <c r="E340" i="12"/>
  <c r="F340" i="12" s="1"/>
  <c r="G340" i="12" s="1"/>
  <c r="I340" i="12" s="1"/>
  <c r="K340" i="12" s="1"/>
  <c r="A340" i="12"/>
  <c r="E364" i="12"/>
  <c r="F364" i="12" s="1"/>
  <c r="G364" i="12" s="1"/>
  <c r="I364" i="12" s="1"/>
  <c r="K364" i="12" s="1"/>
  <c r="A364" i="12"/>
  <c r="E404" i="12"/>
  <c r="F404" i="12" s="1"/>
  <c r="G404" i="12" s="1"/>
  <c r="I404" i="12" s="1"/>
  <c r="K404" i="12" s="1"/>
  <c r="A404" i="12"/>
  <c r="E436" i="12"/>
  <c r="F436" i="12" s="1"/>
  <c r="G436" i="12" s="1"/>
  <c r="I436" i="12" s="1"/>
  <c r="K436" i="12" s="1"/>
  <c r="A436" i="12"/>
  <c r="E604" i="12"/>
  <c r="F604" i="12" s="1"/>
  <c r="G604" i="12" s="1"/>
  <c r="I604" i="12" s="1"/>
  <c r="K604" i="12" s="1"/>
  <c r="A604" i="12"/>
  <c r="E32" i="12"/>
  <c r="F32" i="12" s="1"/>
  <c r="G32" i="12" s="1"/>
  <c r="I32" i="12" s="1"/>
  <c r="K32" i="12" s="1"/>
  <c r="A32" i="12"/>
  <c r="E64" i="12"/>
  <c r="F64" i="12" s="1"/>
  <c r="G64" i="12" s="1"/>
  <c r="I64" i="12" s="1"/>
  <c r="K64" i="12" s="1"/>
  <c r="A64" i="12"/>
  <c r="E72" i="12"/>
  <c r="F72" i="12" s="1"/>
  <c r="G72" i="12" s="1"/>
  <c r="I72" i="12" s="1"/>
  <c r="K72" i="12" s="1"/>
  <c r="A72" i="12"/>
  <c r="E88" i="12"/>
  <c r="F88" i="12" s="1"/>
  <c r="G88" i="12" s="1"/>
  <c r="I88" i="12" s="1"/>
  <c r="K88" i="12" s="1"/>
  <c r="A88" i="12"/>
  <c r="E96" i="12"/>
  <c r="F96" i="12" s="1"/>
  <c r="G96" i="12" s="1"/>
  <c r="I96" i="12" s="1"/>
  <c r="K96" i="12" s="1"/>
  <c r="A96" i="12"/>
  <c r="E120" i="12"/>
  <c r="F120" i="12" s="1"/>
  <c r="G120" i="12" s="1"/>
  <c r="I120" i="12" s="1"/>
  <c r="K120" i="12" s="1"/>
  <c r="A120" i="12"/>
  <c r="E136" i="12"/>
  <c r="F136" i="12" s="1"/>
  <c r="G136" i="12" s="1"/>
  <c r="I136" i="12" s="1"/>
  <c r="K136" i="12" s="1"/>
  <c r="A136" i="12"/>
  <c r="E176" i="12"/>
  <c r="F176" i="12" s="1"/>
  <c r="G176" i="12" s="1"/>
  <c r="I176" i="12" s="1"/>
  <c r="K176" i="12" s="1"/>
  <c r="A176" i="12"/>
  <c r="E184" i="12"/>
  <c r="F184" i="12" s="1"/>
  <c r="G184" i="12" s="1"/>
  <c r="I184" i="12" s="1"/>
  <c r="K184" i="12" s="1"/>
  <c r="A184" i="12"/>
  <c r="E304" i="12"/>
  <c r="F304" i="12" s="1"/>
  <c r="G304" i="12" s="1"/>
  <c r="I304" i="12" s="1"/>
  <c r="K304" i="12" s="1"/>
  <c r="A304" i="12"/>
  <c r="E352" i="12"/>
  <c r="F352" i="12" s="1"/>
  <c r="G352" i="12" s="1"/>
  <c r="I352" i="12" s="1"/>
  <c r="K352" i="12" s="1"/>
  <c r="A352" i="12"/>
  <c r="E528" i="12"/>
  <c r="F528" i="12" s="1"/>
  <c r="G528" i="12" s="1"/>
  <c r="I528" i="12" s="1"/>
  <c r="K528" i="12" s="1"/>
  <c r="A528" i="12"/>
  <c r="E640" i="12"/>
  <c r="F640" i="12" s="1"/>
  <c r="G640" i="12" s="1"/>
  <c r="I640" i="12" s="1"/>
  <c r="K640" i="12" s="1"/>
  <c r="A640" i="12"/>
  <c r="E736" i="12"/>
  <c r="F736" i="12" s="1"/>
  <c r="G736" i="12" s="1"/>
  <c r="I736" i="12" s="1"/>
  <c r="K736" i="12" s="1"/>
  <c r="A736" i="12"/>
  <c r="E744" i="12"/>
  <c r="F744" i="12" s="1"/>
  <c r="G744" i="12" s="1"/>
  <c r="I744" i="12" s="1"/>
  <c r="K744" i="12" s="1"/>
  <c r="A744" i="12"/>
  <c r="E776" i="12"/>
  <c r="F776" i="12" s="1"/>
  <c r="G776" i="12" s="1"/>
  <c r="I776" i="12" s="1"/>
  <c r="K776" i="12" s="1"/>
  <c r="A776" i="12"/>
  <c r="E912" i="12"/>
  <c r="F912" i="12" s="1"/>
  <c r="G912" i="12" s="1"/>
  <c r="I912" i="12" s="1"/>
  <c r="K912" i="12" s="1"/>
  <c r="A912" i="12"/>
  <c r="E936" i="12"/>
  <c r="F936" i="12" s="1"/>
  <c r="G936" i="12" s="1"/>
  <c r="I936" i="12" s="1"/>
  <c r="K936" i="12" s="1"/>
  <c r="A936" i="12"/>
  <c r="E1328" i="12"/>
  <c r="F1328" i="12" s="1"/>
  <c r="G1328" i="12" s="1"/>
  <c r="I1328" i="12" s="1"/>
  <c r="K1328" i="12" s="1"/>
  <c r="A1328" i="12"/>
  <c r="E1367" i="12"/>
  <c r="F1367" i="12" s="1"/>
  <c r="G1367" i="12" s="1"/>
  <c r="I1367" i="12" s="1"/>
  <c r="K1367" i="12" s="1"/>
  <c r="A1367" i="12"/>
  <c r="E1399" i="12"/>
  <c r="F1399" i="12" s="1"/>
  <c r="G1399" i="12" s="1"/>
  <c r="I1399" i="12" s="1"/>
  <c r="K1399" i="12" s="1"/>
  <c r="A1399" i="12"/>
  <c r="E1431" i="12"/>
  <c r="F1431" i="12" s="1"/>
  <c r="G1431" i="12" s="1"/>
  <c r="I1431" i="12" s="1"/>
  <c r="K1431" i="12" s="1"/>
  <c r="A1431" i="12"/>
  <c r="E1447" i="12"/>
  <c r="F1447" i="12" s="1"/>
  <c r="G1447" i="12" s="1"/>
  <c r="I1447" i="12" s="1"/>
  <c r="K1447" i="12" s="1"/>
  <c r="A1447" i="12"/>
  <c r="E1455" i="12"/>
  <c r="F1455" i="12" s="1"/>
  <c r="G1455" i="12" s="1"/>
  <c r="I1455" i="12" s="1"/>
  <c r="K1455" i="12" s="1"/>
  <c r="A1455" i="12"/>
  <c r="E1487" i="12"/>
  <c r="F1487" i="12" s="1"/>
  <c r="G1487" i="12" s="1"/>
  <c r="I1487" i="12" s="1"/>
  <c r="K1487" i="12" s="1"/>
  <c r="A1487" i="12"/>
  <c r="E1495" i="12"/>
  <c r="F1495" i="12" s="1"/>
  <c r="G1495" i="12" s="1"/>
  <c r="I1495" i="12" s="1"/>
  <c r="K1495" i="12" s="1"/>
  <c r="A1495" i="12"/>
  <c r="E1519" i="12"/>
  <c r="F1519" i="12" s="1"/>
  <c r="G1519" i="12" s="1"/>
  <c r="I1519" i="12" s="1"/>
  <c r="K1519" i="12" s="1"/>
  <c r="A1519" i="12"/>
  <c r="E1551" i="12"/>
  <c r="F1551" i="12" s="1"/>
  <c r="G1551" i="12" s="1"/>
  <c r="I1551" i="12" s="1"/>
  <c r="K1551" i="12" s="1"/>
  <c r="A1551" i="12"/>
  <c r="E1631" i="12"/>
  <c r="F1631" i="12" s="1"/>
  <c r="G1631" i="12" s="1"/>
  <c r="I1631" i="12" s="1"/>
  <c r="K1631" i="12" s="1"/>
  <c r="A1631" i="12"/>
  <c r="E1655" i="12"/>
  <c r="F1655" i="12" s="1"/>
  <c r="G1655" i="12" s="1"/>
  <c r="I1655" i="12" s="1"/>
  <c r="K1655" i="12" s="1"/>
  <c r="A1655" i="12"/>
  <c r="E1687" i="12"/>
  <c r="F1687" i="12" s="1"/>
  <c r="G1687" i="12" s="1"/>
  <c r="I1687" i="12" s="1"/>
  <c r="K1687" i="12" s="1"/>
  <c r="A1687" i="12"/>
  <c r="E1703" i="12"/>
  <c r="F1703" i="12" s="1"/>
  <c r="G1703" i="12" s="1"/>
  <c r="I1703" i="12" s="1"/>
  <c r="K1703" i="12" s="1"/>
  <c r="A1703" i="12"/>
  <c r="E1807" i="12"/>
  <c r="F1807" i="12" s="1"/>
  <c r="G1807" i="12" s="1"/>
  <c r="I1807" i="12" s="1"/>
  <c r="K1807" i="12" s="1"/>
  <c r="A1807" i="12"/>
  <c r="E1815" i="12"/>
  <c r="F1815" i="12" s="1"/>
  <c r="G1815" i="12" s="1"/>
  <c r="I1815" i="12" s="1"/>
  <c r="K1815" i="12" s="1"/>
  <c r="A1815" i="12"/>
  <c r="E1823" i="12"/>
  <c r="F1823" i="12" s="1"/>
  <c r="G1823" i="12" s="1"/>
  <c r="I1823" i="12" s="1"/>
  <c r="K1823" i="12" s="1"/>
  <c r="A1823" i="12"/>
  <c r="E1839" i="12"/>
  <c r="F1839" i="12" s="1"/>
  <c r="G1839" i="12" s="1"/>
  <c r="I1839" i="12" s="1"/>
  <c r="K1839" i="12" s="1"/>
  <c r="A1839" i="12"/>
  <c r="E1847" i="12"/>
  <c r="F1847" i="12" s="1"/>
  <c r="G1847" i="12" s="1"/>
  <c r="I1847" i="12" s="1"/>
  <c r="K1847" i="12" s="1"/>
  <c r="A1847" i="12"/>
  <c r="E1855" i="12"/>
  <c r="F1855" i="12" s="1"/>
  <c r="G1855" i="12" s="1"/>
  <c r="I1855" i="12" s="1"/>
  <c r="K1855" i="12" s="1"/>
  <c r="A1855" i="12"/>
  <c r="E1887" i="12"/>
  <c r="F1887" i="12" s="1"/>
  <c r="G1887" i="12" s="1"/>
  <c r="I1887" i="12" s="1"/>
  <c r="K1887" i="12" s="1"/>
  <c r="A1887" i="12"/>
  <c r="E1911" i="12"/>
  <c r="F1911" i="12" s="1"/>
  <c r="G1911" i="12" s="1"/>
  <c r="I1911" i="12" s="1"/>
  <c r="K1911" i="12" s="1"/>
  <c r="A1911" i="12"/>
  <c r="E1975" i="12"/>
  <c r="F1975" i="12" s="1"/>
  <c r="G1975" i="12" s="1"/>
  <c r="I1975" i="12" s="1"/>
  <c r="K1975" i="12" s="1"/>
  <c r="A1975" i="12"/>
  <c r="E1999" i="12"/>
  <c r="F1999" i="12" s="1"/>
  <c r="G1999" i="12" s="1"/>
  <c r="I1999" i="12" s="1"/>
  <c r="K1999" i="12" s="1"/>
  <c r="A1999" i="12"/>
  <c r="E2023" i="12"/>
  <c r="F2023" i="12" s="1"/>
  <c r="G2023" i="12" s="1"/>
  <c r="I2023" i="12" s="1"/>
  <c r="K2023" i="12" s="1"/>
  <c r="A2023" i="12"/>
  <c r="E2031" i="12"/>
  <c r="F2031" i="12" s="1"/>
  <c r="G2031" i="12" s="1"/>
  <c r="I2031" i="12" s="1"/>
  <c r="K2031" i="12" s="1"/>
  <c r="A2031" i="12"/>
  <c r="E2039" i="12"/>
  <c r="F2039" i="12" s="1"/>
  <c r="G2039" i="12" s="1"/>
  <c r="I2039" i="12" s="1"/>
  <c r="K2039" i="12" s="1"/>
  <c r="A2039" i="12"/>
  <c r="E2103" i="12"/>
  <c r="F2103" i="12" s="1"/>
  <c r="G2103" i="12" s="1"/>
  <c r="I2103" i="12" s="1"/>
  <c r="K2103" i="12" s="1"/>
  <c r="A2103" i="12"/>
  <c r="E2287" i="12"/>
  <c r="F2287" i="12" s="1"/>
  <c r="G2287" i="12" s="1"/>
  <c r="I2287" i="12" s="1"/>
  <c r="K2287" i="12" s="1"/>
  <c r="A2287" i="12"/>
  <c r="A3534" i="12"/>
  <c r="A3502" i="12"/>
  <c r="A3478" i="12"/>
  <c r="A3470" i="12"/>
  <c r="A3454" i="12"/>
  <c r="A3398" i="12"/>
  <c r="A3326" i="12"/>
  <c r="A3302" i="12"/>
  <c r="A3294" i="12"/>
  <c r="A3286" i="12"/>
  <c r="A3262" i="12"/>
  <c r="A2950" i="12"/>
  <c r="A2886" i="12"/>
  <c r="A2830" i="12"/>
  <c r="A2782" i="12"/>
  <c r="A2766" i="12"/>
  <c r="A2750" i="12"/>
  <c r="A2718" i="12"/>
  <c r="A2518" i="12"/>
  <c r="A2486" i="12"/>
  <c r="A2390" i="12"/>
  <c r="A2299" i="12"/>
  <c r="A2281" i="12"/>
  <c r="A2179" i="12"/>
  <c r="A2115" i="12"/>
  <c r="A1961" i="12"/>
  <c r="A1785" i="12"/>
  <c r="A1673" i="12"/>
  <c r="A1537" i="12"/>
  <c r="A993" i="12"/>
  <c r="A777" i="12"/>
  <c r="A417" i="12"/>
  <c r="A385" i="12"/>
  <c r="A345" i="12"/>
  <c r="A265" i="12"/>
  <c r="A177" i="12"/>
  <c r="A161" i="12"/>
  <c r="A129" i="12"/>
  <c r="E236" i="12"/>
  <c r="F236" i="12" s="1"/>
  <c r="G236" i="12" s="1"/>
  <c r="I236" i="12" s="1"/>
  <c r="K236" i="12" s="1"/>
  <c r="A236" i="12"/>
  <c r="E444" i="12"/>
  <c r="F444" i="12" s="1"/>
  <c r="G444" i="12" s="1"/>
  <c r="I444" i="12" s="1"/>
  <c r="K444" i="12" s="1"/>
  <c r="A444" i="12"/>
  <c r="E484" i="12"/>
  <c r="F484" i="12" s="1"/>
  <c r="G484" i="12" s="1"/>
  <c r="I484" i="12" s="1"/>
  <c r="K484" i="12" s="1"/>
  <c r="A484" i="12"/>
  <c r="E56" i="12"/>
  <c r="F56" i="12" s="1"/>
  <c r="G56" i="12" s="1"/>
  <c r="I56" i="12" s="1"/>
  <c r="K56" i="12" s="1"/>
  <c r="A56" i="12"/>
  <c r="E80" i="12"/>
  <c r="F80" i="12" s="1"/>
  <c r="G80" i="12" s="1"/>
  <c r="I80" i="12" s="1"/>
  <c r="K80" i="12" s="1"/>
  <c r="A80" i="12"/>
  <c r="E144" i="12"/>
  <c r="F144" i="12" s="1"/>
  <c r="G144" i="12" s="1"/>
  <c r="I144" i="12" s="1"/>
  <c r="K144" i="12" s="1"/>
  <c r="A144" i="12"/>
  <c r="E168" i="12"/>
  <c r="F168" i="12" s="1"/>
  <c r="G168" i="12" s="1"/>
  <c r="I168" i="12" s="1"/>
  <c r="K168" i="12" s="1"/>
  <c r="A168" i="12"/>
  <c r="E232" i="12"/>
  <c r="F232" i="12" s="1"/>
  <c r="G232" i="12" s="1"/>
  <c r="I232" i="12" s="1"/>
  <c r="K232" i="12" s="1"/>
  <c r="A232" i="12"/>
  <c r="E280" i="12"/>
  <c r="F280" i="12" s="1"/>
  <c r="G280" i="12" s="1"/>
  <c r="I280" i="12" s="1"/>
  <c r="K280" i="12" s="1"/>
  <c r="A280" i="12"/>
  <c r="E336" i="12"/>
  <c r="F336" i="12" s="1"/>
  <c r="G336" i="12" s="1"/>
  <c r="I336" i="12" s="1"/>
  <c r="K336" i="12" s="1"/>
  <c r="A336" i="12"/>
  <c r="E344" i="12"/>
  <c r="F344" i="12" s="1"/>
  <c r="G344" i="12" s="1"/>
  <c r="I344" i="12" s="1"/>
  <c r="K344" i="12" s="1"/>
  <c r="A344" i="12"/>
  <c r="E360" i="12"/>
  <c r="F360" i="12" s="1"/>
  <c r="G360" i="12" s="1"/>
  <c r="I360" i="12" s="1"/>
  <c r="K360" i="12" s="1"/>
  <c r="A360" i="12"/>
  <c r="E368" i="12"/>
  <c r="F368" i="12" s="1"/>
  <c r="G368" i="12" s="1"/>
  <c r="I368" i="12" s="1"/>
  <c r="K368" i="12" s="1"/>
  <c r="A368" i="12"/>
  <c r="E376" i="12"/>
  <c r="F376" i="12" s="1"/>
  <c r="G376" i="12" s="1"/>
  <c r="I376" i="12" s="1"/>
  <c r="K376" i="12" s="1"/>
  <c r="A376" i="12"/>
  <c r="E384" i="12"/>
  <c r="F384" i="12" s="1"/>
  <c r="G384" i="12" s="1"/>
  <c r="I384" i="12" s="1"/>
  <c r="K384" i="12" s="1"/>
  <c r="A384" i="12"/>
  <c r="E432" i="12"/>
  <c r="F432" i="12" s="1"/>
  <c r="G432" i="12" s="1"/>
  <c r="I432" i="12" s="1"/>
  <c r="K432" i="12" s="1"/>
  <c r="A432" i="12"/>
  <c r="E440" i="12"/>
  <c r="F440" i="12" s="1"/>
  <c r="G440" i="12" s="1"/>
  <c r="I440" i="12" s="1"/>
  <c r="K440" i="12" s="1"/>
  <c r="A440" i="12"/>
  <c r="E448" i="12"/>
  <c r="F448" i="12" s="1"/>
  <c r="G448" i="12" s="1"/>
  <c r="I448" i="12" s="1"/>
  <c r="K448" i="12" s="1"/>
  <c r="A448" i="12"/>
  <c r="E456" i="12"/>
  <c r="F456" i="12" s="1"/>
  <c r="G456" i="12" s="1"/>
  <c r="I456" i="12" s="1"/>
  <c r="K456" i="12" s="1"/>
  <c r="A456" i="12"/>
  <c r="E464" i="12"/>
  <c r="F464" i="12" s="1"/>
  <c r="G464" i="12" s="1"/>
  <c r="I464" i="12" s="1"/>
  <c r="K464" i="12" s="1"/>
  <c r="A464" i="12"/>
  <c r="E488" i="12"/>
  <c r="F488" i="12" s="1"/>
  <c r="G488" i="12" s="1"/>
  <c r="I488" i="12" s="1"/>
  <c r="K488" i="12" s="1"/>
  <c r="A488" i="12"/>
  <c r="E544" i="12"/>
  <c r="F544" i="12" s="1"/>
  <c r="G544" i="12" s="1"/>
  <c r="I544" i="12" s="1"/>
  <c r="K544" i="12" s="1"/>
  <c r="A544" i="12"/>
  <c r="E552" i="12"/>
  <c r="F552" i="12" s="1"/>
  <c r="G552" i="12" s="1"/>
  <c r="I552" i="12" s="1"/>
  <c r="K552" i="12" s="1"/>
  <c r="A552" i="12"/>
  <c r="E962" i="12"/>
  <c r="F962" i="12" s="1"/>
  <c r="G962" i="12" s="1"/>
  <c r="I962" i="12" s="1"/>
  <c r="K962" i="12" s="1"/>
  <c r="A962" i="12"/>
  <c r="E970" i="12"/>
  <c r="F970" i="12" s="1"/>
  <c r="G970" i="12" s="1"/>
  <c r="I970" i="12" s="1"/>
  <c r="K970" i="12" s="1"/>
  <c r="A970" i="12"/>
  <c r="E978" i="12"/>
  <c r="F978" i="12" s="1"/>
  <c r="G978" i="12" s="1"/>
  <c r="I978" i="12" s="1"/>
  <c r="K978" i="12" s="1"/>
  <c r="A978" i="12"/>
  <c r="E1002" i="12"/>
  <c r="F1002" i="12" s="1"/>
  <c r="G1002" i="12" s="1"/>
  <c r="I1002" i="12" s="1"/>
  <c r="K1002" i="12" s="1"/>
  <c r="A1002" i="12"/>
  <c r="E1026" i="12"/>
  <c r="F1026" i="12" s="1"/>
  <c r="G1026" i="12" s="1"/>
  <c r="I1026" i="12" s="1"/>
  <c r="K1026" i="12" s="1"/>
  <c r="A1026" i="12"/>
  <c r="E1042" i="12"/>
  <c r="F1042" i="12" s="1"/>
  <c r="G1042" i="12" s="1"/>
  <c r="I1042" i="12" s="1"/>
  <c r="K1042" i="12" s="1"/>
  <c r="A1042" i="12"/>
  <c r="E1058" i="12"/>
  <c r="F1058" i="12" s="1"/>
  <c r="G1058" i="12" s="1"/>
  <c r="I1058" i="12" s="1"/>
  <c r="K1058" i="12" s="1"/>
  <c r="A1058" i="12"/>
  <c r="E1130" i="12"/>
  <c r="F1130" i="12" s="1"/>
  <c r="G1130" i="12" s="1"/>
  <c r="I1130" i="12" s="1"/>
  <c r="K1130" i="12" s="1"/>
  <c r="A1130" i="12"/>
  <c r="E1162" i="12"/>
  <c r="F1162" i="12" s="1"/>
  <c r="G1162" i="12" s="1"/>
  <c r="I1162" i="12" s="1"/>
  <c r="K1162" i="12" s="1"/>
  <c r="A1162" i="12"/>
  <c r="E1170" i="12"/>
  <c r="F1170" i="12" s="1"/>
  <c r="G1170" i="12" s="1"/>
  <c r="I1170" i="12" s="1"/>
  <c r="K1170" i="12" s="1"/>
  <c r="A1170" i="12"/>
  <c r="E1178" i="12"/>
  <c r="F1178" i="12" s="1"/>
  <c r="G1178" i="12" s="1"/>
  <c r="I1178" i="12" s="1"/>
  <c r="K1178" i="12" s="1"/>
  <c r="A1178" i="12"/>
  <c r="E1400" i="12"/>
  <c r="F1400" i="12" s="1"/>
  <c r="G1400" i="12" s="1"/>
  <c r="I1400" i="12" s="1"/>
  <c r="K1400" i="12" s="1"/>
  <c r="A1400" i="12"/>
  <c r="E1416" i="12"/>
  <c r="F1416" i="12" s="1"/>
  <c r="G1416" i="12" s="1"/>
  <c r="I1416" i="12" s="1"/>
  <c r="K1416" i="12" s="1"/>
  <c r="A1416" i="12"/>
  <c r="E1432" i="12"/>
  <c r="F1432" i="12" s="1"/>
  <c r="G1432" i="12" s="1"/>
  <c r="I1432" i="12" s="1"/>
  <c r="K1432" i="12" s="1"/>
  <c r="A1432" i="12"/>
  <c r="E1440" i="12"/>
  <c r="F1440" i="12" s="1"/>
  <c r="G1440" i="12" s="1"/>
  <c r="I1440" i="12" s="1"/>
  <c r="K1440" i="12" s="1"/>
  <c r="A1440" i="12"/>
  <c r="E1488" i="12"/>
  <c r="F1488" i="12" s="1"/>
  <c r="G1488" i="12" s="1"/>
  <c r="I1488" i="12" s="1"/>
  <c r="K1488" i="12" s="1"/>
  <c r="A1488" i="12"/>
  <c r="E1528" i="12"/>
  <c r="F1528" i="12" s="1"/>
  <c r="G1528" i="12" s="1"/>
  <c r="I1528" i="12" s="1"/>
  <c r="K1528" i="12" s="1"/>
  <c r="A1528" i="12"/>
  <c r="E1536" i="12"/>
  <c r="F1536" i="12" s="1"/>
  <c r="G1536" i="12" s="1"/>
  <c r="I1536" i="12" s="1"/>
  <c r="K1536" i="12" s="1"/>
  <c r="A1536" i="12"/>
  <c r="E1544" i="12"/>
  <c r="F1544" i="12" s="1"/>
  <c r="G1544" i="12" s="1"/>
  <c r="I1544" i="12" s="1"/>
  <c r="K1544" i="12" s="1"/>
  <c r="A1544" i="12"/>
  <c r="E1552" i="12"/>
  <c r="F1552" i="12" s="1"/>
  <c r="G1552" i="12" s="1"/>
  <c r="I1552" i="12" s="1"/>
  <c r="K1552" i="12" s="1"/>
  <c r="A1552" i="12"/>
  <c r="E1584" i="12"/>
  <c r="F1584" i="12" s="1"/>
  <c r="G1584" i="12" s="1"/>
  <c r="I1584" i="12" s="1"/>
  <c r="K1584" i="12" s="1"/>
  <c r="A1584" i="12"/>
  <c r="E1592" i="12"/>
  <c r="F1592" i="12" s="1"/>
  <c r="G1592" i="12" s="1"/>
  <c r="I1592" i="12" s="1"/>
  <c r="K1592" i="12" s="1"/>
  <c r="A1592" i="12"/>
  <c r="E1600" i="12"/>
  <c r="F1600" i="12" s="1"/>
  <c r="G1600" i="12" s="1"/>
  <c r="I1600" i="12" s="1"/>
  <c r="K1600" i="12" s="1"/>
  <c r="A1600" i="12"/>
  <c r="E1632" i="12"/>
  <c r="F1632" i="12" s="1"/>
  <c r="G1632" i="12" s="1"/>
  <c r="I1632" i="12" s="1"/>
  <c r="K1632" i="12" s="1"/>
  <c r="A1632" i="12"/>
  <c r="E1656" i="12"/>
  <c r="F1656" i="12" s="1"/>
  <c r="G1656" i="12" s="1"/>
  <c r="I1656" i="12" s="1"/>
  <c r="K1656" i="12" s="1"/>
  <c r="A1656" i="12"/>
  <c r="E1744" i="12"/>
  <c r="F1744" i="12" s="1"/>
  <c r="G1744" i="12" s="1"/>
  <c r="I1744" i="12" s="1"/>
  <c r="K1744" i="12" s="1"/>
  <c r="A1744" i="12"/>
  <c r="E1752" i="12"/>
  <c r="F1752" i="12" s="1"/>
  <c r="G1752" i="12" s="1"/>
  <c r="I1752" i="12" s="1"/>
  <c r="K1752" i="12" s="1"/>
  <c r="A1752" i="12"/>
  <c r="E1816" i="12"/>
  <c r="F1816" i="12" s="1"/>
  <c r="G1816" i="12" s="1"/>
  <c r="I1816" i="12" s="1"/>
  <c r="K1816" i="12" s="1"/>
  <c r="A1816" i="12"/>
  <c r="E1824" i="12"/>
  <c r="F1824" i="12" s="1"/>
  <c r="G1824" i="12" s="1"/>
  <c r="I1824" i="12" s="1"/>
  <c r="K1824" i="12" s="1"/>
  <c r="A1824" i="12"/>
  <c r="E1832" i="12"/>
  <c r="F1832" i="12" s="1"/>
  <c r="G1832" i="12" s="1"/>
  <c r="I1832" i="12" s="1"/>
  <c r="K1832" i="12" s="1"/>
  <c r="A1832" i="12"/>
  <c r="E1840" i="12"/>
  <c r="F1840" i="12" s="1"/>
  <c r="G1840" i="12" s="1"/>
  <c r="I1840" i="12" s="1"/>
  <c r="K1840" i="12" s="1"/>
  <c r="A1840" i="12"/>
  <c r="E1848" i="12"/>
  <c r="F1848" i="12" s="1"/>
  <c r="G1848" i="12" s="1"/>
  <c r="I1848" i="12" s="1"/>
  <c r="K1848" i="12" s="1"/>
  <c r="A1848" i="12"/>
  <c r="E1856" i="12"/>
  <c r="F1856" i="12" s="1"/>
  <c r="G1856" i="12" s="1"/>
  <c r="I1856" i="12" s="1"/>
  <c r="K1856" i="12" s="1"/>
  <c r="A1856" i="12"/>
  <c r="E1864" i="12"/>
  <c r="F1864" i="12" s="1"/>
  <c r="G1864" i="12" s="1"/>
  <c r="I1864" i="12" s="1"/>
  <c r="K1864" i="12" s="1"/>
  <c r="A1864" i="12"/>
  <c r="E1888" i="12"/>
  <c r="F1888" i="12" s="1"/>
  <c r="G1888" i="12" s="1"/>
  <c r="I1888" i="12" s="1"/>
  <c r="K1888" i="12" s="1"/>
  <c r="A1888" i="12"/>
  <c r="E1912" i="12"/>
  <c r="F1912" i="12" s="1"/>
  <c r="G1912" i="12" s="1"/>
  <c r="I1912" i="12" s="1"/>
  <c r="K1912" i="12" s="1"/>
  <c r="A1912" i="12"/>
  <c r="E1952" i="12"/>
  <c r="F1952" i="12" s="1"/>
  <c r="G1952" i="12" s="1"/>
  <c r="I1952" i="12" s="1"/>
  <c r="K1952" i="12" s="1"/>
  <c r="A1952" i="12"/>
  <c r="E1968" i="12"/>
  <c r="F1968" i="12" s="1"/>
  <c r="G1968" i="12" s="1"/>
  <c r="I1968" i="12" s="1"/>
  <c r="K1968" i="12" s="1"/>
  <c r="A1968" i="12"/>
  <c r="E2008" i="12"/>
  <c r="F2008" i="12" s="1"/>
  <c r="G2008" i="12" s="1"/>
  <c r="I2008" i="12" s="1"/>
  <c r="K2008" i="12" s="1"/>
  <c r="A2008" i="12"/>
  <c r="E2024" i="12"/>
  <c r="F2024" i="12" s="1"/>
  <c r="G2024" i="12" s="1"/>
  <c r="I2024" i="12" s="1"/>
  <c r="K2024" i="12" s="1"/>
  <c r="A2024" i="12"/>
  <c r="E2032" i="12"/>
  <c r="F2032" i="12" s="1"/>
  <c r="G2032" i="12" s="1"/>
  <c r="I2032" i="12" s="1"/>
  <c r="K2032" i="12" s="1"/>
  <c r="A2032" i="12"/>
  <c r="E2072" i="12"/>
  <c r="F2072" i="12" s="1"/>
  <c r="G2072" i="12" s="1"/>
  <c r="I2072" i="12" s="1"/>
  <c r="K2072" i="12" s="1"/>
  <c r="A2072" i="12"/>
  <c r="E2080" i="12"/>
  <c r="F2080" i="12" s="1"/>
  <c r="G2080" i="12" s="1"/>
  <c r="I2080" i="12" s="1"/>
  <c r="K2080" i="12" s="1"/>
  <c r="A2080" i="12"/>
  <c r="E2112" i="12"/>
  <c r="F2112" i="12" s="1"/>
  <c r="G2112" i="12" s="1"/>
  <c r="I2112" i="12" s="1"/>
  <c r="K2112" i="12" s="1"/>
  <c r="A2112" i="12"/>
  <c r="E2120" i="12"/>
  <c r="F2120" i="12" s="1"/>
  <c r="G2120" i="12" s="1"/>
  <c r="I2120" i="12" s="1"/>
  <c r="K2120" i="12" s="1"/>
  <c r="A2120" i="12"/>
  <c r="E2136" i="12"/>
  <c r="F2136" i="12" s="1"/>
  <c r="G2136" i="12" s="1"/>
  <c r="I2136" i="12" s="1"/>
  <c r="K2136" i="12" s="1"/>
  <c r="A2136" i="12"/>
  <c r="E2144" i="12"/>
  <c r="F2144" i="12" s="1"/>
  <c r="G2144" i="12" s="1"/>
  <c r="I2144" i="12" s="1"/>
  <c r="K2144" i="12" s="1"/>
  <c r="A2144" i="12"/>
  <c r="E2232" i="12"/>
  <c r="F2232" i="12" s="1"/>
  <c r="G2232" i="12" s="1"/>
  <c r="I2232" i="12" s="1"/>
  <c r="K2232" i="12" s="1"/>
  <c r="A2232" i="12"/>
  <c r="E2352" i="12"/>
  <c r="F2352" i="12" s="1"/>
  <c r="G2352" i="12" s="1"/>
  <c r="I2352" i="12" s="1"/>
  <c r="K2352" i="12" s="1"/>
  <c r="A2352" i="12"/>
  <c r="A3533" i="12"/>
  <c r="A3501" i="12"/>
  <c r="A3469" i="12"/>
  <c r="A3453" i="12"/>
  <c r="A3445" i="12"/>
  <c r="A3429" i="12"/>
  <c r="A3325" i="12"/>
  <c r="A3293" i="12"/>
  <c r="A3213" i="12"/>
  <c r="A3197" i="12"/>
  <c r="A3181" i="12"/>
  <c r="A3149" i="12"/>
  <c r="A3117" i="12"/>
  <c r="A3045" i="12"/>
  <c r="A3029" i="12"/>
  <c r="A3021" i="12"/>
  <c r="A2981" i="12"/>
  <c r="A2973" i="12"/>
  <c r="A2965" i="12"/>
  <c r="A2949" i="12"/>
  <c r="A2925" i="12"/>
  <c r="A2837" i="12"/>
  <c r="A2829" i="12"/>
  <c r="A2781" i="12"/>
  <c r="A2773" i="12"/>
  <c r="A2765" i="12"/>
  <c r="A2749" i="12"/>
  <c r="A2741" i="12"/>
  <c r="A2717" i="12"/>
  <c r="A2701" i="12"/>
  <c r="A2653" i="12"/>
  <c r="A2645" i="12"/>
  <c r="A2637" i="12"/>
  <c r="A2621" i="12"/>
  <c r="A2613" i="12"/>
  <c r="A2605" i="12"/>
  <c r="A2453" i="12"/>
  <c r="A2413" i="12"/>
  <c r="A2405" i="12"/>
  <c r="A2389" i="12"/>
  <c r="A2365" i="12"/>
  <c r="A2297" i="12"/>
  <c r="A2212" i="12"/>
  <c r="A2161" i="12"/>
  <c r="A2017" i="12"/>
  <c r="A1857" i="12"/>
  <c r="A1601" i="12"/>
  <c r="A1561" i="12"/>
  <c r="A1161" i="12"/>
  <c r="A1153" i="12"/>
  <c r="A961" i="12"/>
  <c r="A833" i="12"/>
  <c r="A377" i="12"/>
  <c r="A337" i="12"/>
  <c r="A113" i="12"/>
  <c r="E418" i="12"/>
  <c r="F418" i="12" s="1"/>
  <c r="G418" i="12" s="1"/>
  <c r="I418" i="12" s="1"/>
  <c r="K418" i="12" s="1"/>
  <c r="A418" i="12"/>
  <c r="E434" i="12"/>
  <c r="F434" i="12" s="1"/>
  <c r="G434" i="12" s="1"/>
  <c r="I434" i="12" s="1"/>
  <c r="K434" i="12" s="1"/>
  <c r="A434" i="12"/>
  <c r="E458" i="12"/>
  <c r="F458" i="12" s="1"/>
  <c r="G458" i="12" s="1"/>
  <c r="I458" i="12" s="1"/>
  <c r="K458" i="12" s="1"/>
  <c r="A458" i="12"/>
  <c r="E554" i="12"/>
  <c r="F554" i="12" s="1"/>
  <c r="G554" i="12" s="1"/>
  <c r="I554" i="12" s="1"/>
  <c r="K554" i="12" s="1"/>
  <c r="A554" i="12"/>
  <c r="E626" i="12"/>
  <c r="F626" i="12" s="1"/>
  <c r="G626" i="12" s="1"/>
  <c r="I626" i="12" s="1"/>
  <c r="K626" i="12" s="1"/>
  <c r="A626" i="12"/>
  <c r="E642" i="12"/>
  <c r="F642" i="12" s="1"/>
  <c r="G642" i="12" s="1"/>
  <c r="I642" i="12" s="1"/>
  <c r="K642" i="12" s="1"/>
  <c r="A642" i="12"/>
  <c r="E706" i="12"/>
  <c r="F706" i="12" s="1"/>
  <c r="G706" i="12" s="1"/>
  <c r="I706" i="12" s="1"/>
  <c r="K706" i="12" s="1"/>
  <c r="A706" i="12"/>
  <c r="E714" i="12"/>
  <c r="F714" i="12" s="1"/>
  <c r="G714" i="12" s="1"/>
  <c r="I714" i="12" s="1"/>
  <c r="K714" i="12" s="1"/>
  <c r="A714" i="12"/>
  <c r="E738" i="12"/>
  <c r="F738" i="12" s="1"/>
  <c r="G738" i="12" s="1"/>
  <c r="I738" i="12" s="1"/>
  <c r="K738" i="12" s="1"/>
  <c r="A738" i="12"/>
  <c r="E778" i="12"/>
  <c r="F778" i="12" s="1"/>
  <c r="G778" i="12" s="1"/>
  <c r="I778" i="12" s="1"/>
  <c r="K778" i="12" s="1"/>
  <c r="A778" i="12"/>
  <c r="E930" i="12"/>
  <c r="F930" i="12" s="1"/>
  <c r="G930" i="12" s="1"/>
  <c r="I930" i="12" s="1"/>
  <c r="K930" i="12" s="1"/>
  <c r="A930" i="12"/>
  <c r="E938" i="12"/>
  <c r="F938" i="12" s="1"/>
  <c r="G938" i="12" s="1"/>
  <c r="I938" i="12" s="1"/>
  <c r="K938" i="12" s="1"/>
  <c r="A938" i="12"/>
  <c r="E963" i="12"/>
  <c r="F963" i="12" s="1"/>
  <c r="G963" i="12" s="1"/>
  <c r="I963" i="12" s="1"/>
  <c r="K963" i="12" s="1"/>
  <c r="A963" i="12"/>
  <c r="E979" i="12"/>
  <c r="F979" i="12" s="1"/>
  <c r="G979" i="12" s="1"/>
  <c r="I979" i="12" s="1"/>
  <c r="K979" i="12" s="1"/>
  <c r="A979" i="12"/>
  <c r="E1003" i="12"/>
  <c r="F1003" i="12" s="1"/>
  <c r="G1003" i="12" s="1"/>
  <c r="I1003" i="12" s="1"/>
  <c r="K1003" i="12" s="1"/>
  <c r="A1003" i="12"/>
  <c r="E1043" i="12"/>
  <c r="F1043" i="12" s="1"/>
  <c r="G1043" i="12" s="1"/>
  <c r="I1043" i="12" s="1"/>
  <c r="K1043" i="12" s="1"/>
  <c r="A1043" i="12"/>
  <c r="E1051" i="12"/>
  <c r="F1051" i="12" s="1"/>
  <c r="G1051" i="12" s="1"/>
  <c r="I1051" i="12" s="1"/>
  <c r="K1051" i="12" s="1"/>
  <c r="A1051" i="12"/>
  <c r="E1059" i="12"/>
  <c r="F1059" i="12" s="1"/>
  <c r="G1059" i="12" s="1"/>
  <c r="I1059" i="12" s="1"/>
  <c r="K1059" i="12" s="1"/>
  <c r="A1059" i="12"/>
  <c r="E1099" i="12"/>
  <c r="F1099" i="12" s="1"/>
  <c r="G1099" i="12" s="1"/>
  <c r="I1099" i="12" s="1"/>
  <c r="K1099" i="12" s="1"/>
  <c r="A1099" i="12"/>
  <c r="E1115" i="12"/>
  <c r="F1115" i="12" s="1"/>
  <c r="G1115" i="12" s="1"/>
  <c r="I1115" i="12" s="1"/>
  <c r="K1115" i="12" s="1"/>
  <c r="A1115" i="12"/>
  <c r="E1139" i="12"/>
  <c r="F1139" i="12" s="1"/>
  <c r="G1139" i="12" s="1"/>
  <c r="I1139" i="12" s="1"/>
  <c r="K1139" i="12" s="1"/>
  <c r="A1139" i="12"/>
  <c r="E1179" i="12"/>
  <c r="F1179" i="12" s="1"/>
  <c r="G1179" i="12" s="1"/>
  <c r="I1179" i="12" s="1"/>
  <c r="K1179" i="12" s="1"/>
  <c r="A1179" i="12"/>
  <c r="E1187" i="12"/>
  <c r="F1187" i="12" s="1"/>
  <c r="G1187" i="12" s="1"/>
  <c r="I1187" i="12" s="1"/>
  <c r="K1187" i="12" s="1"/>
  <c r="A1187" i="12"/>
  <c r="E1330" i="12"/>
  <c r="F1330" i="12" s="1"/>
  <c r="G1330" i="12" s="1"/>
  <c r="I1330" i="12" s="1"/>
  <c r="K1330" i="12" s="1"/>
  <c r="A1330" i="12"/>
  <c r="A3244" i="12"/>
  <c r="A3228" i="12"/>
  <c r="A3212" i="12"/>
  <c r="A3188" i="12"/>
  <c r="A3164" i="12"/>
  <c r="A3132" i="12"/>
  <c r="A3060" i="12"/>
  <c r="A3036" i="12"/>
  <c r="A3020" i="12"/>
  <c r="A2996" i="12"/>
  <c r="A2980" i="12"/>
  <c r="A2972" i="12"/>
  <c r="A2948" i="12"/>
  <c r="A2884" i="12"/>
  <c r="A2836" i="12"/>
  <c r="A2828" i="12"/>
  <c r="A2812" i="12"/>
  <c r="A2788" i="12"/>
  <c r="A2780" i="12"/>
  <c r="A2772" i="12"/>
  <c r="A2748" i="12"/>
  <c r="A2716" i="12"/>
  <c r="A2708" i="12"/>
  <c r="A2660" i="12"/>
  <c r="A2652" i="12"/>
  <c r="A2644" i="12"/>
  <c r="A2612" i="12"/>
  <c r="A2604" i="12"/>
  <c r="A2532" i="12"/>
  <c r="A2452" i="12"/>
  <c r="A2436" i="12"/>
  <c r="A2404" i="12"/>
  <c r="A2396" i="12"/>
  <c r="A2388" i="12"/>
  <c r="A2364" i="12"/>
  <c r="A2355" i="12"/>
  <c r="A2041" i="12"/>
  <c r="A2027" i="12"/>
  <c r="A1929" i="12"/>
  <c r="A1849" i="12"/>
  <c r="A1369" i="12"/>
  <c r="A641" i="12"/>
  <c r="A433" i="12"/>
  <c r="A393" i="12"/>
  <c r="A369" i="12"/>
  <c r="A201" i="12"/>
  <c r="K3246" i="12"/>
  <c r="K1335" i="12"/>
  <c r="K2687" i="12"/>
  <c r="K2904" i="12"/>
  <c r="K3545" i="12"/>
  <c r="K1306" i="12"/>
  <c r="K2809" i="12"/>
  <c r="K2847" i="12"/>
  <c r="K2878" i="12"/>
  <c r="K2879" i="12"/>
  <c r="K2921" i="12"/>
  <c r="K3161" i="12"/>
  <c r="K3546" i="12"/>
  <c r="C25" i="7"/>
  <c r="C27" i="7" s="1"/>
  <c r="F22" i="9"/>
  <c r="F22" i="10"/>
  <c r="H22" i="10" s="1"/>
  <c r="F22" i="11"/>
  <c r="F22" i="2"/>
  <c r="H34" i="11"/>
  <c r="H33" i="11"/>
  <c r="H32" i="11"/>
  <c r="H31" i="11"/>
  <c r="H30" i="11"/>
  <c r="H29" i="11"/>
  <c r="H28" i="11"/>
  <c r="H27" i="11"/>
  <c r="F23" i="11"/>
  <c r="F21" i="11"/>
  <c r="F20" i="11"/>
  <c r="H20" i="11" s="1"/>
  <c r="F19" i="11"/>
  <c r="H19" i="11" s="1"/>
  <c r="F18" i="11"/>
  <c r="H18" i="11" s="1"/>
  <c r="H14" i="11"/>
  <c r="H13" i="11"/>
  <c r="H12" i="11"/>
  <c r="H11" i="11"/>
  <c r="H10" i="11"/>
  <c r="C5" i="11"/>
  <c r="H34" i="10"/>
  <c r="H33" i="10"/>
  <c r="H32" i="10"/>
  <c r="H31" i="10"/>
  <c r="H30" i="10"/>
  <c r="H29" i="10"/>
  <c r="H28" i="10"/>
  <c r="H27" i="10"/>
  <c r="F23" i="10"/>
  <c r="H23" i="10" s="1"/>
  <c r="F21" i="10"/>
  <c r="H21" i="10" s="1"/>
  <c r="F20" i="10"/>
  <c r="H20" i="10" s="1"/>
  <c r="F19" i="10"/>
  <c r="H19" i="10" s="1"/>
  <c r="F18" i="10"/>
  <c r="H18" i="10" s="1"/>
  <c r="H14" i="10"/>
  <c r="H13" i="10"/>
  <c r="H12" i="10"/>
  <c r="H11" i="10"/>
  <c r="H10" i="10"/>
  <c r="C5" i="10"/>
  <c r="H34" i="9"/>
  <c r="H33" i="9"/>
  <c r="H32" i="9"/>
  <c r="H31" i="9"/>
  <c r="H30" i="9"/>
  <c r="H29" i="9"/>
  <c r="H28" i="9"/>
  <c r="H27" i="9"/>
  <c r="F23" i="9"/>
  <c r="H23" i="9" s="1"/>
  <c r="F21" i="9"/>
  <c r="F20" i="9"/>
  <c r="H20" i="9" s="1"/>
  <c r="F19" i="9"/>
  <c r="H19" i="9" s="1"/>
  <c r="F18" i="9"/>
  <c r="H18" i="9" s="1"/>
  <c r="H14" i="9"/>
  <c r="H13" i="9"/>
  <c r="H12" i="9"/>
  <c r="H11" i="9"/>
  <c r="H10" i="9"/>
  <c r="C5" i="9"/>
  <c r="C24" i="8"/>
  <c r="G21" i="8"/>
  <c r="G19" i="8"/>
  <c r="G17" i="8"/>
  <c r="G15" i="8"/>
  <c r="G24" i="8" s="1"/>
  <c r="G25" i="8" s="1"/>
  <c r="G13" i="8"/>
  <c r="G12" i="8"/>
  <c r="G11" i="8"/>
  <c r="G7" i="8"/>
  <c r="I7" i="8" s="1"/>
  <c r="H30" i="2"/>
  <c r="H31" i="2"/>
  <c r="H32" i="2"/>
  <c r="H33" i="2"/>
  <c r="H34" i="2"/>
  <c r="C5" i="2"/>
  <c r="H9" i="11" l="1"/>
  <c r="C13" i="7"/>
  <c r="H9" i="9"/>
  <c r="H26" i="10"/>
  <c r="H26" i="9"/>
  <c r="H9" i="10"/>
  <c r="H26" i="11"/>
  <c r="H17" i="10"/>
  <c r="H17" i="11"/>
  <c r="H17" i="9"/>
  <c r="C16" i="7" l="1"/>
  <c r="H14" i="7"/>
  <c r="C28" i="7"/>
  <c r="C6" i="10"/>
  <c r="C20" i="7" s="1"/>
  <c r="C6" i="9"/>
  <c r="C19" i="7" s="1"/>
  <c r="C6" i="11"/>
  <c r="C21" i="7" s="1"/>
  <c r="F23" i="2"/>
  <c r="G6" i="6"/>
  <c r="G7" i="6"/>
  <c r="G8" i="6"/>
  <c r="G9" i="6"/>
  <c r="G10" i="6"/>
  <c r="G11" i="6"/>
  <c r="G12" i="6"/>
  <c r="G5" i="6"/>
  <c r="E28" i="2"/>
  <c r="H28" i="2" s="1"/>
  <c r="H29" i="2"/>
  <c r="H27" i="2"/>
  <c r="F21" i="2"/>
  <c r="H21" i="2" s="1"/>
  <c r="F20" i="2"/>
  <c r="H20" i="2" s="1"/>
  <c r="F19" i="2"/>
  <c r="H19" i="2" s="1"/>
  <c r="F18" i="2"/>
  <c r="G4" i="6" l="1"/>
  <c r="C22" i="7" s="1"/>
  <c r="H18" i="2"/>
  <c r="H26" i="2" l="1"/>
  <c r="H17" i="2"/>
  <c r="C6" i="2" l="1"/>
  <c r="C18" i="7" s="1"/>
  <c r="C23" i="7" s="1"/>
  <c r="H22" i="7" s="1"/>
  <c r="J23" i="7" l="1"/>
  <c r="D18" i="7"/>
  <c r="D19" i="7"/>
  <c r="D20" i="7"/>
  <c r="D21" i="7"/>
  <c r="D22" i="7"/>
  <c r="D28" i="7"/>
  <c r="D2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tc={D37DA431-3D39-3945-B49C-5A589D44F280}</author>
  </authors>
  <commentList>
    <comment ref="C26" authorId="0" shapeId="0" xr:uid="{D37DA431-3D39-3945-B49C-5A589D44F28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1,62 €/kg costo filo Ø 3,0mm C86D - mail Brio 09/04/2024 Chiara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tc={694C992D-71C0-4C73-8D95-EDB1EEF827E7}</author>
    <author>tc={871634EA-F8B6-4F98-A3AF-C8A3628A9332}</author>
    <author>tc={E8F49D39-65DC-44D0-8CE6-DB3E830F8908}</author>
  </authors>
  <commentList>
    <comment ref="C20" authorId="0" shapeId="0" xr:uid="{694C992D-71C0-4C73-8D95-EDB1EEF827E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Comprende pescaggio filo, attrezzaggio stampo, filo, taglierina</t>
      </text>
    </comment>
    <comment ref="C21" authorId="1" shapeId="0" xr:uid="{871634EA-F8B6-4F98-A3AF-C8A3628A933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Rabbocco olio, svuotamento contenitore</t>
      </text>
    </comment>
    <comment ref="G27" authorId="2" shapeId="0" xr:uid="{E8F49D39-65DC-44D0-8CE6-DB3E830F890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0.38 €/Kw * 3 Kw di assorbimento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tc={7B8E8AFD-BB41-498B-8B48-8513CDECECD5}</author>
  </authors>
  <commentList>
    <comment ref="G27" authorId="0" shapeId="0" xr:uid="{7B8E8AFD-BB41-498B-8B48-8513CDECECD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0.38 €/Kw * 10 Kw di assorbimento
Rispondi:
Messo 0,15 €/kw nella formula per considerare l’ipotetico contributo del pannello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tc={2AE5D25F-989F-4D44-AC81-17DE3C81AB2A}</author>
    <author>tc={EDED5CDC-2CA6-4D47-AAC3-83ABCB12A25F}</author>
  </authors>
  <commentList>
    <comment ref="G27" authorId="0" shapeId="0" xr:uid="{2AE5D25F-989F-4D44-AC81-17DE3C81AB2A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0.38 €/Kw * 5 Kw di assorbimento
Rispondi:
Messo 0,15 fotovoltaico
</t>
      </text>
    </comment>
    <comment ref="E32" authorId="1" shapeId="0" xr:uid="{EDED5CDC-2CA6-4D47-AAC3-83ABCB12A25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Dato fisso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tc={EFC4E6ED-F87C-4C55-871A-FC01F86921E8}</author>
  </authors>
  <commentList>
    <comment ref="G27" authorId="0" shapeId="0" xr:uid="{EFC4E6ED-F87C-4C55-871A-FC01F86921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0.38 €/Kw * 2.5 Kw di assorbimento
Rispondi:
Messo 0,15 fotovoltaico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<sst xmlns="http://schemas.openxmlformats.org/spreadsheetml/2006/main" count="3699" uniqueCount="436">
  <si>
    <t>Full Costing</t>
  </si>
  <si>
    <t>Direct Costing</t>
  </si>
  <si>
    <t>Materiali Diretti</t>
  </si>
  <si>
    <t>Lavoro Diretto</t>
  </si>
  <si>
    <t>Costi Indiretti</t>
  </si>
  <si>
    <t>Process Costing</t>
  </si>
  <si>
    <t>Proporzionale</t>
  </si>
  <si>
    <t>Operation Costing</t>
  </si>
  <si>
    <t>Causale</t>
  </si>
  <si>
    <t>Job Order Costing</t>
  </si>
  <si>
    <t>Activity Based Costing</t>
  </si>
  <si>
    <t>Process Costing (costo complessivo del processo)</t>
  </si>
  <si>
    <t>Materiali diretti</t>
  </si>
  <si>
    <t>Totale materieli impiegati durante il processo</t>
  </si>
  <si>
    <t>Lavoro diretto</t>
  </si>
  <si>
    <t>Totale ore uomo impiegate durante il processo</t>
  </si>
  <si>
    <t>Costi indiretti</t>
  </si>
  <si>
    <t>Tutti quelli sostenuti durante il processo</t>
  </si>
  <si>
    <t>Utilizzi</t>
  </si>
  <si>
    <t>produzione omogenea, monoprodotto, su larga scala</t>
  </si>
  <si>
    <t>calcolato il costo complessivo del processo e diviso per il volume di output per ottenere il costo unitario</t>
  </si>
  <si>
    <t>Operation Costing (centri di lavorazione)</t>
  </si>
  <si>
    <t>Quantità valorizzate al costo di contabilizzazione a magazzino</t>
  </si>
  <si>
    <t>Totale ore uomo impiegate durante ciascuna operazione (o in ogni centro di lavorazione)</t>
  </si>
  <si>
    <t>Tutti i costi sostenuti durante ciascuna operazione (o in ogni centro di lavorazione)</t>
  </si>
  <si>
    <t>quando i materiali diretti sono la componente principale dei costi di prodotto</t>
  </si>
  <si>
    <t>il processo di lavorazione prevede un numero limitato di operazioni (o lavorazioni)</t>
  </si>
  <si>
    <t>i lotti produttivi sono internamente omogenei (stesso prodotto con differenti varianti, es. tessile)</t>
  </si>
  <si>
    <t>calcolato il costo complessivo delle operazioni (lavoro diretto e costi indiretti) e diviso per volume</t>
  </si>
  <si>
    <t>di output di ciascun lotto per ottenere il costo unitario</t>
  </si>
  <si>
    <t>Job Order Costing (per Commessa)</t>
  </si>
  <si>
    <t>Ore uomo impiegate nella commessa moltiplicate per il costo orario</t>
  </si>
  <si>
    <t>Ripartiti tra le commesse proporzionalmente all'utilizzo di un fattore produttivo (base di allocazione)</t>
  </si>
  <si>
    <t>quando i costi diretti sono la componente principale dei costi di prodotto</t>
  </si>
  <si>
    <t>non adatto in produzioni continue, dove è impossibile individuare il singolo lotto di produzione</t>
  </si>
  <si>
    <t>Activity Based Costing ABC (allocazione delle singole attività delle risorse, uomo o macchina, con driver differenti)</t>
  </si>
  <si>
    <t>SCHEDA DI PRODUZIONE</t>
  </si>
  <si>
    <t>Data</t>
  </si>
  <si>
    <t>N° Lotto di produzione</t>
  </si>
  <si>
    <t>N° Commessa</t>
  </si>
  <si>
    <t>Cliente</t>
  </si>
  <si>
    <t>Cod. Articolo</t>
  </si>
  <si>
    <t>Ø da produrre (")</t>
  </si>
  <si>
    <t xml:space="preserve">9/32 +7 </t>
  </si>
  <si>
    <t>Ø da produrre (mm)</t>
  </si>
  <si>
    <t>Conversione diametro (mm)</t>
  </si>
  <si>
    <t>Tipo Materiale</t>
  </si>
  <si>
    <t>Ø filo di partenza (mm)</t>
  </si>
  <si>
    <t>N° pezzi in 1 Kg</t>
  </si>
  <si>
    <t>Input Produzione in Kg</t>
  </si>
  <si>
    <t>Output produzione in Kg</t>
  </si>
  <si>
    <t>Output produzione in Pz</t>
  </si>
  <si>
    <t>Costo Stampaggio (€/1000pz)</t>
  </si>
  <si>
    <t>Costo Sgrossatura (€/1000pz)</t>
  </si>
  <si>
    <t>Costo Rettifica (€/1000pz)</t>
  </si>
  <si>
    <t>Costo Lappatura (€/1000pz)</t>
  </si>
  <si>
    <t>Costo lavorazioni esterne (€/1000pz)</t>
  </si>
  <si>
    <t>COSTO PIENO INDUSTRIALE (€/1000pz)</t>
  </si>
  <si>
    <t>TOTALE COSTO LAVORAZIONI (€/1000pz)</t>
  </si>
  <si>
    <t>Materia Prima in Kg</t>
  </si>
  <si>
    <t>Costo Materia Prima €/Kg</t>
  </si>
  <si>
    <t>TOT COSTO MATERIA PRIMA</t>
  </si>
  <si>
    <t>TOT COSTO MATERIA PRIMA (€/1000pz)</t>
  </si>
  <si>
    <t>Centro di Lavorazione</t>
  </si>
  <si>
    <t>STAMPAGGIO</t>
  </si>
  <si>
    <t>Matricola impianto</t>
  </si>
  <si>
    <t>Tempo totale lavorazione (h)</t>
  </si>
  <si>
    <t>Tempo totale lavorazione (min)</t>
  </si>
  <si>
    <t>Costo Totale Lavorazione</t>
  </si>
  <si>
    <t>Costo Totale</t>
  </si>
  <si>
    <t>MATERIALI DIRETTI</t>
  </si>
  <si>
    <t>Cod. articolo</t>
  </si>
  <si>
    <t>Descrizione</t>
  </si>
  <si>
    <t>Quantità</t>
  </si>
  <si>
    <t>UM</t>
  </si>
  <si>
    <t>Costo Unitario</t>
  </si>
  <si>
    <t>Kg</t>
  </si>
  <si>
    <t>LAVORO DIRETTO</t>
  </si>
  <si>
    <t>Attività</t>
  </si>
  <si>
    <t>Risorsa</t>
  </si>
  <si>
    <t>Tempo (min)</t>
  </si>
  <si>
    <t>Tempo (ore)</t>
  </si>
  <si>
    <t>Costo Orario</t>
  </si>
  <si>
    <t>Setup SW</t>
  </si>
  <si>
    <t>Setup Impianto</t>
  </si>
  <si>
    <t>Attrezzaggio impianto</t>
  </si>
  <si>
    <t>Ratti</t>
  </si>
  <si>
    <t>Rifornimento impianto</t>
  </si>
  <si>
    <t>Analisi campioni</t>
  </si>
  <si>
    <t>Monitoraggio impianto</t>
  </si>
  <si>
    <t>COSTI INDIRETTI</t>
  </si>
  <si>
    <t>Costo</t>
  </si>
  <si>
    <t>Driver allocazione</t>
  </si>
  <si>
    <t>Energia Elettrica</t>
  </si>
  <si>
    <t>Tempo lavorazione</t>
  </si>
  <si>
    <t>h</t>
  </si>
  <si>
    <t>Manutenzioni impianto</t>
  </si>
  <si>
    <t>min</t>
  </si>
  <si>
    <t>Ammortamento impianto</t>
  </si>
  <si>
    <t>SGROSSATURA</t>
  </si>
  <si>
    <t>sfere grezze</t>
  </si>
  <si>
    <t>kg</t>
  </si>
  <si>
    <t>Olio librificante</t>
  </si>
  <si>
    <t>Smaltimento Olio</t>
  </si>
  <si>
    <t>Smaltimento limatura</t>
  </si>
  <si>
    <t>RETTIFICA</t>
  </si>
  <si>
    <t>LAPPATURA</t>
  </si>
  <si>
    <t>sfere</t>
  </si>
  <si>
    <t>pz</t>
  </si>
  <si>
    <t>ELENCO LAVORAZIONI ESTERNE</t>
  </si>
  <si>
    <t>Tipo lavorazione</t>
  </si>
  <si>
    <t>Fornitore</t>
  </si>
  <si>
    <t>Q.tà</t>
  </si>
  <si>
    <t>costo unitario</t>
  </si>
  <si>
    <t>TEMPRA</t>
  </si>
  <si>
    <t>SCHEDA COSTO LINEA MADE IN ITALY</t>
  </si>
  <si>
    <t>4 macchine considerate</t>
  </si>
  <si>
    <t>Macchina / Descrizione</t>
  </si>
  <si>
    <t>Costo Capitale</t>
  </si>
  <si>
    <t>Costo investimenti macchina</t>
  </si>
  <si>
    <t>A</t>
  </si>
  <si>
    <t>Ammortamento = (A+B+C+D)/E</t>
  </si>
  <si>
    <t>costo/anno</t>
  </si>
  <si>
    <t>Costo investimenti attrezzatura</t>
  </si>
  <si>
    <t>B</t>
  </si>
  <si>
    <t>Ammortamento = (A+B+C+D)/E/4 macchine</t>
  </si>
  <si>
    <t>Costo d'installazione</t>
  </si>
  <si>
    <t>C</t>
  </si>
  <si>
    <t>Costi relativi alla macchina</t>
  </si>
  <si>
    <t>Costo residuo</t>
  </si>
  <si>
    <t>D</t>
  </si>
  <si>
    <t>Costo del capitale = (Depr.+F+G)/L</t>
  </si>
  <si>
    <t>costo/minuto</t>
  </si>
  <si>
    <t>Costo manutenzione = M/L</t>
  </si>
  <si>
    <t>Età della macchina / attrezzatura</t>
  </si>
  <si>
    <t>anni</t>
  </si>
  <si>
    <t>Costo dei consumi = (N+O+P+Q)/L</t>
  </si>
  <si>
    <t>Tempo di ammortamento</t>
  </si>
  <si>
    <t>E</t>
  </si>
  <si>
    <t>Costo area = RxS/L</t>
  </si>
  <si>
    <t>Assicurazione</t>
  </si>
  <si>
    <t>F</t>
  </si>
  <si>
    <t>Costo macchina = somma dei costi/minuto</t>
  </si>
  <si>
    <t>Interessi sul capitale</t>
  </si>
  <si>
    <t>G</t>
  </si>
  <si>
    <t>Costo macchina = somma dei costi/ora</t>
  </si>
  <si>
    <t>costo/ora</t>
  </si>
  <si>
    <t>Tempo effettivo di lavoro per macchina</t>
  </si>
  <si>
    <t>Giorni lavorativi / anno</t>
  </si>
  <si>
    <t>H</t>
  </si>
  <si>
    <t>Costo manodopera diretta = T/60</t>
  </si>
  <si>
    <t>Turni al giorno</t>
  </si>
  <si>
    <t>I</t>
  </si>
  <si>
    <t>Ore per turno (4 macchine)</t>
  </si>
  <si>
    <t>J</t>
  </si>
  <si>
    <t>Costo manodopera indiretta = W/60</t>
  </si>
  <si>
    <t>Utilizzo impianto (%)</t>
  </si>
  <si>
    <t>K</t>
  </si>
  <si>
    <t>Tempo effettivo di funzionamento macchina = H x I x J x K x 60</t>
  </si>
  <si>
    <t>L</t>
  </si>
  <si>
    <t>minuti/anno</t>
  </si>
  <si>
    <t>Costo totale macchina + manodopera diretta + indiretta</t>
  </si>
  <si>
    <t>Manutenzione e riparazioni</t>
  </si>
  <si>
    <t>M</t>
  </si>
  <si>
    <t>Consumi</t>
  </si>
  <si>
    <t>Energia elettrica N=L/60*C32*0,4*D32</t>
  </si>
  <si>
    <t>N</t>
  </si>
  <si>
    <t>Gas</t>
  </si>
  <si>
    <t>O</t>
  </si>
  <si>
    <t>Olio</t>
  </si>
  <si>
    <t>P</t>
  </si>
  <si>
    <t>Altro</t>
  </si>
  <si>
    <t>Q</t>
  </si>
  <si>
    <t>Spazio impegnato macchina + magazzino</t>
  </si>
  <si>
    <t>R</t>
  </si>
  <si>
    <t>m2</t>
  </si>
  <si>
    <t>Rata minima (da includere in tutti i costi)</t>
  </si>
  <si>
    <t>S</t>
  </si>
  <si>
    <t>costo/anno/m2</t>
  </si>
  <si>
    <t>Costo manodopera diretta e indiretta</t>
  </si>
  <si>
    <t>Manodopera diretta (Ratti / 4 macchine)</t>
  </si>
  <si>
    <t>T</t>
  </si>
  <si>
    <t>Manodopera indiretta</t>
  </si>
  <si>
    <t>W</t>
  </si>
  <si>
    <t>Chiave</t>
  </si>
  <si>
    <t>Materiale</t>
  </si>
  <si>
    <t>Diametro</t>
  </si>
  <si>
    <t>Diametro2</t>
  </si>
  <si>
    <t>Diametro3</t>
  </si>
  <si>
    <t>Raggio</t>
  </si>
  <si>
    <t>Volume</t>
  </si>
  <si>
    <t>Densità</t>
  </si>
  <si>
    <t>Peso sfera</t>
  </si>
  <si>
    <t>Peso totale</t>
  </si>
  <si>
    <t>Numero</t>
  </si>
  <si>
    <t>["]</t>
  </si>
  <si>
    <t>[mm]</t>
  </si>
  <si>
    <t>[m]</t>
  </si>
  <si>
    <t>[m3]</t>
  </si>
  <si>
    <t>[kg/m3]</t>
  </si>
  <si>
    <t>[kg]</t>
  </si>
  <si>
    <t>POM</t>
  </si>
  <si>
    <t>PPH</t>
  </si>
  <si>
    <t>CP Ti Grado 1</t>
  </si>
  <si>
    <t>Boros. Glass</t>
  </si>
  <si>
    <t>ZrO2</t>
  </si>
  <si>
    <t>Wc-Co</t>
  </si>
  <si>
    <t>Si3N4</t>
  </si>
  <si>
    <t>92WNiFe</t>
  </si>
  <si>
    <t>Nylon 6.6</t>
  </si>
  <si>
    <t>VESC</t>
  </si>
  <si>
    <t>1/64</t>
  </si>
  <si>
    <t>93W-4.9Ni-2.1Fe</t>
  </si>
  <si>
    <t>3/32</t>
  </si>
  <si>
    <t>1/8</t>
  </si>
  <si>
    <t>5/32</t>
  </si>
  <si>
    <t>Ottone</t>
  </si>
  <si>
    <t>Al2O3</t>
  </si>
  <si>
    <t>1/4</t>
  </si>
  <si>
    <t>2.3/8</t>
  </si>
  <si>
    <t>2.1/2</t>
  </si>
  <si>
    <t>2.5/8</t>
  </si>
  <si>
    <t>2.3/4</t>
  </si>
  <si>
    <t>2.7/8</t>
  </si>
  <si>
    <t>3</t>
  </si>
  <si>
    <t>3.1/8</t>
  </si>
  <si>
    <t>3.1/4</t>
  </si>
  <si>
    <t>3.3/8</t>
  </si>
  <si>
    <t>3.1/2</t>
  </si>
  <si>
    <t>3.5/8</t>
  </si>
  <si>
    <t>3.3/4</t>
  </si>
  <si>
    <t>3.7/8</t>
  </si>
  <si>
    <t>4</t>
  </si>
  <si>
    <t>4.1/4</t>
  </si>
  <si>
    <t>4.1/2</t>
  </si>
  <si>
    <t>4.3/4</t>
  </si>
  <si>
    <t>5</t>
  </si>
  <si>
    <t>5.1/4</t>
  </si>
  <si>
    <t>5.1/2</t>
  </si>
  <si>
    <t>5.3/4</t>
  </si>
  <si>
    <t>6</t>
  </si>
  <si>
    <t>1/32</t>
  </si>
  <si>
    <t>PS</t>
  </si>
  <si>
    <t>5/32 -50</t>
  </si>
  <si>
    <t>PA6.6</t>
  </si>
  <si>
    <t>3/64</t>
  </si>
  <si>
    <t>1/16</t>
  </si>
  <si>
    <t>7/64</t>
  </si>
  <si>
    <t>3/16</t>
  </si>
  <si>
    <t>7/32</t>
  </si>
  <si>
    <t>9/32</t>
  </si>
  <si>
    <t>9/32 + 11</t>
  </si>
  <si>
    <t>5/16</t>
  </si>
  <si>
    <t>11/32</t>
  </si>
  <si>
    <t>3/8</t>
  </si>
  <si>
    <t>1</t>
  </si>
  <si>
    <t>31/32</t>
  </si>
  <si>
    <t>15/16</t>
  </si>
  <si>
    <t>7/8</t>
  </si>
  <si>
    <t>27/32</t>
  </si>
  <si>
    <t>13/16</t>
  </si>
  <si>
    <t>25/32</t>
  </si>
  <si>
    <t>3/4</t>
  </si>
  <si>
    <t>23/32</t>
  </si>
  <si>
    <t>11/16</t>
  </si>
  <si>
    <t>21/32</t>
  </si>
  <si>
    <t>5/8</t>
  </si>
  <si>
    <t>19/32</t>
  </si>
  <si>
    <t>9/16</t>
  </si>
  <si>
    <t>17/32</t>
  </si>
  <si>
    <t>1/2</t>
  </si>
  <si>
    <t>31/64</t>
  </si>
  <si>
    <t>15/32</t>
  </si>
  <si>
    <t>29/64</t>
  </si>
  <si>
    <t>7/16</t>
  </si>
  <si>
    <t>13/32</t>
  </si>
  <si>
    <t>1.1/16</t>
  </si>
  <si>
    <t>1.1/8</t>
  </si>
  <si>
    <t>1.3/16</t>
  </si>
  <si>
    <t>1.1/4</t>
  </si>
  <si>
    <t>1.5/16</t>
  </si>
  <si>
    <t>1.3/8</t>
  </si>
  <si>
    <t>1.7/16</t>
  </si>
  <si>
    <t>1.1/2</t>
  </si>
  <si>
    <t>1.9/16</t>
  </si>
  <si>
    <t>1.5/8</t>
  </si>
  <si>
    <t>1.11/16</t>
  </si>
  <si>
    <t>1.3/4</t>
  </si>
  <si>
    <t>1.13/16</t>
  </si>
  <si>
    <t>1.7/8</t>
  </si>
  <si>
    <t>1.15/16</t>
  </si>
  <si>
    <t>2</t>
  </si>
  <si>
    <t>2.1/8</t>
  </si>
  <si>
    <t>2.1/4</t>
  </si>
  <si>
    <t>Bronzo Fosforoso</t>
  </si>
  <si>
    <t>420C</t>
  </si>
  <si>
    <t>Alluminio</t>
  </si>
  <si>
    <t>WC-Co</t>
  </si>
  <si>
    <t>316L</t>
  </si>
  <si>
    <t>PMMA</t>
  </si>
  <si>
    <t>PUR</t>
  </si>
  <si>
    <t>Tantalio</t>
  </si>
  <si>
    <t>5/8+20</t>
  </si>
  <si>
    <t>5/8+10</t>
  </si>
  <si>
    <t>5/8-10</t>
  </si>
  <si>
    <t>TiAl6V4 (G5)</t>
  </si>
  <si>
    <t>316 L</t>
  </si>
  <si>
    <t>PTFE</t>
  </si>
  <si>
    <t>7/16 +3</t>
  </si>
  <si>
    <t>CQ15</t>
  </si>
  <si>
    <t>1/8 -40</t>
  </si>
  <si>
    <t>1 -8</t>
  </si>
  <si>
    <t>23/32 -10</t>
  </si>
  <si>
    <t>23/32 +10</t>
  </si>
  <si>
    <t>440C</t>
  </si>
  <si>
    <t>Silicone</t>
  </si>
  <si>
    <t>100CrMn6</t>
  </si>
  <si>
    <t>23/32 - 10</t>
  </si>
  <si>
    <t>23/32 + 10</t>
  </si>
  <si>
    <t>11/16 - 10</t>
  </si>
  <si>
    <t>11/16 + 10</t>
  </si>
  <si>
    <t>LDPE</t>
  </si>
  <si>
    <t>HDPE</t>
  </si>
  <si>
    <t>Alluminio serie 2</t>
  </si>
  <si>
    <t>Torlon</t>
  </si>
  <si>
    <t>17/64</t>
  </si>
  <si>
    <t>SiC</t>
  </si>
  <si>
    <t>5/64</t>
  </si>
  <si>
    <t>POM 507</t>
  </si>
  <si>
    <t>VEBO</t>
  </si>
  <si>
    <t>Alluminio serie 1</t>
  </si>
  <si>
    <t>11/64</t>
  </si>
  <si>
    <t>3/16 -20</t>
  </si>
  <si>
    <t>3/16 -40</t>
  </si>
  <si>
    <t>3/16 -50</t>
  </si>
  <si>
    <t>3/16 -60</t>
  </si>
  <si>
    <t>3/16 -80</t>
  </si>
  <si>
    <t>5/8 +20</t>
  </si>
  <si>
    <t>5/32 +100</t>
  </si>
  <si>
    <t>5/32 -70</t>
  </si>
  <si>
    <t>Rame</t>
  </si>
  <si>
    <t>NBR</t>
  </si>
  <si>
    <t>C.P. Titanium</t>
  </si>
  <si>
    <t>1/8 -20</t>
  </si>
  <si>
    <t>VEVY</t>
  </si>
  <si>
    <t>25/64</t>
  </si>
  <si>
    <t>1/8 +20</t>
  </si>
  <si>
    <t>Viton</t>
  </si>
  <si>
    <t>Bronzo Alluminio</t>
  </si>
  <si>
    <t>5/32 -20</t>
  </si>
  <si>
    <t>7/32 +100</t>
  </si>
  <si>
    <t>Resina fenolica</t>
  </si>
  <si>
    <t>Alluminio serie 7</t>
  </si>
  <si>
    <t>1/32 -7</t>
  </si>
  <si>
    <t>3/16 +100</t>
  </si>
  <si>
    <t>2.3/16</t>
  </si>
  <si>
    <t>316 Ti</t>
  </si>
  <si>
    <t>5/32 + 40</t>
  </si>
  <si>
    <t>PVC</t>
  </si>
  <si>
    <t>Gomma poliur.</t>
  </si>
  <si>
    <t>Monel K500</t>
  </si>
  <si>
    <t>Stellite</t>
  </si>
  <si>
    <t>304L</t>
  </si>
  <si>
    <t>7/64 +4</t>
  </si>
  <si>
    <t>7/64 -4</t>
  </si>
  <si>
    <t>7/64 -2</t>
  </si>
  <si>
    <t>1/8 +100</t>
  </si>
  <si>
    <t>ZTA</t>
  </si>
  <si>
    <t>EPDM</t>
  </si>
  <si>
    <t>Vetro Nero</t>
  </si>
  <si>
    <t>904L</t>
  </si>
  <si>
    <t>9/64</t>
  </si>
  <si>
    <t>13/64</t>
  </si>
  <si>
    <t>15/64</t>
  </si>
  <si>
    <t>19/64</t>
  </si>
  <si>
    <t>21/64</t>
  </si>
  <si>
    <t>23/64</t>
  </si>
  <si>
    <t>27/64</t>
  </si>
  <si>
    <t>33/64</t>
  </si>
  <si>
    <t>35/64</t>
  </si>
  <si>
    <t>37/64</t>
  </si>
  <si>
    <t>39/64</t>
  </si>
  <si>
    <t>41/64</t>
  </si>
  <si>
    <t>43/64</t>
  </si>
  <si>
    <t>45/64</t>
  </si>
  <si>
    <t>47/64</t>
  </si>
  <si>
    <t>49/64</t>
  </si>
  <si>
    <t>51/64</t>
  </si>
  <si>
    <t>53/64</t>
  </si>
  <si>
    <t>55/64</t>
  </si>
  <si>
    <t>57/64</t>
  </si>
  <si>
    <t>59/64</t>
  </si>
  <si>
    <t>61/64</t>
  </si>
  <si>
    <t>63/64</t>
  </si>
  <si>
    <t>Inconel 625</t>
  </si>
  <si>
    <t>Alluminio serie 6</t>
  </si>
  <si>
    <t>PPH 30% G.F.</t>
  </si>
  <si>
    <t>PA6.6 30% G.F.</t>
  </si>
  <si>
    <t>Stagno</t>
  </si>
  <si>
    <t>WC-Ni 9%</t>
  </si>
  <si>
    <t>CP Titanium</t>
  </si>
  <si>
    <t>0,68</t>
  </si>
  <si>
    <t>0,35898</t>
  </si>
  <si>
    <t>Monel K400</t>
  </si>
  <si>
    <t>5/64 -4</t>
  </si>
  <si>
    <t>5/64 -2</t>
  </si>
  <si>
    <t>3/32 -8</t>
  </si>
  <si>
    <t>3/32 -2</t>
  </si>
  <si>
    <t>3/32 -5</t>
  </si>
  <si>
    <t>1/2 +0,05</t>
  </si>
  <si>
    <t>5/64 +8</t>
  </si>
  <si>
    <t>5/64 +10</t>
  </si>
  <si>
    <t>5/64 +2</t>
  </si>
  <si>
    <t>3/32 +2</t>
  </si>
  <si>
    <t>3/32 +5</t>
  </si>
  <si>
    <t>9/32 +40</t>
  </si>
  <si>
    <t>PEEK</t>
  </si>
  <si>
    <t>Neoprene</t>
  </si>
  <si>
    <t>Vetro nero</t>
  </si>
  <si>
    <t>3/8 -100</t>
  </si>
  <si>
    <t>1.3/32</t>
  </si>
  <si>
    <t>Hastelloy C4</t>
  </si>
  <si>
    <t>Lescalloy BG 42</t>
  </si>
  <si>
    <t>Zaffiro</t>
  </si>
  <si>
    <t>Quarzo</t>
  </si>
  <si>
    <t>Alluminio vuoto</t>
  </si>
  <si>
    <t>Hastelloy C276</t>
  </si>
  <si>
    <t>CP Ti Grado 2</t>
  </si>
  <si>
    <t>S2 Tool Steel</t>
  </si>
  <si>
    <t>Super Duplex F53</t>
  </si>
  <si>
    <t>7/64 -20</t>
  </si>
  <si>
    <t>WNiFe</t>
  </si>
  <si>
    <t>3/8 - 10</t>
  </si>
  <si>
    <t xml:space="preserve">92,5W-5Ni-2,5Fe </t>
  </si>
  <si>
    <t>PP</t>
  </si>
  <si>
    <t>Hettich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</si>
</sst>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#,##0.00\ &quot;€&quot;"/>
    <numFmt numFmtId="165" formatCode="#,##0.000\ &quot;€&quot;"/>
    <numFmt numFmtId="166" formatCode="0.00000"/>
    <numFmt numFmtId="167" formatCode="0.0000"/>
    <numFmt numFmtId="168" formatCode="0.000"/>
    <numFmt numFmtId="169" formatCode="0.0000000"/>
    <numFmt numFmtId="170" formatCode="0.0"/>
    <numFmt numFmtId="171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textRotation="255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8" borderId="0" xfId="0" applyFill="1"/>
    <xf numFmtId="0" fontId="0" fillId="8" borderId="2" xfId="0" applyFill="1" applyBorder="1"/>
    <xf numFmtId="0" fontId="0" fillId="8" borderId="5" xfId="0" applyFill="1" applyBorder="1"/>
    <xf numFmtId="0" fontId="0" fillId="8" borderId="7" xfId="0" applyFill="1" applyBorder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8" borderId="20" xfId="0" applyFont="1" applyFill="1" applyBorder="1"/>
    <xf numFmtId="44" fontId="11" fillId="9" borderId="21" xfId="0" applyNumberFormat="1" applyFont="1" applyFill="1" applyBorder="1" applyAlignment="1">
      <alignment horizontal="center"/>
    </xf>
    <xf numFmtId="44" fontId="2" fillId="8" borderId="1" xfId="1" applyFon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0" fontId="0" fillId="0" borderId="1" xfId="0" applyBorder="1"/>
    <xf numFmtId="44" fontId="0" fillId="0" borderId="1" xfId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8" borderId="3" xfId="0" applyFill="1" applyBorder="1"/>
    <xf numFmtId="0" fontId="0" fillId="8" borderId="8" xfId="0" applyFill="1" applyBorder="1"/>
    <xf numFmtId="0" fontId="0" fillId="8" borderId="3" xfId="0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44" fontId="12" fillId="10" borderId="1" xfId="1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vertical="center"/>
    </xf>
    <xf numFmtId="0" fontId="12" fillId="10" borderId="2" xfId="0" applyFont="1" applyFill="1" applyBorder="1"/>
    <xf numFmtId="0" fontId="8" fillId="8" borderId="16" xfId="0" applyFont="1" applyFill="1" applyBorder="1"/>
    <xf numFmtId="44" fontId="8" fillId="8" borderId="17" xfId="1" applyFont="1" applyFill="1" applyBorder="1" applyAlignment="1">
      <alignment horizontal="center"/>
    </xf>
    <xf numFmtId="0" fontId="8" fillId="8" borderId="18" xfId="0" applyFont="1" applyFill="1" applyBorder="1"/>
    <xf numFmtId="44" fontId="8" fillId="8" borderId="19" xfId="1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2" fillId="10" borderId="7" xfId="0" applyFont="1" applyFill="1" applyBorder="1"/>
    <xf numFmtId="44" fontId="12" fillId="10" borderId="9" xfId="0" applyNumberFormat="1" applyFont="1" applyFill="1" applyBorder="1" applyAlignment="1">
      <alignment horizontal="center"/>
    </xf>
    <xf numFmtId="44" fontId="0" fillId="0" borderId="0" xfId="1" applyFont="1" applyFill="1" applyBorder="1"/>
    <xf numFmtId="0" fontId="9" fillId="8" borderId="2" xfId="0" applyFont="1" applyFill="1" applyBorder="1"/>
    <xf numFmtId="0" fontId="0" fillId="8" borderId="4" xfId="0" applyFill="1" applyBorder="1"/>
    <xf numFmtId="44" fontId="0" fillId="8" borderId="1" xfId="1" applyFont="1" applyFill="1" applyBorder="1"/>
    <xf numFmtId="0" fontId="13" fillId="8" borderId="6" xfId="0" applyFont="1" applyFill="1" applyBorder="1" applyAlignment="1">
      <alignment horizontal="center" vertical="center"/>
    </xf>
    <xf numFmtId="44" fontId="13" fillId="8" borderId="6" xfId="1" applyFont="1" applyFill="1" applyBorder="1"/>
    <xf numFmtId="0" fontId="8" fillId="8" borderId="10" xfId="0" applyFont="1" applyFill="1" applyBorder="1" applyAlignment="1">
      <alignment horizontal="right" vertical="center"/>
    </xf>
    <xf numFmtId="0" fontId="8" fillId="8" borderId="12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0" fillId="8" borderId="13" xfId="0" applyFill="1" applyBorder="1" applyAlignment="1">
      <alignment horizontal="center" vertical="center"/>
    </xf>
    <xf numFmtId="0" fontId="15" fillId="11" borderId="0" xfId="0" applyFont="1" applyFill="1" applyAlignment="1">
      <alignment horizontal="center"/>
    </xf>
    <xf numFmtId="166" fontId="15" fillId="12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1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66" fontId="16" fillId="12" borderId="0" xfId="0" applyNumberFormat="1" applyFont="1" applyFill="1" applyAlignment="1">
      <alignment horizontal="center"/>
    </xf>
    <xf numFmtId="0" fontId="16" fillId="13" borderId="0" xfId="0" applyFont="1" applyFill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12" borderId="0" xfId="0" applyFont="1" applyFill="1" applyAlignment="1">
      <alignment horizontal="center"/>
    </xf>
    <xf numFmtId="166" fontId="16" fillId="0" borderId="0" xfId="0" applyNumberFormat="1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4" fillId="0" borderId="0" xfId="0" applyFont="1"/>
    <xf numFmtId="0" fontId="16" fillId="0" borderId="0" xfId="0" applyFont="1"/>
    <xf numFmtId="2" fontId="16" fillId="0" borderId="0" xfId="0" applyNumberFormat="1" applyFont="1" applyAlignment="1">
      <alignment horizontal="center"/>
    </xf>
    <xf numFmtId="168" fontId="16" fillId="0" borderId="0" xfId="0" applyNumberFormat="1" applyFont="1" applyAlignment="1">
      <alignment horizontal="center"/>
    </xf>
    <xf numFmtId="169" fontId="16" fillId="0" borderId="0" xfId="0" applyNumberFormat="1" applyFont="1" applyAlignment="1">
      <alignment horizontal="center"/>
    </xf>
    <xf numFmtId="170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71" fontId="16" fillId="12" borderId="0" xfId="0" applyNumberFormat="1" applyFont="1" applyFill="1" applyAlignment="1">
      <alignment horizontal="center"/>
    </xf>
    <xf numFmtId="2" fontId="16" fillId="12" borderId="0" xfId="0" applyNumberFormat="1" applyFont="1" applyFill="1" applyAlignment="1">
      <alignment horizontal="center"/>
    </xf>
    <xf numFmtId="2" fontId="15" fillId="12" borderId="0" xfId="0" applyNumberFormat="1" applyFont="1" applyFill="1" applyAlignment="1">
      <alignment horizontal="center"/>
    </xf>
    <xf numFmtId="0" fontId="8" fillId="8" borderId="24" xfId="0" applyFont="1" applyFill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2" fontId="16" fillId="12" borderId="0" xfId="0" quotePrefix="1" applyNumberFormat="1" applyFont="1" applyFill="1" applyAlignment="1">
      <alignment horizontal="center"/>
    </xf>
    <xf numFmtId="44" fontId="0" fillId="8" borderId="0" xfId="0" applyNumberFormat="1" applyFill="1"/>
    <xf numFmtId="0" fontId="0" fillId="8" borderId="16" xfId="0" applyFill="1" applyBorder="1"/>
    <xf numFmtId="0" fontId="0" fillId="8" borderId="17" xfId="0" applyFill="1" applyBorder="1" applyAlignment="1">
      <alignment horizontal="right"/>
    </xf>
    <xf numFmtId="0" fontId="0" fillId="8" borderId="18" xfId="0" applyFill="1" applyBorder="1"/>
    <xf numFmtId="0" fontId="0" fillId="8" borderId="18" xfId="0" applyFill="1" applyBorder="1" applyAlignment="1">
      <alignment horizontal="right"/>
    </xf>
    <xf numFmtId="44" fontId="0" fillId="8" borderId="19" xfId="0" applyNumberFormat="1" applyFill="1" applyBorder="1"/>
    <xf numFmtId="9" fontId="0" fillId="8" borderId="0" xfId="2" applyFont="1" applyFill="1"/>
    <xf numFmtId="10" fontId="0" fillId="8" borderId="0" xfId="2" applyNumberFormat="1" applyFont="1" applyFill="1"/>
    <xf numFmtId="14" fontId="0" fillId="0" borderId="11" xfId="0" applyNumberFormat="1" applyBorder="1" applyAlignment="1">
      <alignment horizontal="center" vertical="center"/>
    </xf>
    <xf numFmtId="0" fontId="0" fillId="15" borderId="0" xfId="0" applyFill="1"/>
    <xf numFmtId="0" fontId="0" fillId="0" borderId="0" xfId="0" applyAlignment="1">
      <alignment horizontal="center" vertical="center"/>
    </xf>
    <xf numFmtId="0" fontId="13" fillId="8" borderId="22" xfId="0" applyFont="1" applyFill="1" applyBorder="1" applyAlignment="1">
      <alignment horizontal="center"/>
    </xf>
    <xf numFmtId="0" fontId="13" fillId="8" borderId="23" xfId="0" applyFont="1" applyFill="1" applyBorder="1" applyAlignment="1">
      <alignment horizontal="center"/>
    </xf>
    <xf numFmtId="0" fontId="17" fillId="8" borderId="1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7" fillId="8" borderId="18" xfId="0" applyFont="1" applyFill="1" applyBorder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17" fillId="8" borderId="20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44" fontId="18" fillId="14" borderId="26" xfId="0" applyNumberFormat="1" applyFont="1" applyFill="1" applyBorder="1" applyAlignment="1">
      <alignment horizontal="center" vertical="center" wrapText="1"/>
    </xf>
    <xf numFmtId="44" fontId="18" fillId="14" borderId="17" xfId="0" applyNumberFormat="1" applyFont="1" applyFill="1" applyBorder="1" applyAlignment="1">
      <alignment horizontal="center" vertical="center" wrapText="1"/>
    </xf>
    <xf numFmtId="44" fontId="18" fillId="14" borderId="0" xfId="0" applyNumberFormat="1" applyFont="1" applyFill="1" applyAlignment="1">
      <alignment horizontal="center" vertical="center" wrapText="1"/>
    </xf>
    <xf numFmtId="44" fontId="18" fillId="14" borderId="19" xfId="0" applyNumberFormat="1" applyFont="1" applyFill="1" applyBorder="1" applyAlignment="1">
      <alignment horizontal="center" vertical="center" wrapText="1"/>
    </xf>
    <xf numFmtId="44" fontId="18" fillId="14" borderId="27" xfId="0" applyNumberFormat="1" applyFont="1" applyFill="1" applyBorder="1" applyAlignment="1">
      <alignment horizontal="center" vertical="center" wrapText="1"/>
    </xf>
    <xf numFmtId="44" fontId="18" fillId="14" borderId="2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</cellXfs>
  <cellStyles count="3">
    <cellStyle name="Normale" xfId="0" builtinId="0"/>
    <cellStyle name="Percentuale" xfId="2" builtinId="5"/>
    <cellStyle name="Valuta" xfId="1" builtinId="4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E6B8B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000"/>
      <fill>
        <patternFill patternType="solid">
          <fgColor indexed="64"/>
          <bgColor rgb="FFD8E4B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D8E4B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C5D9F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</xdr:colOff>
      <xdr:row>3</xdr:row>
      <xdr:rowOff>290511</xdr:rowOff>
    </xdr:from>
    <xdr:to>
      <xdr:col>3</xdr:col>
      <xdr:colOff>1295402</xdr:colOff>
      <xdr:row>4</xdr:row>
      <xdr:rowOff>171449</xdr:rowOff>
    </xdr:to>
    <xdr:sp macro="" textlink="">
      <xdr:nvSpPr>
        <xdr:cNvPr id="2" name="Parentesi graffa chiusa 1">
          <a:extLst>
            <a:ext uri="{FF2B5EF4-FFF2-40B4-BE49-F238E27FC236}">
              <a16:creationId xmlns:a16="http://schemas.microsoft.com/office/drawing/2014/main" id="{B73BFDD8-7F78-E428-36DC-AAED24C0F388}"/>
            </a:ext>
          </a:extLst>
        </xdr:cNvPr>
        <xdr:cNvSpPr/>
      </xdr:nvSpPr>
      <xdr:spPr>
        <a:xfrm rot="16200000">
          <a:off x="2609851" y="-19053"/>
          <a:ext cx="300038" cy="259556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85724</xdr:colOff>
      <xdr:row>2</xdr:row>
      <xdr:rowOff>19049</xdr:rowOff>
    </xdr:from>
    <xdr:to>
      <xdr:col>4</xdr:col>
      <xdr:colOff>1257300</xdr:colOff>
      <xdr:row>3</xdr:row>
      <xdr:rowOff>66674</xdr:rowOff>
    </xdr:to>
    <xdr:sp macro="" textlink="">
      <xdr:nvSpPr>
        <xdr:cNvPr id="3" name="Parentesi graffa chiusa 2">
          <a:extLst>
            <a:ext uri="{FF2B5EF4-FFF2-40B4-BE49-F238E27FC236}">
              <a16:creationId xmlns:a16="http://schemas.microsoft.com/office/drawing/2014/main" id="{AECD39B8-03B2-4B48-88EA-9717B42523A7}"/>
            </a:ext>
          </a:extLst>
        </xdr:cNvPr>
        <xdr:cNvSpPr/>
      </xdr:nvSpPr>
      <xdr:spPr>
        <a:xfrm rot="16200000">
          <a:off x="3314699" y="-1638301"/>
          <a:ext cx="238125" cy="39338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ssandro Riva" id="{D3AB5857-81A8-0C4D-8B64-2C029B840653}" userId="S::alessandro.riva@rgpballs.com::ffbb71a8-f030-4f77-81a6-aebaa7cd3869" providerId="AD"/>
  <person displayName="Gabriele Barzaghi - Keis Consulting" id="{F4ED8E5A-72DB-47E8-906E-AA5235C1031C}" userId="S::g.barzaghi@keisconsulting.it::86d655f4-da72-4ada-8b26-caaf6e206fb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FD0B2A-2429-47E8-BF83-8D5A248E9706}" name="Tabella3" displayName="Tabella3" ref="A1:K3551" totalsRowShown="0" headerRowDxfId="11" dataDxfId="10">
  <autoFilter ref="A1:K3551" xr:uid="{8AFD0B2A-2429-47E8-BF83-8D5A248E9706}">
    <filterColumn colId="1">
      <filters>
        <filter val="1085"/>
      </filters>
    </filterColumn>
  </autoFilter>
  <tableColumns count="11">
    <tableColumn id="1" xr3:uid="{5643C85A-C7A4-46C3-8BDC-11FEF2B95A11}" name="Chiave">
      <calculatedColumnFormula>CONCATENATE(B2,C2)</calculatedColumnFormula>
    </tableColumn>
    <tableColumn id="2" xr3:uid="{4671DBAC-8CEA-453B-A5FA-7C8FE586A560}" name="Materiale" dataDxfId="9"/>
    <tableColumn id="3" xr3:uid="{04D5F3FC-7C3D-4341-AA83-20EC0235FC7D}" name="Diametro" dataDxfId="8"/>
    <tableColumn id="4" xr3:uid="{6CC05C03-660E-4FBA-AAFE-171CAA9D9285}" name="Diametro2" dataDxfId="7"/>
    <tableColumn id="5" xr3:uid="{53C4655E-F99C-4D02-9FE8-2FFEFBF26C4D}" name="Diametro3" dataDxfId="6">
      <calculatedColumnFormula>D2/1000</calculatedColumnFormula>
    </tableColumn>
    <tableColumn id="6" xr3:uid="{0F21ECD6-6163-4E1F-B474-1FCEC0064950}" name="Raggio" dataDxfId="5">
      <calculatedColumnFormula>E2/2</calculatedColumnFormula>
    </tableColumn>
    <tableColumn id="7" xr3:uid="{5C1FA5F3-E773-4DCB-BAB4-BC24A04DDBA1}" name="Volume" dataDxfId="4">
      <calculatedColumnFormula>4/3*PI()*F2*F2*F2</calculatedColumnFormula>
    </tableColumn>
    <tableColumn id="8" xr3:uid="{516FF4C2-91AA-481E-87E9-9DF618C09A3A}" name="Densità" dataDxfId="3"/>
    <tableColumn id="9" xr3:uid="{0D62CD04-E0D4-4E50-B83D-63495A17D42B}" name="Peso sfera" dataDxfId="2">
      <calculatedColumnFormula>H2*G2</calculatedColumnFormula>
    </tableColumn>
    <tableColumn id="10" xr3:uid="{8B623D97-58AA-4D17-9C3B-0D28112EA4DA}" name="Peso totale" dataDxfId="1"/>
    <tableColumn id="11" xr3:uid="{639B88D7-3A6C-4A4C-9881-AC6C59B50ED3}" name="Numero" dataDxfId="0">
      <calculatedColumnFormula>J2/I2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" dT="2024-04-10T09:23:32.73" personId="{D3AB5857-81A8-0C4D-8B64-2C029B840653}" id="{D37DA431-3D39-3945-B49C-5A589D44F280}">
    <text xml:space="preserve">1,62 €/kg costo filo Ø 3,0mm C86D - mail Brio 09/04/2024 Chiara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0" dT="2023-03-16T10:45:32.19" personId="{F4ED8E5A-72DB-47E8-906E-AA5235C1031C}" id="{694C992D-71C0-4C73-8D95-EDB1EEF827E7}">
    <text>Comprende pescaggio filo, attrezzaggio stampo, filo, taglierina</text>
  </threadedComment>
  <threadedComment ref="C21" dT="2023-03-16T10:47:13.94" personId="{F4ED8E5A-72DB-47E8-906E-AA5235C1031C}" id="{871634EA-F8B6-4F98-A3AF-C8A3628A9332}">
    <text>Rabbocco olio, svuotamento contenitore</text>
  </threadedComment>
  <threadedComment ref="G27" dT="2023-03-30T12:49:09.52" personId="{F4ED8E5A-72DB-47E8-906E-AA5235C1031C}" id="{E8F49D39-65DC-44D0-8CE6-DB3E830F8908}">
    <text>0.38 €/Kw * 3 Kw di assorbimento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7" dT="2023-03-30T12:49:09.52" personId="{F4ED8E5A-72DB-47E8-906E-AA5235C1031C}" id="{7B8E8AFD-BB41-498B-8B48-8513CDECECD5}">
    <text>0.38 €/Kw * 10 Kw di assorbimento</text>
  </threadedComment>
  <threadedComment ref="G27" dT="2024-04-10T09:17:11.90" personId="{D3AB5857-81A8-0C4D-8B64-2C029B840653}" id="{23957F78-55E7-F642-B6BB-42BFAE78B73C}" parentId="{7B8E8AFD-BB41-498B-8B48-8513CDECECD5}">
    <text>Messo 0,15 €/kw nella formula per considerare l’ipotetico contributo del pannello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7" dT="2023-03-30T12:49:09.52" personId="{F4ED8E5A-72DB-47E8-906E-AA5235C1031C}" id="{2AE5D25F-989F-4D44-AC81-17DE3C81AB2A}">
    <text>0.38 €/Kw * 5 Kw di assorbimento</text>
  </threadedComment>
  <threadedComment ref="G27" dT="2024-04-10T09:19:25.69" personId="{D3AB5857-81A8-0C4D-8B64-2C029B840653}" id="{439E9778-7E51-5245-A920-C0E1896BAA38}" parentId="{2AE5D25F-989F-4D44-AC81-17DE3C81AB2A}">
    <text xml:space="preserve">Messo 0,15 fotovoltaico
</text>
  </threadedComment>
  <threadedComment ref="E32" dT="2024-04-10T09:18:04.77" personId="{D3AB5857-81A8-0C4D-8B64-2C029B840653}" id="{EDED5CDC-2CA6-4D47-AAC3-83ABCB12A25F}">
    <text>Dato fisso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G27" dT="2023-03-30T12:49:09.52" personId="{F4ED8E5A-72DB-47E8-906E-AA5235C1031C}" id="{EFC4E6ED-F87C-4C55-871A-FC01F86921E8}">
    <text>0.38 €/Kw * 2.5 Kw di assorbimento</text>
  </threadedComment>
  <threadedComment ref="G27" dT="2024-04-10T09:19:17.25" personId="{D3AB5857-81A8-0C4D-8B64-2C029B840653}" id="{6C5FC7E9-EA44-1B48-A431-22BFC4A54361}" parentId="{EFC4E6ED-F87C-4C55-871A-FC01F86921E8}">
    <text>Messo 0,15 fotovoltaico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0A63-A80B-4918-B2BA-C449526AD4DC}">
  <dimension ref="B1:I46"/>
  <sheetViews>
    <sheetView workbookViewId="0">
      <selection activeCell="Q34" sqref="Q34"/>
    </sheetView>
  </sheetViews>
  <sheetFormatPr defaultColWidth="8.85546875" defaultRowHeight="15" x14ac:dyDescent="0.25"/>
  <cols>
    <col min="1" max="1" width="1.28515625" customWidth="1"/>
    <col min="2" max="2" width="20.7109375" bestFit="1" customWidth="1"/>
    <col min="3" max="5" width="20.7109375" customWidth="1"/>
  </cols>
  <sheetData>
    <row r="1" spans="2:9" ht="7.5" customHeight="1" x14ac:dyDescent="0.25"/>
    <row r="2" spans="2:9" s="1" customFormat="1" x14ac:dyDescent="0.25">
      <c r="C2" s="118" t="s">
        <v>0</v>
      </c>
      <c r="D2" s="118"/>
      <c r="E2" s="118"/>
    </row>
    <row r="3" spans="2:9" s="1" customFormat="1" x14ac:dyDescent="0.25">
      <c r="C3" s="2"/>
      <c r="D3" s="3"/>
      <c r="F3" s="4"/>
    </row>
    <row r="4" spans="2:9" s="1" customFormat="1" x14ac:dyDescent="0.25">
      <c r="C4" s="118" t="s">
        <v>1</v>
      </c>
      <c r="D4" s="118"/>
    </row>
    <row r="6" spans="2:9" ht="18" customHeight="1" x14ac:dyDescent="0.25">
      <c r="C6" s="5" t="s">
        <v>2</v>
      </c>
      <c r="D6" s="5" t="s">
        <v>3</v>
      </c>
      <c r="E6" s="5" t="s">
        <v>4</v>
      </c>
    </row>
    <row r="7" spans="2:9" ht="18" customHeight="1" x14ac:dyDescent="0.25">
      <c r="B7" s="7" t="s">
        <v>5</v>
      </c>
      <c r="C7" s="6" t="s">
        <v>6</v>
      </c>
      <c r="D7" s="6" t="s">
        <v>6</v>
      </c>
      <c r="E7" s="6" t="s">
        <v>6</v>
      </c>
    </row>
    <row r="8" spans="2:9" ht="18" customHeight="1" x14ac:dyDescent="0.25">
      <c r="B8" s="7" t="s">
        <v>7</v>
      </c>
      <c r="C8" s="6" t="s">
        <v>8</v>
      </c>
      <c r="D8" s="6" t="s">
        <v>6</v>
      </c>
      <c r="E8" s="6" t="s">
        <v>6</v>
      </c>
    </row>
    <row r="9" spans="2:9" ht="18" customHeight="1" x14ac:dyDescent="0.25">
      <c r="B9" s="7" t="s">
        <v>9</v>
      </c>
      <c r="C9" s="6" t="s">
        <v>8</v>
      </c>
      <c r="D9" s="6" t="s">
        <v>8</v>
      </c>
      <c r="E9" s="6" t="s">
        <v>6</v>
      </c>
    </row>
    <row r="10" spans="2:9" ht="18" customHeight="1" x14ac:dyDescent="0.25">
      <c r="B10" s="7" t="s">
        <v>10</v>
      </c>
      <c r="C10" s="6" t="s">
        <v>8</v>
      </c>
      <c r="D10" s="6" t="s">
        <v>8</v>
      </c>
      <c r="E10" s="6" t="s">
        <v>8</v>
      </c>
    </row>
    <row r="13" spans="2:9" x14ac:dyDescent="0.25">
      <c r="B13" s="8" t="s">
        <v>11</v>
      </c>
      <c r="C13" s="9"/>
      <c r="D13" s="9"/>
      <c r="E13" s="9"/>
      <c r="F13" s="9"/>
      <c r="G13" s="9"/>
      <c r="H13" s="9"/>
      <c r="I13" s="10"/>
    </row>
    <row r="14" spans="2:9" x14ac:dyDescent="0.25">
      <c r="B14" s="11" t="s">
        <v>12</v>
      </c>
      <c r="C14" t="s">
        <v>13</v>
      </c>
      <c r="I14" s="12"/>
    </row>
    <row r="15" spans="2:9" x14ac:dyDescent="0.25">
      <c r="B15" s="13" t="s">
        <v>14</v>
      </c>
      <c r="C15" t="s">
        <v>15</v>
      </c>
      <c r="I15" s="12"/>
    </row>
    <row r="16" spans="2:9" x14ac:dyDescent="0.25">
      <c r="B16" s="13" t="s">
        <v>16</v>
      </c>
      <c r="C16" t="s">
        <v>17</v>
      </c>
      <c r="I16" s="12"/>
    </row>
    <row r="17" spans="2:9" x14ac:dyDescent="0.25">
      <c r="B17" s="13"/>
      <c r="I17" s="12"/>
    </row>
    <row r="18" spans="2:9" x14ac:dyDescent="0.25">
      <c r="B18" s="13" t="s">
        <v>18</v>
      </c>
      <c r="C18" t="s">
        <v>19</v>
      </c>
      <c r="I18" s="12"/>
    </row>
    <row r="19" spans="2:9" x14ac:dyDescent="0.25">
      <c r="B19" s="14"/>
      <c r="C19" s="15" t="s">
        <v>20</v>
      </c>
      <c r="D19" s="15"/>
      <c r="E19" s="15"/>
      <c r="F19" s="15"/>
      <c r="G19" s="15"/>
      <c r="H19" s="15"/>
      <c r="I19" s="16"/>
    </row>
    <row r="21" spans="2:9" x14ac:dyDescent="0.25">
      <c r="B21" s="8" t="s">
        <v>21</v>
      </c>
      <c r="C21" s="9"/>
      <c r="D21" s="9"/>
      <c r="E21" s="9"/>
      <c r="F21" s="9"/>
      <c r="G21" s="9"/>
      <c r="H21" s="9"/>
      <c r="I21" s="10"/>
    </row>
    <row r="22" spans="2:9" x14ac:dyDescent="0.25">
      <c r="B22" s="11" t="s">
        <v>12</v>
      </c>
      <c r="C22" t="s">
        <v>22</v>
      </c>
      <c r="I22" s="12"/>
    </row>
    <row r="23" spans="2:9" x14ac:dyDescent="0.25">
      <c r="B23" s="13" t="s">
        <v>14</v>
      </c>
      <c r="C23" t="s">
        <v>23</v>
      </c>
      <c r="I23" s="12"/>
    </row>
    <row r="24" spans="2:9" x14ac:dyDescent="0.25">
      <c r="B24" s="13" t="s">
        <v>16</v>
      </c>
      <c r="C24" t="s">
        <v>24</v>
      </c>
      <c r="I24" s="12"/>
    </row>
    <row r="25" spans="2:9" x14ac:dyDescent="0.25">
      <c r="B25" s="13"/>
      <c r="I25" s="12"/>
    </row>
    <row r="26" spans="2:9" x14ac:dyDescent="0.25">
      <c r="B26" s="13" t="s">
        <v>18</v>
      </c>
      <c r="C26" t="s">
        <v>25</v>
      </c>
      <c r="I26" s="12"/>
    </row>
    <row r="27" spans="2:9" x14ac:dyDescent="0.25">
      <c r="B27" s="13"/>
      <c r="C27" t="s">
        <v>26</v>
      </c>
      <c r="I27" s="12"/>
    </row>
    <row r="28" spans="2:9" x14ac:dyDescent="0.25">
      <c r="B28" s="13"/>
      <c r="C28" t="s">
        <v>27</v>
      </c>
      <c r="I28" s="12"/>
    </row>
    <row r="29" spans="2:9" x14ac:dyDescent="0.25">
      <c r="B29" s="13"/>
      <c r="C29" t="s">
        <v>28</v>
      </c>
      <c r="I29" s="12"/>
    </row>
    <row r="30" spans="2:9" x14ac:dyDescent="0.25">
      <c r="B30" s="14"/>
      <c r="C30" s="15" t="s">
        <v>29</v>
      </c>
      <c r="D30" s="15"/>
      <c r="E30" s="15"/>
      <c r="F30" s="15"/>
      <c r="G30" s="15"/>
      <c r="H30" s="15"/>
      <c r="I30" s="16"/>
    </row>
    <row r="32" spans="2:9" x14ac:dyDescent="0.25">
      <c r="B32" s="8" t="s">
        <v>30</v>
      </c>
      <c r="C32" s="9"/>
      <c r="D32" s="9"/>
      <c r="E32" s="9"/>
      <c r="F32" s="9"/>
      <c r="G32" s="9"/>
      <c r="H32" s="9"/>
      <c r="I32" s="10"/>
    </row>
    <row r="33" spans="2:9" x14ac:dyDescent="0.25">
      <c r="B33" s="11" t="s">
        <v>12</v>
      </c>
      <c r="C33" t="s">
        <v>22</v>
      </c>
      <c r="I33" s="12"/>
    </row>
    <row r="34" spans="2:9" x14ac:dyDescent="0.25">
      <c r="B34" s="13" t="s">
        <v>14</v>
      </c>
      <c r="C34" t="s">
        <v>31</v>
      </c>
      <c r="I34" s="12"/>
    </row>
    <row r="35" spans="2:9" x14ac:dyDescent="0.25">
      <c r="B35" s="13" t="s">
        <v>16</v>
      </c>
      <c r="C35" t="s">
        <v>32</v>
      </c>
      <c r="I35" s="12"/>
    </row>
    <row r="36" spans="2:9" x14ac:dyDescent="0.25">
      <c r="B36" s="13"/>
      <c r="I36" s="12"/>
    </row>
    <row r="37" spans="2:9" x14ac:dyDescent="0.25">
      <c r="B37" s="13" t="s">
        <v>18</v>
      </c>
      <c r="C37" t="s">
        <v>33</v>
      </c>
      <c r="I37" s="12"/>
    </row>
    <row r="38" spans="2:9" x14ac:dyDescent="0.25">
      <c r="B38" s="14"/>
      <c r="C38" s="15" t="s">
        <v>34</v>
      </c>
      <c r="D38" s="15"/>
      <c r="E38" s="15"/>
      <c r="F38" s="15"/>
      <c r="G38" s="15"/>
      <c r="H38" s="15"/>
      <c r="I38" s="16"/>
    </row>
    <row r="40" spans="2:9" x14ac:dyDescent="0.25">
      <c r="B40" s="8" t="s">
        <v>35</v>
      </c>
      <c r="C40" s="9"/>
      <c r="D40" s="9"/>
      <c r="E40" s="9"/>
      <c r="F40" s="9"/>
      <c r="G40" s="9"/>
      <c r="H40" s="9"/>
      <c r="I40" s="10"/>
    </row>
    <row r="41" spans="2:9" x14ac:dyDescent="0.25">
      <c r="B41" s="11" t="s">
        <v>12</v>
      </c>
      <c r="C41" t="s">
        <v>22</v>
      </c>
      <c r="I41" s="12"/>
    </row>
    <row r="42" spans="2:9" x14ac:dyDescent="0.25">
      <c r="B42" s="13" t="s">
        <v>14</v>
      </c>
      <c r="C42" t="s">
        <v>31</v>
      </c>
      <c r="I42" s="12"/>
    </row>
    <row r="43" spans="2:9" x14ac:dyDescent="0.25">
      <c r="B43" s="13" t="s">
        <v>16</v>
      </c>
      <c r="C43" t="s">
        <v>32</v>
      </c>
      <c r="I43" s="12"/>
    </row>
    <row r="44" spans="2:9" x14ac:dyDescent="0.25">
      <c r="B44" s="13"/>
      <c r="I44" s="12"/>
    </row>
    <row r="45" spans="2:9" x14ac:dyDescent="0.25">
      <c r="B45" s="13" t="s">
        <v>18</v>
      </c>
      <c r="C45" t="s">
        <v>33</v>
      </c>
      <c r="I45" s="12"/>
    </row>
    <row r="46" spans="2:9" x14ac:dyDescent="0.25">
      <c r="B46" s="14"/>
      <c r="C46" s="15" t="s">
        <v>34</v>
      </c>
      <c r="D46" s="15"/>
      <c r="E46" s="15"/>
      <c r="F46" s="15"/>
      <c r="G46" s="15"/>
      <c r="H46" s="15"/>
      <c r="I46" s="16"/>
    </row>
  </sheetData>
  <mergeCells count="2">
    <mergeCell ref="C4:D4"/>
    <mergeCell ref="C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6D25-10A4-4EB7-9EB6-D042475E10B6}">
  <sheetPr>
    <tabColor rgb="FF00B050"/>
  </sheetPr>
  <dimension ref="B1:J29"/>
  <sheetViews>
    <sheetView tabSelected="1" zoomScale="120" zoomScaleNormal="120" workbookViewId="0">
      <selection activeCell="F4" sqref="F4"/>
    </sheetView>
  </sheetViews>
  <sheetFormatPr defaultColWidth="9.140625" defaultRowHeight="15" x14ac:dyDescent="0.25"/>
  <cols>
    <col min="1" max="1" width="9.140625" style="43"/>
    <col min="2" max="2" width="45.28515625" style="43" customWidth="1"/>
    <col min="3" max="3" width="22.42578125" style="43" bestFit="1" customWidth="1"/>
    <col min="4" max="4" width="7.85546875" style="43" customWidth="1"/>
    <col min="5" max="5" width="1.85546875" style="43" customWidth="1"/>
    <col min="6" max="7" width="9.140625" style="43"/>
    <col min="8" max="8" width="13.140625" style="43" customWidth="1"/>
    <col min="9" max="9" width="12.85546875" style="43" customWidth="1"/>
    <col min="10" max="16384" width="9.140625" style="43"/>
  </cols>
  <sheetData>
    <row r="1" spans="2:8" ht="15.75" thickBot="1" x14ac:dyDescent="0.3"/>
    <row r="2" spans="2:8" ht="21.75" thickBot="1" x14ac:dyDescent="0.4">
      <c r="B2" s="119" t="s">
        <v>36</v>
      </c>
      <c r="C2" s="120"/>
    </row>
    <row r="3" spans="2:8" ht="15.75" x14ac:dyDescent="0.25">
      <c r="B3" s="77" t="s">
        <v>37</v>
      </c>
      <c r="C3" s="116"/>
    </row>
    <row r="4" spans="2:8" ht="15.75" x14ac:dyDescent="0.25">
      <c r="B4" s="78" t="s">
        <v>38</v>
      </c>
      <c r="C4" s="48"/>
    </row>
    <row r="5" spans="2:8" ht="15.75" x14ac:dyDescent="0.25">
      <c r="B5" s="78" t="s">
        <v>39</v>
      </c>
      <c r="C5" s="48"/>
    </row>
    <row r="6" spans="2:8" ht="15.75" x14ac:dyDescent="0.25">
      <c r="B6" s="78" t="s">
        <v>40</v>
      </c>
      <c r="C6" s="48" t="s">
        <v>435</v>
      </c>
    </row>
    <row r="7" spans="2:8" ht="15.75" x14ac:dyDescent="0.25">
      <c r="B7" s="78" t="s">
        <v>41</v>
      </c>
      <c r="C7" s="48"/>
    </row>
    <row r="8" spans="2:8" ht="15.75" x14ac:dyDescent="0.25">
      <c r="B8" s="78" t="s">
        <v>42</v>
      </c>
      <c r="C8" s="48"/>
      <c r="D8" s="117"/>
      <c r="E8" s="117"/>
      <c r="F8" s="117"/>
      <c r="G8" s="117"/>
    </row>
    <row r="9" spans="2:8" ht="15.75" x14ac:dyDescent="0.25">
      <c r="B9" s="78" t="s">
        <v>44</v>
      </c>
      <c r="C9" s="48">
        <v>3.9590000000000001</v>
      </c>
      <c r="D9" s="117"/>
      <c r="E9" s="117"/>
      <c r="F9" s="117"/>
      <c r="G9" s="117"/>
    </row>
    <row r="10" spans="2:8" ht="15.75" hidden="1" x14ac:dyDescent="0.25">
      <c r="B10" s="78" t="s">
        <v>45</v>
      </c>
      <c r="C10" s="48">
        <f>IF(C9="",VLOOKUP(C8,Tabella3[[#All],[Diametro]:[Diametro2]],2,FALSE),C9)</f>
        <v>3.9590000000000001</v>
      </c>
    </row>
    <row r="11" spans="2:8" ht="15.75" x14ac:dyDescent="0.25">
      <c r="B11" s="78" t="s">
        <v>46</v>
      </c>
      <c r="C11" s="48">
        <v>1085</v>
      </c>
    </row>
    <row r="12" spans="2:8" ht="15.75" x14ac:dyDescent="0.25">
      <c r="B12" s="78" t="s">
        <v>47</v>
      </c>
      <c r="C12" s="48">
        <v>3</v>
      </c>
    </row>
    <row r="13" spans="2:8" ht="15.75" x14ac:dyDescent="0.25">
      <c r="B13" s="78" t="s">
        <v>48</v>
      </c>
      <c r="C13" s="106">
        <f>VLOOKUP(CONCATENATE(C11,"Ø",C10),Tabella3[#All],11,FALSE)</f>
        <v>3920.8047503708149</v>
      </c>
    </row>
    <row r="14" spans="2:8" ht="15.75" x14ac:dyDescent="0.25">
      <c r="B14" s="78" t="s">
        <v>49</v>
      </c>
      <c r="C14" s="80">
        <v>260</v>
      </c>
      <c r="G14" s="43">
        <v>6.4670000000000005E-4</v>
      </c>
      <c r="H14" s="43">
        <f>+G14*C13</f>
        <v>2.5355844320648062</v>
      </c>
    </row>
    <row r="15" spans="2:8" ht="15.75" x14ac:dyDescent="0.25">
      <c r="B15" s="103" t="s">
        <v>50</v>
      </c>
      <c r="C15" s="104">
        <v>215</v>
      </c>
    </row>
    <row r="16" spans="2:8" ht="16.5" thickBot="1" x14ac:dyDescent="0.3">
      <c r="B16" s="79" t="s">
        <v>51</v>
      </c>
      <c r="C16" s="105">
        <f>C15*C13</f>
        <v>842973.02132972516</v>
      </c>
    </row>
    <row r="17" spans="2:10" ht="11.25" customHeight="1" thickBot="1" x14ac:dyDescent="0.3"/>
    <row r="18" spans="2:10" ht="15.75" x14ac:dyDescent="0.25">
      <c r="B18" s="63" t="s">
        <v>52</v>
      </c>
      <c r="C18" s="64">
        <f>+STAMPAGGIO!$C$6/$C$15/$C$13*1000</f>
        <v>0.12824692240048291</v>
      </c>
      <c r="D18" s="115">
        <f t="shared" ref="D18:D22" si="0">+C18/$H$22</f>
        <v>0.10304941730351605</v>
      </c>
    </row>
    <row r="19" spans="2:10" ht="15.75" x14ac:dyDescent="0.25">
      <c r="B19" s="65" t="s">
        <v>53</v>
      </c>
      <c r="C19" s="66">
        <f>+SGROSSATURA!$C$6/$C$15/$C$13*1000</f>
        <v>0.20315648359951827</v>
      </c>
      <c r="D19" s="115">
        <f t="shared" si="0"/>
        <v>0.16324101089136811</v>
      </c>
    </row>
    <row r="20" spans="2:10" ht="15.75" x14ac:dyDescent="0.25">
      <c r="B20" s="65" t="s">
        <v>54</v>
      </c>
      <c r="C20" s="66">
        <f>+RETTIFICA!$C$6/$C$15/$C$13*1000</f>
        <v>0.11344230708235359</v>
      </c>
      <c r="D20" s="115">
        <f t="shared" si="0"/>
        <v>9.1153560830860528E-2</v>
      </c>
    </row>
    <row r="21" spans="2:10" ht="16.5" thickBot="1" x14ac:dyDescent="0.3">
      <c r="B21" s="65" t="s">
        <v>55</v>
      </c>
      <c r="C21" s="66">
        <f>+LAPPATURA!$C$6/$C$15/$C$13*1000</f>
        <v>5.4453364733899001E-2</v>
      </c>
      <c r="D21" s="115">
        <f t="shared" si="0"/>
        <v>4.3754558791837275E-2</v>
      </c>
      <c r="E21" s="108"/>
    </row>
    <row r="22" spans="2:10" ht="21" customHeight="1" x14ac:dyDescent="0.25">
      <c r="B22" s="65" t="s">
        <v>56</v>
      </c>
      <c r="C22" s="66">
        <f>'Lavorazioni Esterne'!G4/$C$15/$C$13*1000</f>
        <v>0.24555946010404153</v>
      </c>
      <c r="D22" s="115">
        <f t="shared" si="0"/>
        <v>0.19731279942973659</v>
      </c>
      <c r="F22" s="121" t="s">
        <v>57</v>
      </c>
      <c r="G22" s="122"/>
      <c r="H22" s="127">
        <f>+C23+C28</f>
        <v>1.244518656740693</v>
      </c>
      <c r="I22" s="128"/>
    </row>
    <row r="23" spans="2:10" ht="29.45" customHeight="1" thickBot="1" x14ac:dyDescent="0.5">
      <c r="B23" s="49" t="s">
        <v>58</v>
      </c>
      <c r="C23" s="50">
        <f>SUM(C18:C22)</f>
        <v>0.74485853792029533</v>
      </c>
      <c r="D23" s="115">
        <f>+C23/$H$22</f>
        <v>0.59851134724731858</v>
      </c>
      <c r="F23" s="123"/>
      <c r="G23" s="124"/>
      <c r="H23" s="129"/>
      <c r="I23" s="130"/>
      <c r="J23" s="43">
        <f>+H22/1000</f>
        <v>1.2445186567406929E-3</v>
      </c>
    </row>
    <row r="24" spans="2:10" ht="21.6" customHeight="1" thickBot="1" x14ac:dyDescent="0.3">
      <c r="F24" s="123"/>
      <c r="G24" s="124"/>
      <c r="H24" s="129"/>
      <c r="I24" s="130"/>
    </row>
    <row r="25" spans="2:10" ht="21" customHeight="1" thickBot="1" x14ac:dyDescent="0.3">
      <c r="B25" s="109" t="s">
        <v>59</v>
      </c>
      <c r="C25" s="110">
        <f>+C14</f>
        <v>260</v>
      </c>
      <c r="F25" s="125"/>
      <c r="G25" s="126"/>
      <c r="H25" s="131"/>
      <c r="I25" s="132"/>
    </row>
    <row r="26" spans="2:10" x14ac:dyDescent="0.25">
      <c r="B26" s="111" t="s">
        <v>60</v>
      </c>
      <c r="C26" s="43">
        <v>1.62</v>
      </c>
    </row>
    <row r="27" spans="2:10" x14ac:dyDescent="0.25">
      <c r="B27" s="112" t="s">
        <v>61</v>
      </c>
      <c r="C27" s="113">
        <f>+C25*C26</f>
        <v>421.20000000000005</v>
      </c>
    </row>
    <row r="28" spans="2:10" ht="29.25" thickBot="1" x14ac:dyDescent="0.5">
      <c r="B28" s="49" t="s">
        <v>62</v>
      </c>
      <c r="C28" s="50">
        <f>C27/$C$15/$C$13*1000</f>
        <v>0.49966011882039763</v>
      </c>
      <c r="D28" s="115">
        <f>+C28/$H$22</f>
        <v>0.40148865275268142</v>
      </c>
    </row>
    <row r="29" spans="2:10" x14ac:dyDescent="0.25">
      <c r="D29" s="114"/>
    </row>
  </sheetData>
  <mergeCells count="3">
    <mergeCell ref="B2:C2"/>
    <mergeCell ref="F22:G25"/>
    <mergeCell ref="H22:I25"/>
  </mergeCells>
  <dataValidations disablePrompts="1" count="3">
    <dataValidation type="list" allowBlank="1" showInputMessage="1" showErrorMessage="1" sqref="C11" xr:uid="{FC445E53-0E43-43FC-B32F-B8D6F6213AD4}">
      <formula1>MATERIALE</formula1>
    </dataValidation>
    <dataValidation type="list" allowBlank="1" showInputMessage="1" showErrorMessage="1" sqref="C8" xr:uid="{C63CB6DA-67A0-4DB8-95F7-B168D0392094}">
      <formula1>DIAMETRO</formula1>
    </dataValidation>
    <dataValidation type="decimal" allowBlank="1" showInputMessage="1" showErrorMessage="1" error="Inserire un valore in millimetri" sqref="C9" xr:uid="{4B053940-5709-4706-A132-CCA6C37DA5D8}">
      <formula1>0</formula1>
      <formula2>1000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C880-981D-4DC5-8575-1B4F6009C72C}">
  <sheetPr>
    <tabColor rgb="FFFFC000"/>
  </sheetPr>
  <dimension ref="B2:H34"/>
  <sheetViews>
    <sheetView workbookViewId="0">
      <selection activeCell="B9" sqref="B9"/>
    </sheetView>
  </sheetViews>
  <sheetFormatPr defaultColWidth="9.140625" defaultRowHeight="15" x14ac:dyDescent="0.25"/>
  <cols>
    <col min="1" max="1" width="9.140625" style="43"/>
    <col min="2" max="2" width="29.42578125" style="43" bestFit="1" customWidth="1"/>
    <col min="3" max="3" width="24" style="43" bestFit="1" customWidth="1"/>
    <col min="4" max="4" width="19" style="43" customWidth="1"/>
    <col min="5" max="5" width="12.42578125" style="43" bestFit="1" customWidth="1"/>
    <col min="6" max="6" width="12" style="43" bestFit="1" customWidth="1"/>
    <col min="7" max="7" width="13.7109375" style="43" bestFit="1" customWidth="1"/>
    <col min="8" max="8" width="13.28515625" style="43" bestFit="1" customWidth="1"/>
    <col min="9" max="16384" width="9.140625" style="43"/>
  </cols>
  <sheetData>
    <row r="2" spans="2:8" x14ac:dyDescent="0.25">
      <c r="B2" s="44" t="s">
        <v>63</v>
      </c>
      <c r="C2" s="67" t="s">
        <v>64</v>
      </c>
    </row>
    <row r="3" spans="2:8" x14ac:dyDescent="0.25">
      <c r="B3" s="45" t="s">
        <v>65</v>
      </c>
      <c r="C3" s="68"/>
    </row>
    <row r="4" spans="2:8" x14ac:dyDescent="0.25">
      <c r="B4" s="45" t="s">
        <v>66</v>
      </c>
      <c r="C4" s="6">
        <v>80</v>
      </c>
    </row>
    <row r="5" spans="2:8" x14ac:dyDescent="0.25">
      <c r="B5" s="45" t="s">
        <v>67</v>
      </c>
      <c r="C5" s="68">
        <f>+C4*60</f>
        <v>4800</v>
      </c>
    </row>
    <row r="6" spans="2:8" ht="15.75" x14ac:dyDescent="0.25">
      <c r="B6" s="69" t="s">
        <v>68</v>
      </c>
      <c r="C6" s="70">
        <f>+H9+H17+H26</f>
        <v>108.10869565217391</v>
      </c>
    </row>
    <row r="8" spans="2:8" ht="15.75" x14ac:dyDescent="0.25">
      <c r="H8" s="59"/>
    </row>
    <row r="9" spans="2:8" ht="20.100000000000001" customHeight="1" x14ac:dyDescent="0.25">
      <c r="B9" s="61"/>
      <c r="C9" s="58"/>
      <c r="D9" s="58"/>
      <c r="E9" s="58"/>
      <c r="F9" s="58"/>
      <c r="G9" s="58"/>
      <c r="H9" s="60"/>
    </row>
    <row r="10" spans="2:8" ht="20.100000000000001" customHeight="1" x14ac:dyDescent="0.25">
      <c r="B10" s="45"/>
      <c r="C10" s="47"/>
      <c r="D10" s="47"/>
      <c r="E10" s="47"/>
      <c r="F10" s="47"/>
      <c r="G10" s="54"/>
      <c r="H10" s="51"/>
    </row>
    <row r="11" spans="2:8" ht="20.100000000000001" customHeight="1" x14ac:dyDescent="0.25">
      <c r="B11" s="45"/>
      <c r="C11" s="47"/>
      <c r="D11" s="47"/>
      <c r="E11" s="55"/>
      <c r="F11" s="47"/>
      <c r="G11" s="54"/>
      <c r="H11" s="51"/>
    </row>
    <row r="12" spans="2:8" ht="20.100000000000001" customHeight="1" x14ac:dyDescent="0.25">
      <c r="B12" s="45"/>
      <c r="C12" s="47"/>
      <c r="D12" s="47"/>
      <c r="E12" s="47"/>
      <c r="F12" s="47"/>
      <c r="G12" s="54"/>
      <c r="H12" s="51"/>
    </row>
    <row r="13" spans="2:8" ht="20.100000000000001" customHeight="1" x14ac:dyDescent="0.25">
      <c r="B13" s="45"/>
      <c r="C13" s="47"/>
      <c r="D13" s="47"/>
      <c r="E13" s="47"/>
      <c r="F13" s="47"/>
      <c r="G13" s="54"/>
      <c r="H13" s="51"/>
    </row>
    <row r="14" spans="2:8" ht="20.100000000000001" customHeight="1" x14ac:dyDescent="0.25">
      <c r="B14" s="46"/>
      <c r="C14" s="47"/>
      <c r="D14" s="47"/>
      <c r="E14" s="47"/>
      <c r="F14" s="47"/>
      <c r="G14" s="54"/>
      <c r="H14" s="51"/>
    </row>
    <row r="16" spans="2:8" ht="15.75" x14ac:dyDescent="0.25">
      <c r="H16" s="59" t="s">
        <v>69</v>
      </c>
    </row>
    <row r="17" spans="2:8" ht="20.100000000000001" customHeight="1" x14ac:dyDescent="0.25">
      <c r="B17" s="61" t="s">
        <v>77</v>
      </c>
      <c r="C17" s="58" t="s">
        <v>78</v>
      </c>
      <c r="D17" s="58" t="s">
        <v>79</v>
      </c>
      <c r="E17" s="58" t="s">
        <v>80</v>
      </c>
      <c r="F17" s="58" t="s">
        <v>81</v>
      </c>
      <c r="G17" s="58" t="s">
        <v>82</v>
      </c>
      <c r="H17" s="60">
        <f>SUM(H18:H23)</f>
        <v>4.5</v>
      </c>
    </row>
    <row r="18" spans="2:8" ht="20.100000000000001" customHeight="1" x14ac:dyDescent="0.25">
      <c r="B18" s="45"/>
      <c r="C18" s="43" t="s">
        <v>83</v>
      </c>
      <c r="D18" s="47"/>
      <c r="E18" s="47"/>
      <c r="F18" s="55">
        <f>+E18/60</f>
        <v>0</v>
      </c>
      <c r="G18" s="54">
        <v>4.5</v>
      </c>
      <c r="H18" s="51">
        <f>+F18*G18</f>
        <v>0</v>
      </c>
    </row>
    <row r="19" spans="2:8" ht="20.100000000000001" customHeight="1" x14ac:dyDescent="0.25">
      <c r="B19" s="45"/>
      <c r="C19" s="43" t="s">
        <v>84</v>
      </c>
      <c r="D19" s="47"/>
      <c r="E19" s="47"/>
      <c r="F19" s="55">
        <f t="shared" ref="F19:F23" si="0">+E19/60</f>
        <v>0</v>
      </c>
      <c r="G19" s="54">
        <v>4.5</v>
      </c>
      <c r="H19" s="51">
        <f t="shared" ref="H19:H23" si="1">+F19*G19</f>
        <v>0</v>
      </c>
    </row>
    <row r="20" spans="2:8" ht="20.100000000000001" customHeight="1" x14ac:dyDescent="0.25">
      <c r="B20" s="45"/>
      <c r="C20" s="43" t="s">
        <v>85</v>
      </c>
      <c r="D20" s="47" t="s">
        <v>86</v>
      </c>
      <c r="E20" s="47">
        <v>60</v>
      </c>
      <c r="F20" s="55">
        <f t="shared" si="0"/>
        <v>1</v>
      </c>
      <c r="G20" s="54">
        <v>4.5</v>
      </c>
      <c r="H20" s="51">
        <f t="shared" si="1"/>
        <v>4.5</v>
      </c>
    </row>
    <row r="21" spans="2:8" ht="20.100000000000001" customHeight="1" x14ac:dyDescent="0.25">
      <c r="B21" s="45"/>
      <c r="C21" s="43" t="s">
        <v>87</v>
      </c>
      <c r="D21" s="47" t="s">
        <v>86</v>
      </c>
      <c r="E21" s="47"/>
      <c r="F21" s="55">
        <f t="shared" si="0"/>
        <v>0</v>
      </c>
      <c r="G21" s="54">
        <v>4.5</v>
      </c>
      <c r="H21" s="51">
        <f t="shared" si="1"/>
        <v>0</v>
      </c>
    </row>
    <row r="22" spans="2:8" ht="20.100000000000001" customHeight="1" x14ac:dyDescent="0.25">
      <c r="B22" s="45"/>
      <c r="C22" s="43" t="s">
        <v>88</v>
      </c>
      <c r="D22" s="47"/>
      <c r="E22" s="47">
        <v>0</v>
      </c>
      <c r="F22" s="55">
        <f t="shared" si="0"/>
        <v>0</v>
      </c>
      <c r="G22" s="54"/>
      <c r="H22" s="51">
        <f t="shared" si="1"/>
        <v>0</v>
      </c>
    </row>
    <row r="23" spans="2:8" ht="20.100000000000001" customHeight="1" x14ac:dyDescent="0.25">
      <c r="B23" s="46"/>
      <c r="C23" s="57" t="s">
        <v>89</v>
      </c>
      <c r="D23" s="47"/>
      <c r="E23" s="47">
        <v>0</v>
      </c>
      <c r="F23" s="55">
        <f t="shared" si="0"/>
        <v>0</v>
      </c>
      <c r="G23" s="54"/>
      <c r="H23" s="51">
        <f t="shared" si="1"/>
        <v>0</v>
      </c>
    </row>
    <row r="25" spans="2:8" ht="15.75" x14ac:dyDescent="0.25">
      <c r="H25" s="59" t="s">
        <v>69</v>
      </c>
    </row>
    <row r="26" spans="2:8" ht="20.100000000000001" customHeight="1" x14ac:dyDescent="0.25">
      <c r="B26" s="62" t="s">
        <v>90</v>
      </c>
      <c r="C26" s="58" t="s">
        <v>91</v>
      </c>
      <c r="D26" s="58" t="s">
        <v>92</v>
      </c>
      <c r="E26" s="58" t="s">
        <v>73</v>
      </c>
      <c r="F26" s="58" t="s">
        <v>74</v>
      </c>
      <c r="G26" s="58" t="s">
        <v>75</v>
      </c>
      <c r="H26" s="60">
        <f>SUM(H27:H34)</f>
        <v>103.60869565217391</v>
      </c>
    </row>
    <row r="27" spans="2:8" ht="20.100000000000001" customHeight="1" x14ac:dyDescent="0.25">
      <c r="B27" s="45"/>
      <c r="C27" s="43" t="s">
        <v>93</v>
      </c>
      <c r="D27" s="47" t="s">
        <v>94</v>
      </c>
      <c r="E27" s="47">
        <f>+$C$4</f>
        <v>80</v>
      </c>
      <c r="F27" s="55" t="s">
        <v>95</v>
      </c>
      <c r="G27" s="54">
        <f>0.15*3</f>
        <v>0.44999999999999996</v>
      </c>
      <c r="H27" s="51">
        <f>+G27*E27</f>
        <v>36</v>
      </c>
    </row>
    <row r="28" spans="2:8" ht="20.100000000000001" customHeight="1" x14ac:dyDescent="0.25">
      <c r="B28" s="45"/>
      <c r="C28" s="43" t="s">
        <v>96</v>
      </c>
      <c r="D28" s="47" t="s">
        <v>94</v>
      </c>
      <c r="E28" s="47">
        <f t="shared" ref="E28:E30" si="2">+$C$4*60</f>
        <v>4800</v>
      </c>
      <c r="F28" s="55" t="s">
        <v>97</v>
      </c>
      <c r="G28" s="54">
        <v>4.0257648953301124E-3</v>
      </c>
      <c r="H28" s="51">
        <f t="shared" ref="H28:H34" si="3">+G28*E28</f>
        <v>19.323671497584538</v>
      </c>
    </row>
    <row r="29" spans="2:8" ht="20.100000000000001" customHeight="1" x14ac:dyDescent="0.25">
      <c r="B29" s="45"/>
      <c r="D29" s="53"/>
      <c r="E29" s="47"/>
      <c r="F29"/>
      <c r="G29" s="54"/>
      <c r="H29" s="51">
        <f t="shared" si="3"/>
        <v>0</v>
      </c>
    </row>
    <row r="30" spans="2:8" ht="20.100000000000001" customHeight="1" x14ac:dyDescent="0.25">
      <c r="B30" s="45"/>
      <c r="C30" s="43" t="s">
        <v>98</v>
      </c>
      <c r="D30" s="47" t="s">
        <v>94</v>
      </c>
      <c r="E30" s="47">
        <f t="shared" si="2"/>
        <v>4800</v>
      </c>
      <c r="F30" s="55" t="s">
        <v>97</v>
      </c>
      <c r="G30" s="54">
        <v>1.0059380032206119E-2</v>
      </c>
      <c r="H30" s="51">
        <f t="shared" si="3"/>
        <v>48.285024154589372</v>
      </c>
    </row>
    <row r="31" spans="2:8" ht="20.100000000000001" customHeight="1" x14ac:dyDescent="0.25">
      <c r="B31" s="45"/>
      <c r="D31" s="47"/>
      <c r="E31" s="47"/>
      <c r="F31" s="55"/>
      <c r="G31" s="54"/>
      <c r="H31" s="51">
        <f t="shared" si="3"/>
        <v>0</v>
      </c>
    </row>
    <row r="32" spans="2:8" ht="20.100000000000001" customHeight="1" x14ac:dyDescent="0.25">
      <c r="B32" s="45"/>
      <c r="D32" s="47"/>
      <c r="E32" s="47"/>
      <c r="F32" s="55"/>
      <c r="G32" s="54"/>
      <c r="H32" s="51">
        <f t="shared" si="3"/>
        <v>0</v>
      </c>
    </row>
    <row r="33" spans="2:8" ht="20.100000000000001" customHeight="1" x14ac:dyDescent="0.25">
      <c r="B33" s="45"/>
      <c r="D33" s="47"/>
      <c r="E33" s="47"/>
      <c r="F33" s="55"/>
      <c r="G33" s="54"/>
      <c r="H33" s="51">
        <f t="shared" si="3"/>
        <v>0</v>
      </c>
    </row>
    <row r="34" spans="2:8" ht="20.100000000000001" customHeight="1" x14ac:dyDescent="0.25">
      <c r="B34" s="46"/>
      <c r="C34" s="57"/>
      <c r="D34" s="47"/>
      <c r="E34" s="47"/>
      <c r="F34" s="55"/>
      <c r="G34" s="54"/>
      <c r="H34" s="51">
        <f t="shared" si="3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BB11-D572-444A-AE9D-1F7B41800F7B}">
  <sheetPr>
    <tabColor rgb="FFFFC000"/>
  </sheetPr>
  <dimension ref="B2:H34"/>
  <sheetViews>
    <sheetView topLeftCell="C18" zoomScale="190" zoomScaleNormal="190" workbookViewId="0">
      <selection activeCell="G27" sqref="G27"/>
    </sheetView>
  </sheetViews>
  <sheetFormatPr defaultColWidth="9.140625" defaultRowHeight="15" x14ac:dyDescent="0.25"/>
  <cols>
    <col min="1" max="1" width="9.140625" style="43"/>
    <col min="2" max="2" width="29.42578125" style="43" bestFit="1" customWidth="1"/>
    <col min="3" max="3" width="24" style="43" bestFit="1" customWidth="1"/>
    <col min="4" max="4" width="19" style="43" customWidth="1"/>
    <col min="5" max="5" width="12.42578125" style="43" bestFit="1" customWidth="1"/>
    <col min="6" max="6" width="12" style="43" bestFit="1" customWidth="1"/>
    <col min="7" max="7" width="13.7109375" style="43" bestFit="1" customWidth="1"/>
    <col min="8" max="8" width="13.28515625" style="43" bestFit="1" customWidth="1"/>
    <col min="9" max="16384" width="9.140625" style="43"/>
  </cols>
  <sheetData>
    <row r="2" spans="2:8" x14ac:dyDescent="0.25">
      <c r="B2" s="44" t="s">
        <v>63</v>
      </c>
      <c r="C2" s="67" t="s">
        <v>99</v>
      </c>
    </row>
    <row r="3" spans="2:8" x14ac:dyDescent="0.25">
      <c r="B3" s="45" t="s">
        <v>65</v>
      </c>
      <c r="C3" s="68"/>
    </row>
    <row r="4" spans="2:8" x14ac:dyDescent="0.25">
      <c r="B4" s="45" t="s">
        <v>66</v>
      </c>
      <c r="C4" s="6">
        <v>50</v>
      </c>
    </row>
    <row r="5" spans="2:8" x14ac:dyDescent="0.25">
      <c r="B5" s="45" t="s">
        <v>67</v>
      </c>
      <c r="C5" s="68">
        <f>+C4*60</f>
        <v>3000</v>
      </c>
    </row>
    <row r="6" spans="2:8" ht="15.75" x14ac:dyDescent="0.25">
      <c r="B6" s="69" t="s">
        <v>68</v>
      </c>
      <c r="C6" s="70">
        <f>+H9+H17+H26</f>
        <v>171.25543478260869</v>
      </c>
    </row>
    <row r="8" spans="2:8" ht="15.75" x14ac:dyDescent="0.25">
      <c r="H8" s="59" t="s">
        <v>69</v>
      </c>
    </row>
    <row r="9" spans="2:8" ht="20.100000000000001" customHeight="1" x14ac:dyDescent="0.25">
      <c r="B9" s="61" t="s">
        <v>70</v>
      </c>
      <c r="C9" s="58" t="s">
        <v>71</v>
      </c>
      <c r="D9" s="58" t="s">
        <v>72</v>
      </c>
      <c r="E9" s="58" t="s">
        <v>73</v>
      </c>
      <c r="F9" s="58" t="s">
        <v>74</v>
      </c>
      <c r="G9" s="58" t="s">
        <v>75</v>
      </c>
      <c r="H9" s="60">
        <f>SUM(H10:H14)</f>
        <v>0</v>
      </c>
    </row>
    <row r="10" spans="2:8" ht="20.100000000000001" customHeight="1" x14ac:dyDescent="0.25">
      <c r="B10" s="45"/>
      <c r="C10" s="47"/>
      <c r="D10" s="47" t="s">
        <v>100</v>
      </c>
      <c r="E10" s="47"/>
      <c r="F10" s="47" t="s">
        <v>101</v>
      </c>
      <c r="G10" s="54">
        <v>0</v>
      </c>
      <c r="H10" s="51">
        <f>+E10*G10</f>
        <v>0</v>
      </c>
    </row>
    <row r="11" spans="2:8" ht="20.100000000000001" customHeight="1" x14ac:dyDescent="0.25">
      <c r="B11" s="45"/>
      <c r="C11" s="47"/>
      <c r="D11" s="47" t="s">
        <v>102</v>
      </c>
      <c r="E11" s="55"/>
      <c r="F11" s="47" t="s">
        <v>101</v>
      </c>
      <c r="G11" s="54">
        <v>0.32</v>
      </c>
      <c r="H11" s="51">
        <f t="shared" ref="H11:H14" si="0">+E11*G11</f>
        <v>0</v>
      </c>
    </row>
    <row r="12" spans="2:8" ht="20.100000000000001" customHeight="1" x14ac:dyDescent="0.25">
      <c r="B12" s="45"/>
      <c r="C12" s="47"/>
      <c r="D12" s="47"/>
      <c r="E12" s="47"/>
      <c r="F12" s="47"/>
      <c r="G12" s="54"/>
      <c r="H12" s="51">
        <f t="shared" si="0"/>
        <v>0</v>
      </c>
    </row>
    <row r="13" spans="2:8" ht="20.100000000000001" customHeight="1" x14ac:dyDescent="0.25">
      <c r="B13" s="45"/>
      <c r="C13" s="47"/>
      <c r="D13" s="47"/>
      <c r="E13" s="47"/>
      <c r="F13" s="47"/>
      <c r="G13" s="54"/>
      <c r="H13" s="51">
        <f t="shared" si="0"/>
        <v>0</v>
      </c>
    </row>
    <row r="14" spans="2:8" ht="20.100000000000001" customHeight="1" x14ac:dyDescent="0.25">
      <c r="B14" s="46"/>
      <c r="C14" s="47"/>
      <c r="D14" s="47"/>
      <c r="E14" s="47"/>
      <c r="F14" s="47"/>
      <c r="G14" s="54"/>
      <c r="H14" s="51">
        <f t="shared" si="0"/>
        <v>0</v>
      </c>
    </row>
    <row r="16" spans="2:8" ht="15.75" x14ac:dyDescent="0.25">
      <c r="H16" s="59" t="s">
        <v>69</v>
      </c>
    </row>
    <row r="17" spans="2:8" ht="20.100000000000001" customHeight="1" x14ac:dyDescent="0.25">
      <c r="B17" s="61" t="s">
        <v>77</v>
      </c>
      <c r="C17" s="58" t="s">
        <v>78</v>
      </c>
      <c r="D17" s="58" t="s">
        <v>79</v>
      </c>
      <c r="E17" s="58" t="s">
        <v>80</v>
      </c>
      <c r="F17" s="58" t="s">
        <v>81</v>
      </c>
      <c r="G17" s="58" t="s">
        <v>82</v>
      </c>
      <c r="H17" s="60">
        <f>SUM(H18:H23)</f>
        <v>9</v>
      </c>
    </row>
    <row r="18" spans="2:8" ht="20.100000000000001" customHeight="1" x14ac:dyDescent="0.25">
      <c r="B18" s="45"/>
      <c r="C18" s="43" t="s">
        <v>83</v>
      </c>
      <c r="D18" s="47"/>
      <c r="E18" s="47"/>
      <c r="F18" s="55">
        <f>+E18/60</f>
        <v>0</v>
      </c>
      <c r="G18" s="54"/>
      <c r="H18" s="51">
        <f>+F18*G18</f>
        <v>0</v>
      </c>
    </row>
    <row r="19" spans="2:8" ht="20.100000000000001" customHeight="1" x14ac:dyDescent="0.25">
      <c r="B19" s="45"/>
      <c r="C19" s="43" t="s">
        <v>84</v>
      </c>
      <c r="D19" s="47"/>
      <c r="E19" s="47"/>
      <c r="F19" s="55">
        <f t="shared" ref="F19:F23" si="1">+E19/60</f>
        <v>0</v>
      </c>
      <c r="G19" s="54"/>
      <c r="H19" s="51">
        <f t="shared" ref="H19:H23" si="2">+F19*G19</f>
        <v>0</v>
      </c>
    </row>
    <row r="20" spans="2:8" ht="20.100000000000001" customHeight="1" x14ac:dyDescent="0.25">
      <c r="B20" s="45"/>
      <c r="C20" s="43" t="s">
        <v>85</v>
      </c>
      <c r="D20" s="47"/>
      <c r="E20" s="47">
        <v>60</v>
      </c>
      <c r="F20" s="55">
        <f t="shared" si="1"/>
        <v>1</v>
      </c>
      <c r="G20" s="54">
        <v>4.5</v>
      </c>
      <c r="H20" s="51">
        <f t="shared" si="2"/>
        <v>4.5</v>
      </c>
    </row>
    <row r="21" spans="2:8" ht="20.100000000000001" customHeight="1" x14ac:dyDescent="0.25">
      <c r="B21" s="45"/>
      <c r="C21" s="43" t="s">
        <v>87</v>
      </c>
      <c r="D21" s="47"/>
      <c r="E21" s="47"/>
      <c r="F21" s="55">
        <f t="shared" si="1"/>
        <v>0</v>
      </c>
      <c r="G21" s="54"/>
      <c r="H21" s="51">
        <f t="shared" si="2"/>
        <v>0</v>
      </c>
    </row>
    <row r="22" spans="2:8" ht="20.100000000000001" customHeight="1" x14ac:dyDescent="0.25">
      <c r="B22" s="45"/>
      <c r="C22" s="43" t="s">
        <v>88</v>
      </c>
      <c r="D22" s="47"/>
      <c r="E22" s="47"/>
      <c r="F22" s="55">
        <f t="shared" si="1"/>
        <v>0</v>
      </c>
      <c r="G22" s="54"/>
      <c r="H22" s="51">
        <f t="shared" si="2"/>
        <v>0</v>
      </c>
    </row>
    <row r="23" spans="2:8" ht="20.100000000000001" customHeight="1" x14ac:dyDescent="0.25">
      <c r="B23" s="46"/>
      <c r="C23" s="57" t="s">
        <v>89</v>
      </c>
      <c r="D23" s="47"/>
      <c r="E23" s="47">
        <v>60</v>
      </c>
      <c r="F23" s="55">
        <f t="shared" si="1"/>
        <v>1</v>
      </c>
      <c r="G23" s="54">
        <v>4.5</v>
      </c>
      <c r="H23" s="51">
        <f t="shared" si="2"/>
        <v>4.5</v>
      </c>
    </row>
    <row r="25" spans="2:8" ht="15.75" x14ac:dyDescent="0.25">
      <c r="H25" s="59" t="s">
        <v>69</v>
      </c>
    </row>
    <row r="26" spans="2:8" ht="20.100000000000001" customHeight="1" x14ac:dyDescent="0.25">
      <c r="B26" s="62" t="s">
        <v>90</v>
      </c>
      <c r="C26" s="58" t="s">
        <v>91</v>
      </c>
      <c r="D26" s="58" t="s">
        <v>92</v>
      </c>
      <c r="E26" s="58" t="s">
        <v>73</v>
      </c>
      <c r="F26" s="58" t="s">
        <v>74</v>
      </c>
      <c r="G26" s="58" t="s">
        <v>75</v>
      </c>
      <c r="H26" s="60">
        <f>SUM(H27:H34)</f>
        <v>162.25543478260869</v>
      </c>
    </row>
    <row r="27" spans="2:8" ht="20.100000000000001" customHeight="1" x14ac:dyDescent="0.25">
      <c r="B27" s="45"/>
      <c r="C27" s="43" t="s">
        <v>93</v>
      </c>
      <c r="D27" s="47" t="s">
        <v>94</v>
      </c>
      <c r="E27" s="47">
        <f>+C4</f>
        <v>50</v>
      </c>
      <c r="F27" s="55" t="s">
        <v>95</v>
      </c>
      <c r="G27" s="54">
        <f>0.15*10</f>
        <v>1.5</v>
      </c>
      <c r="H27" s="51">
        <f>+G27*E27</f>
        <v>75</v>
      </c>
    </row>
    <row r="28" spans="2:8" ht="20.100000000000001" customHeight="1" x14ac:dyDescent="0.25">
      <c r="B28" s="45"/>
      <c r="C28" s="43" t="s">
        <v>96</v>
      </c>
      <c r="D28" s="47" t="s">
        <v>94</v>
      </c>
      <c r="E28" s="47">
        <f>+$C$4*60</f>
        <v>3000</v>
      </c>
      <c r="F28" s="55" t="s">
        <v>97</v>
      </c>
      <c r="G28" s="54">
        <v>4.0257648953301124E-3</v>
      </c>
      <c r="H28" s="51">
        <f t="shared" ref="H28:H34" si="3">+G28*E28</f>
        <v>12.077294685990337</v>
      </c>
    </row>
    <row r="29" spans="2:8" ht="20.100000000000001" customHeight="1" x14ac:dyDescent="0.25">
      <c r="B29" s="45"/>
      <c r="D29" s="53"/>
      <c r="E29" s="47"/>
      <c r="F29"/>
      <c r="G29" s="54"/>
      <c r="H29" s="51">
        <f t="shared" si="3"/>
        <v>0</v>
      </c>
    </row>
    <row r="30" spans="2:8" ht="20.100000000000001" customHeight="1" x14ac:dyDescent="0.25">
      <c r="B30" s="45"/>
      <c r="C30" s="43" t="s">
        <v>98</v>
      </c>
      <c r="D30" s="47" t="s">
        <v>94</v>
      </c>
      <c r="E30" s="47">
        <f t="shared" ref="E30" si="4">+$C$4*60</f>
        <v>3000</v>
      </c>
      <c r="F30" s="55" t="s">
        <v>97</v>
      </c>
      <c r="G30" s="54">
        <v>1.0059380032206119E-2</v>
      </c>
      <c r="H30" s="51">
        <f t="shared" si="3"/>
        <v>30.178140096618357</v>
      </c>
    </row>
    <row r="31" spans="2:8" ht="20.100000000000001" customHeight="1" x14ac:dyDescent="0.25">
      <c r="B31" s="45"/>
      <c r="C31" s="43" t="s">
        <v>103</v>
      </c>
      <c r="D31" s="47"/>
      <c r="E31" s="47"/>
      <c r="F31" s="55" t="s">
        <v>76</v>
      </c>
      <c r="G31" s="54">
        <v>1</v>
      </c>
      <c r="H31" s="51">
        <f t="shared" si="3"/>
        <v>0</v>
      </c>
    </row>
    <row r="32" spans="2:8" ht="20.100000000000001" customHeight="1" x14ac:dyDescent="0.25">
      <c r="B32" s="45"/>
      <c r="C32" s="43" t="s">
        <v>104</v>
      </c>
      <c r="D32" s="47"/>
      <c r="E32" s="47">
        <f>'Riepilogo Lotto-Commessa'!C14-'Riepilogo Lotto-Commessa'!C15</f>
        <v>45</v>
      </c>
      <c r="F32" s="55" t="s">
        <v>76</v>
      </c>
      <c r="G32" s="54">
        <v>1</v>
      </c>
      <c r="H32" s="51">
        <f t="shared" si="3"/>
        <v>45</v>
      </c>
    </row>
    <row r="33" spans="2:8" ht="20.100000000000001" customHeight="1" x14ac:dyDescent="0.25">
      <c r="B33" s="45"/>
      <c r="D33" s="47"/>
      <c r="E33" s="47"/>
      <c r="F33" s="55"/>
      <c r="G33" s="54"/>
      <c r="H33" s="51">
        <f t="shared" si="3"/>
        <v>0</v>
      </c>
    </row>
    <row r="34" spans="2:8" ht="20.100000000000001" customHeight="1" x14ac:dyDescent="0.25">
      <c r="B34" s="46"/>
      <c r="C34" s="57"/>
      <c r="D34" s="47"/>
      <c r="E34" s="47"/>
      <c r="F34" s="55"/>
      <c r="G34" s="54"/>
      <c r="H34" s="51">
        <f t="shared" si="3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2651-E2D7-4E4C-B9ED-50FA479D46B9}">
  <sheetPr>
    <tabColor rgb="FFFFC000"/>
  </sheetPr>
  <dimension ref="B2:H34"/>
  <sheetViews>
    <sheetView topLeftCell="A17" zoomScale="160" zoomScaleNormal="160" workbookViewId="0">
      <selection activeCell="J33" sqref="J33"/>
    </sheetView>
  </sheetViews>
  <sheetFormatPr defaultColWidth="9.140625" defaultRowHeight="15" x14ac:dyDescent="0.25"/>
  <cols>
    <col min="1" max="1" width="9.140625" style="43"/>
    <col min="2" max="2" width="29.42578125" style="43" bestFit="1" customWidth="1"/>
    <col min="3" max="3" width="24" style="43" bestFit="1" customWidth="1"/>
    <col min="4" max="4" width="19" style="43" customWidth="1"/>
    <col min="5" max="5" width="12.42578125" style="43" bestFit="1" customWidth="1"/>
    <col min="6" max="6" width="12" style="43" bestFit="1" customWidth="1"/>
    <col min="7" max="7" width="13.7109375" style="43" bestFit="1" customWidth="1"/>
    <col min="8" max="8" width="13.28515625" style="43" bestFit="1" customWidth="1"/>
    <col min="9" max="16384" width="9.140625" style="43"/>
  </cols>
  <sheetData>
    <row r="2" spans="2:8" x14ac:dyDescent="0.25">
      <c r="B2" s="44" t="s">
        <v>63</v>
      </c>
      <c r="C2" s="67" t="s">
        <v>105</v>
      </c>
    </row>
    <row r="3" spans="2:8" x14ac:dyDescent="0.25">
      <c r="B3" s="45" t="s">
        <v>65</v>
      </c>
      <c r="C3" s="68"/>
    </row>
    <row r="4" spans="2:8" x14ac:dyDescent="0.25">
      <c r="B4" s="45" t="s">
        <v>66</v>
      </c>
      <c r="C4" s="6">
        <v>35</v>
      </c>
    </row>
    <row r="5" spans="2:8" x14ac:dyDescent="0.25">
      <c r="B5" s="45" t="s">
        <v>67</v>
      </c>
      <c r="C5" s="68">
        <f>+C4*60</f>
        <v>2100</v>
      </c>
    </row>
    <row r="6" spans="2:8" ht="15.75" x14ac:dyDescent="0.25">
      <c r="B6" s="69" t="s">
        <v>68</v>
      </c>
      <c r="C6" s="70">
        <f>+H9+H17+H26</f>
        <v>95.62880434782609</v>
      </c>
    </row>
    <row r="8" spans="2:8" ht="15.75" x14ac:dyDescent="0.25">
      <c r="H8" s="59" t="s">
        <v>69</v>
      </c>
    </row>
    <row r="9" spans="2:8" ht="20.100000000000001" customHeight="1" x14ac:dyDescent="0.25">
      <c r="B9" s="61" t="s">
        <v>70</v>
      </c>
      <c r="C9" s="58" t="s">
        <v>71</v>
      </c>
      <c r="D9" s="58" t="s">
        <v>72</v>
      </c>
      <c r="E9" s="58" t="s">
        <v>73</v>
      </c>
      <c r="F9" s="58" t="s">
        <v>74</v>
      </c>
      <c r="G9" s="58" t="s">
        <v>75</v>
      </c>
      <c r="H9" s="60">
        <f>SUM(H10:H14)</f>
        <v>4.8</v>
      </c>
    </row>
    <row r="10" spans="2:8" ht="20.100000000000001" customHeight="1" x14ac:dyDescent="0.25">
      <c r="B10" s="45"/>
      <c r="C10" s="47"/>
      <c r="D10" s="47" t="s">
        <v>100</v>
      </c>
      <c r="E10" s="47"/>
      <c r="F10" s="47" t="s">
        <v>101</v>
      </c>
      <c r="G10" s="54">
        <v>0</v>
      </c>
      <c r="H10" s="51">
        <f>+E10*G10</f>
        <v>0</v>
      </c>
    </row>
    <row r="11" spans="2:8" ht="20.100000000000001" customHeight="1" x14ac:dyDescent="0.25">
      <c r="B11" s="45"/>
      <c r="C11" s="47"/>
      <c r="D11" s="47" t="s">
        <v>102</v>
      </c>
      <c r="E11" s="55">
        <v>15</v>
      </c>
      <c r="F11" s="47" t="s">
        <v>101</v>
      </c>
      <c r="G11" s="54">
        <v>0.32</v>
      </c>
      <c r="H11" s="51">
        <f t="shared" ref="H11:H14" si="0">+E11*G11</f>
        <v>4.8</v>
      </c>
    </row>
    <row r="12" spans="2:8" ht="20.100000000000001" customHeight="1" x14ac:dyDescent="0.25">
      <c r="B12" s="45"/>
      <c r="C12" s="47"/>
      <c r="D12" s="47"/>
      <c r="E12" s="47"/>
      <c r="F12" s="47"/>
      <c r="G12" s="54"/>
      <c r="H12" s="51">
        <f t="shared" si="0"/>
        <v>0</v>
      </c>
    </row>
    <row r="13" spans="2:8" ht="20.100000000000001" customHeight="1" x14ac:dyDescent="0.25">
      <c r="B13" s="45"/>
      <c r="C13" s="47"/>
      <c r="D13" s="47"/>
      <c r="E13" s="47"/>
      <c r="F13" s="47"/>
      <c r="G13" s="54"/>
      <c r="H13" s="51">
        <f t="shared" si="0"/>
        <v>0</v>
      </c>
    </row>
    <row r="14" spans="2:8" ht="20.100000000000001" customHeight="1" x14ac:dyDescent="0.25">
      <c r="B14" s="46"/>
      <c r="C14" s="47"/>
      <c r="D14" s="47"/>
      <c r="E14" s="47"/>
      <c r="F14" s="47"/>
      <c r="G14" s="54"/>
      <c r="H14" s="51">
        <f t="shared" si="0"/>
        <v>0</v>
      </c>
    </row>
    <row r="16" spans="2:8" ht="15.75" x14ac:dyDescent="0.25">
      <c r="H16" s="59" t="s">
        <v>69</v>
      </c>
    </row>
    <row r="17" spans="2:8" ht="20.100000000000001" customHeight="1" x14ac:dyDescent="0.25">
      <c r="B17" s="61" t="s">
        <v>77</v>
      </c>
      <c r="C17" s="58" t="s">
        <v>78</v>
      </c>
      <c r="D17" s="58" t="s">
        <v>79</v>
      </c>
      <c r="E17" s="58" t="s">
        <v>80</v>
      </c>
      <c r="F17" s="58" t="s">
        <v>81</v>
      </c>
      <c r="G17" s="58" t="s">
        <v>82</v>
      </c>
      <c r="H17" s="60">
        <f>SUM(H18:H23)</f>
        <v>18</v>
      </c>
    </row>
    <row r="18" spans="2:8" ht="20.100000000000001" customHeight="1" x14ac:dyDescent="0.25">
      <c r="B18" s="45"/>
      <c r="C18" s="43" t="s">
        <v>83</v>
      </c>
      <c r="D18" s="47"/>
      <c r="E18" s="47"/>
      <c r="F18" s="52">
        <f>+E18/60</f>
        <v>0</v>
      </c>
      <c r="G18" s="54"/>
      <c r="H18" s="51">
        <f>+F18*G18</f>
        <v>0</v>
      </c>
    </row>
    <row r="19" spans="2:8" ht="20.100000000000001" customHeight="1" x14ac:dyDescent="0.25">
      <c r="B19" s="45"/>
      <c r="C19" s="43" t="s">
        <v>84</v>
      </c>
      <c r="D19" s="47"/>
      <c r="E19" s="47"/>
      <c r="F19" s="52">
        <f t="shared" ref="F19:F23" si="1">+E19/60</f>
        <v>0</v>
      </c>
      <c r="G19" s="54"/>
      <c r="H19" s="51">
        <f t="shared" ref="H19:H23" si="2">+F19*G19</f>
        <v>0</v>
      </c>
    </row>
    <row r="20" spans="2:8" ht="20.100000000000001" customHeight="1" x14ac:dyDescent="0.25">
      <c r="B20" s="45"/>
      <c r="C20" s="43" t="s">
        <v>85</v>
      </c>
      <c r="D20" s="47"/>
      <c r="E20" s="47">
        <v>120</v>
      </c>
      <c r="F20" s="52">
        <f t="shared" si="1"/>
        <v>2</v>
      </c>
      <c r="G20" s="54">
        <v>4.5</v>
      </c>
      <c r="H20" s="51">
        <f t="shared" si="2"/>
        <v>9</v>
      </c>
    </row>
    <row r="21" spans="2:8" ht="20.100000000000001" customHeight="1" x14ac:dyDescent="0.25">
      <c r="B21" s="45"/>
      <c r="C21" s="43" t="s">
        <v>87</v>
      </c>
      <c r="D21" s="47"/>
      <c r="E21" s="47"/>
      <c r="F21" s="52">
        <f t="shared" si="1"/>
        <v>0</v>
      </c>
      <c r="G21" s="54"/>
      <c r="H21" s="51">
        <f t="shared" si="2"/>
        <v>0</v>
      </c>
    </row>
    <row r="22" spans="2:8" ht="20.100000000000001" customHeight="1" x14ac:dyDescent="0.25">
      <c r="B22" s="45"/>
      <c r="C22" s="43" t="s">
        <v>88</v>
      </c>
      <c r="D22" s="47"/>
      <c r="E22" s="47"/>
      <c r="F22" s="52">
        <f t="shared" si="1"/>
        <v>0</v>
      </c>
      <c r="G22" s="54"/>
      <c r="H22" s="51">
        <f t="shared" si="2"/>
        <v>0</v>
      </c>
    </row>
    <row r="23" spans="2:8" ht="20.100000000000001" customHeight="1" x14ac:dyDescent="0.25">
      <c r="B23" s="46"/>
      <c r="C23" s="57" t="s">
        <v>89</v>
      </c>
      <c r="D23" s="47"/>
      <c r="E23" s="47">
        <v>120</v>
      </c>
      <c r="F23" s="52">
        <f t="shared" si="1"/>
        <v>2</v>
      </c>
      <c r="G23" s="54">
        <v>4.5</v>
      </c>
      <c r="H23" s="51">
        <f t="shared" si="2"/>
        <v>9</v>
      </c>
    </row>
    <row r="25" spans="2:8" ht="15.75" x14ac:dyDescent="0.25">
      <c r="H25" s="59" t="s">
        <v>69</v>
      </c>
    </row>
    <row r="26" spans="2:8" ht="20.100000000000001" customHeight="1" x14ac:dyDescent="0.25">
      <c r="B26" s="62" t="s">
        <v>90</v>
      </c>
      <c r="C26" s="58" t="s">
        <v>91</v>
      </c>
      <c r="D26" s="58" t="s">
        <v>92</v>
      </c>
      <c r="E26" s="58" t="s">
        <v>73</v>
      </c>
      <c r="F26" s="58" t="s">
        <v>74</v>
      </c>
      <c r="G26" s="58" t="s">
        <v>75</v>
      </c>
      <c r="H26" s="60">
        <f>SUM(H27:H34)</f>
        <v>72.828804347826093</v>
      </c>
    </row>
    <row r="27" spans="2:8" ht="20.100000000000001" customHeight="1" x14ac:dyDescent="0.25">
      <c r="B27" s="45"/>
      <c r="C27" s="43" t="s">
        <v>93</v>
      </c>
      <c r="D27" s="47" t="s">
        <v>94</v>
      </c>
      <c r="E27" s="47">
        <f>+C4</f>
        <v>35</v>
      </c>
      <c r="F27" s="55" t="s">
        <v>95</v>
      </c>
      <c r="G27" s="54">
        <f>0.15*5</f>
        <v>0.75</v>
      </c>
      <c r="H27" s="51">
        <f>+G27*E27</f>
        <v>26.25</v>
      </c>
    </row>
    <row r="28" spans="2:8" ht="20.100000000000001" customHeight="1" x14ac:dyDescent="0.25">
      <c r="B28" s="45"/>
      <c r="C28" s="43" t="s">
        <v>96</v>
      </c>
      <c r="D28" s="47" t="s">
        <v>94</v>
      </c>
      <c r="E28" s="47">
        <f>+$C$4*60</f>
        <v>2100</v>
      </c>
      <c r="F28" s="55" t="s">
        <v>97</v>
      </c>
      <c r="G28" s="54">
        <v>4.0257648953301124E-3</v>
      </c>
      <c r="H28" s="51">
        <f t="shared" ref="H28:H34" si="3">+G28*E28</f>
        <v>8.4541062801932352</v>
      </c>
    </row>
    <row r="29" spans="2:8" ht="20.100000000000001" customHeight="1" x14ac:dyDescent="0.25">
      <c r="B29" s="45"/>
      <c r="D29" s="53"/>
      <c r="E29" s="47"/>
      <c r="F29"/>
      <c r="G29" s="54"/>
      <c r="H29" s="51">
        <f t="shared" si="3"/>
        <v>0</v>
      </c>
    </row>
    <row r="30" spans="2:8" ht="20.100000000000001" customHeight="1" x14ac:dyDescent="0.25">
      <c r="B30" s="45"/>
      <c r="C30" s="43" t="s">
        <v>98</v>
      </c>
      <c r="D30" s="47" t="s">
        <v>94</v>
      </c>
      <c r="E30" s="47">
        <f t="shared" ref="E30" si="4">+$C$4*60</f>
        <v>2100</v>
      </c>
      <c r="F30" s="55" t="s">
        <v>97</v>
      </c>
      <c r="G30" s="54">
        <v>1.0059380032206119E-2</v>
      </c>
      <c r="H30" s="51">
        <f t="shared" si="3"/>
        <v>21.124698067632849</v>
      </c>
    </row>
    <row r="31" spans="2:8" ht="20.100000000000001" customHeight="1" x14ac:dyDescent="0.25">
      <c r="B31" s="45"/>
      <c r="D31" s="47"/>
      <c r="E31" s="47"/>
      <c r="F31" s="55"/>
      <c r="G31" s="54"/>
      <c r="H31" s="51">
        <f t="shared" si="3"/>
        <v>0</v>
      </c>
    </row>
    <row r="32" spans="2:8" ht="20.100000000000001" customHeight="1" x14ac:dyDescent="0.25">
      <c r="B32" s="45"/>
      <c r="C32" s="43" t="s">
        <v>103</v>
      </c>
      <c r="D32" s="47"/>
      <c r="E32" s="47">
        <v>17</v>
      </c>
      <c r="F32" s="55" t="s">
        <v>76</v>
      </c>
      <c r="G32" s="54">
        <v>1</v>
      </c>
      <c r="H32" s="51">
        <f t="shared" si="3"/>
        <v>17</v>
      </c>
    </row>
    <row r="33" spans="2:8" ht="20.100000000000001" customHeight="1" x14ac:dyDescent="0.25">
      <c r="B33" s="45"/>
      <c r="D33" s="47"/>
      <c r="E33" s="47"/>
      <c r="F33" s="55"/>
      <c r="G33" s="54"/>
      <c r="H33" s="51">
        <f t="shared" si="3"/>
        <v>0</v>
      </c>
    </row>
    <row r="34" spans="2:8" ht="20.100000000000001" customHeight="1" x14ac:dyDescent="0.25">
      <c r="B34" s="46"/>
      <c r="C34" s="57"/>
      <c r="D34" s="47"/>
      <c r="E34" s="47"/>
      <c r="F34" s="55"/>
      <c r="G34" s="54"/>
      <c r="H34" s="51">
        <f t="shared" si="3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3C32-F95B-4D79-AA73-67629EA2082B}">
  <sheetPr>
    <tabColor rgb="FFFFC000"/>
  </sheetPr>
  <dimension ref="B2:H34"/>
  <sheetViews>
    <sheetView topLeftCell="A18" zoomScale="150" zoomScaleNormal="150" workbookViewId="0">
      <selection activeCell="G27" sqref="G27"/>
    </sheetView>
  </sheetViews>
  <sheetFormatPr defaultColWidth="9.140625" defaultRowHeight="15" x14ac:dyDescent="0.25"/>
  <cols>
    <col min="1" max="1" width="9.140625" style="43"/>
    <col min="2" max="2" width="29.42578125" style="43" bestFit="1" customWidth="1"/>
    <col min="3" max="3" width="24" style="43" bestFit="1" customWidth="1"/>
    <col min="4" max="4" width="19" style="43" customWidth="1"/>
    <col min="5" max="5" width="12.42578125" style="43" bestFit="1" customWidth="1"/>
    <col min="6" max="6" width="12" style="43" bestFit="1" customWidth="1"/>
    <col min="7" max="7" width="13.7109375" style="43" bestFit="1" customWidth="1"/>
    <col min="8" max="8" width="13.28515625" style="43" bestFit="1" customWidth="1"/>
    <col min="9" max="16384" width="9.140625" style="43"/>
  </cols>
  <sheetData>
    <row r="2" spans="2:8" x14ac:dyDescent="0.25">
      <c r="B2" s="44" t="s">
        <v>63</v>
      </c>
      <c r="C2" s="67" t="s">
        <v>106</v>
      </c>
    </row>
    <row r="3" spans="2:8" x14ac:dyDescent="0.25">
      <c r="B3" s="45" t="s">
        <v>65</v>
      </c>
      <c r="C3" s="68"/>
    </row>
    <row r="4" spans="2:8" x14ac:dyDescent="0.25">
      <c r="B4" s="45" t="s">
        <v>66</v>
      </c>
      <c r="C4" s="6">
        <v>25</v>
      </c>
    </row>
    <row r="5" spans="2:8" x14ac:dyDescent="0.25">
      <c r="B5" s="45" t="s">
        <v>67</v>
      </c>
      <c r="C5" s="68">
        <f>+C4*60</f>
        <v>1500</v>
      </c>
    </row>
    <row r="6" spans="2:8" ht="15.75" x14ac:dyDescent="0.25">
      <c r="B6" s="69" t="s">
        <v>68</v>
      </c>
      <c r="C6" s="70">
        <f>+H9+H17+H26</f>
        <v>45.90271739130435</v>
      </c>
    </row>
    <row r="8" spans="2:8" ht="15.75" x14ac:dyDescent="0.25">
      <c r="H8" s="59" t="s">
        <v>69</v>
      </c>
    </row>
    <row r="9" spans="2:8" ht="20.100000000000001" customHeight="1" x14ac:dyDescent="0.25">
      <c r="B9" s="61" t="s">
        <v>70</v>
      </c>
      <c r="C9" s="58" t="s">
        <v>71</v>
      </c>
      <c r="D9" s="58" t="s">
        <v>72</v>
      </c>
      <c r="E9" s="58" t="s">
        <v>73</v>
      </c>
      <c r="F9" s="58" t="s">
        <v>74</v>
      </c>
      <c r="G9" s="58" t="s">
        <v>75</v>
      </c>
      <c r="H9" s="60">
        <f>SUM(H10:H14)</f>
        <v>6.4</v>
      </c>
    </row>
    <row r="10" spans="2:8" ht="20.100000000000001" customHeight="1" x14ac:dyDescent="0.25">
      <c r="B10" s="45"/>
      <c r="C10" s="47"/>
      <c r="D10" s="47" t="s">
        <v>107</v>
      </c>
      <c r="E10" s="47"/>
      <c r="F10" s="47" t="s">
        <v>108</v>
      </c>
      <c r="G10" s="54"/>
      <c r="H10" s="51">
        <f>+E10*G10</f>
        <v>0</v>
      </c>
    </row>
    <row r="11" spans="2:8" ht="20.100000000000001" customHeight="1" x14ac:dyDescent="0.25">
      <c r="B11" s="45"/>
      <c r="C11" s="47"/>
      <c r="D11" s="47" t="s">
        <v>102</v>
      </c>
      <c r="E11" s="55">
        <v>20</v>
      </c>
      <c r="F11" s="47" t="s">
        <v>101</v>
      </c>
      <c r="G11" s="54">
        <v>0.32</v>
      </c>
      <c r="H11" s="51">
        <f t="shared" ref="H11:H14" si="0">+E11*G11</f>
        <v>6.4</v>
      </c>
    </row>
    <row r="12" spans="2:8" ht="20.100000000000001" customHeight="1" x14ac:dyDescent="0.25">
      <c r="B12" s="45"/>
      <c r="C12" s="47"/>
      <c r="D12" s="47"/>
      <c r="E12" s="47"/>
      <c r="F12" s="47"/>
      <c r="G12" s="54"/>
      <c r="H12" s="51">
        <f t="shared" si="0"/>
        <v>0</v>
      </c>
    </row>
    <row r="13" spans="2:8" ht="20.100000000000001" customHeight="1" x14ac:dyDescent="0.25">
      <c r="B13" s="45"/>
      <c r="C13" s="47"/>
      <c r="D13" s="47"/>
      <c r="E13" s="47"/>
      <c r="F13" s="47"/>
      <c r="G13" s="54"/>
      <c r="H13" s="51">
        <f t="shared" si="0"/>
        <v>0</v>
      </c>
    </row>
    <row r="14" spans="2:8" ht="20.100000000000001" customHeight="1" x14ac:dyDescent="0.25">
      <c r="B14" s="46"/>
      <c r="C14" s="47"/>
      <c r="D14" s="47"/>
      <c r="E14" s="47"/>
      <c r="F14" s="47"/>
      <c r="G14" s="54"/>
      <c r="H14" s="51">
        <f t="shared" si="0"/>
        <v>0</v>
      </c>
    </row>
    <row r="16" spans="2:8" ht="15.75" x14ac:dyDescent="0.25">
      <c r="H16" s="59" t="s">
        <v>69</v>
      </c>
    </row>
    <row r="17" spans="2:8" ht="20.100000000000001" customHeight="1" x14ac:dyDescent="0.25">
      <c r="B17" s="61" t="s">
        <v>77</v>
      </c>
      <c r="C17" s="58" t="s">
        <v>78</v>
      </c>
      <c r="D17" s="58" t="s">
        <v>79</v>
      </c>
      <c r="E17" s="58" t="s">
        <v>80</v>
      </c>
      <c r="F17" s="58" t="s">
        <v>81</v>
      </c>
      <c r="G17" s="58" t="s">
        <v>82</v>
      </c>
      <c r="H17" s="60">
        <f>SUM(H18:H23)</f>
        <v>9</v>
      </c>
    </row>
    <row r="18" spans="2:8" ht="20.100000000000001" customHeight="1" x14ac:dyDescent="0.25">
      <c r="B18" s="45"/>
      <c r="C18" s="43" t="s">
        <v>83</v>
      </c>
      <c r="D18" s="47"/>
      <c r="E18" s="47"/>
      <c r="F18" s="52">
        <f>+E18/60</f>
        <v>0</v>
      </c>
      <c r="G18" s="54"/>
      <c r="H18" s="51">
        <f>+F18*G18</f>
        <v>0</v>
      </c>
    </row>
    <row r="19" spans="2:8" ht="20.100000000000001" customHeight="1" x14ac:dyDescent="0.25">
      <c r="B19" s="45"/>
      <c r="C19" s="43" t="s">
        <v>84</v>
      </c>
      <c r="D19" s="47"/>
      <c r="E19" s="47"/>
      <c r="F19" s="52">
        <f t="shared" ref="F19:F23" si="1">+E19/60</f>
        <v>0</v>
      </c>
      <c r="G19" s="54"/>
      <c r="H19" s="51">
        <f t="shared" ref="H19:H23" si="2">+F19*G19</f>
        <v>0</v>
      </c>
    </row>
    <row r="20" spans="2:8" ht="20.100000000000001" customHeight="1" x14ac:dyDescent="0.25">
      <c r="B20" s="45"/>
      <c r="C20" s="43" t="s">
        <v>85</v>
      </c>
      <c r="D20" s="47"/>
      <c r="E20" s="47">
        <v>120</v>
      </c>
      <c r="F20" s="52">
        <f t="shared" si="1"/>
        <v>2</v>
      </c>
      <c r="G20" s="54">
        <v>4.5</v>
      </c>
      <c r="H20" s="51">
        <f t="shared" si="2"/>
        <v>9</v>
      </c>
    </row>
    <row r="21" spans="2:8" ht="20.100000000000001" customHeight="1" x14ac:dyDescent="0.25">
      <c r="B21" s="45"/>
      <c r="C21" s="43" t="s">
        <v>87</v>
      </c>
      <c r="D21" s="47"/>
      <c r="E21" s="47"/>
      <c r="F21" s="52">
        <f t="shared" si="1"/>
        <v>0</v>
      </c>
      <c r="G21" s="54"/>
      <c r="H21" s="51">
        <f t="shared" si="2"/>
        <v>0</v>
      </c>
    </row>
    <row r="22" spans="2:8" ht="20.100000000000001" customHeight="1" x14ac:dyDescent="0.25">
      <c r="B22" s="45"/>
      <c r="C22" s="43" t="s">
        <v>88</v>
      </c>
      <c r="D22" s="47"/>
      <c r="E22" s="47"/>
      <c r="F22" s="52">
        <f t="shared" si="1"/>
        <v>0</v>
      </c>
      <c r="G22" s="54"/>
      <c r="H22" s="51">
        <f t="shared" si="2"/>
        <v>0</v>
      </c>
    </row>
    <row r="23" spans="2:8" ht="20.100000000000001" customHeight="1" x14ac:dyDescent="0.25">
      <c r="B23" s="46"/>
      <c r="C23" s="57" t="s">
        <v>89</v>
      </c>
      <c r="D23" s="47"/>
      <c r="E23" s="47"/>
      <c r="F23" s="52">
        <f t="shared" si="1"/>
        <v>0</v>
      </c>
      <c r="G23" s="54"/>
      <c r="H23" s="51">
        <f t="shared" si="2"/>
        <v>0</v>
      </c>
    </row>
    <row r="25" spans="2:8" ht="15.75" x14ac:dyDescent="0.25">
      <c r="H25" s="59" t="s">
        <v>69</v>
      </c>
    </row>
    <row r="26" spans="2:8" ht="20.100000000000001" customHeight="1" x14ac:dyDescent="0.25">
      <c r="B26" s="62" t="s">
        <v>90</v>
      </c>
      <c r="C26" s="58" t="s">
        <v>91</v>
      </c>
      <c r="D26" s="58" t="s">
        <v>92</v>
      </c>
      <c r="E26" s="58" t="s">
        <v>73</v>
      </c>
      <c r="F26" s="58" t="s">
        <v>74</v>
      </c>
      <c r="G26" s="58" t="s">
        <v>75</v>
      </c>
      <c r="H26" s="60">
        <f>SUM(H27:H34)</f>
        <v>30.502717391304348</v>
      </c>
    </row>
    <row r="27" spans="2:8" ht="20.100000000000001" customHeight="1" x14ac:dyDescent="0.25">
      <c r="B27" s="45"/>
      <c r="C27" s="43" t="s">
        <v>93</v>
      </c>
      <c r="D27" s="47" t="s">
        <v>94</v>
      </c>
      <c r="E27" s="47">
        <f>+C4</f>
        <v>25</v>
      </c>
      <c r="F27" s="55" t="s">
        <v>95</v>
      </c>
      <c r="G27" s="54">
        <f>0.15*2.5</f>
        <v>0.375</v>
      </c>
      <c r="H27" s="51">
        <f>+G27*E27</f>
        <v>9.375</v>
      </c>
    </row>
    <row r="28" spans="2:8" ht="20.100000000000001" customHeight="1" x14ac:dyDescent="0.25">
      <c r="B28" s="45"/>
      <c r="C28" s="43" t="s">
        <v>96</v>
      </c>
      <c r="D28" s="47" t="s">
        <v>94</v>
      </c>
      <c r="E28" s="47">
        <f>+$C$4*60</f>
        <v>1500</v>
      </c>
      <c r="F28" s="55" t="s">
        <v>97</v>
      </c>
      <c r="G28" s="54">
        <v>4.0257648953301124E-3</v>
      </c>
      <c r="H28" s="51">
        <f t="shared" ref="H28:H34" si="3">+G28*E28</f>
        <v>6.0386473429951684</v>
      </c>
    </row>
    <row r="29" spans="2:8" ht="20.100000000000001" customHeight="1" x14ac:dyDescent="0.25">
      <c r="B29" s="45"/>
      <c r="D29" s="53"/>
      <c r="E29" s="47"/>
      <c r="F29"/>
      <c r="G29" s="54"/>
      <c r="H29" s="51">
        <f t="shared" si="3"/>
        <v>0</v>
      </c>
    </row>
    <row r="30" spans="2:8" ht="20.100000000000001" customHeight="1" x14ac:dyDescent="0.25">
      <c r="B30" s="45"/>
      <c r="C30" s="43" t="s">
        <v>98</v>
      </c>
      <c r="D30" s="47" t="s">
        <v>94</v>
      </c>
      <c r="E30" s="47">
        <f t="shared" ref="E30" si="4">+$C$4*60</f>
        <v>1500</v>
      </c>
      <c r="F30" s="55" t="s">
        <v>97</v>
      </c>
      <c r="G30" s="54">
        <v>1.0059380032206119E-2</v>
      </c>
      <c r="H30" s="51">
        <f t="shared" si="3"/>
        <v>15.089070048309178</v>
      </c>
    </row>
    <row r="31" spans="2:8" ht="20.100000000000001" customHeight="1" x14ac:dyDescent="0.25">
      <c r="B31" s="45"/>
      <c r="D31" s="47"/>
      <c r="E31" s="47"/>
      <c r="F31" s="55"/>
      <c r="G31" s="54"/>
      <c r="H31" s="51">
        <f t="shared" si="3"/>
        <v>0</v>
      </c>
    </row>
    <row r="32" spans="2:8" ht="20.100000000000001" customHeight="1" x14ac:dyDescent="0.25">
      <c r="B32" s="45"/>
      <c r="C32" s="43" t="s">
        <v>103</v>
      </c>
      <c r="D32" s="47"/>
      <c r="E32" s="47"/>
      <c r="F32" s="55" t="s">
        <v>76</v>
      </c>
      <c r="G32" s="54">
        <v>1</v>
      </c>
      <c r="H32" s="51">
        <f t="shared" si="3"/>
        <v>0</v>
      </c>
    </row>
    <row r="33" spans="2:8" ht="20.100000000000001" customHeight="1" x14ac:dyDescent="0.25">
      <c r="B33" s="45"/>
      <c r="D33" s="47"/>
      <c r="E33" s="47"/>
      <c r="F33" s="55"/>
      <c r="G33" s="54"/>
      <c r="H33" s="51">
        <f t="shared" si="3"/>
        <v>0</v>
      </c>
    </row>
    <row r="34" spans="2:8" ht="20.100000000000001" customHeight="1" x14ac:dyDescent="0.25">
      <c r="B34" s="46"/>
      <c r="C34" s="57"/>
      <c r="D34" s="47"/>
      <c r="E34" s="47"/>
      <c r="F34" s="55"/>
      <c r="G34" s="54"/>
      <c r="H34" s="51">
        <f t="shared" si="3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8D8E-6DC2-41F9-A36A-A49E7D0C864F}">
  <sheetPr>
    <tabColor theme="8"/>
  </sheetPr>
  <dimension ref="B2:G12"/>
  <sheetViews>
    <sheetView workbookViewId="0">
      <selection activeCell="C17" sqref="C17"/>
    </sheetView>
  </sheetViews>
  <sheetFormatPr defaultColWidth="8.85546875" defaultRowHeight="15" x14ac:dyDescent="0.25"/>
  <cols>
    <col min="2" max="2" width="21" customWidth="1"/>
    <col min="3" max="3" width="24.7109375" customWidth="1"/>
    <col min="5" max="5" width="4" bestFit="1" customWidth="1"/>
    <col min="6" max="6" width="13.28515625" bestFit="1" customWidth="1"/>
    <col min="7" max="7" width="16.7109375" bestFit="1" customWidth="1"/>
  </cols>
  <sheetData>
    <row r="2" spans="2:7" ht="23.25" x14ac:dyDescent="0.35">
      <c r="B2" s="72" t="s">
        <v>109</v>
      </c>
      <c r="C2" s="56"/>
      <c r="D2" s="56"/>
      <c r="E2" s="56"/>
      <c r="F2" s="56"/>
      <c r="G2" s="73"/>
    </row>
    <row r="3" spans="2:7" ht="21" x14ac:dyDescent="0.25">
      <c r="B3" s="45"/>
      <c r="C3" s="43"/>
      <c r="D3" s="43"/>
      <c r="E3" s="43"/>
      <c r="F3" s="43"/>
      <c r="G3" s="75" t="s">
        <v>69</v>
      </c>
    </row>
    <row r="4" spans="2:7" ht="21" x14ac:dyDescent="0.35">
      <c r="B4" s="45" t="s">
        <v>110</v>
      </c>
      <c r="C4" s="43" t="s">
        <v>111</v>
      </c>
      <c r="D4" s="43" t="s">
        <v>112</v>
      </c>
      <c r="E4" s="43" t="s">
        <v>74</v>
      </c>
      <c r="F4" s="43" t="s">
        <v>113</v>
      </c>
      <c r="G4" s="76">
        <f>SUM(G5:G12)</f>
        <v>207</v>
      </c>
    </row>
    <row r="5" spans="2:7" x14ac:dyDescent="0.25">
      <c r="B5" s="13" t="s">
        <v>114</v>
      </c>
      <c r="D5" s="43">
        <v>230</v>
      </c>
      <c r="E5" t="s">
        <v>76</v>
      </c>
      <c r="F5" s="71">
        <v>0.9</v>
      </c>
      <c r="G5" s="74">
        <f t="shared" ref="G5:G12" si="0">+F5*D5</f>
        <v>207</v>
      </c>
    </row>
    <row r="6" spans="2:7" x14ac:dyDescent="0.25">
      <c r="B6" s="13"/>
      <c r="G6" s="74">
        <f t="shared" si="0"/>
        <v>0</v>
      </c>
    </row>
    <row r="7" spans="2:7" x14ac:dyDescent="0.25">
      <c r="B7" s="13"/>
      <c r="G7" s="74">
        <f t="shared" si="0"/>
        <v>0</v>
      </c>
    </row>
    <row r="8" spans="2:7" x14ac:dyDescent="0.25">
      <c r="B8" s="13"/>
      <c r="G8" s="74">
        <f t="shared" si="0"/>
        <v>0</v>
      </c>
    </row>
    <row r="9" spans="2:7" x14ac:dyDescent="0.25">
      <c r="B9" s="13"/>
      <c r="G9" s="74">
        <f t="shared" si="0"/>
        <v>0</v>
      </c>
    </row>
    <row r="10" spans="2:7" x14ac:dyDescent="0.25">
      <c r="B10" s="13"/>
      <c r="G10" s="74">
        <f t="shared" si="0"/>
        <v>0</v>
      </c>
    </row>
    <row r="11" spans="2:7" x14ac:dyDescent="0.25">
      <c r="B11" s="13"/>
      <c r="G11" s="74">
        <f t="shared" si="0"/>
        <v>0</v>
      </c>
    </row>
    <row r="12" spans="2:7" x14ac:dyDescent="0.25">
      <c r="B12" s="14"/>
      <c r="C12" s="15"/>
      <c r="D12" s="15"/>
      <c r="E12" s="15"/>
      <c r="F12" s="15"/>
      <c r="G12" s="74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2C3F-DCE4-4385-B3FA-E8605AFB039F}">
  <dimension ref="A1:I117"/>
  <sheetViews>
    <sheetView topLeftCell="G1" workbookViewId="0">
      <selection activeCell="I8" sqref="I8"/>
    </sheetView>
  </sheetViews>
  <sheetFormatPr defaultColWidth="8.85546875" defaultRowHeight="14.25" x14ac:dyDescent="0.2"/>
  <cols>
    <col min="1" max="1" width="39" style="18" customWidth="1"/>
    <col min="2" max="2" width="11.7109375" style="18" customWidth="1"/>
    <col min="3" max="3" width="30.7109375" style="18" customWidth="1"/>
    <col min="4" max="4" width="12.85546875" style="19" bestFit="1" customWidth="1"/>
    <col min="5" max="5" width="6" style="18" customWidth="1"/>
    <col min="6" max="6" width="38.7109375" style="18" customWidth="1"/>
    <col min="7" max="7" width="17" style="18" customWidth="1"/>
    <col min="8" max="8" width="16.42578125" style="18" customWidth="1"/>
    <col min="9" max="16384" width="8.85546875" style="18"/>
  </cols>
  <sheetData>
    <row r="1" spans="1:9" ht="22.35" customHeight="1" x14ac:dyDescent="0.25">
      <c r="A1" s="17" t="s">
        <v>115</v>
      </c>
      <c r="B1" s="17"/>
    </row>
    <row r="2" spans="1:9" ht="22.35" customHeight="1" x14ac:dyDescent="0.25">
      <c r="A2" s="17" t="s">
        <v>116</v>
      </c>
      <c r="B2" s="17"/>
    </row>
    <row r="5" spans="1:9" s="20" customFormat="1" ht="26.45" customHeight="1" x14ac:dyDescent="0.2">
      <c r="A5" s="134" t="s">
        <v>117</v>
      </c>
      <c r="B5" s="135"/>
      <c r="C5" s="135"/>
      <c r="D5" s="19"/>
    </row>
    <row r="6" spans="1:9" s="20" customFormat="1" ht="20.100000000000001" customHeight="1" x14ac:dyDescent="0.2">
      <c r="A6" s="136" t="s">
        <v>118</v>
      </c>
      <c r="B6" s="136"/>
      <c r="C6" s="136"/>
      <c r="D6" s="19"/>
    </row>
    <row r="7" spans="1:9" s="20" customFormat="1" ht="20.100000000000001" customHeight="1" x14ac:dyDescent="0.2">
      <c r="A7" s="21" t="s">
        <v>119</v>
      </c>
      <c r="B7" s="21" t="s">
        <v>120</v>
      </c>
      <c r="C7" s="22">
        <v>99950</v>
      </c>
      <c r="D7" s="19"/>
      <c r="F7" s="21" t="s">
        <v>121</v>
      </c>
      <c r="G7" s="22">
        <f>(C7+C8+C9-C10)/C13</f>
        <v>9995</v>
      </c>
      <c r="H7" s="22" t="s">
        <v>122</v>
      </c>
      <c r="I7" s="20">
        <f>+G7/C24</f>
        <v>4.0237520128824478E-2</v>
      </c>
    </row>
    <row r="8" spans="1:9" s="20" customFormat="1" ht="20.100000000000001" customHeight="1" x14ac:dyDescent="0.2">
      <c r="A8" s="21" t="s">
        <v>123</v>
      </c>
      <c r="B8" s="21" t="s">
        <v>124</v>
      </c>
      <c r="C8" s="22">
        <v>0</v>
      </c>
      <c r="D8" s="19"/>
      <c r="F8" s="21" t="s">
        <v>125</v>
      </c>
      <c r="G8" s="22">
        <f>((C7+C8+C9-C10)/C13)/4</f>
        <v>2498.75</v>
      </c>
      <c r="H8" s="22" t="s">
        <v>122</v>
      </c>
      <c r="I8" s="20">
        <f>+G8/C24</f>
        <v>1.0059380032206119E-2</v>
      </c>
    </row>
    <row r="9" spans="1:9" s="20" customFormat="1" ht="20.100000000000001" customHeight="1" x14ac:dyDescent="0.2">
      <c r="A9" s="21" t="s">
        <v>126</v>
      </c>
      <c r="B9" s="21" t="s">
        <v>127</v>
      </c>
      <c r="C9" s="22"/>
      <c r="D9" s="19"/>
      <c r="F9" s="133" t="s">
        <v>128</v>
      </c>
      <c r="G9" s="133"/>
      <c r="H9" s="133"/>
    </row>
    <row r="10" spans="1:9" s="20" customFormat="1" ht="20.100000000000001" customHeight="1" x14ac:dyDescent="0.2">
      <c r="A10" s="21" t="s">
        <v>129</v>
      </c>
      <c r="B10" s="21" t="s">
        <v>130</v>
      </c>
      <c r="C10" s="22">
        <v>0</v>
      </c>
      <c r="D10" s="19"/>
      <c r="F10" s="21" t="s">
        <v>131</v>
      </c>
      <c r="G10" s="22">
        <v>0</v>
      </c>
      <c r="H10" s="21" t="s">
        <v>132</v>
      </c>
    </row>
    <row r="11" spans="1:9" s="20" customFormat="1" ht="20.100000000000001" customHeight="1" x14ac:dyDescent="0.2">
      <c r="A11" s="19"/>
      <c r="B11" s="19"/>
      <c r="C11" s="19"/>
      <c r="D11" s="19"/>
      <c r="F11" s="21" t="s">
        <v>133</v>
      </c>
      <c r="G11" s="22">
        <f>C26/C24</f>
        <v>4.0257648953301124E-3</v>
      </c>
      <c r="H11" s="21" t="s">
        <v>132</v>
      </c>
    </row>
    <row r="12" spans="1:9" s="20" customFormat="1" ht="20.100000000000001" customHeight="1" x14ac:dyDescent="0.2">
      <c r="A12" s="21" t="s">
        <v>134</v>
      </c>
      <c r="B12" s="21"/>
      <c r="C12" s="23"/>
      <c r="D12" s="19" t="s">
        <v>135</v>
      </c>
      <c r="F12" s="21" t="s">
        <v>136</v>
      </c>
      <c r="G12" s="22">
        <f>(C29+C30+C31+C32)/C24</f>
        <v>3.6634460547504029E-2</v>
      </c>
      <c r="H12" s="21" t="s">
        <v>132</v>
      </c>
    </row>
    <row r="13" spans="1:9" s="20" customFormat="1" ht="20.100000000000001" customHeight="1" x14ac:dyDescent="0.2">
      <c r="A13" s="21" t="s">
        <v>137</v>
      </c>
      <c r="B13" s="21" t="s">
        <v>138</v>
      </c>
      <c r="C13" s="23">
        <v>10</v>
      </c>
      <c r="D13" s="19" t="s">
        <v>135</v>
      </c>
      <c r="F13" s="21" t="s">
        <v>139</v>
      </c>
      <c r="G13" s="22">
        <f>(C34*C35)/C24</f>
        <v>0</v>
      </c>
      <c r="H13" s="21" t="s">
        <v>132</v>
      </c>
    </row>
    <row r="14" spans="1:9" s="20" customFormat="1" ht="20.100000000000001" customHeight="1" x14ac:dyDescent="0.2">
      <c r="A14" s="19"/>
      <c r="B14" s="19"/>
      <c r="C14" s="19"/>
      <c r="D14" s="19"/>
      <c r="F14" s="19"/>
      <c r="G14" s="19"/>
      <c r="H14" s="19"/>
    </row>
    <row r="15" spans="1:9" s="20" customFormat="1" ht="20.100000000000001" customHeight="1" x14ac:dyDescent="0.2">
      <c r="A15" s="21" t="s">
        <v>140</v>
      </c>
      <c r="B15" s="21" t="s">
        <v>141</v>
      </c>
      <c r="C15" s="22"/>
      <c r="D15" s="19" t="s">
        <v>122</v>
      </c>
      <c r="F15" s="24" t="s">
        <v>142</v>
      </c>
      <c r="G15" s="25">
        <f>G10+G11+G12+G13</f>
        <v>4.0660225442834139E-2</v>
      </c>
      <c r="H15" s="24" t="s">
        <v>132</v>
      </c>
    </row>
    <row r="16" spans="1:9" s="20" customFormat="1" ht="20.100000000000001" customHeight="1" x14ac:dyDescent="0.2">
      <c r="A16" s="21" t="s">
        <v>143</v>
      </c>
      <c r="B16" s="21" t="s">
        <v>144</v>
      </c>
      <c r="C16" s="22"/>
      <c r="D16" s="19" t="s">
        <v>122</v>
      </c>
      <c r="F16" s="19"/>
      <c r="G16" s="19"/>
      <c r="H16" s="19"/>
    </row>
    <row r="17" spans="1:8" s="20" customFormat="1" ht="20.100000000000001" customHeight="1" x14ac:dyDescent="0.2">
      <c r="A17" s="19"/>
      <c r="B17" s="19"/>
      <c r="C17" s="19"/>
      <c r="D17" s="19"/>
      <c r="F17" s="26" t="s">
        <v>145</v>
      </c>
      <c r="G17" s="27">
        <f>G15*60</f>
        <v>2.4396135265700485</v>
      </c>
      <c r="H17" s="26" t="s">
        <v>146</v>
      </c>
    </row>
    <row r="18" spans="1:8" s="20" customFormat="1" ht="20.100000000000001" customHeight="1" x14ac:dyDescent="0.2">
      <c r="A18" s="136" t="s">
        <v>147</v>
      </c>
      <c r="B18" s="136"/>
      <c r="C18" s="136"/>
      <c r="D18" s="19"/>
      <c r="F18" s="19"/>
      <c r="G18" s="19"/>
      <c r="H18" s="19"/>
    </row>
    <row r="19" spans="1:8" s="20" customFormat="1" ht="20.100000000000001" customHeight="1" x14ac:dyDescent="0.2">
      <c r="A19" s="21" t="s">
        <v>148</v>
      </c>
      <c r="B19" s="21" t="s">
        <v>149</v>
      </c>
      <c r="C19" s="23">
        <v>230</v>
      </c>
      <c r="D19" s="19"/>
      <c r="F19" s="28" t="s">
        <v>150</v>
      </c>
      <c r="G19" s="29">
        <f>C38/60</f>
        <v>7.4999999999999997E-2</v>
      </c>
      <c r="H19" s="28" t="s">
        <v>132</v>
      </c>
    </row>
    <row r="20" spans="1:8" s="20" customFormat="1" ht="20.100000000000001" customHeight="1" x14ac:dyDescent="0.2">
      <c r="A20" s="21" t="s">
        <v>151</v>
      </c>
      <c r="B20" s="21" t="s">
        <v>152</v>
      </c>
      <c r="C20" s="23">
        <v>1</v>
      </c>
      <c r="D20" s="19"/>
      <c r="F20" s="19"/>
      <c r="G20" s="19"/>
      <c r="H20" s="19"/>
    </row>
    <row r="21" spans="1:8" s="20" customFormat="1" ht="20.100000000000001" customHeight="1" x14ac:dyDescent="0.2">
      <c r="A21" s="21" t="s">
        <v>153</v>
      </c>
      <c r="B21" s="21" t="s">
        <v>154</v>
      </c>
      <c r="C21" s="23">
        <v>20</v>
      </c>
      <c r="D21" s="19"/>
      <c r="F21" s="30" t="s">
        <v>155</v>
      </c>
      <c r="G21" s="31">
        <f>C39/60</f>
        <v>0</v>
      </c>
      <c r="H21" s="30" t="s">
        <v>132</v>
      </c>
    </row>
    <row r="22" spans="1:8" s="20" customFormat="1" ht="20.100000000000001" customHeight="1" x14ac:dyDescent="0.2">
      <c r="A22" s="21" t="s">
        <v>156</v>
      </c>
      <c r="B22" s="21" t="s">
        <v>157</v>
      </c>
      <c r="C22" s="32">
        <v>0.9</v>
      </c>
      <c r="D22" s="19"/>
      <c r="F22" s="19"/>
      <c r="G22" s="19"/>
      <c r="H22" s="19"/>
    </row>
    <row r="23" spans="1:8" s="20" customFormat="1" ht="20.100000000000001" customHeight="1" x14ac:dyDescent="0.2">
      <c r="A23" s="19"/>
      <c r="B23" s="19"/>
      <c r="C23" s="19"/>
      <c r="D23" s="19"/>
      <c r="F23" s="19"/>
      <c r="G23" s="19"/>
      <c r="H23" s="19"/>
    </row>
    <row r="24" spans="1:8" s="20" customFormat="1" ht="25.5" x14ac:dyDescent="0.2">
      <c r="A24" s="33" t="s">
        <v>158</v>
      </c>
      <c r="B24" s="34" t="s">
        <v>159</v>
      </c>
      <c r="C24" s="35">
        <f>C19*C20*C21*C22*60</f>
        <v>248400</v>
      </c>
      <c r="D24" s="19" t="s">
        <v>160</v>
      </c>
      <c r="F24" s="137" t="s">
        <v>161</v>
      </c>
      <c r="G24" s="36">
        <f>G15+G19+G21</f>
        <v>0.11566022544283414</v>
      </c>
      <c r="H24" s="37" t="s">
        <v>132</v>
      </c>
    </row>
    <row r="25" spans="1:8" s="20" customFormat="1" ht="20.100000000000001" customHeight="1" x14ac:dyDescent="0.2">
      <c r="A25" s="19"/>
      <c r="B25" s="19"/>
      <c r="C25" s="19"/>
      <c r="D25" s="19"/>
      <c r="F25" s="137"/>
      <c r="G25" s="36">
        <f>G24*60</f>
        <v>6.9396135265700485</v>
      </c>
      <c r="H25" s="37" t="s">
        <v>146</v>
      </c>
    </row>
    <row r="26" spans="1:8" s="20" customFormat="1" ht="20.100000000000001" customHeight="1" x14ac:dyDescent="0.2">
      <c r="A26" s="21" t="s">
        <v>162</v>
      </c>
      <c r="B26" s="21" t="s">
        <v>163</v>
      </c>
      <c r="C26" s="22">
        <v>1000</v>
      </c>
      <c r="D26" s="19" t="s">
        <v>122</v>
      </c>
      <c r="F26" s="38"/>
      <c r="G26" s="38"/>
      <c r="H26" s="38"/>
    </row>
    <row r="27" spans="1:8" s="20" customFormat="1" ht="20.100000000000001" customHeight="1" x14ac:dyDescent="0.2">
      <c r="A27" s="19"/>
      <c r="B27" s="19"/>
      <c r="C27" s="19"/>
      <c r="D27" s="19"/>
      <c r="F27" s="38"/>
      <c r="G27" s="38"/>
      <c r="H27" s="38"/>
    </row>
    <row r="28" spans="1:8" s="20" customFormat="1" ht="20.100000000000001" customHeight="1" x14ac:dyDescent="0.2">
      <c r="A28" s="133" t="s">
        <v>164</v>
      </c>
      <c r="B28" s="133"/>
      <c r="C28" s="133"/>
      <c r="D28" s="19"/>
      <c r="F28" s="38"/>
      <c r="G28" s="38"/>
      <c r="H28" s="38"/>
    </row>
    <row r="29" spans="1:8" ht="20.100000000000001" customHeight="1" x14ac:dyDescent="0.2">
      <c r="A29" s="39" t="s">
        <v>165</v>
      </c>
      <c r="B29" s="21" t="s">
        <v>166</v>
      </c>
      <c r="C29" s="22">
        <v>6000</v>
      </c>
      <c r="D29" s="19" t="s">
        <v>122</v>
      </c>
      <c r="F29" s="38"/>
      <c r="G29" s="38"/>
      <c r="H29" s="38"/>
    </row>
    <row r="30" spans="1:8" ht="20.100000000000001" customHeight="1" x14ac:dyDescent="0.2">
      <c r="A30" s="21" t="s">
        <v>167</v>
      </c>
      <c r="B30" s="21" t="s">
        <v>168</v>
      </c>
      <c r="C30" s="22"/>
      <c r="D30" s="19" t="s">
        <v>122</v>
      </c>
      <c r="F30" s="38"/>
      <c r="G30" s="38"/>
      <c r="H30" s="38"/>
    </row>
    <row r="31" spans="1:8" ht="20.100000000000001" customHeight="1" x14ac:dyDescent="0.2">
      <c r="A31" s="21" t="s">
        <v>169</v>
      </c>
      <c r="B31" s="21" t="s">
        <v>170</v>
      </c>
      <c r="C31" s="22">
        <v>3000</v>
      </c>
      <c r="D31" s="19" t="s">
        <v>122</v>
      </c>
      <c r="F31" s="38"/>
      <c r="G31" s="38"/>
      <c r="H31" s="38"/>
    </row>
    <row r="32" spans="1:8" ht="20.100000000000001" customHeight="1" x14ac:dyDescent="0.2">
      <c r="A32" s="21" t="s">
        <v>171</v>
      </c>
      <c r="B32" s="21" t="s">
        <v>172</v>
      </c>
      <c r="C32" s="22">
        <v>100</v>
      </c>
      <c r="D32" s="19" t="s">
        <v>122</v>
      </c>
      <c r="F32" s="38"/>
      <c r="G32" s="38"/>
      <c r="H32" s="38"/>
    </row>
    <row r="33" spans="1:8" ht="20.100000000000001" customHeight="1" x14ac:dyDescent="0.2">
      <c r="A33" s="19"/>
      <c r="B33" s="19"/>
      <c r="C33" s="19"/>
      <c r="F33" s="38"/>
      <c r="G33" s="38"/>
      <c r="H33" s="38"/>
    </row>
    <row r="34" spans="1:8" ht="20.100000000000001" customHeight="1" x14ac:dyDescent="0.2">
      <c r="A34" s="21" t="s">
        <v>173</v>
      </c>
      <c r="B34" s="21" t="s">
        <v>174</v>
      </c>
      <c r="C34" s="40"/>
      <c r="D34" s="19" t="s">
        <v>175</v>
      </c>
      <c r="F34" s="38"/>
      <c r="G34" s="38"/>
      <c r="H34" s="38"/>
    </row>
    <row r="35" spans="1:8" ht="20.100000000000001" customHeight="1" x14ac:dyDescent="0.2">
      <c r="A35" s="21" t="s">
        <v>176</v>
      </c>
      <c r="B35" s="21" t="s">
        <v>177</v>
      </c>
      <c r="C35" s="22"/>
      <c r="D35" s="19" t="s">
        <v>178</v>
      </c>
      <c r="F35" s="38"/>
      <c r="G35" s="38"/>
      <c r="H35" s="38"/>
    </row>
    <row r="36" spans="1:8" ht="20.100000000000001" customHeight="1" x14ac:dyDescent="0.2">
      <c r="A36" s="19"/>
      <c r="B36" s="19"/>
      <c r="C36" s="19"/>
      <c r="F36" s="38"/>
      <c r="G36" s="38"/>
      <c r="H36" s="38"/>
    </row>
    <row r="37" spans="1:8" ht="20.100000000000001" customHeight="1" x14ac:dyDescent="0.2">
      <c r="A37" s="133" t="s">
        <v>179</v>
      </c>
      <c r="B37" s="133"/>
      <c r="C37" s="133"/>
    </row>
    <row r="38" spans="1:8" ht="20.100000000000001" customHeight="1" x14ac:dyDescent="0.2">
      <c r="A38" s="21" t="s">
        <v>180</v>
      </c>
      <c r="B38" s="21" t="s">
        <v>181</v>
      </c>
      <c r="C38" s="22">
        <v>4.5</v>
      </c>
      <c r="D38" s="19" t="s">
        <v>146</v>
      </c>
    </row>
    <row r="39" spans="1:8" ht="20.100000000000001" customHeight="1" x14ac:dyDescent="0.2">
      <c r="A39" s="21" t="s">
        <v>182</v>
      </c>
      <c r="B39" s="21" t="s">
        <v>183</v>
      </c>
      <c r="C39" s="22"/>
      <c r="D39" s="19" t="s">
        <v>146</v>
      </c>
    </row>
    <row r="40" spans="1:8" ht="20.100000000000001" customHeight="1" x14ac:dyDescent="0.2">
      <c r="A40" s="19"/>
      <c r="B40" s="19"/>
      <c r="C40" s="19"/>
    </row>
    <row r="41" spans="1:8" x14ac:dyDescent="0.2">
      <c r="A41" s="19"/>
      <c r="B41" s="19"/>
      <c r="C41" s="19"/>
    </row>
    <row r="42" spans="1:8" x14ac:dyDescent="0.2">
      <c r="A42" s="19"/>
      <c r="B42" s="19"/>
      <c r="C42" s="19"/>
    </row>
    <row r="43" spans="1:8" x14ac:dyDescent="0.2">
      <c r="A43" s="19"/>
      <c r="B43" s="19"/>
      <c r="C43" s="19"/>
    </row>
    <row r="44" spans="1:8" x14ac:dyDescent="0.2">
      <c r="A44" s="19"/>
      <c r="B44" s="19"/>
      <c r="C44" s="19"/>
    </row>
    <row r="45" spans="1:8" x14ac:dyDescent="0.2">
      <c r="A45" s="19"/>
      <c r="B45" s="19"/>
      <c r="C45" s="19"/>
    </row>
    <row r="46" spans="1:8" x14ac:dyDescent="0.2">
      <c r="A46" s="19"/>
      <c r="B46" s="19"/>
      <c r="C46" s="19"/>
    </row>
    <row r="47" spans="1:8" x14ac:dyDescent="0.2">
      <c r="A47" s="19"/>
      <c r="B47" s="19"/>
      <c r="C47" s="19"/>
    </row>
    <row r="48" spans="1:8" x14ac:dyDescent="0.2">
      <c r="A48" s="19"/>
      <c r="B48" s="19"/>
      <c r="C48" s="19"/>
    </row>
    <row r="49" spans="1:3" x14ac:dyDescent="0.2">
      <c r="A49" s="19"/>
      <c r="B49" s="19"/>
      <c r="C49" s="19"/>
    </row>
    <row r="50" spans="1:3" x14ac:dyDescent="0.2">
      <c r="A50" s="19"/>
      <c r="B50" s="19"/>
      <c r="C50" s="19"/>
    </row>
    <row r="51" spans="1:3" x14ac:dyDescent="0.2">
      <c r="A51" s="19"/>
      <c r="B51" s="19"/>
      <c r="C51" s="19"/>
    </row>
    <row r="52" spans="1:3" x14ac:dyDescent="0.2">
      <c r="A52" s="19"/>
      <c r="B52" s="19"/>
      <c r="C52" s="19"/>
    </row>
    <row r="53" spans="1:3" x14ac:dyDescent="0.2">
      <c r="A53" s="19"/>
      <c r="B53" s="19"/>
      <c r="C53" s="19"/>
    </row>
    <row r="54" spans="1:3" x14ac:dyDescent="0.2">
      <c r="A54" s="19"/>
      <c r="B54" s="19"/>
      <c r="C54" s="19"/>
    </row>
    <row r="55" spans="1:3" x14ac:dyDescent="0.2">
      <c r="A55" s="19"/>
      <c r="B55" s="19"/>
      <c r="C55" s="19"/>
    </row>
    <row r="56" spans="1:3" x14ac:dyDescent="0.2">
      <c r="A56" s="19"/>
      <c r="B56" s="19"/>
      <c r="C56" s="19"/>
    </row>
    <row r="57" spans="1:3" x14ac:dyDescent="0.2">
      <c r="A57" s="19"/>
      <c r="B57" s="19"/>
      <c r="C57" s="19"/>
    </row>
    <row r="58" spans="1:3" x14ac:dyDescent="0.2">
      <c r="A58" s="19"/>
      <c r="B58" s="19"/>
      <c r="C58" s="19"/>
    </row>
    <row r="59" spans="1:3" x14ac:dyDescent="0.2">
      <c r="A59" s="19"/>
      <c r="B59" s="19"/>
      <c r="C59" s="19"/>
    </row>
    <row r="60" spans="1:3" x14ac:dyDescent="0.2">
      <c r="A60" s="19"/>
      <c r="B60" s="19"/>
      <c r="C60" s="19"/>
    </row>
    <row r="61" spans="1:3" x14ac:dyDescent="0.2">
      <c r="A61" s="19"/>
      <c r="B61" s="19"/>
      <c r="C61" s="19"/>
    </row>
    <row r="62" spans="1:3" x14ac:dyDescent="0.2">
      <c r="A62" s="19"/>
      <c r="B62" s="19"/>
      <c r="C62" s="19"/>
    </row>
    <row r="63" spans="1:3" x14ac:dyDescent="0.2">
      <c r="A63" s="19"/>
      <c r="B63" s="19"/>
      <c r="C63" s="19"/>
    </row>
    <row r="64" spans="1:3" x14ac:dyDescent="0.2">
      <c r="A64" s="19"/>
      <c r="B64" s="19"/>
      <c r="C64" s="19"/>
    </row>
    <row r="65" spans="1:3" x14ac:dyDescent="0.2">
      <c r="A65" s="19"/>
      <c r="B65" s="19"/>
      <c r="C65" s="19"/>
    </row>
    <row r="66" spans="1:3" x14ac:dyDescent="0.2">
      <c r="A66" s="19"/>
      <c r="B66" s="19"/>
      <c r="C66" s="19"/>
    </row>
    <row r="67" spans="1:3" x14ac:dyDescent="0.2">
      <c r="A67" s="19"/>
      <c r="B67" s="19"/>
      <c r="C67" s="19"/>
    </row>
    <row r="68" spans="1:3" x14ac:dyDescent="0.2">
      <c r="A68" s="19"/>
      <c r="B68" s="19"/>
      <c r="C68" s="19"/>
    </row>
    <row r="69" spans="1:3" x14ac:dyDescent="0.2">
      <c r="A69" s="19"/>
      <c r="B69" s="19"/>
      <c r="C69" s="19"/>
    </row>
    <row r="70" spans="1:3" x14ac:dyDescent="0.2">
      <c r="A70" s="19"/>
      <c r="B70" s="19"/>
      <c r="C70" s="19"/>
    </row>
    <row r="71" spans="1:3" x14ac:dyDescent="0.2">
      <c r="A71" s="19"/>
      <c r="B71" s="19"/>
      <c r="C71" s="19"/>
    </row>
    <row r="72" spans="1:3" x14ac:dyDescent="0.2">
      <c r="A72" s="19"/>
      <c r="B72" s="19"/>
      <c r="C72" s="19"/>
    </row>
    <row r="73" spans="1:3" x14ac:dyDescent="0.2">
      <c r="A73" s="19"/>
      <c r="B73" s="19"/>
      <c r="C73" s="19"/>
    </row>
    <row r="74" spans="1:3" x14ac:dyDescent="0.2">
      <c r="A74" s="19"/>
      <c r="B74" s="19"/>
      <c r="C74" s="19"/>
    </row>
    <row r="75" spans="1:3" x14ac:dyDescent="0.2">
      <c r="A75" s="19"/>
      <c r="B75" s="19"/>
      <c r="C75" s="19"/>
    </row>
    <row r="76" spans="1:3" x14ac:dyDescent="0.2">
      <c r="A76" s="19"/>
      <c r="B76" s="19"/>
      <c r="C76" s="19"/>
    </row>
    <row r="77" spans="1:3" x14ac:dyDescent="0.2">
      <c r="A77" s="19"/>
      <c r="B77" s="19"/>
      <c r="C77" s="19"/>
    </row>
    <row r="78" spans="1:3" x14ac:dyDescent="0.2">
      <c r="A78" s="19"/>
      <c r="B78" s="19"/>
      <c r="C78" s="19"/>
    </row>
    <row r="79" spans="1:3" x14ac:dyDescent="0.2">
      <c r="A79" s="19"/>
      <c r="B79" s="19"/>
      <c r="C79" s="19"/>
    </row>
    <row r="80" spans="1:3" x14ac:dyDescent="0.2">
      <c r="A80" s="19"/>
      <c r="B80" s="19"/>
      <c r="C80" s="19"/>
    </row>
    <row r="81" spans="1:3" x14ac:dyDescent="0.2">
      <c r="A81" s="19"/>
      <c r="B81" s="19"/>
      <c r="C81" s="19"/>
    </row>
    <row r="82" spans="1:3" x14ac:dyDescent="0.2">
      <c r="A82" s="19"/>
      <c r="B82" s="19"/>
      <c r="C82" s="19"/>
    </row>
    <row r="83" spans="1:3" x14ac:dyDescent="0.2">
      <c r="A83" s="19"/>
      <c r="B83" s="19"/>
      <c r="C83" s="19"/>
    </row>
    <row r="84" spans="1:3" x14ac:dyDescent="0.2">
      <c r="A84" s="19"/>
      <c r="B84" s="19"/>
      <c r="C84" s="19"/>
    </row>
    <row r="85" spans="1:3" x14ac:dyDescent="0.2">
      <c r="A85" s="19"/>
      <c r="B85" s="19"/>
      <c r="C85" s="19"/>
    </row>
    <row r="86" spans="1:3" x14ac:dyDescent="0.2">
      <c r="A86" s="19"/>
      <c r="B86" s="19"/>
      <c r="C86" s="19"/>
    </row>
    <row r="87" spans="1:3" x14ac:dyDescent="0.2">
      <c r="A87" s="19"/>
      <c r="B87" s="19"/>
      <c r="C87" s="19"/>
    </row>
    <row r="88" spans="1:3" x14ac:dyDescent="0.2">
      <c r="A88" s="19"/>
      <c r="B88" s="19"/>
      <c r="C88" s="19"/>
    </row>
    <row r="89" spans="1:3" x14ac:dyDescent="0.2">
      <c r="A89" s="19"/>
      <c r="B89" s="19"/>
      <c r="C89" s="19"/>
    </row>
    <row r="90" spans="1:3" x14ac:dyDescent="0.2">
      <c r="A90" s="19"/>
      <c r="B90" s="19"/>
      <c r="C90" s="19"/>
    </row>
    <row r="91" spans="1:3" x14ac:dyDescent="0.2">
      <c r="A91" s="19"/>
      <c r="B91" s="19"/>
      <c r="C91" s="19"/>
    </row>
    <row r="92" spans="1:3" x14ac:dyDescent="0.2">
      <c r="A92" s="19"/>
      <c r="B92" s="19"/>
      <c r="C92" s="19"/>
    </row>
    <row r="93" spans="1:3" x14ac:dyDescent="0.2">
      <c r="A93" s="19"/>
      <c r="B93" s="19"/>
      <c r="C93" s="19"/>
    </row>
    <row r="94" spans="1:3" x14ac:dyDescent="0.2">
      <c r="A94" s="19"/>
      <c r="B94" s="19"/>
      <c r="C94" s="19"/>
    </row>
    <row r="95" spans="1:3" x14ac:dyDescent="0.2">
      <c r="A95" s="19"/>
      <c r="B95" s="19"/>
      <c r="C95" s="19"/>
    </row>
    <row r="96" spans="1:3" x14ac:dyDescent="0.2">
      <c r="A96" s="19"/>
      <c r="B96" s="19"/>
      <c r="C96" s="19"/>
    </row>
    <row r="97" spans="1:3" x14ac:dyDescent="0.2">
      <c r="A97" s="19"/>
      <c r="B97" s="19"/>
      <c r="C97" s="19"/>
    </row>
    <row r="98" spans="1:3" x14ac:dyDescent="0.2">
      <c r="A98" s="19"/>
      <c r="B98" s="19"/>
      <c r="C98" s="19"/>
    </row>
    <row r="99" spans="1:3" x14ac:dyDescent="0.2">
      <c r="A99" s="19"/>
      <c r="B99" s="19"/>
      <c r="C99" s="19"/>
    </row>
    <row r="100" spans="1:3" x14ac:dyDescent="0.2">
      <c r="A100" s="19"/>
      <c r="B100" s="19"/>
      <c r="C100" s="19"/>
    </row>
    <row r="101" spans="1:3" x14ac:dyDescent="0.2">
      <c r="A101" s="19"/>
      <c r="B101" s="19"/>
      <c r="C101" s="19"/>
    </row>
    <row r="102" spans="1:3" x14ac:dyDescent="0.2">
      <c r="A102" s="19"/>
      <c r="B102" s="19"/>
      <c r="C102" s="19"/>
    </row>
    <row r="103" spans="1:3" x14ac:dyDescent="0.2">
      <c r="A103" s="19"/>
      <c r="B103" s="19"/>
      <c r="C103" s="19"/>
    </row>
    <row r="104" spans="1:3" x14ac:dyDescent="0.2">
      <c r="A104" s="19"/>
      <c r="B104" s="19"/>
      <c r="C104" s="19"/>
    </row>
    <row r="105" spans="1:3" x14ac:dyDescent="0.2">
      <c r="A105" s="19"/>
      <c r="B105" s="19"/>
      <c r="C105" s="19"/>
    </row>
    <row r="106" spans="1:3" x14ac:dyDescent="0.2">
      <c r="A106" s="19"/>
      <c r="B106" s="19"/>
      <c r="C106" s="19"/>
    </row>
    <row r="107" spans="1:3" x14ac:dyDescent="0.2">
      <c r="A107" s="19"/>
      <c r="B107" s="19"/>
      <c r="C107" s="19"/>
    </row>
    <row r="108" spans="1:3" x14ac:dyDescent="0.2">
      <c r="A108" s="19"/>
      <c r="B108" s="19"/>
      <c r="C108" s="19"/>
    </row>
    <row r="109" spans="1:3" x14ac:dyDescent="0.2">
      <c r="A109" s="19"/>
      <c r="B109" s="19"/>
      <c r="C109" s="19"/>
    </row>
    <row r="110" spans="1:3" x14ac:dyDescent="0.2">
      <c r="A110" s="19"/>
      <c r="B110" s="19"/>
      <c r="C110" s="19"/>
    </row>
    <row r="111" spans="1:3" x14ac:dyDescent="0.2">
      <c r="A111" s="19"/>
      <c r="B111" s="19"/>
      <c r="C111" s="19"/>
    </row>
    <row r="112" spans="1:3" x14ac:dyDescent="0.2">
      <c r="A112" s="19"/>
      <c r="B112" s="19"/>
      <c r="C112" s="19"/>
    </row>
    <row r="113" spans="1:3" x14ac:dyDescent="0.2">
      <c r="A113" s="19"/>
      <c r="B113" s="19"/>
      <c r="C113" s="19"/>
    </row>
    <row r="114" spans="1:3" x14ac:dyDescent="0.2">
      <c r="A114" s="41"/>
      <c r="B114" s="41"/>
      <c r="C114" s="41"/>
    </row>
    <row r="115" spans="1:3" x14ac:dyDescent="0.2">
      <c r="A115" s="41"/>
      <c r="B115" s="41"/>
      <c r="C115" s="41"/>
    </row>
    <row r="116" spans="1:3" x14ac:dyDescent="0.2">
      <c r="A116" s="42"/>
      <c r="B116" s="42"/>
      <c r="C116" s="42"/>
    </row>
    <row r="117" spans="1:3" x14ac:dyDescent="0.2">
      <c r="A117" s="42"/>
      <c r="B117" s="42"/>
      <c r="C117" s="42"/>
    </row>
  </sheetData>
  <mergeCells count="7">
    <mergeCell ref="A37:C37"/>
    <mergeCell ref="A5:C5"/>
    <mergeCell ref="A6:C6"/>
    <mergeCell ref="F9:H9"/>
    <mergeCell ref="A18:C18"/>
    <mergeCell ref="F24:F25"/>
    <mergeCell ref="A28:C2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4CBD-3C37-459D-81F0-EE00EB51641B}">
  <dimension ref="A1:O3551"/>
  <sheetViews>
    <sheetView zoomScale="140" zoomScaleNormal="140" workbookViewId="0">
      <pane ySplit="2" topLeftCell="A17" activePane="bottomLeft" state="frozen"/>
      <selection pane="bottomLeft" activeCell="D17" sqref="D17"/>
    </sheetView>
  </sheetViews>
  <sheetFormatPr defaultColWidth="8.85546875" defaultRowHeight="15" x14ac:dyDescent="0.25"/>
  <cols>
    <col min="1" max="1" width="15.7109375" customWidth="1"/>
    <col min="2" max="2" width="18.7109375" style="81" customWidth="1"/>
    <col min="3" max="3" width="10.7109375" style="101" customWidth="1"/>
    <col min="4" max="4" width="10.7109375" style="89" customWidth="1"/>
    <col min="5" max="5" width="12.28515625" style="85" customWidth="1"/>
    <col min="6" max="8" width="10.7109375" style="85" customWidth="1"/>
    <col min="9" max="9" width="18.7109375" style="85" customWidth="1"/>
    <col min="10" max="10" width="10.7109375" style="87" customWidth="1"/>
    <col min="11" max="11" width="15.85546875" style="85" customWidth="1"/>
    <col min="14" max="14" width="10.7109375" bestFit="1" customWidth="1"/>
  </cols>
  <sheetData>
    <row r="1" spans="1:15" x14ac:dyDescent="0.25">
      <c r="A1" t="s">
        <v>184</v>
      </c>
      <c r="B1" s="81" t="s">
        <v>185</v>
      </c>
      <c r="C1" s="102" t="s">
        <v>186</v>
      </c>
      <c r="D1" s="82" t="s">
        <v>187</v>
      </c>
      <c r="E1" s="83" t="s">
        <v>188</v>
      </c>
      <c r="F1" s="83" t="s">
        <v>189</v>
      </c>
      <c r="G1" s="83" t="s">
        <v>190</v>
      </c>
      <c r="H1" s="83" t="s">
        <v>191</v>
      </c>
      <c r="I1" s="83" t="s">
        <v>192</v>
      </c>
      <c r="J1" s="84" t="s">
        <v>193</v>
      </c>
      <c r="K1" s="83" t="s">
        <v>194</v>
      </c>
    </row>
    <row r="2" spans="1:15" hidden="1" x14ac:dyDescent="0.25">
      <c r="C2" s="102" t="s">
        <v>195</v>
      </c>
      <c r="D2" s="82" t="s">
        <v>196</v>
      </c>
      <c r="E2" s="83" t="s">
        <v>197</v>
      </c>
      <c r="F2" s="83" t="s">
        <v>197</v>
      </c>
      <c r="G2" s="83" t="s">
        <v>198</v>
      </c>
      <c r="H2" s="83" t="s">
        <v>199</v>
      </c>
      <c r="I2" s="83" t="s">
        <v>200</v>
      </c>
      <c r="J2" s="84" t="s">
        <v>200</v>
      </c>
    </row>
    <row r="3" spans="1:15" hidden="1" x14ac:dyDescent="0.25">
      <c r="A3" t="str">
        <f>CONCATENATE(B3,"Ø",D3)</f>
        <v>POMØ3,5</v>
      </c>
      <c r="B3" s="81" t="s">
        <v>201</v>
      </c>
      <c r="C3" s="102"/>
      <c r="D3" s="86">
        <v>3.5</v>
      </c>
      <c r="E3" s="85">
        <f>D3/1000</f>
        <v>3.5000000000000001E-3</v>
      </c>
      <c r="F3" s="85">
        <f>E3/2</f>
        <v>1.75E-3</v>
      </c>
      <c r="G3" s="85">
        <f>4/3*PI()*F3*F3*F3</f>
        <v>2.2449297503777064E-8</v>
      </c>
      <c r="H3" s="85">
        <v>1400</v>
      </c>
      <c r="I3" s="85">
        <f>H3*G3</f>
        <v>3.1429016505287886E-5</v>
      </c>
      <c r="J3" s="87">
        <v>1</v>
      </c>
      <c r="K3" s="88">
        <f>J3/I3</f>
        <v>31817.731230366418</v>
      </c>
      <c r="N3" cm="1">
        <f t="array" ref="N3:N87">_xlfn.UNIQUE(Tabella3[Materiale])</f>
        <v>0</v>
      </c>
      <c r="O3" t="str" cm="1">
        <f t="array" ref="O3:O160">_xlfn.UNIQUE(Tabella3[Diametro])</f>
        <v>["]</v>
      </c>
    </row>
    <row r="4" spans="1:15" hidden="1" x14ac:dyDescent="0.25">
      <c r="A4" t="str">
        <f t="shared" ref="A4:A67" si="0">CONCATENATE(B4,"Ø",D4)</f>
        <v>PPHØ3,5</v>
      </c>
      <c r="B4" s="81" t="s">
        <v>202</v>
      </c>
      <c r="C4" s="102"/>
      <c r="D4" s="86">
        <v>3.5</v>
      </c>
      <c r="E4" s="85">
        <f>D4/1000</f>
        <v>3.5000000000000001E-3</v>
      </c>
      <c r="F4" s="85">
        <f>E4/2</f>
        <v>1.75E-3</v>
      </c>
      <c r="G4" s="85">
        <f>4/3*PI()*F4*F4*F4</f>
        <v>2.2449297503777064E-8</v>
      </c>
      <c r="H4" s="85">
        <v>910</v>
      </c>
      <c r="I4" s="85">
        <f>H4*G4</f>
        <v>2.0428860728437127E-5</v>
      </c>
      <c r="J4" s="87">
        <v>1</v>
      </c>
      <c r="K4" s="88">
        <f>J4/I4</f>
        <v>48950.355739025254</v>
      </c>
      <c r="N4" t="str">
        <v>POM</v>
      </c>
      <c r="O4">
        <v>0</v>
      </c>
    </row>
    <row r="5" spans="1:15" hidden="1" x14ac:dyDescent="0.25">
      <c r="A5" t="str">
        <f t="shared" si="0"/>
        <v>CP Ti Grado 1Ø2</v>
      </c>
      <c r="B5" s="81" t="s">
        <v>203</v>
      </c>
      <c r="C5" s="102"/>
      <c r="D5" s="86">
        <v>2</v>
      </c>
      <c r="E5" s="85">
        <f>D5/1000</f>
        <v>2E-3</v>
      </c>
      <c r="F5" s="85">
        <f>E5/2</f>
        <v>1E-3</v>
      </c>
      <c r="G5" s="85">
        <f>4/3*PI()*F5*F5*F5</f>
        <v>4.1887902047863909E-9</v>
      </c>
      <c r="H5" s="85">
        <v>4510</v>
      </c>
      <c r="I5" s="85">
        <f>H5*G5</f>
        <v>1.8891443823586622E-5</v>
      </c>
      <c r="J5" s="87">
        <v>1</v>
      </c>
      <c r="K5" s="88">
        <f>J5/I5</f>
        <v>52934.016549410866</v>
      </c>
      <c r="N5" t="str">
        <v>PPH</v>
      </c>
      <c r="O5" t="str">
        <v>1/64</v>
      </c>
    </row>
    <row r="6" spans="1:15" hidden="1" x14ac:dyDescent="0.25">
      <c r="A6" t="str">
        <f t="shared" si="0"/>
        <v>Boros. GlassØ4</v>
      </c>
      <c r="B6" s="81" t="s">
        <v>204</v>
      </c>
      <c r="C6" s="102"/>
      <c r="D6" s="86">
        <v>4</v>
      </c>
      <c r="E6" s="85">
        <f>D6/1000</f>
        <v>4.0000000000000001E-3</v>
      </c>
      <c r="F6" s="85">
        <f t="shared" ref="F6:F69" si="1">E6/2</f>
        <v>2E-3</v>
      </c>
      <c r="G6" s="85">
        <f t="shared" ref="G6:G69" si="2">4/3*PI()*F6*F6*F6</f>
        <v>3.3510321638291127E-8</v>
      </c>
      <c r="H6" s="85">
        <v>2230</v>
      </c>
      <c r="I6" s="85">
        <f t="shared" ref="I6:I18" si="3">H6*G6</f>
        <v>7.4728017253389208E-5</v>
      </c>
      <c r="J6" s="87">
        <v>1</v>
      </c>
      <c r="K6" s="88">
        <f t="shared" ref="K6:K18" si="4">J6/I6</f>
        <v>13381.861807053981</v>
      </c>
      <c r="N6" t="str">
        <v>CP Ti Grado 1</v>
      </c>
      <c r="O6" t="str">
        <v>3/32</v>
      </c>
    </row>
    <row r="7" spans="1:15" hidden="1" x14ac:dyDescent="0.25">
      <c r="A7" t="str">
        <f t="shared" si="0"/>
        <v>Ø4</v>
      </c>
      <c r="D7" s="86">
        <v>4</v>
      </c>
      <c r="E7" s="85">
        <f t="shared" ref="E7:E70" si="5">D7/1000</f>
        <v>4.0000000000000001E-3</v>
      </c>
      <c r="F7" s="85">
        <f t="shared" si="1"/>
        <v>2E-3</v>
      </c>
      <c r="G7" s="85">
        <f t="shared" si="2"/>
        <v>3.3510321638291127E-8</v>
      </c>
      <c r="H7" s="85">
        <v>2230</v>
      </c>
      <c r="I7" s="85">
        <f t="shared" si="3"/>
        <v>7.4728017253389208E-5</v>
      </c>
      <c r="J7" s="87">
        <v>1</v>
      </c>
      <c r="K7" s="88">
        <f t="shared" si="4"/>
        <v>13381.861807053981</v>
      </c>
      <c r="N7" t="str">
        <v>Boros. Glass</v>
      </c>
      <c r="O7" t="str">
        <v>1/8</v>
      </c>
    </row>
    <row r="8" spans="1:15" hidden="1" x14ac:dyDescent="0.25">
      <c r="A8" t="str">
        <f t="shared" si="0"/>
        <v>Ø4</v>
      </c>
      <c r="D8" s="86">
        <v>4</v>
      </c>
      <c r="E8" s="85">
        <f t="shared" si="5"/>
        <v>4.0000000000000001E-3</v>
      </c>
      <c r="F8" s="85">
        <f t="shared" si="1"/>
        <v>2E-3</v>
      </c>
      <c r="G8" s="85">
        <f t="shared" si="2"/>
        <v>3.3510321638291127E-8</v>
      </c>
      <c r="H8" s="85">
        <v>2230</v>
      </c>
      <c r="I8" s="85">
        <f t="shared" si="3"/>
        <v>7.4728017253389208E-5</v>
      </c>
      <c r="J8" s="87">
        <v>1</v>
      </c>
      <c r="K8" s="88">
        <f t="shared" si="4"/>
        <v>13381.861807053981</v>
      </c>
      <c r="N8" t="str">
        <v>ZrO2</v>
      </c>
      <c r="O8" t="str">
        <v>5/32</v>
      </c>
    </row>
    <row r="9" spans="1:15" hidden="1" x14ac:dyDescent="0.25">
      <c r="A9" t="str">
        <f t="shared" si="0"/>
        <v>Ø4</v>
      </c>
      <c r="D9" s="86">
        <v>4</v>
      </c>
      <c r="E9" s="85">
        <f t="shared" si="5"/>
        <v>4.0000000000000001E-3</v>
      </c>
      <c r="F9" s="85">
        <f t="shared" si="1"/>
        <v>2E-3</v>
      </c>
      <c r="G9" s="85">
        <f t="shared" si="2"/>
        <v>3.3510321638291127E-8</v>
      </c>
      <c r="H9" s="85">
        <v>2230</v>
      </c>
      <c r="I9" s="85">
        <f t="shared" si="3"/>
        <v>7.4728017253389208E-5</v>
      </c>
      <c r="J9" s="87">
        <v>1</v>
      </c>
      <c r="K9" s="88">
        <f t="shared" si="4"/>
        <v>13381.861807053981</v>
      </c>
      <c r="N9" t="str">
        <v>Wc-Co</v>
      </c>
      <c r="O9" t="str">
        <v>1/4</v>
      </c>
    </row>
    <row r="10" spans="1:15" hidden="1" x14ac:dyDescent="0.25">
      <c r="A10" t="str">
        <f t="shared" si="0"/>
        <v>ZrO2Ø1</v>
      </c>
      <c r="B10" s="81" t="s">
        <v>205</v>
      </c>
      <c r="C10" s="102"/>
      <c r="D10" s="86">
        <v>1</v>
      </c>
      <c r="E10" s="85">
        <f t="shared" si="5"/>
        <v>1E-3</v>
      </c>
      <c r="F10" s="85">
        <f t="shared" si="1"/>
        <v>5.0000000000000001E-4</v>
      </c>
      <c r="G10" s="85">
        <f t="shared" si="2"/>
        <v>5.2359877559829886E-10</v>
      </c>
      <c r="H10" s="88">
        <v>6000</v>
      </c>
      <c r="I10" s="85">
        <f t="shared" si="3"/>
        <v>3.1415926535897933E-6</v>
      </c>
      <c r="J10" s="87">
        <v>1</v>
      </c>
      <c r="K10" s="88">
        <f t="shared" si="4"/>
        <v>318309.88618379069</v>
      </c>
      <c r="N10" t="str">
        <v>Si3N4</v>
      </c>
      <c r="O10" t="str">
        <v>2.3/8</v>
      </c>
    </row>
    <row r="11" spans="1:15" hidden="1" x14ac:dyDescent="0.25">
      <c r="A11" t="str">
        <f t="shared" si="0"/>
        <v>Wc-CoØ1</v>
      </c>
      <c r="B11" s="81" t="s">
        <v>206</v>
      </c>
      <c r="C11" s="102"/>
      <c r="D11" s="86">
        <v>1</v>
      </c>
      <c r="E11" s="85">
        <f t="shared" si="5"/>
        <v>1E-3</v>
      </c>
      <c r="F11" s="85">
        <f t="shared" si="1"/>
        <v>5.0000000000000001E-4</v>
      </c>
      <c r="G11" s="85">
        <f t="shared" si="2"/>
        <v>5.2359877559829886E-10</v>
      </c>
      <c r="H11" s="85">
        <v>14900</v>
      </c>
      <c r="I11" s="85">
        <f t="shared" si="3"/>
        <v>7.8016217564146528E-6</v>
      </c>
      <c r="J11" s="87">
        <v>1</v>
      </c>
      <c r="K11" s="88">
        <f t="shared" si="4"/>
        <v>128178.47765790229</v>
      </c>
      <c r="N11" t="str">
        <v>92WNiFe</v>
      </c>
      <c r="O11" t="str">
        <v>2.1/2</v>
      </c>
    </row>
    <row r="12" spans="1:15" hidden="1" x14ac:dyDescent="0.25">
      <c r="A12" t="str">
        <f t="shared" si="0"/>
        <v>Si3N4Ø16,699</v>
      </c>
      <c r="B12" s="81" t="s">
        <v>207</v>
      </c>
      <c r="C12" s="102"/>
      <c r="D12" s="86">
        <v>16.699000000000002</v>
      </c>
      <c r="E12" s="85">
        <f t="shared" si="5"/>
        <v>1.6699000000000002E-2</v>
      </c>
      <c r="F12" s="85">
        <f t="shared" si="1"/>
        <v>8.349500000000001E-3</v>
      </c>
      <c r="G12" s="85">
        <f t="shared" si="2"/>
        <v>2.438203871038576E-6</v>
      </c>
      <c r="H12" s="85">
        <v>3200</v>
      </c>
      <c r="I12" s="85">
        <f t="shared" si="3"/>
        <v>7.8022523873234433E-3</v>
      </c>
      <c r="J12" s="87">
        <v>1</v>
      </c>
      <c r="K12" s="88">
        <f t="shared" si="4"/>
        <v>128.16811740475487</v>
      </c>
      <c r="N12" t="str">
        <v>Nylon 6.6</v>
      </c>
      <c r="O12" t="str">
        <v>2.5/8</v>
      </c>
    </row>
    <row r="13" spans="1:15" hidden="1" x14ac:dyDescent="0.25">
      <c r="A13" t="str">
        <f t="shared" si="0"/>
        <v>92WNiFeØ15</v>
      </c>
      <c r="B13" s="81" t="s">
        <v>208</v>
      </c>
      <c r="C13" s="102"/>
      <c r="D13" s="86">
        <v>15</v>
      </c>
      <c r="E13" s="85">
        <f t="shared" si="5"/>
        <v>1.4999999999999999E-2</v>
      </c>
      <c r="F13" s="85">
        <f t="shared" si="1"/>
        <v>7.4999999999999997E-3</v>
      </c>
      <c r="G13" s="85">
        <f t="shared" si="2"/>
        <v>1.7671458676442584E-6</v>
      </c>
      <c r="H13" s="85">
        <v>17400</v>
      </c>
      <c r="I13" s="85">
        <f t="shared" si="3"/>
        <v>3.0748338097010094E-2</v>
      </c>
      <c r="J13" s="87">
        <v>1</v>
      </c>
      <c r="K13" s="88">
        <f t="shared" si="4"/>
        <v>32.522082879569936</v>
      </c>
      <c r="N13" t="str">
        <v>VESC</v>
      </c>
      <c r="O13" t="str">
        <v>2.3/4</v>
      </c>
    </row>
    <row r="14" spans="1:15" hidden="1" x14ac:dyDescent="0.25">
      <c r="A14" t="str">
        <f t="shared" si="0"/>
        <v>Nylon 6.6Ø2</v>
      </c>
      <c r="B14" s="81" t="s">
        <v>209</v>
      </c>
      <c r="C14" s="102"/>
      <c r="D14" s="86">
        <v>2</v>
      </c>
      <c r="E14" s="85">
        <f t="shared" si="5"/>
        <v>2E-3</v>
      </c>
      <c r="F14" s="85">
        <f t="shared" si="1"/>
        <v>1E-3</v>
      </c>
      <c r="G14" s="85">
        <f t="shared" si="2"/>
        <v>4.1887902047863909E-9</v>
      </c>
      <c r="H14" s="85">
        <v>1140</v>
      </c>
      <c r="I14" s="85">
        <f t="shared" si="3"/>
        <v>4.7752208334564857E-6</v>
      </c>
      <c r="J14" s="87">
        <v>1</v>
      </c>
      <c r="K14" s="88">
        <f t="shared" si="4"/>
        <v>209414.39880512544</v>
      </c>
      <c r="N14">
        <v>1010</v>
      </c>
      <c r="O14" t="str">
        <v>2.7/8</v>
      </c>
    </row>
    <row r="15" spans="1:15" hidden="1" x14ac:dyDescent="0.25">
      <c r="A15" t="str">
        <f t="shared" si="0"/>
        <v>VESCØ2,5</v>
      </c>
      <c r="B15" s="81" t="s">
        <v>210</v>
      </c>
      <c r="C15" s="102"/>
      <c r="D15" s="86">
        <v>2.5</v>
      </c>
      <c r="E15" s="85">
        <f t="shared" si="5"/>
        <v>2.5000000000000001E-3</v>
      </c>
      <c r="F15" s="85">
        <f t="shared" si="1"/>
        <v>1.25E-3</v>
      </c>
      <c r="G15" s="85">
        <f t="shared" si="2"/>
        <v>8.181230868723419E-9</v>
      </c>
      <c r="H15" s="85">
        <v>2550</v>
      </c>
      <c r="I15" s="85">
        <f t="shared" si="3"/>
        <v>2.0862138715244719E-5</v>
      </c>
      <c r="J15" s="87">
        <v>1</v>
      </c>
      <c r="K15" s="85">
        <f t="shared" si="4"/>
        <v>47933.724037088483</v>
      </c>
      <c r="N15">
        <v>1085</v>
      </c>
      <c r="O15" t="str">
        <v>3</v>
      </c>
    </row>
    <row r="16" spans="1:15" hidden="1" x14ac:dyDescent="0.25">
      <c r="A16" t="str">
        <f t="shared" si="0"/>
        <v>1010Ø0,6</v>
      </c>
      <c r="B16" s="81">
        <v>1010</v>
      </c>
      <c r="C16" s="102"/>
      <c r="D16" s="86">
        <v>0.6</v>
      </c>
      <c r="E16" s="85">
        <f t="shared" si="5"/>
        <v>5.9999999999999995E-4</v>
      </c>
      <c r="F16" s="85">
        <f t="shared" si="1"/>
        <v>2.9999999999999997E-4</v>
      </c>
      <c r="G16" s="85">
        <f t="shared" si="2"/>
        <v>1.1309733552923252E-10</v>
      </c>
      <c r="H16" s="85">
        <v>7820</v>
      </c>
      <c r="I16" s="85">
        <f t="shared" si="3"/>
        <v>8.8442116383859826E-7</v>
      </c>
      <c r="J16" s="87">
        <v>1</v>
      </c>
      <c r="K16" s="88">
        <f t="shared" si="4"/>
        <v>1130683.0285016724</v>
      </c>
      <c r="N16">
        <v>52100</v>
      </c>
      <c r="O16" t="str">
        <v>3.1/8</v>
      </c>
    </row>
    <row r="17" spans="1:15" x14ac:dyDescent="0.25">
      <c r="A17" t="str">
        <f t="shared" si="0"/>
        <v>1085Ø3,959</v>
      </c>
      <c r="B17" s="81">
        <v>1085</v>
      </c>
      <c r="C17" s="102"/>
      <c r="D17" s="86">
        <v>3.9590000000000001</v>
      </c>
      <c r="E17" s="85">
        <f t="shared" si="5"/>
        <v>3.9589999999999998E-3</v>
      </c>
      <c r="F17" s="85">
        <f t="shared" si="1"/>
        <v>1.9794999999999999E-3</v>
      </c>
      <c r="G17" s="85">
        <f t="shared" si="2"/>
        <v>3.2490405195463819E-8</v>
      </c>
      <c r="H17" s="85">
        <v>7850</v>
      </c>
      <c r="I17" s="85">
        <f t="shared" si="3"/>
        <v>2.5504968078439097E-4</v>
      </c>
      <c r="J17" s="87">
        <v>1</v>
      </c>
      <c r="K17" s="88">
        <f t="shared" si="4"/>
        <v>3920.8047503708149</v>
      </c>
      <c r="N17">
        <v>304</v>
      </c>
      <c r="O17" t="str">
        <v>3.1/4</v>
      </c>
    </row>
    <row r="18" spans="1:15" hidden="1" x14ac:dyDescent="0.25">
      <c r="A18" t="str">
        <f t="shared" si="0"/>
        <v>52100Ø0,396875</v>
      </c>
      <c r="B18" s="81">
        <v>52100</v>
      </c>
      <c r="C18" s="101" t="s">
        <v>211</v>
      </c>
      <c r="D18" s="86">
        <f>1/64*25.4</f>
        <v>0.39687499999999998</v>
      </c>
      <c r="E18" s="90">
        <f t="shared" si="5"/>
        <v>3.9687499999999998E-4</v>
      </c>
      <c r="F18" s="91">
        <f t="shared" si="1"/>
        <v>1.9843749999999999E-4</v>
      </c>
      <c r="G18" s="85">
        <f t="shared" si="2"/>
        <v>3.273104341907867E-11</v>
      </c>
      <c r="H18" s="85">
        <v>7800</v>
      </c>
      <c r="I18" s="85">
        <f t="shared" si="3"/>
        <v>2.5530213866881361E-7</v>
      </c>
      <c r="J18" s="87">
        <v>1</v>
      </c>
      <c r="K18" s="88">
        <f t="shared" si="4"/>
        <v>3916927.6262790463</v>
      </c>
      <c r="N18" t="str">
        <v>Ottone</v>
      </c>
      <c r="O18" t="str">
        <v>3.3/8</v>
      </c>
    </row>
    <row r="19" spans="1:15" hidden="1" x14ac:dyDescent="0.25">
      <c r="A19" t="str">
        <f t="shared" si="0"/>
        <v>52100Ø3</v>
      </c>
      <c r="B19" s="81">
        <v>52100</v>
      </c>
      <c r="C19" s="102"/>
      <c r="D19" s="86">
        <v>3</v>
      </c>
      <c r="E19" s="85">
        <f t="shared" si="5"/>
        <v>3.0000000000000001E-3</v>
      </c>
      <c r="F19" s="85">
        <f t="shared" si="1"/>
        <v>1.5E-3</v>
      </c>
      <c r="G19" s="85">
        <f t="shared" si="2"/>
        <v>1.4137166941154068E-8</v>
      </c>
      <c r="H19" s="85">
        <v>7800</v>
      </c>
      <c r="I19" s="85">
        <f>H19*G19</f>
        <v>1.1026990214100174E-4</v>
      </c>
      <c r="J19" s="87">
        <v>1</v>
      </c>
      <c r="K19" s="88">
        <f>J19/I19</f>
        <v>9068.6577260339218</v>
      </c>
      <c r="N19" t="str">
        <v>Al2O3</v>
      </c>
      <c r="O19" t="str">
        <v>3.1/2</v>
      </c>
    </row>
    <row r="20" spans="1:15" hidden="1" x14ac:dyDescent="0.25">
      <c r="A20" t="str">
        <f t="shared" si="0"/>
        <v>304Ø0,25</v>
      </c>
      <c r="B20" s="81">
        <v>304</v>
      </c>
      <c r="D20" s="86">
        <v>0.25</v>
      </c>
      <c r="E20" s="85">
        <f t="shared" si="5"/>
        <v>2.5000000000000001E-4</v>
      </c>
      <c r="F20" s="85">
        <f t="shared" si="1"/>
        <v>1.25E-4</v>
      </c>
      <c r="G20" s="85">
        <f t="shared" si="2"/>
        <v>8.1812308687234197E-12</v>
      </c>
      <c r="H20" s="85">
        <v>7950</v>
      </c>
      <c r="I20" s="85">
        <f>H20*G20</f>
        <v>6.5040785406351186E-8</v>
      </c>
      <c r="J20" s="87">
        <v>1</v>
      </c>
      <c r="K20" s="88">
        <f>J20/I20</f>
        <v>15374968.087368002</v>
      </c>
      <c r="N20" t="str">
        <v>PS</v>
      </c>
      <c r="O20" t="str">
        <v>3.5/8</v>
      </c>
    </row>
    <row r="21" spans="1:15" hidden="1" x14ac:dyDescent="0.25">
      <c r="A21" t="str">
        <f t="shared" si="0"/>
        <v>Wc-CoØ4</v>
      </c>
      <c r="B21" s="81" t="s">
        <v>206</v>
      </c>
      <c r="C21" s="102"/>
      <c r="D21" s="86">
        <v>4</v>
      </c>
      <c r="E21" s="85">
        <f t="shared" si="5"/>
        <v>4.0000000000000001E-3</v>
      </c>
      <c r="F21" s="85">
        <f t="shared" si="1"/>
        <v>2E-3</v>
      </c>
      <c r="G21" s="85">
        <f t="shared" si="2"/>
        <v>3.3510321638291127E-8</v>
      </c>
      <c r="H21" s="85">
        <v>14900</v>
      </c>
      <c r="I21" s="85">
        <f>H21*G21</f>
        <v>4.9930379241053778E-4</v>
      </c>
      <c r="J21" s="87">
        <v>1</v>
      </c>
      <c r="K21" s="88">
        <f>J21/I21</f>
        <v>2002.7887134047232</v>
      </c>
      <c r="N21" t="str">
        <v>PA6.6</v>
      </c>
      <c r="O21" t="str">
        <v>3.3/4</v>
      </c>
    </row>
    <row r="22" spans="1:15" hidden="1" x14ac:dyDescent="0.25">
      <c r="A22" t="str">
        <f t="shared" si="0"/>
        <v>Wc-CoØ4</v>
      </c>
      <c r="B22" s="81" t="s">
        <v>206</v>
      </c>
      <c r="C22" s="102"/>
      <c r="D22" s="86">
        <v>4</v>
      </c>
      <c r="E22" s="85">
        <f t="shared" si="5"/>
        <v>4.0000000000000001E-3</v>
      </c>
      <c r="F22" s="85">
        <f t="shared" si="1"/>
        <v>2E-3</v>
      </c>
      <c r="G22" s="85">
        <f t="shared" si="2"/>
        <v>3.3510321638291127E-8</v>
      </c>
      <c r="H22" s="85">
        <v>14900</v>
      </c>
      <c r="I22" s="85">
        <f>H22*G22</f>
        <v>4.9930379241053778E-4</v>
      </c>
      <c r="J22" s="87">
        <v>1</v>
      </c>
      <c r="K22" s="88">
        <f>J22/I22</f>
        <v>2002.7887134047232</v>
      </c>
      <c r="N22" t="str">
        <v>Bronzo Fosforoso</v>
      </c>
      <c r="O22" t="str">
        <v>3.7/8</v>
      </c>
    </row>
    <row r="23" spans="1:15" hidden="1" x14ac:dyDescent="0.25">
      <c r="A23" t="str">
        <f t="shared" si="0"/>
        <v>POMØ1</v>
      </c>
      <c r="B23" s="81" t="s">
        <v>201</v>
      </c>
      <c r="D23" s="86">
        <v>1</v>
      </c>
      <c r="E23" s="85">
        <f t="shared" si="5"/>
        <v>1E-3</v>
      </c>
      <c r="F23" s="85">
        <f t="shared" si="1"/>
        <v>5.0000000000000001E-4</v>
      </c>
      <c r="G23" s="85">
        <f t="shared" si="2"/>
        <v>5.2359877559829886E-10</v>
      </c>
      <c r="H23" s="85">
        <v>1430</v>
      </c>
      <c r="I23" s="85">
        <f t="shared" ref="I23:I86" si="6">H23*G23</f>
        <v>7.4874624910556739E-7</v>
      </c>
      <c r="J23" s="87">
        <v>1</v>
      </c>
      <c r="K23" s="88">
        <f t="shared" ref="K23:K86" si="7">J23/I23</f>
        <v>1335565.9560159049</v>
      </c>
      <c r="M23" s="92" t="s">
        <v>212</v>
      </c>
      <c r="N23" t="str">
        <v>420C</v>
      </c>
      <c r="O23" t="str">
        <v>4</v>
      </c>
    </row>
    <row r="24" spans="1:15" hidden="1" x14ac:dyDescent="0.25">
      <c r="A24" t="str">
        <f t="shared" si="0"/>
        <v>POMØ2</v>
      </c>
      <c r="B24" s="81" t="s">
        <v>201</v>
      </c>
      <c r="D24" s="86">
        <v>2</v>
      </c>
      <c r="E24" s="85">
        <f t="shared" si="5"/>
        <v>2E-3</v>
      </c>
      <c r="F24" s="85">
        <f t="shared" si="1"/>
        <v>1E-3</v>
      </c>
      <c r="G24" s="85">
        <f t="shared" si="2"/>
        <v>4.1887902047863909E-9</v>
      </c>
      <c r="H24" s="85">
        <v>1430</v>
      </c>
      <c r="I24" s="85">
        <f t="shared" si="6"/>
        <v>5.9899699928445391E-6</v>
      </c>
      <c r="J24" s="87">
        <v>1</v>
      </c>
      <c r="K24" s="88">
        <f t="shared" si="7"/>
        <v>166945.74450198811</v>
      </c>
      <c r="N24" t="str">
        <v>Alluminio</v>
      </c>
      <c r="O24" t="str">
        <v>4.1/4</v>
      </c>
    </row>
    <row r="25" spans="1:15" hidden="1" x14ac:dyDescent="0.25">
      <c r="A25" t="str">
        <f t="shared" si="0"/>
        <v>POMØ3</v>
      </c>
      <c r="B25" s="81" t="s">
        <v>201</v>
      </c>
      <c r="D25" s="86">
        <v>3</v>
      </c>
      <c r="E25" s="85">
        <f t="shared" si="5"/>
        <v>3.0000000000000001E-3</v>
      </c>
      <c r="F25" s="85">
        <f t="shared" si="1"/>
        <v>1.5E-3</v>
      </c>
      <c r="G25" s="85">
        <f t="shared" si="2"/>
        <v>1.4137166941154068E-8</v>
      </c>
      <c r="H25" s="85">
        <v>1430</v>
      </c>
      <c r="I25" s="85">
        <f t="shared" si="6"/>
        <v>2.0216148725850318E-5</v>
      </c>
      <c r="J25" s="87">
        <v>1</v>
      </c>
      <c r="K25" s="88">
        <f t="shared" si="7"/>
        <v>49465.405778366854</v>
      </c>
      <c r="N25" t="str">
        <v>316L</v>
      </c>
      <c r="O25" t="str">
        <v>4.1/2</v>
      </c>
    </row>
    <row r="26" spans="1:15" hidden="1" x14ac:dyDescent="0.25">
      <c r="A26" t="str">
        <f t="shared" si="0"/>
        <v>POMØ4</v>
      </c>
      <c r="B26" s="81" t="s">
        <v>201</v>
      </c>
      <c r="D26" s="86">
        <v>4</v>
      </c>
      <c r="E26" s="85">
        <f t="shared" si="5"/>
        <v>4.0000000000000001E-3</v>
      </c>
      <c r="F26" s="85">
        <f t="shared" si="1"/>
        <v>2E-3</v>
      </c>
      <c r="G26" s="85">
        <f t="shared" si="2"/>
        <v>3.3510321638291127E-8</v>
      </c>
      <c r="H26" s="85">
        <v>1430</v>
      </c>
      <c r="I26" s="85">
        <f t="shared" si="6"/>
        <v>4.7919759942756313E-5</v>
      </c>
      <c r="J26" s="87">
        <v>1</v>
      </c>
      <c r="K26" s="88">
        <f t="shared" si="7"/>
        <v>20868.218062748514</v>
      </c>
      <c r="N26" t="str">
        <v>PMMA</v>
      </c>
      <c r="O26" t="str">
        <v>4.3/4</v>
      </c>
    </row>
    <row r="27" spans="1:15" s="93" customFormat="1" ht="15" hidden="1" customHeight="1" x14ac:dyDescent="0.25">
      <c r="A27" t="str">
        <f t="shared" si="0"/>
        <v>VESCØ1</v>
      </c>
      <c r="B27" s="81" t="s">
        <v>210</v>
      </c>
      <c r="C27" s="101"/>
      <c r="D27" s="86">
        <v>1</v>
      </c>
      <c r="E27" s="85">
        <f t="shared" si="5"/>
        <v>1E-3</v>
      </c>
      <c r="F27" s="85">
        <f t="shared" si="1"/>
        <v>5.0000000000000001E-4</v>
      </c>
      <c r="G27" s="85">
        <f t="shared" si="2"/>
        <v>5.2359877559829886E-10</v>
      </c>
      <c r="H27" s="85">
        <v>2550</v>
      </c>
      <c r="I27" s="85">
        <f t="shared" si="6"/>
        <v>1.3351768777756622E-6</v>
      </c>
      <c r="J27" s="87">
        <v>1</v>
      </c>
      <c r="K27" s="88">
        <f t="shared" si="7"/>
        <v>748964.43807950744</v>
      </c>
      <c r="N27" t="str">
        <v>PUR</v>
      </c>
      <c r="O27" s="93" t="str">
        <v>5</v>
      </c>
    </row>
    <row r="28" spans="1:15" s="93" customFormat="1" ht="15" hidden="1" customHeight="1" x14ac:dyDescent="0.25">
      <c r="A28" t="str">
        <f t="shared" si="0"/>
        <v>VESCØ1,5</v>
      </c>
      <c r="B28" s="81" t="s">
        <v>210</v>
      </c>
      <c r="C28" s="101"/>
      <c r="D28" s="86">
        <v>1.5</v>
      </c>
      <c r="E28" s="85">
        <f t="shared" si="5"/>
        <v>1.5E-3</v>
      </c>
      <c r="F28" s="85">
        <f t="shared" si="1"/>
        <v>7.5000000000000002E-4</v>
      </c>
      <c r="G28" s="85">
        <f t="shared" si="2"/>
        <v>1.7671458676442585E-9</v>
      </c>
      <c r="H28" s="85">
        <v>2550</v>
      </c>
      <c r="I28" s="85">
        <f t="shared" si="6"/>
        <v>4.5062219624928597E-6</v>
      </c>
      <c r="J28" s="87">
        <v>1</v>
      </c>
      <c r="K28" s="88">
        <f t="shared" si="7"/>
        <v>221915.38906059481</v>
      </c>
      <c r="N28" s="93" t="str">
        <v>Tantalio</v>
      </c>
      <c r="O28" s="93" t="str">
        <v>5.1/4</v>
      </c>
    </row>
    <row r="29" spans="1:15" s="93" customFormat="1" ht="15" hidden="1" customHeight="1" x14ac:dyDescent="0.25">
      <c r="A29" t="str">
        <f t="shared" si="0"/>
        <v>VESCØ2</v>
      </c>
      <c r="B29" s="81" t="s">
        <v>210</v>
      </c>
      <c r="C29" s="101"/>
      <c r="D29" s="86">
        <v>2</v>
      </c>
      <c r="E29" s="85">
        <f t="shared" si="5"/>
        <v>2E-3</v>
      </c>
      <c r="F29" s="85">
        <f t="shared" si="1"/>
        <v>1E-3</v>
      </c>
      <c r="G29" s="85">
        <f t="shared" si="2"/>
        <v>4.1887902047863909E-9</v>
      </c>
      <c r="H29" s="85">
        <v>2550</v>
      </c>
      <c r="I29" s="85">
        <f t="shared" si="6"/>
        <v>1.0681415022205297E-5</v>
      </c>
      <c r="J29" s="87">
        <v>1</v>
      </c>
      <c r="K29" s="88">
        <f t="shared" si="7"/>
        <v>93620.55475993843</v>
      </c>
      <c r="N29" s="93">
        <v>316</v>
      </c>
      <c r="O29" s="93" t="str">
        <v>5.1/2</v>
      </c>
    </row>
    <row r="30" spans="1:15" s="93" customFormat="1" ht="15" hidden="1" customHeight="1" x14ac:dyDescent="0.25">
      <c r="A30" t="str">
        <f t="shared" si="0"/>
        <v>VESCØ2,38125</v>
      </c>
      <c r="B30" s="81" t="s">
        <v>210</v>
      </c>
      <c r="C30" s="101" t="s">
        <v>213</v>
      </c>
      <c r="D30" s="86">
        <f>3/32*25.4</f>
        <v>2.3812499999999996</v>
      </c>
      <c r="E30" s="85">
        <f t="shared" si="5"/>
        <v>2.3812499999999997E-3</v>
      </c>
      <c r="F30" s="85">
        <f t="shared" si="1"/>
        <v>1.1906249999999998E-3</v>
      </c>
      <c r="G30" s="85">
        <f t="shared" si="2"/>
        <v>7.0699053785209917E-9</v>
      </c>
      <c r="H30" s="85">
        <v>2550</v>
      </c>
      <c r="I30" s="85">
        <f t="shared" si="6"/>
        <v>1.8028258715228529E-5</v>
      </c>
      <c r="J30" s="87">
        <v>1</v>
      </c>
      <c r="K30" s="88">
        <f t="shared" si="7"/>
        <v>55468.474010487589</v>
      </c>
      <c r="N30" s="93" t="str">
        <v>TiAl6V4 (G5)</v>
      </c>
      <c r="O30" s="93" t="str">
        <v>5.3/4</v>
      </c>
    </row>
    <row r="31" spans="1:15" s="93" customFormat="1" ht="15" hidden="1" customHeight="1" x14ac:dyDescent="0.25">
      <c r="A31" t="str">
        <f t="shared" si="0"/>
        <v>VESCØ3</v>
      </c>
      <c r="B31" s="81" t="s">
        <v>210</v>
      </c>
      <c r="C31" s="101"/>
      <c r="D31" s="86">
        <v>3</v>
      </c>
      <c r="E31" s="85">
        <f t="shared" si="5"/>
        <v>3.0000000000000001E-3</v>
      </c>
      <c r="F31" s="85">
        <f t="shared" si="1"/>
        <v>1.5E-3</v>
      </c>
      <c r="G31" s="85">
        <f t="shared" si="2"/>
        <v>1.4137166941154068E-8</v>
      </c>
      <c r="H31" s="85">
        <v>2550</v>
      </c>
      <c r="I31" s="85">
        <f t="shared" si="6"/>
        <v>3.6049775699942877E-5</v>
      </c>
      <c r="J31" s="87">
        <v>1</v>
      </c>
      <c r="K31" s="88">
        <f t="shared" si="7"/>
        <v>27739.423632574351</v>
      </c>
      <c r="N31" s="93" t="str">
        <v>316 L</v>
      </c>
      <c r="O31" s="93" t="str">
        <v>6</v>
      </c>
    </row>
    <row r="32" spans="1:15" s="93" customFormat="1" ht="15" hidden="1" customHeight="1" x14ac:dyDescent="0.25">
      <c r="A32" t="str">
        <f t="shared" si="0"/>
        <v>VESCØ3,175</v>
      </c>
      <c r="B32" s="81" t="s">
        <v>210</v>
      </c>
      <c r="C32" s="101" t="s">
        <v>214</v>
      </c>
      <c r="D32" s="86">
        <f>1/8*25.4</f>
        <v>3.1749999999999998</v>
      </c>
      <c r="E32" s="85">
        <f t="shared" si="5"/>
        <v>3.1749999999999999E-3</v>
      </c>
      <c r="F32" s="85">
        <f t="shared" si="1"/>
        <v>1.5874999999999999E-3</v>
      </c>
      <c r="G32" s="85">
        <f t="shared" si="2"/>
        <v>1.6758294230568279E-8</v>
      </c>
      <c r="H32" s="85">
        <v>2550</v>
      </c>
      <c r="I32" s="85">
        <f t="shared" si="6"/>
        <v>4.2733650287949112E-5</v>
      </c>
      <c r="J32" s="87">
        <v>1</v>
      </c>
      <c r="K32" s="88">
        <f t="shared" si="7"/>
        <v>23400.762473174447</v>
      </c>
      <c r="N32" s="93" t="str">
        <v>PTFE</v>
      </c>
      <c r="O32" s="93" t="str">
        <v>1/32</v>
      </c>
    </row>
    <row r="33" spans="1:15" s="93" customFormat="1" ht="15" hidden="1" customHeight="1" x14ac:dyDescent="0.25">
      <c r="A33" t="str">
        <f t="shared" si="0"/>
        <v>VESCØ3,5</v>
      </c>
      <c r="B33" s="81" t="s">
        <v>210</v>
      </c>
      <c r="C33" s="101"/>
      <c r="D33" s="86">
        <v>3.5</v>
      </c>
      <c r="E33" s="85">
        <f t="shared" si="5"/>
        <v>3.5000000000000001E-3</v>
      </c>
      <c r="F33" s="85">
        <f t="shared" si="1"/>
        <v>1.75E-3</v>
      </c>
      <c r="G33" s="85">
        <f t="shared" si="2"/>
        <v>2.2449297503777064E-8</v>
      </c>
      <c r="H33" s="85">
        <v>2550</v>
      </c>
      <c r="I33" s="85">
        <f t="shared" si="6"/>
        <v>5.7245708634631516E-5</v>
      </c>
      <c r="J33" s="87">
        <v>1</v>
      </c>
      <c r="K33" s="88">
        <f t="shared" si="7"/>
        <v>17468.558322554109</v>
      </c>
      <c r="N33" s="93" t="str">
        <v>CQ15</v>
      </c>
      <c r="O33" s="93" t="str">
        <v>5/32 -50</v>
      </c>
    </row>
    <row r="34" spans="1:15" ht="15" hidden="1" customHeight="1" x14ac:dyDescent="0.25">
      <c r="A34" t="str">
        <f t="shared" si="0"/>
        <v>VESCØ3,96875</v>
      </c>
      <c r="B34" s="81" t="s">
        <v>210</v>
      </c>
      <c r="C34" s="101" t="s">
        <v>215</v>
      </c>
      <c r="D34" s="86">
        <f>5/32*25.4</f>
        <v>3.96875</v>
      </c>
      <c r="E34" s="85">
        <f t="shared" si="5"/>
        <v>3.9687500000000001E-3</v>
      </c>
      <c r="F34" s="85">
        <f t="shared" si="1"/>
        <v>1.984375E-3</v>
      </c>
      <c r="G34" s="85">
        <f t="shared" si="2"/>
        <v>3.2731043419078684E-8</v>
      </c>
      <c r="H34" s="85">
        <v>2550</v>
      </c>
      <c r="I34" s="85">
        <f t="shared" si="6"/>
        <v>8.346416071865064E-5</v>
      </c>
      <c r="J34" s="87">
        <v>1</v>
      </c>
      <c r="K34" s="88">
        <f t="shared" si="7"/>
        <v>11981.190386265313</v>
      </c>
      <c r="N34" s="93" t="str">
        <v>440C</v>
      </c>
      <c r="O34" t="str">
        <v>3/64</v>
      </c>
    </row>
    <row r="35" spans="1:15" ht="15" hidden="1" customHeight="1" x14ac:dyDescent="0.25">
      <c r="A35" t="str">
        <f t="shared" si="0"/>
        <v>PPHØ3,5</v>
      </c>
      <c r="B35" s="81" t="s">
        <v>202</v>
      </c>
      <c r="C35" s="102"/>
      <c r="D35" s="86">
        <v>3.5</v>
      </c>
      <c r="E35" s="85">
        <f t="shared" si="5"/>
        <v>3.5000000000000001E-3</v>
      </c>
      <c r="F35" s="85">
        <f t="shared" si="1"/>
        <v>1.75E-3</v>
      </c>
      <c r="G35" s="85">
        <f t="shared" si="2"/>
        <v>2.2449297503777064E-8</v>
      </c>
      <c r="H35" s="85">
        <v>910</v>
      </c>
      <c r="I35" s="85">
        <f t="shared" si="6"/>
        <v>2.0428860728437127E-5</v>
      </c>
      <c r="J35" s="87">
        <v>1</v>
      </c>
      <c r="K35" s="88">
        <f t="shared" si="7"/>
        <v>48950.355739025254</v>
      </c>
      <c r="N35" t="str">
        <v>Silicone</v>
      </c>
      <c r="O35" t="str">
        <v>1/16</v>
      </c>
    </row>
    <row r="36" spans="1:15" ht="15" hidden="1" customHeight="1" x14ac:dyDescent="0.25">
      <c r="A36" t="str">
        <f t="shared" si="0"/>
        <v>OttoneØ12</v>
      </c>
      <c r="B36" s="81" t="s">
        <v>216</v>
      </c>
      <c r="D36" s="86">
        <v>12</v>
      </c>
      <c r="E36" s="85">
        <f t="shared" si="5"/>
        <v>1.2E-2</v>
      </c>
      <c r="F36" s="85">
        <f t="shared" si="1"/>
        <v>6.0000000000000001E-3</v>
      </c>
      <c r="G36" s="85">
        <f t="shared" si="2"/>
        <v>9.0477868423386037E-7</v>
      </c>
      <c r="H36" s="85">
        <v>8490</v>
      </c>
      <c r="I36" s="85">
        <f t="shared" si="6"/>
        <v>7.6815710291454741E-3</v>
      </c>
      <c r="J36" s="87">
        <v>1</v>
      </c>
      <c r="K36" s="88">
        <f t="shared" si="7"/>
        <v>130.18170322266013</v>
      </c>
      <c r="N36" t="str">
        <v>100CrMn6</v>
      </c>
      <c r="O36" t="str">
        <v>7/64</v>
      </c>
    </row>
    <row r="37" spans="1:15" ht="15" hidden="1" customHeight="1" x14ac:dyDescent="0.25">
      <c r="A37" t="str">
        <f t="shared" si="0"/>
        <v>Al2O3Ø6,35</v>
      </c>
      <c r="B37" s="81" t="s">
        <v>217</v>
      </c>
      <c r="C37" s="101" t="s">
        <v>218</v>
      </c>
      <c r="D37" s="86">
        <f>1/4*25.4</f>
        <v>6.35</v>
      </c>
      <c r="E37" s="85">
        <f t="shared" si="5"/>
        <v>6.3499999999999997E-3</v>
      </c>
      <c r="F37" s="85">
        <f t="shared" si="1"/>
        <v>3.1749999999999999E-3</v>
      </c>
      <c r="G37" s="85">
        <f t="shared" si="2"/>
        <v>1.3406635384454623E-7</v>
      </c>
      <c r="H37" s="85">
        <v>3900</v>
      </c>
      <c r="I37" s="85">
        <f t="shared" si="6"/>
        <v>5.2285877999373026E-4</v>
      </c>
      <c r="J37" s="87">
        <v>1</v>
      </c>
      <c r="K37" s="88">
        <f t="shared" si="7"/>
        <v>1912.5623175190656</v>
      </c>
      <c r="N37" t="str">
        <v>LDPE</v>
      </c>
      <c r="O37" t="str">
        <v>3/16</v>
      </c>
    </row>
    <row r="38" spans="1:15" ht="15" hidden="1" customHeight="1" x14ac:dyDescent="0.25">
      <c r="A38" t="str">
        <f t="shared" si="0"/>
        <v>Al2O3Ø7</v>
      </c>
      <c r="B38" s="81" t="s">
        <v>217</v>
      </c>
      <c r="D38" s="86">
        <v>7</v>
      </c>
      <c r="E38" s="85">
        <f t="shared" si="5"/>
        <v>7.0000000000000001E-3</v>
      </c>
      <c r="F38" s="85">
        <f t="shared" si="1"/>
        <v>3.5000000000000001E-3</v>
      </c>
      <c r="G38" s="85">
        <f t="shared" si="2"/>
        <v>1.7959438003021651E-7</v>
      </c>
      <c r="H38" s="85">
        <v>3900</v>
      </c>
      <c r="I38" s="85">
        <f t="shared" si="6"/>
        <v>7.0041808211784439E-4</v>
      </c>
      <c r="J38" s="87">
        <v>1</v>
      </c>
      <c r="K38" s="88">
        <f t="shared" si="7"/>
        <v>1427.7187090549032</v>
      </c>
      <c r="N38" t="str">
        <v>HDPE</v>
      </c>
      <c r="O38" t="str">
        <v>7/32</v>
      </c>
    </row>
    <row r="39" spans="1:15" ht="15" hidden="1" customHeight="1" x14ac:dyDescent="0.25">
      <c r="A39" t="str">
        <f t="shared" si="0"/>
        <v>304Ø0,6</v>
      </c>
      <c r="B39" s="81">
        <v>304</v>
      </c>
      <c r="D39" s="86">
        <v>0.6</v>
      </c>
      <c r="E39" s="85">
        <f t="shared" si="5"/>
        <v>5.9999999999999995E-4</v>
      </c>
      <c r="F39" s="85">
        <f t="shared" si="1"/>
        <v>2.9999999999999997E-4</v>
      </c>
      <c r="G39" s="85">
        <f t="shared" si="2"/>
        <v>1.1309733552923252E-10</v>
      </c>
      <c r="H39" s="85">
        <v>7957.75</v>
      </c>
      <c r="I39" s="85">
        <f t="shared" si="6"/>
        <v>9.0000032180775006E-7</v>
      </c>
      <c r="J39" s="87">
        <v>1</v>
      </c>
      <c r="K39" s="88">
        <f t="shared" si="7"/>
        <v>1111110.7138177345</v>
      </c>
      <c r="N39">
        <v>430</v>
      </c>
      <c r="O39" t="str">
        <v>9/32</v>
      </c>
    </row>
    <row r="40" spans="1:15" ht="15" hidden="1" customHeight="1" x14ac:dyDescent="0.25">
      <c r="A40" t="str">
        <f t="shared" si="0"/>
        <v>Al2O3Ø0,5</v>
      </c>
      <c r="B40" s="81" t="s">
        <v>217</v>
      </c>
      <c r="D40" s="86">
        <v>0.5</v>
      </c>
      <c r="E40" s="85">
        <f t="shared" si="5"/>
        <v>5.0000000000000001E-4</v>
      </c>
      <c r="F40" s="85">
        <f t="shared" si="1"/>
        <v>2.5000000000000001E-4</v>
      </c>
      <c r="G40" s="85">
        <f t="shared" si="2"/>
        <v>6.5449846949787358E-11</v>
      </c>
      <c r="H40" s="85">
        <v>3900</v>
      </c>
      <c r="I40" s="85">
        <f t="shared" si="6"/>
        <v>2.552544031041707E-7</v>
      </c>
      <c r="J40" s="87">
        <v>1</v>
      </c>
      <c r="K40" s="88">
        <f t="shared" si="7"/>
        <v>3917660.1376466546</v>
      </c>
      <c r="N40" t="str">
        <v>Alluminio serie 2</v>
      </c>
      <c r="O40" t="str">
        <v>9/32 + 11</v>
      </c>
    </row>
    <row r="41" spans="1:15" s="93" customFormat="1" ht="15.75" hidden="1" customHeight="1" x14ac:dyDescent="0.25">
      <c r="A41" t="str">
        <f t="shared" si="0"/>
        <v>ZrO2Ø10</v>
      </c>
      <c r="B41" s="81" t="s">
        <v>205</v>
      </c>
      <c r="C41" s="101"/>
      <c r="D41" s="86">
        <v>10</v>
      </c>
      <c r="E41" s="85">
        <f t="shared" si="5"/>
        <v>0.01</v>
      </c>
      <c r="F41" s="85">
        <f t="shared" si="1"/>
        <v>5.0000000000000001E-3</v>
      </c>
      <c r="G41" s="85">
        <f t="shared" si="2"/>
        <v>5.2359877559829882E-7</v>
      </c>
      <c r="H41" s="85">
        <v>6000</v>
      </c>
      <c r="I41" s="85">
        <f t="shared" si="6"/>
        <v>3.1415926535897929E-3</v>
      </c>
      <c r="J41" s="87">
        <v>1</v>
      </c>
      <c r="K41" s="88">
        <f t="shared" si="7"/>
        <v>318.3098861837907</v>
      </c>
      <c r="N41" t="str">
        <v>Torlon</v>
      </c>
      <c r="O41" s="93" t="str">
        <v>5/16</v>
      </c>
    </row>
    <row r="42" spans="1:15" ht="15" hidden="1" customHeight="1" x14ac:dyDescent="0.25">
      <c r="A42" t="str">
        <f t="shared" si="0"/>
        <v>52100Ø63,5</v>
      </c>
      <c r="B42" s="81">
        <v>52100</v>
      </c>
      <c r="C42" s="101" t="s">
        <v>219</v>
      </c>
      <c r="D42" s="86">
        <f>50.8+1/2*25.4</f>
        <v>63.5</v>
      </c>
      <c r="E42" s="85">
        <f t="shared" si="5"/>
        <v>6.3500000000000001E-2</v>
      </c>
      <c r="F42" s="85">
        <f t="shared" si="1"/>
        <v>3.175E-2</v>
      </c>
      <c r="G42" s="85">
        <f t="shared" si="2"/>
        <v>1.3406635384454629E-4</v>
      </c>
      <c r="H42" s="85">
        <v>7800</v>
      </c>
      <c r="I42" s="85">
        <f t="shared" si="6"/>
        <v>1.0457175599874611</v>
      </c>
      <c r="J42" s="87">
        <v>1</v>
      </c>
      <c r="K42" s="94">
        <f t="shared" si="7"/>
        <v>0.95628115875953235</v>
      </c>
      <c r="N42" s="93" t="str">
        <v>SiC</v>
      </c>
      <c r="O42" t="str">
        <v>11/32</v>
      </c>
    </row>
    <row r="43" spans="1:15" ht="15" hidden="1" customHeight="1" x14ac:dyDescent="0.25">
      <c r="A43" t="str">
        <f t="shared" si="0"/>
        <v>52100Ø60,325</v>
      </c>
      <c r="B43" s="81">
        <v>52100</v>
      </c>
      <c r="C43" s="101" t="s">
        <v>219</v>
      </c>
      <c r="D43" s="86">
        <f>50.8+3/8*25.4</f>
        <v>60.324999999999996</v>
      </c>
      <c r="E43" s="85">
        <f t="shared" si="5"/>
        <v>6.0324999999999997E-2</v>
      </c>
      <c r="F43" s="85">
        <f t="shared" si="1"/>
        <v>3.0162499999999998E-2</v>
      </c>
      <c r="G43" s="85">
        <f t="shared" si="2"/>
        <v>1.1494514012746783E-4</v>
      </c>
      <c r="H43" s="85">
        <v>7800</v>
      </c>
      <c r="I43" s="85">
        <f t="shared" si="6"/>
        <v>0.89657209299424911</v>
      </c>
      <c r="J43" s="87">
        <v>1</v>
      </c>
      <c r="K43" s="94">
        <f t="shared" si="7"/>
        <v>1.1153592754156962</v>
      </c>
      <c r="N43" t="str">
        <v>POM 507</v>
      </c>
      <c r="O43" t="str">
        <v>3/8</v>
      </c>
    </row>
    <row r="44" spans="1:15" ht="15" hidden="1" customHeight="1" x14ac:dyDescent="0.25">
      <c r="A44" t="str">
        <f t="shared" si="0"/>
        <v>52100Ø63,5</v>
      </c>
      <c r="B44" s="81">
        <v>52100</v>
      </c>
      <c r="C44" s="101" t="s">
        <v>220</v>
      </c>
      <c r="D44" s="86">
        <f>50.8+1/2*25.4</f>
        <v>63.5</v>
      </c>
      <c r="E44" s="85">
        <f t="shared" si="5"/>
        <v>6.3500000000000001E-2</v>
      </c>
      <c r="F44" s="85">
        <f t="shared" si="1"/>
        <v>3.175E-2</v>
      </c>
      <c r="G44" s="85">
        <f t="shared" si="2"/>
        <v>1.3406635384454629E-4</v>
      </c>
      <c r="H44" s="85">
        <v>7800</v>
      </c>
      <c r="I44" s="85">
        <f t="shared" si="6"/>
        <v>1.0457175599874611</v>
      </c>
      <c r="J44" s="87">
        <v>1</v>
      </c>
      <c r="K44" s="94">
        <f t="shared" si="7"/>
        <v>0.95628115875953235</v>
      </c>
      <c r="N44" t="str">
        <v>VEBO</v>
      </c>
      <c r="O44" t="str">
        <v>1</v>
      </c>
    </row>
    <row r="45" spans="1:15" ht="15" hidden="1" customHeight="1" x14ac:dyDescent="0.25">
      <c r="A45" t="str">
        <f t="shared" si="0"/>
        <v>52100Ø65</v>
      </c>
      <c r="B45" s="81">
        <v>52100</v>
      </c>
      <c r="D45" s="86">
        <v>65</v>
      </c>
      <c r="E45" s="85">
        <f t="shared" si="5"/>
        <v>6.5000000000000002E-2</v>
      </c>
      <c r="F45" s="85">
        <f t="shared" si="1"/>
        <v>3.2500000000000001E-2</v>
      </c>
      <c r="G45" s="85">
        <f t="shared" si="2"/>
        <v>1.4379331374868285E-4</v>
      </c>
      <c r="H45" s="85">
        <v>7800</v>
      </c>
      <c r="I45" s="85">
        <f t="shared" si="6"/>
        <v>1.1215878472397263</v>
      </c>
      <c r="J45" s="87">
        <v>1</v>
      </c>
      <c r="K45" s="94">
        <f t="shared" si="7"/>
        <v>0.89159311280078601</v>
      </c>
      <c r="N45" t="str">
        <v>Alluminio serie 1</v>
      </c>
      <c r="O45" t="str">
        <v>31/32</v>
      </c>
    </row>
    <row r="46" spans="1:15" ht="15" hidden="1" customHeight="1" x14ac:dyDescent="0.25">
      <c r="A46" t="str">
        <f t="shared" si="0"/>
        <v>52100Ø66,675</v>
      </c>
      <c r="B46" s="81">
        <v>52100</v>
      </c>
      <c r="C46" s="101" t="s">
        <v>221</v>
      </c>
      <c r="D46" s="86">
        <f>50.8+5/8*25.4</f>
        <v>66.674999999999997</v>
      </c>
      <c r="E46" s="85">
        <f t="shared" si="5"/>
        <v>6.6674999999999998E-2</v>
      </c>
      <c r="F46" s="85">
        <f t="shared" si="1"/>
        <v>3.3337499999999999E-2</v>
      </c>
      <c r="G46" s="85">
        <f t="shared" si="2"/>
        <v>1.5519856286929284E-4</v>
      </c>
      <c r="H46" s="85">
        <v>7800</v>
      </c>
      <c r="I46" s="85">
        <f t="shared" si="6"/>
        <v>1.2105487903804841</v>
      </c>
      <c r="J46" s="87">
        <v>1</v>
      </c>
      <c r="K46" s="94">
        <f t="shared" si="7"/>
        <v>0.82607161970373189</v>
      </c>
      <c r="N46" t="str">
        <v>Rame</v>
      </c>
      <c r="O46" t="str">
        <v>15/16</v>
      </c>
    </row>
    <row r="47" spans="1:15" ht="15" hidden="1" customHeight="1" x14ac:dyDescent="0.25">
      <c r="A47" t="str">
        <f t="shared" si="0"/>
        <v>52100Ø69,85</v>
      </c>
      <c r="B47" s="81">
        <v>52100</v>
      </c>
      <c r="C47" s="101" t="s">
        <v>222</v>
      </c>
      <c r="D47" s="86">
        <f>50.8+3/4*25.4</f>
        <v>69.849999999999994</v>
      </c>
      <c r="E47" s="85">
        <f t="shared" si="5"/>
        <v>6.9849999999999995E-2</v>
      </c>
      <c r="F47" s="85">
        <f t="shared" si="1"/>
        <v>3.4924999999999998E-2</v>
      </c>
      <c r="G47" s="85">
        <f t="shared" si="2"/>
        <v>1.7844231696709104E-4</v>
      </c>
      <c r="H47" s="85">
        <v>7800</v>
      </c>
      <c r="I47" s="85">
        <f t="shared" si="6"/>
        <v>1.39185007234331</v>
      </c>
      <c r="J47" s="87">
        <v>1</v>
      </c>
      <c r="K47" s="94">
        <f t="shared" si="7"/>
        <v>0.71846818839934845</v>
      </c>
      <c r="N47" t="str">
        <v>NBR</v>
      </c>
      <c r="O47" t="str">
        <v xml:space="preserve">9/32 +7 </v>
      </c>
    </row>
    <row r="48" spans="1:15" ht="15" hidden="1" customHeight="1" x14ac:dyDescent="0.25">
      <c r="A48" t="str">
        <f t="shared" si="0"/>
        <v>52100Ø3,969</v>
      </c>
      <c r="B48" s="81">
        <v>52100</v>
      </c>
      <c r="C48" s="107" t="s">
        <v>215</v>
      </c>
      <c r="D48" s="86">
        <v>3.9689999999999999</v>
      </c>
      <c r="E48" s="85">
        <f t="shared" si="5"/>
        <v>3.9689999999999994E-3</v>
      </c>
      <c r="F48" s="85">
        <f t="shared" si="1"/>
        <v>1.9844999999999997E-3</v>
      </c>
      <c r="G48" s="85">
        <f t="shared" si="2"/>
        <v>3.2737229202749923E-8</v>
      </c>
      <c r="H48" s="85">
        <v>7800</v>
      </c>
      <c r="I48" s="85">
        <f t="shared" si="6"/>
        <v>2.5535038778144942E-4</v>
      </c>
      <c r="J48" s="87">
        <v>1</v>
      </c>
      <c r="K48" s="94">
        <f t="shared" si="7"/>
        <v>3916.1875127281382</v>
      </c>
      <c r="N48" t="str">
        <v>C.P. Titanium</v>
      </c>
      <c r="O48" t="str">
        <v>7/8</v>
      </c>
    </row>
    <row r="49" spans="1:15" ht="15" hidden="1" customHeight="1" x14ac:dyDescent="0.25">
      <c r="A49" t="str">
        <f t="shared" si="0"/>
        <v>52100Ø73,025</v>
      </c>
      <c r="B49" s="81">
        <v>52100</v>
      </c>
      <c r="C49" s="101" t="s">
        <v>223</v>
      </c>
      <c r="D49" s="86">
        <f>50.8+7/8*25.4</f>
        <v>73.024999999999991</v>
      </c>
      <c r="E49" s="85">
        <f t="shared" si="5"/>
        <v>7.3024999999999993E-2</v>
      </c>
      <c r="F49" s="85">
        <f t="shared" si="1"/>
        <v>3.6512499999999996E-2</v>
      </c>
      <c r="G49" s="85">
        <f t="shared" si="2"/>
        <v>2.0389816590332427E-4</v>
      </c>
      <c r="H49" s="85">
        <v>7800</v>
      </c>
      <c r="I49" s="85">
        <f t="shared" si="6"/>
        <v>1.5904056940459292</v>
      </c>
      <c r="J49" s="87">
        <v>1</v>
      </c>
      <c r="K49" s="94">
        <f t="shared" si="7"/>
        <v>0.62877038465326385</v>
      </c>
      <c r="N49" t="str">
        <v>VEVY</v>
      </c>
      <c r="O49" t="str">
        <v>27/32</v>
      </c>
    </row>
    <row r="50" spans="1:15" hidden="1" x14ac:dyDescent="0.25">
      <c r="A50" t="str">
        <f t="shared" si="0"/>
        <v>52100Ø75</v>
      </c>
      <c r="B50" s="81">
        <v>52100</v>
      </c>
      <c r="D50" s="86">
        <v>75</v>
      </c>
      <c r="E50" s="85">
        <f t="shared" si="5"/>
        <v>7.4999999999999997E-2</v>
      </c>
      <c r="F50" s="85">
        <f t="shared" si="1"/>
        <v>3.7499999999999999E-2</v>
      </c>
      <c r="G50" s="85">
        <f t="shared" si="2"/>
        <v>2.2089323345553228E-4</v>
      </c>
      <c r="H50" s="85">
        <v>7800</v>
      </c>
      <c r="I50" s="85">
        <f t="shared" si="6"/>
        <v>1.7229672209531517</v>
      </c>
      <c r="J50" s="87">
        <v>1</v>
      </c>
      <c r="K50" s="94">
        <f t="shared" si="7"/>
        <v>0.58039409446617118</v>
      </c>
      <c r="N50" t="str">
        <v>Viton</v>
      </c>
      <c r="O50" t="str">
        <v>13/16</v>
      </c>
    </row>
    <row r="51" spans="1:15" hidden="1" x14ac:dyDescent="0.25">
      <c r="A51" t="str">
        <f t="shared" si="0"/>
        <v>52100Ø76,2</v>
      </c>
      <c r="B51" s="81">
        <v>52100</v>
      </c>
      <c r="C51" s="101" t="s">
        <v>224</v>
      </c>
      <c r="D51" s="86">
        <f>3*25.4</f>
        <v>76.199999999999989</v>
      </c>
      <c r="E51" s="85">
        <f t="shared" si="5"/>
        <v>7.619999999999999E-2</v>
      </c>
      <c r="F51" s="85">
        <f t="shared" si="1"/>
        <v>3.8099999999999995E-2</v>
      </c>
      <c r="G51" s="85">
        <f t="shared" si="2"/>
        <v>2.3166665944337586E-4</v>
      </c>
      <c r="H51" s="85">
        <v>7800</v>
      </c>
      <c r="I51" s="85">
        <f t="shared" si="6"/>
        <v>1.8069999436583317</v>
      </c>
      <c r="J51" s="87">
        <v>1</v>
      </c>
      <c r="K51" s="94">
        <f t="shared" si="7"/>
        <v>0.55340344835621114</v>
      </c>
      <c r="N51" t="str">
        <v>Bronzo Alluminio</v>
      </c>
      <c r="O51" t="str">
        <v>25/32</v>
      </c>
    </row>
    <row r="52" spans="1:15" hidden="1" x14ac:dyDescent="0.25">
      <c r="A52" t="str">
        <f t="shared" si="0"/>
        <v>52100Ø79,375</v>
      </c>
      <c r="B52" s="81">
        <v>52100</v>
      </c>
      <c r="C52" s="101" t="s">
        <v>225</v>
      </c>
      <c r="D52" s="86">
        <f>76.2+1/8*25.4</f>
        <v>79.375</v>
      </c>
      <c r="E52" s="85">
        <f t="shared" si="5"/>
        <v>7.9375000000000001E-2</v>
      </c>
      <c r="F52" s="85">
        <f t="shared" si="1"/>
        <v>3.9687500000000001E-2</v>
      </c>
      <c r="G52" s="85">
        <f t="shared" si="2"/>
        <v>2.6184834735262942E-4</v>
      </c>
      <c r="H52" s="85">
        <v>7800</v>
      </c>
      <c r="I52" s="85">
        <f t="shared" si="6"/>
        <v>2.0424171093505095</v>
      </c>
      <c r="J52" s="87">
        <v>1</v>
      </c>
      <c r="K52" s="94">
        <f t="shared" si="7"/>
        <v>0.48961595328488067</v>
      </c>
      <c r="N52" t="str">
        <v>Resina fenolica</v>
      </c>
      <c r="O52" t="str">
        <v>3/4</v>
      </c>
    </row>
    <row r="53" spans="1:15" hidden="1" x14ac:dyDescent="0.25">
      <c r="A53" t="str">
        <f t="shared" si="0"/>
        <v>52100Ø80</v>
      </c>
      <c r="B53" s="81">
        <v>52100</v>
      </c>
      <c r="D53" s="86">
        <v>80</v>
      </c>
      <c r="E53" s="85">
        <f t="shared" si="5"/>
        <v>0.08</v>
      </c>
      <c r="F53" s="85">
        <f t="shared" si="1"/>
        <v>0.04</v>
      </c>
      <c r="G53" s="85">
        <f t="shared" si="2"/>
        <v>2.6808257310632899E-4</v>
      </c>
      <c r="H53" s="85">
        <v>7800</v>
      </c>
      <c r="I53" s="85">
        <f t="shared" si="6"/>
        <v>2.091044070229366</v>
      </c>
      <c r="J53" s="87">
        <v>1</v>
      </c>
      <c r="K53" s="94">
        <f t="shared" si="7"/>
        <v>0.47822999727132021</v>
      </c>
      <c r="N53" t="str">
        <v>Alluminio serie 7</v>
      </c>
      <c r="O53" t="str">
        <v>23/32</v>
      </c>
    </row>
    <row r="54" spans="1:15" hidden="1" x14ac:dyDescent="0.25">
      <c r="A54" t="str">
        <f t="shared" si="0"/>
        <v>52100Ø82,55</v>
      </c>
      <c r="B54" s="81">
        <v>52100</v>
      </c>
      <c r="C54" s="101" t="s">
        <v>226</v>
      </c>
      <c r="D54" s="86">
        <f>76.2+1/4*25.4</f>
        <v>82.55</v>
      </c>
      <c r="E54" s="85">
        <f t="shared" si="5"/>
        <v>8.2549999999999998E-2</v>
      </c>
      <c r="F54" s="85">
        <f t="shared" si="1"/>
        <v>4.1274999999999999E-2</v>
      </c>
      <c r="G54" s="85">
        <f t="shared" si="2"/>
        <v>2.9454377939646808E-4</v>
      </c>
      <c r="H54" s="85">
        <v>7800</v>
      </c>
      <c r="I54" s="85">
        <f t="shared" si="6"/>
        <v>2.2974414792924511</v>
      </c>
      <c r="J54" s="87">
        <v>1</v>
      </c>
      <c r="K54" s="94">
        <f t="shared" si="7"/>
        <v>0.43526679961744774</v>
      </c>
      <c r="N54" t="str">
        <v>316 Ti</v>
      </c>
      <c r="O54" t="str">
        <v>11/16</v>
      </c>
    </row>
    <row r="55" spans="1:15" hidden="1" x14ac:dyDescent="0.25">
      <c r="A55" t="str">
        <f t="shared" si="0"/>
        <v>52100Ø85</v>
      </c>
      <c r="B55" s="81">
        <v>52100</v>
      </c>
      <c r="D55" s="86">
        <v>85</v>
      </c>
      <c r="E55" s="85">
        <f t="shared" si="5"/>
        <v>8.5000000000000006E-2</v>
      </c>
      <c r="F55" s="85">
        <f t="shared" si="1"/>
        <v>4.2500000000000003E-2</v>
      </c>
      <c r="G55" s="85">
        <f t="shared" si="2"/>
        <v>3.2155509806430533E-4</v>
      </c>
      <c r="H55" s="85">
        <v>7800</v>
      </c>
      <c r="I55" s="85">
        <f t="shared" si="6"/>
        <v>2.5081297649015815</v>
      </c>
      <c r="J55" s="87">
        <v>1</v>
      </c>
      <c r="K55" s="94">
        <f t="shared" si="7"/>
        <v>0.39870345386186179</v>
      </c>
      <c r="N55" t="str">
        <v>PVC</v>
      </c>
      <c r="O55" t="str">
        <v>21/32</v>
      </c>
    </row>
    <row r="56" spans="1:15" hidden="1" x14ac:dyDescent="0.25">
      <c r="A56" t="str">
        <f t="shared" si="0"/>
        <v>52100Ø85,725</v>
      </c>
      <c r="B56" s="81">
        <v>52100</v>
      </c>
      <c r="C56" s="101" t="s">
        <v>227</v>
      </c>
      <c r="D56" s="86">
        <f>76.2+3/8*25.4</f>
        <v>85.724999999999994</v>
      </c>
      <c r="E56" s="85">
        <f t="shared" si="5"/>
        <v>8.5724999999999996E-2</v>
      </c>
      <c r="F56" s="85">
        <f t="shared" si="1"/>
        <v>4.2862499999999998E-2</v>
      </c>
      <c r="G56" s="85">
        <f t="shared" si="2"/>
        <v>3.298535053402755E-4</v>
      </c>
      <c r="H56" s="85">
        <v>7800</v>
      </c>
      <c r="I56" s="85">
        <f t="shared" si="6"/>
        <v>2.5728573416541489</v>
      </c>
      <c r="J56" s="87">
        <v>1</v>
      </c>
      <c r="K56" s="94">
        <f t="shared" si="7"/>
        <v>0.38867292943536352</v>
      </c>
      <c r="N56" t="str">
        <v>Gomma poliur.</v>
      </c>
      <c r="O56" t="str">
        <v>5/8</v>
      </c>
    </row>
    <row r="57" spans="1:15" hidden="1" x14ac:dyDescent="0.25">
      <c r="A57" t="str">
        <f t="shared" si="0"/>
        <v>52100Ø88,9</v>
      </c>
      <c r="B57" s="81">
        <v>52100</v>
      </c>
      <c r="C57" s="101" t="s">
        <v>228</v>
      </c>
      <c r="D57" s="86">
        <f>76.2+1/2*25.4</f>
        <v>88.9</v>
      </c>
      <c r="E57" s="85">
        <f t="shared" si="5"/>
        <v>8.8900000000000007E-2</v>
      </c>
      <c r="F57" s="85">
        <f t="shared" si="1"/>
        <v>4.4450000000000003E-2</v>
      </c>
      <c r="G57" s="85">
        <f t="shared" si="2"/>
        <v>3.6787807494943504E-4</v>
      </c>
      <c r="H57" s="85">
        <v>7800</v>
      </c>
      <c r="I57" s="85">
        <f t="shared" si="6"/>
        <v>2.8694489846055933</v>
      </c>
      <c r="J57" s="87">
        <v>1</v>
      </c>
      <c r="K57" s="94">
        <f t="shared" si="7"/>
        <v>0.34849896456251178</v>
      </c>
      <c r="N57" t="str">
        <v>Monel K500</v>
      </c>
      <c r="O57" t="str">
        <v>19/32</v>
      </c>
    </row>
    <row r="58" spans="1:15" hidden="1" x14ac:dyDescent="0.25">
      <c r="A58" t="str">
        <f t="shared" si="0"/>
        <v>52100Ø90</v>
      </c>
      <c r="B58" s="81">
        <v>52100</v>
      </c>
      <c r="D58" s="86">
        <v>90</v>
      </c>
      <c r="E58" s="85">
        <f t="shared" si="5"/>
        <v>0.09</v>
      </c>
      <c r="F58" s="85">
        <f t="shared" si="1"/>
        <v>4.4999999999999998E-2</v>
      </c>
      <c r="G58" s="85">
        <f t="shared" si="2"/>
        <v>3.817035074111598E-4</v>
      </c>
      <c r="H58" s="85">
        <v>7800</v>
      </c>
      <c r="I58" s="85">
        <f t="shared" si="6"/>
        <v>2.9772873578070467</v>
      </c>
      <c r="J58" s="87">
        <v>1</v>
      </c>
      <c r="K58" s="94">
        <f t="shared" si="7"/>
        <v>0.33587621207533047</v>
      </c>
      <c r="N58" t="str">
        <v>Stellite</v>
      </c>
      <c r="O58" t="str">
        <v>9/16</v>
      </c>
    </row>
    <row r="59" spans="1:15" hidden="1" x14ac:dyDescent="0.25">
      <c r="A59" t="str">
        <f t="shared" si="0"/>
        <v>52100Ø92,075</v>
      </c>
      <c r="B59" s="81">
        <v>52100</v>
      </c>
      <c r="C59" s="101" t="s">
        <v>229</v>
      </c>
      <c r="D59" s="86">
        <f>76.2+5/8*25.4</f>
        <v>92.075000000000003</v>
      </c>
      <c r="E59" s="85">
        <f t="shared" si="5"/>
        <v>9.2075000000000004E-2</v>
      </c>
      <c r="F59" s="85">
        <f t="shared" si="1"/>
        <v>4.6037500000000002E-2</v>
      </c>
      <c r="G59" s="85">
        <f t="shared" si="2"/>
        <v>4.0871803798932986E-4</v>
      </c>
      <c r="H59" s="85">
        <v>7800</v>
      </c>
      <c r="I59" s="85">
        <f t="shared" si="6"/>
        <v>3.1880006963167729</v>
      </c>
      <c r="J59" s="87">
        <v>1</v>
      </c>
      <c r="K59" s="94">
        <f t="shared" si="7"/>
        <v>0.31367621756022224</v>
      </c>
      <c r="N59" t="str">
        <v>304L</v>
      </c>
      <c r="O59" t="str">
        <v>17/32</v>
      </c>
    </row>
    <row r="60" spans="1:15" hidden="1" x14ac:dyDescent="0.25">
      <c r="A60" t="str">
        <f t="shared" si="0"/>
        <v>52100Ø95</v>
      </c>
      <c r="B60" s="81">
        <v>52100</v>
      </c>
      <c r="D60" s="86">
        <v>95</v>
      </c>
      <c r="E60" s="85">
        <f t="shared" si="5"/>
        <v>9.5000000000000001E-2</v>
      </c>
      <c r="F60" s="85">
        <f t="shared" si="1"/>
        <v>4.7500000000000001E-2</v>
      </c>
      <c r="G60" s="85">
        <f t="shared" si="2"/>
        <v>4.4892050022859146E-4</v>
      </c>
      <c r="H60" s="85">
        <v>7800</v>
      </c>
      <c r="I60" s="85">
        <f t="shared" si="6"/>
        <v>3.5015799017830136</v>
      </c>
      <c r="J60" s="87">
        <v>1</v>
      </c>
      <c r="K60" s="94">
        <f t="shared" si="7"/>
        <v>0.2855853723317287</v>
      </c>
      <c r="N60" t="str">
        <v>ZTA</v>
      </c>
      <c r="O60" t="str">
        <v>1/2</v>
      </c>
    </row>
    <row r="61" spans="1:15" hidden="1" x14ac:dyDescent="0.25">
      <c r="A61" t="str">
        <f t="shared" si="0"/>
        <v>52100Ø95,25</v>
      </c>
      <c r="B61" s="81">
        <v>52100</v>
      </c>
      <c r="C61" s="101" t="s">
        <v>230</v>
      </c>
      <c r="D61" s="86">
        <f>76.2+3/4*25.4</f>
        <v>95.25</v>
      </c>
      <c r="E61" s="85">
        <f t="shared" si="5"/>
        <v>9.5250000000000001E-2</v>
      </c>
      <c r="F61" s="85">
        <f t="shared" si="1"/>
        <v>4.7625000000000001E-2</v>
      </c>
      <c r="G61" s="85">
        <f t="shared" si="2"/>
        <v>4.5247394422534369E-4</v>
      </c>
      <c r="H61" s="85">
        <v>7800</v>
      </c>
      <c r="I61" s="85">
        <f t="shared" si="6"/>
        <v>3.5292967649576807</v>
      </c>
      <c r="J61" s="87">
        <v>1</v>
      </c>
      <c r="K61" s="94">
        <f t="shared" si="7"/>
        <v>0.28334256555837994</v>
      </c>
      <c r="N61" t="str">
        <v>EPDM</v>
      </c>
      <c r="O61" t="str">
        <v>31/64</v>
      </c>
    </row>
    <row r="62" spans="1:15" hidden="1" x14ac:dyDescent="0.25">
      <c r="A62" t="str">
        <f t="shared" si="0"/>
        <v>52100Ø98,425</v>
      </c>
      <c r="B62" s="81">
        <v>52100</v>
      </c>
      <c r="C62" s="101" t="s">
        <v>231</v>
      </c>
      <c r="D62" s="86">
        <f>76.2+7/8*25.4</f>
        <v>98.424999999999997</v>
      </c>
      <c r="E62" s="85">
        <f t="shared" si="5"/>
        <v>9.8424999999999999E-2</v>
      </c>
      <c r="F62" s="85">
        <f t="shared" si="1"/>
        <v>4.9212499999999999E-2</v>
      </c>
      <c r="G62" s="85">
        <f t="shared" si="2"/>
        <v>4.9924634342285977E-4</v>
      </c>
      <c r="H62" s="85">
        <v>7800</v>
      </c>
      <c r="I62" s="85">
        <f t="shared" si="6"/>
        <v>3.894121478698306</v>
      </c>
      <c r="J62" s="87">
        <v>1</v>
      </c>
      <c r="K62" s="94">
        <f t="shared" si="7"/>
        <v>0.25679733040435904</v>
      </c>
      <c r="N62" t="str">
        <v>Vetro Nero</v>
      </c>
      <c r="O62" t="str">
        <v>15/32</v>
      </c>
    </row>
    <row r="63" spans="1:15" hidden="1" x14ac:dyDescent="0.25">
      <c r="A63" t="str">
        <f t="shared" si="0"/>
        <v>52100Ø100</v>
      </c>
      <c r="B63" s="81">
        <v>52100</v>
      </c>
      <c r="D63" s="86">
        <v>100</v>
      </c>
      <c r="E63" s="85">
        <f t="shared" si="5"/>
        <v>0.1</v>
      </c>
      <c r="F63" s="85">
        <f t="shared" si="1"/>
        <v>0.05</v>
      </c>
      <c r="G63" s="85">
        <f t="shared" si="2"/>
        <v>5.2359877559829892E-4</v>
      </c>
      <c r="H63" s="85">
        <v>7800</v>
      </c>
      <c r="I63" s="85">
        <f t="shared" si="6"/>
        <v>4.0840704496667319</v>
      </c>
      <c r="J63" s="87">
        <v>1</v>
      </c>
      <c r="K63" s="94">
        <f t="shared" si="7"/>
        <v>0.24485375860291586</v>
      </c>
      <c r="N63" t="str">
        <v>904L</v>
      </c>
      <c r="O63" t="str">
        <v>29/64</v>
      </c>
    </row>
    <row r="64" spans="1:15" hidden="1" x14ac:dyDescent="0.25">
      <c r="A64" t="str">
        <f t="shared" si="0"/>
        <v>52100Ø101,6</v>
      </c>
      <c r="B64" s="81">
        <v>52100</v>
      </c>
      <c r="C64" s="101" t="s">
        <v>232</v>
      </c>
      <c r="D64" s="86">
        <f>4*25.4</f>
        <v>101.6</v>
      </c>
      <c r="E64" s="85">
        <f t="shared" si="5"/>
        <v>0.1016</v>
      </c>
      <c r="F64" s="85">
        <f t="shared" si="1"/>
        <v>5.0799999999999998E-2</v>
      </c>
      <c r="G64" s="85">
        <f t="shared" si="2"/>
        <v>5.4913578534726136E-4</v>
      </c>
      <c r="H64" s="85">
        <v>7800</v>
      </c>
      <c r="I64" s="85">
        <f t="shared" si="6"/>
        <v>4.2832591257086383</v>
      </c>
      <c r="J64" s="87">
        <v>1</v>
      </c>
      <c r="K64" s="94">
        <f t="shared" si="7"/>
        <v>0.23346707977527656</v>
      </c>
      <c r="N64">
        <v>310</v>
      </c>
      <c r="O64" t="str">
        <v>7/16</v>
      </c>
    </row>
    <row r="65" spans="1:15" hidden="1" x14ac:dyDescent="0.25">
      <c r="A65" t="str">
        <f t="shared" si="0"/>
        <v>52100Ø107,95</v>
      </c>
      <c r="B65" s="81">
        <v>52100</v>
      </c>
      <c r="C65" s="101" t="s">
        <v>233</v>
      </c>
      <c r="D65" s="86">
        <f>101.6+1/4*25.4</f>
        <v>107.94999999999999</v>
      </c>
      <c r="E65" s="85">
        <f t="shared" si="5"/>
        <v>0.10794999999999999</v>
      </c>
      <c r="F65" s="85">
        <f t="shared" si="1"/>
        <v>5.3974999999999995E-2</v>
      </c>
      <c r="G65" s="85">
        <f t="shared" si="2"/>
        <v>6.5866799643825573E-4</v>
      </c>
      <c r="H65" s="85">
        <v>7800</v>
      </c>
      <c r="I65" s="85">
        <f t="shared" si="6"/>
        <v>5.1376103722183943</v>
      </c>
      <c r="J65" s="87">
        <v>1</v>
      </c>
      <c r="K65" s="94">
        <f t="shared" si="7"/>
        <v>0.19464302030521732</v>
      </c>
      <c r="N65" t="str">
        <v>Inconel 625</v>
      </c>
      <c r="O65" t="str">
        <v>13/32</v>
      </c>
    </row>
    <row r="66" spans="1:15" hidden="1" x14ac:dyDescent="0.25">
      <c r="A66" t="str">
        <f t="shared" si="0"/>
        <v>52100Ø110</v>
      </c>
      <c r="B66" s="81">
        <v>52100</v>
      </c>
      <c r="D66" s="86">
        <v>110</v>
      </c>
      <c r="E66" s="85">
        <f t="shared" si="5"/>
        <v>0.11</v>
      </c>
      <c r="F66" s="85">
        <f t="shared" si="1"/>
        <v>5.5E-2</v>
      </c>
      <c r="G66" s="85">
        <f t="shared" si="2"/>
        <v>6.9690997032133576E-4</v>
      </c>
      <c r="H66" s="85">
        <v>7800</v>
      </c>
      <c r="I66" s="85">
        <f t="shared" si="6"/>
        <v>5.4358977685064191</v>
      </c>
      <c r="J66" s="87">
        <v>1</v>
      </c>
      <c r="K66" s="94">
        <f t="shared" si="7"/>
        <v>0.18396225289475274</v>
      </c>
      <c r="N66" t="str">
        <v>Alluminio serie 6</v>
      </c>
      <c r="O66" t="str">
        <v>1.1/16</v>
      </c>
    </row>
    <row r="67" spans="1:15" hidden="1" x14ac:dyDescent="0.25">
      <c r="A67" t="str">
        <f t="shared" si="0"/>
        <v>52100Ø114,3</v>
      </c>
      <c r="B67" s="81">
        <v>52100</v>
      </c>
      <c r="C67" s="101" t="s">
        <v>234</v>
      </c>
      <c r="D67" s="86">
        <f>101.6+1/2*25.4</f>
        <v>114.3</v>
      </c>
      <c r="E67" s="85">
        <f t="shared" si="5"/>
        <v>0.1143</v>
      </c>
      <c r="F67" s="85">
        <f t="shared" si="1"/>
        <v>5.7149999999999999E-2</v>
      </c>
      <c r="G67" s="85">
        <f t="shared" si="2"/>
        <v>7.8187497562139379E-4</v>
      </c>
      <c r="H67" s="85">
        <v>7800</v>
      </c>
      <c r="I67" s="85">
        <f t="shared" si="6"/>
        <v>6.0986248098468714</v>
      </c>
      <c r="J67" s="87">
        <v>1</v>
      </c>
      <c r="K67" s="94">
        <f t="shared" si="7"/>
        <v>0.16397139210554398</v>
      </c>
      <c r="N67" t="str">
        <v>PPH 30% G.F.</v>
      </c>
      <c r="O67" t="str">
        <v>1.1/8</v>
      </c>
    </row>
    <row r="68" spans="1:15" hidden="1" x14ac:dyDescent="0.25">
      <c r="A68" t="str">
        <f t="shared" ref="A68:A131" si="8">CONCATENATE(B68,"Ø",D68)</f>
        <v>52100Ø120</v>
      </c>
      <c r="B68" s="81">
        <v>52100</v>
      </c>
      <c r="D68" s="86">
        <v>120</v>
      </c>
      <c r="E68" s="85">
        <f t="shared" si="5"/>
        <v>0.12</v>
      </c>
      <c r="F68" s="85">
        <f t="shared" si="1"/>
        <v>0.06</v>
      </c>
      <c r="G68" s="85">
        <f t="shared" si="2"/>
        <v>9.0477868423386029E-4</v>
      </c>
      <c r="H68" s="85">
        <v>7800</v>
      </c>
      <c r="I68" s="85">
        <f t="shared" si="6"/>
        <v>7.0572737370241105</v>
      </c>
      <c r="J68" s="87">
        <v>1</v>
      </c>
      <c r="K68" s="95">
        <f t="shared" si="7"/>
        <v>0.14169777696928004</v>
      </c>
      <c r="N68" t="str">
        <v>PA6.6 30% G.F.</v>
      </c>
      <c r="O68" t="str">
        <v>1.3/16</v>
      </c>
    </row>
    <row r="69" spans="1:15" hidden="1" x14ac:dyDescent="0.25">
      <c r="A69" t="str">
        <f t="shared" si="8"/>
        <v>52100Ø120,65</v>
      </c>
      <c r="B69" s="81">
        <v>52100</v>
      </c>
      <c r="C69" s="101" t="s">
        <v>235</v>
      </c>
      <c r="D69" s="86">
        <f>101.6+3/4*25.4</f>
        <v>120.64999999999999</v>
      </c>
      <c r="E69" s="85">
        <f t="shared" si="5"/>
        <v>0.12064999999999999</v>
      </c>
      <c r="F69" s="85">
        <f t="shared" si="1"/>
        <v>6.0324999999999997E-2</v>
      </c>
      <c r="G69" s="85">
        <f t="shared" si="2"/>
        <v>9.1956112101974268E-4</v>
      </c>
      <c r="H69" s="85">
        <v>7800</v>
      </c>
      <c r="I69" s="85">
        <f t="shared" si="6"/>
        <v>7.1725767439539929</v>
      </c>
      <c r="J69" s="87">
        <v>1</v>
      </c>
      <c r="K69" s="95">
        <f t="shared" si="7"/>
        <v>0.13941990942696203</v>
      </c>
      <c r="N69" t="str">
        <v>Stagno</v>
      </c>
      <c r="O69" t="str">
        <v>1.1/4</v>
      </c>
    </row>
    <row r="70" spans="1:15" hidden="1" x14ac:dyDescent="0.25">
      <c r="A70" t="str">
        <f t="shared" si="8"/>
        <v>52100Ø127</v>
      </c>
      <c r="B70" s="81">
        <v>52100</v>
      </c>
      <c r="C70" s="101" t="s">
        <v>236</v>
      </c>
      <c r="D70" s="86">
        <f>5*25.4</f>
        <v>127</v>
      </c>
      <c r="E70" s="85">
        <f t="shared" si="5"/>
        <v>0.127</v>
      </c>
      <c r="F70" s="85">
        <f t="shared" ref="F70:F133" si="9">E70/2</f>
        <v>6.3500000000000001E-2</v>
      </c>
      <c r="G70" s="85">
        <f t="shared" ref="G70:G133" si="10">4/3*PI()*F70*F70*F70</f>
        <v>1.0725308307563703E-3</v>
      </c>
      <c r="H70" s="85">
        <v>7800</v>
      </c>
      <c r="I70" s="85">
        <f t="shared" si="6"/>
        <v>8.3657404798996886</v>
      </c>
      <c r="J70" s="87">
        <v>1</v>
      </c>
      <c r="K70" s="95">
        <f t="shared" si="7"/>
        <v>0.11953514484494154</v>
      </c>
      <c r="N70" t="str">
        <v>WC-Ni 9%</v>
      </c>
      <c r="O70" t="str">
        <v>1.5/16</v>
      </c>
    </row>
    <row r="71" spans="1:15" hidden="1" x14ac:dyDescent="0.25">
      <c r="A71" t="str">
        <f t="shared" si="8"/>
        <v>52100Ø133,35</v>
      </c>
      <c r="B71" s="81">
        <v>52100</v>
      </c>
      <c r="C71" s="101" t="s">
        <v>237</v>
      </c>
      <c r="D71" s="86">
        <f>127+1/4*25.4</f>
        <v>133.35</v>
      </c>
      <c r="E71" s="85">
        <f t="shared" ref="E71:E134" si="11">D71/1000</f>
        <v>0.13335</v>
      </c>
      <c r="F71" s="85">
        <f t="shared" si="9"/>
        <v>6.6674999999999998E-2</v>
      </c>
      <c r="G71" s="85">
        <f t="shared" si="10"/>
        <v>1.2415885029543427E-3</v>
      </c>
      <c r="H71" s="85">
        <v>7800</v>
      </c>
      <c r="I71" s="85">
        <f t="shared" si="6"/>
        <v>9.684390323043873</v>
      </c>
      <c r="J71" s="87">
        <v>1</v>
      </c>
      <c r="K71" s="95">
        <f t="shared" si="7"/>
        <v>0.10325895246296649</v>
      </c>
      <c r="N71" t="str">
        <v>CP Titanium</v>
      </c>
      <c r="O71" t="str">
        <v>1.3/8</v>
      </c>
    </row>
    <row r="72" spans="1:15" hidden="1" x14ac:dyDescent="0.25">
      <c r="A72" t="str">
        <f t="shared" si="8"/>
        <v>52100Ø139,7</v>
      </c>
      <c r="B72" s="81">
        <v>52100</v>
      </c>
      <c r="C72" s="101" t="s">
        <v>238</v>
      </c>
      <c r="D72" s="86">
        <f>127+1/2*25.4</f>
        <v>139.69999999999999</v>
      </c>
      <c r="E72" s="85">
        <f t="shared" si="11"/>
        <v>0.13969999999999999</v>
      </c>
      <c r="F72" s="85">
        <f t="shared" si="9"/>
        <v>6.9849999999999995E-2</v>
      </c>
      <c r="G72" s="85">
        <f t="shared" si="10"/>
        <v>1.4275385357367283E-3</v>
      </c>
      <c r="H72" s="85">
        <v>7800</v>
      </c>
      <c r="I72" s="85">
        <f t="shared" si="6"/>
        <v>11.13480057874648</v>
      </c>
      <c r="J72" s="87">
        <v>1</v>
      </c>
      <c r="K72" s="95">
        <f t="shared" si="7"/>
        <v>8.9808523549918556E-2</v>
      </c>
      <c r="N72" t="str">
        <v>Monel K400</v>
      </c>
      <c r="O72" t="str">
        <v>1.7/16</v>
      </c>
    </row>
    <row r="73" spans="1:15" hidden="1" x14ac:dyDescent="0.25">
      <c r="A73" t="str">
        <f t="shared" si="8"/>
        <v>52100Ø146,05</v>
      </c>
      <c r="B73" s="81">
        <v>52100</v>
      </c>
      <c r="C73" s="101" t="s">
        <v>239</v>
      </c>
      <c r="D73" s="86">
        <f>127+3/4*25.4</f>
        <v>146.05000000000001</v>
      </c>
      <c r="E73" s="85">
        <f t="shared" si="11"/>
        <v>0.14605000000000001</v>
      </c>
      <c r="F73" s="85">
        <f t="shared" si="9"/>
        <v>7.3025000000000007E-2</v>
      </c>
      <c r="G73" s="85">
        <f t="shared" si="10"/>
        <v>1.6311853272265951E-3</v>
      </c>
      <c r="H73" s="85">
        <v>7800</v>
      </c>
      <c r="I73" s="85">
        <f t="shared" si="6"/>
        <v>12.723245552367441</v>
      </c>
      <c r="J73" s="87">
        <v>1</v>
      </c>
      <c r="K73" s="95">
        <f t="shared" si="7"/>
        <v>7.8596298081657939E-2</v>
      </c>
      <c r="N73" t="str">
        <v>PEEK</v>
      </c>
      <c r="O73" t="str">
        <v>1.1/2</v>
      </c>
    </row>
    <row r="74" spans="1:15" hidden="1" x14ac:dyDescent="0.25">
      <c r="A74" t="str">
        <f t="shared" si="8"/>
        <v>52100Ø150</v>
      </c>
      <c r="B74" s="81">
        <v>52100</v>
      </c>
      <c r="D74" s="86">
        <v>150</v>
      </c>
      <c r="E74" s="85">
        <f t="shared" si="11"/>
        <v>0.15</v>
      </c>
      <c r="F74" s="85">
        <f t="shared" si="9"/>
        <v>7.4999999999999997E-2</v>
      </c>
      <c r="G74" s="85">
        <f t="shared" si="10"/>
        <v>1.7671458676442582E-3</v>
      </c>
      <c r="H74" s="85">
        <v>7800</v>
      </c>
      <c r="I74" s="85">
        <f t="shared" si="6"/>
        <v>13.783737767625214</v>
      </c>
      <c r="J74" s="87">
        <v>1</v>
      </c>
      <c r="K74" s="95">
        <f t="shared" si="7"/>
        <v>7.2549261808271398E-2</v>
      </c>
      <c r="N74" t="str">
        <v>Neoprene</v>
      </c>
      <c r="O74" t="str">
        <v>1.9/16</v>
      </c>
    </row>
    <row r="75" spans="1:15" hidden="1" x14ac:dyDescent="0.25">
      <c r="A75" t="str">
        <f t="shared" si="8"/>
        <v>52100Ø152,4</v>
      </c>
      <c r="B75" s="81">
        <v>52100</v>
      </c>
      <c r="C75" s="101" t="s">
        <v>240</v>
      </c>
      <c r="D75" s="86">
        <f>6*25.4</f>
        <v>152.39999999999998</v>
      </c>
      <c r="E75" s="85">
        <f t="shared" si="11"/>
        <v>0.15239999999999998</v>
      </c>
      <c r="F75" s="85">
        <f t="shared" si="9"/>
        <v>7.619999999999999E-2</v>
      </c>
      <c r="G75" s="85">
        <f t="shared" si="10"/>
        <v>1.8533332755470068E-3</v>
      </c>
      <c r="H75" s="85">
        <v>7800</v>
      </c>
      <c r="I75" s="85">
        <f t="shared" si="6"/>
        <v>14.455999549266654</v>
      </c>
      <c r="J75" s="87">
        <v>1</v>
      </c>
      <c r="K75" s="95">
        <f t="shared" si="7"/>
        <v>6.9175431044526392E-2</v>
      </c>
      <c r="N75" t="str">
        <v>Hastelloy C4</v>
      </c>
      <c r="O75" t="str">
        <v>1.5/8</v>
      </c>
    </row>
    <row r="76" spans="1:15" hidden="1" x14ac:dyDescent="0.25">
      <c r="A76" t="str">
        <f t="shared" si="8"/>
        <v>52100Ø200</v>
      </c>
      <c r="B76" s="81">
        <v>52100</v>
      </c>
      <c r="D76" s="86">
        <v>200</v>
      </c>
      <c r="E76" s="85">
        <f t="shared" si="11"/>
        <v>0.2</v>
      </c>
      <c r="F76" s="85">
        <f t="shared" si="9"/>
        <v>0.1</v>
      </c>
      <c r="G76" s="85">
        <f t="shared" si="10"/>
        <v>4.1887902047863914E-3</v>
      </c>
      <c r="H76" s="85">
        <v>7800</v>
      </c>
      <c r="I76" s="85">
        <f t="shared" si="6"/>
        <v>32.672563597333856</v>
      </c>
      <c r="J76" s="87">
        <v>1</v>
      </c>
      <c r="K76" s="95">
        <f t="shared" si="7"/>
        <v>3.0606719825364483E-2</v>
      </c>
      <c r="N76" t="str">
        <v>Lescalloy BG 42</v>
      </c>
      <c r="O76" t="str">
        <v>1.11/16</v>
      </c>
    </row>
    <row r="77" spans="1:15" hidden="1" x14ac:dyDescent="0.25">
      <c r="A77" t="str">
        <f t="shared" si="8"/>
        <v>52100Ø250</v>
      </c>
      <c r="B77" s="81">
        <v>52100</v>
      </c>
      <c r="D77" s="86">
        <v>250</v>
      </c>
      <c r="E77" s="85">
        <f t="shared" si="11"/>
        <v>0.25</v>
      </c>
      <c r="F77" s="85">
        <f t="shared" si="9"/>
        <v>0.125</v>
      </c>
      <c r="G77" s="85">
        <f t="shared" si="10"/>
        <v>8.181230868723419E-3</v>
      </c>
      <c r="H77" s="85">
        <v>7800</v>
      </c>
      <c r="I77" s="85">
        <f t="shared" si="6"/>
        <v>63.813600776042669</v>
      </c>
      <c r="J77" s="87">
        <v>1</v>
      </c>
      <c r="K77" s="95">
        <f t="shared" si="7"/>
        <v>1.5670640550586618E-2</v>
      </c>
      <c r="N77" t="str">
        <v>Zaffiro</v>
      </c>
      <c r="O77" t="str">
        <v>1.3/4</v>
      </c>
    </row>
    <row r="78" spans="1:15" hidden="1" x14ac:dyDescent="0.25">
      <c r="A78" t="str">
        <f t="shared" si="8"/>
        <v>52100Ø300</v>
      </c>
      <c r="B78" s="81">
        <v>52100</v>
      </c>
      <c r="D78" s="86">
        <v>300</v>
      </c>
      <c r="E78" s="85">
        <f t="shared" si="11"/>
        <v>0.3</v>
      </c>
      <c r="F78" s="85">
        <f t="shared" si="9"/>
        <v>0.15</v>
      </c>
      <c r="G78" s="85">
        <f t="shared" si="10"/>
        <v>1.4137166941154066E-2</v>
      </c>
      <c r="H78" s="85">
        <v>7800</v>
      </c>
      <c r="I78" s="85">
        <f t="shared" si="6"/>
        <v>110.26990214100171</v>
      </c>
      <c r="J78" s="87">
        <v>1</v>
      </c>
      <c r="K78" s="95">
        <f t="shared" si="7"/>
        <v>9.0686577260339248E-3</v>
      </c>
      <c r="N78" t="str">
        <v>Quarzo</v>
      </c>
      <c r="O78" t="str">
        <v>1.13/16</v>
      </c>
    </row>
    <row r="79" spans="1:15" hidden="1" x14ac:dyDescent="0.25">
      <c r="A79" t="str">
        <f t="shared" si="8"/>
        <v>52100Ø0,7</v>
      </c>
      <c r="B79" s="81">
        <v>52100</v>
      </c>
      <c r="D79" s="86">
        <v>0.7</v>
      </c>
      <c r="E79" s="85">
        <f t="shared" si="11"/>
        <v>6.9999999999999999E-4</v>
      </c>
      <c r="F79" s="85">
        <f t="shared" si="9"/>
        <v>3.5E-4</v>
      </c>
      <c r="G79" s="85">
        <f t="shared" si="10"/>
        <v>1.7959438003021649E-10</v>
      </c>
      <c r="H79" s="85">
        <v>7800</v>
      </c>
      <c r="I79" s="85">
        <f t="shared" si="6"/>
        <v>1.4008361642356885E-6</v>
      </c>
      <c r="J79" s="87">
        <v>1</v>
      </c>
      <c r="K79" s="88">
        <f t="shared" si="7"/>
        <v>713859.3545274518</v>
      </c>
      <c r="N79" t="str">
        <v>Alluminio vuoto</v>
      </c>
      <c r="O79" t="str">
        <v>1.7/8</v>
      </c>
    </row>
    <row r="80" spans="1:15" hidden="1" x14ac:dyDescent="0.25">
      <c r="A80" t="str">
        <f t="shared" si="8"/>
        <v>52100Ø0,79375</v>
      </c>
      <c r="B80" s="81">
        <v>52100</v>
      </c>
      <c r="C80" s="101" t="s">
        <v>241</v>
      </c>
      <c r="D80" s="86">
        <f>1/32*25.4</f>
        <v>0.79374999999999996</v>
      </c>
      <c r="E80" s="85">
        <f t="shared" si="11"/>
        <v>7.9374999999999997E-4</v>
      </c>
      <c r="F80" s="85">
        <f t="shared" si="9"/>
        <v>3.9687499999999998E-4</v>
      </c>
      <c r="G80" s="85">
        <f t="shared" si="10"/>
        <v>2.6184834735262936E-10</v>
      </c>
      <c r="H80" s="85">
        <v>7800</v>
      </c>
      <c r="I80" s="85">
        <f t="shared" si="6"/>
        <v>2.0424171093505088E-6</v>
      </c>
      <c r="J80" s="87">
        <v>1</v>
      </c>
      <c r="K80" s="88">
        <f t="shared" si="7"/>
        <v>489615.95328488079</v>
      </c>
      <c r="N80" t="str">
        <v>Hastelloy C276</v>
      </c>
      <c r="O80" t="str">
        <v>1.15/16</v>
      </c>
    </row>
    <row r="81" spans="1:15" hidden="1" x14ac:dyDescent="0.25">
      <c r="A81" t="str">
        <f t="shared" si="8"/>
        <v>PSØ5</v>
      </c>
      <c r="B81" s="81" t="s">
        <v>242</v>
      </c>
      <c r="D81" s="86">
        <v>5</v>
      </c>
      <c r="E81" s="85">
        <f t="shared" si="11"/>
        <v>5.0000000000000001E-3</v>
      </c>
      <c r="F81" s="85">
        <f t="shared" si="9"/>
        <v>2.5000000000000001E-3</v>
      </c>
      <c r="G81" s="85">
        <f t="shared" si="10"/>
        <v>6.5449846949787352E-8</v>
      </c>
      <c r="H81" s="85">
        <v>1050</v>
      </c>
      <c r="I81" s="96">
        <f t="shared" si="6"/>
        <v>6.8722339297276714E-5</v>
      </c>
      <c r="J81" s="87">
        <v>1</v>
      </c>
      <c r="K81" s="88">
        <f t="shared" si="7"/>
        <v>14551.309082687576</v>
      </c>
      <c r="N81" t="str">
        <v>CP Ti Grado 2</v>
      </c>
      <c r="O81" t="str">
        <v>2</v>
      </c>
    </row>
    <row r="82" spans="1:15" hidden="1" x14ac:dyDescent="0.25">
      <c r="A82" t="str">
        <f t="shared" si="8"/>
        <v>52100Ø0,2</v>
      </c>
      <c r="B82" s="81">
        <v>52100</v>
      </c>
      <c r="D82" s="86">
        <v>0.2</v>
      </c>
      <c r="E82" s="85">
        <f t="shared" si="11"/>
        <v>2.0000000000000001E-4</v>
      </c>
      <c r="F82" s="85">
        <f t="shared" si="9"/>
        <v>1E-4</v>
      </c>
      <c r="G82" s="85">
        <f t="shared" si="10"/>
        <v>4.188790204786391E-12</v>
      </c>
      <c r="H82" s="85">
        <v>7800</v>
      </c>
      <c r="I82" s="85">
        <f t="shared" si="6"/>
        <v>3.2672563597333849E-8</v>
      </c>
      <c r="J82" s="87">
        <v>1</v>
      </c>
      <c r="K82" s="88">
        <f t="shared" si="7"/>
        <v>30606719.825364489</v>
      </c>
      <c r="N82" t="str">
        <v>S2 Tool Steel</v>
      </c>
      <c r="O82" t="str">
        <v>2.1/8</v>
      </c>
    </row>
    <row r="83" spans="1:15" hidden="1" x14ac:dyDescent="0.25">
      <c r="A83" t="str">
        <f t="shared" si="8"/>
        <v>52100Ø0,3</v>
      </c>
      <c r="B83" s="81">
        <v>52100</v>
      </c>
      <c r="D83" s="86">
        <v>0.3</v>
      </c>
      <c r="E83" s="85">
        <f t="shared" si="11"/>
        <v>2.9999999999999997E-4</v>
      </c>
      <c r="F83" s="85">
        <f t="shared" si="9"/>
        <v>1.4999999999999999E-4</v>
      </c>
      <c r="G83" s="85">
        <f t="shared" si="10"/>
        <v>1.4137166941154065E-11</v>
      </c>
      <c r="H83" s="85">
        <v>7800</v>
      </c>
      <c r="I83" s="85">
        <f t="shared" si="6"/>
        <v>1.1026990214100171E-7</v>
      </c>
      <c r="J83" s="87">
        <v>1</v>
      </c>
      <c r="K83" s="88">
        <f t="shared" si="7"/>
        <v>9068657.726033926</v>
      </c>
      <c r="N83" t="str">
        <v>Super Duplex F53</v>
      </c>
      <c r="O83" t="str">
        <v>2.1/4</v>
      </c>
    </row>
    <row r="84" spans="1:15" hidden="1" x14ac:dyDescent="0.25">
      <c r="A84" t="str">
        <f t="shared" si="8"/>
        <v>PPHØ20</v>
      </c>
      <c r="B84" s="81" t="s">
        <v>202</v>
      </c>
      <c r="C84" s="102"/>
      <c r="D84" s="86">
        <v>20</v>
      </c>
      <c r="E84" s="85">
        <f t="shared" si="11"/>
        <v>0.02</v>
      </c>
      <c r="F84" s="85">
        <f t="shared" si="9"/>
        <v>0.01</v>
      </c>
      <c r="G84" s="85">
        <f t="shared" si="10"/>
        <v>4.1887902047863905E-6</v>
      </c>
      <c r="H84" s="85">
        <v>870</v>
      </c>
      <c r="I84" s="85">
        <f t="shared" si="6"/>
        <v>3.6442474781641599E-3</v>
      </c>
      <c r="J84" s="87">
        <v>1</v>
      </c>
      <c r="K84" s="95">
        <f t="shared" si="7"/>
        <v>274.40507429637131</v>
      </c>
      <c r="N84" t="str">
        <v>WNiFe</v>
      </c>
      <c r="O84" t="str">
        <v>5/8+20</v>
      </c>
    </row>
    <row r="85" spans="1:15" hidden="1" x14ac:dyDescent="0.25">
      <c r="A85" t="str">
        <f t="shared" si="8"/>
        <v>1010Ø3,91875</v>
      </c>
      <c r="B85" s="81">
        <v>1010</v>
      </c>
      <c r="C85" s="101" t="s">
        <v>243</v>
      </c>
      <c r="D85" s="86">
        <f>5/32*25.4-0.05</f>
        <v>3.9187500000000002</v>
      </c>
      <c r="E85" s="85">
        <f t="shared" si="11"/>
        <v>3.9187500000000004E-3</v>
      </c>
      <c r="F85" s="85">
        <f t="shared" si="9"/>
        <v>1.9593750000000002E-3</v>
      </c>
      <c r="G85" s="85">
        <f t="shared" si="10"/>
        <v>3.1509484407646282E-8</v>
      </c>
      <c r="H85" s="85">
        <v>7800</v>
      </c>
      <c r="I85" s="96">
        <f t="shared" si="6"/>
        <v>2.45773978379641E-4</v>
      </c>
      <c r="J85" s="87">
        <v>1</v>
      </c>
      <c r="K85" s="95">
        <f t="shared" si="7"/>
        <v>4068.7789919538377</v>
      </c>
      <c r="N85">
        <v>1015</v>
      </c>
      <c r="O85" t="str">
        <v>5/8+10</v>
      </c>
    </row>
    <row r="86" spans="1:15" hidden="1" x14ac:dyDescent="0.25">
      <c r="A86" t="str">
        <f t="shared" si="8"/>
        <v>PA6.6Ø2</v>
      </c>
      <c r="B86" s="81" t="s">
        <v>244</v>
      </c>
      <c r="D86" s="86">
        <v>2</v>
      </c>
      <c r="E86" s="85">
        <f t="shared" si="11"/>
        <v>2E-3</v>
      </c>
      <c r="F86" s="85">
        <f t="shared" si="9"/>
        <v>1E-3</v>
      </c>
      <c r="G86" s="85">
        <f t="shared" si="10"/>
        <v>4.1887902047863909E-9</v>
      </c>
      <c r="H86" s="85">
        <v>1130</v>
      </c>
      <c r="I86" s="96">
        <f t="shared" si="6"/>
        <v>4.7333329314086216E-6</v>
      </c>
      <c r="J86" s="87">
        <v>1</v>
      </c>
      <c r="K86" s="88">
        <f t="shared" si="7"/>
        <v>211267.62357331239</v>
      </c>
      <c r="N86" t="str">
        <v xml:space="preserve">92,5W-5Ni-2,5Fe </v>
      </c>
      <c r="O86" t="str">
        <v>5/8-10</v>
      </c>
    </row>
    <row r="87" spans="1:15" hidden="1" x14ac:dyDescent="0.25">
      <c r="A87" t="str">
        <f t="shared" si="8"/>
        <v>Wc-CoØ2</v>
      </c>
      <c r="B87" s="81" t="s">
        <v>206</v>
      </c>
      <c r="C87" s="102"/>
      <c r="D87" s="86">
        <v>2</v>
      </c>
      <c r="E87" s="85">
        <f t="shared" si="11"/>
        <v>2E-3</v>
      </c>
      <c r="F87" s="85">
        <f t="shared" si="9"/>
        <v>1E-3</v>
      </c>
      <c r="G87" s="85">
        <f t="shared" si="10"/>
        <v>4.1887902047863909E-9</v>
      </c>
      <c r="H87" s="85">
        <v>14900</v>
      </c>
      <c r="I87" s="85">
        <f t="shared" ref="I87:I150" si="12">H87*G87</f>
        <v>6.2412974051317223E-5</v>
      </c>
      <c r="J87" s="87">
        <v>1</v>
      </c>
      <c r="K87" s="88">
        <f t="shared" ref="K87:K150" si="13">J87/I87</f>
        <v>16022.309707237786</v>
      </c>
      <c r="N87" t="str">
        <v>PP</v>
      </c>
      <c r="O87" t="str">
        <v>7/16 +3</v>
      </c>
    </row>
    <row r="88" spans="1:15" hidden="1" x14ac:dyDescent="0.25">
      <c r="A88" t="str">
        <f t="shared" si="8"/>
        <v>52100Ø0,396875</v>
      </c>
      <c r="B88" s="81">
        <v>52100</v>
      </c>
      <c r="C88" s="101" t="s">
        <v>211</v>
      </c>
      <c r="D88" s="86">
        <f>1/64*25.4</f>
        <v>0.39687499999999998</v>
      </c>
      <c r="E88" s="85">
        <f t="shared" si="11"/>
        <v>3.9687499999999998E-4</v>
      </c>
      <c r="F88" s="85">
        <f t="shared" si="9"/>
        <v>1.9843749999999999E-4</v>
      </c>
      <c r="G88" s="85">
        <f t="shared" si="10"/>
        <v>3.273104341907867E-11</v>
      </c>
      <c r="H88" s="85">
        <v>7800</v>
      </c>
      <c r="I88" s="85">
        <f t="shared" si="12"/>
        <v>2.5530213866881361E-7</v>
      </c>
      <c r="J88" s="87">
        <v>1</v>
      </c>
      <c r="K88" s="88">
        <f t="shared" si="13"/>
        <v>3916927.6262790463</v>
      </c>
      <c r="O88" t="str">
        <v>1/8 -40</v>
      </c>
    </row>
    <row r="89" spans="1:15" hidden="1" x14ac:dyDescent="0.25">
      <c r="A89" t="str">
        <f t="shared" si="8"/>
        <v>52100Ø0,5</v>
      </c>
      <c r="B89" s="81">
        <v>52100</v>
      </c>
      <c r="D89" s="86">
        <v>0.5</v>
      </c>
      <c r="E89" s="85">
        <f t="shared" si="11"/>
        <v>5.0000000000000001E-4</v>
      </c>
      <c r="F89" s="85">
        <f t="shared" si="9"/>
        <v>2.5000000000000001E-4</v>
      </c>
      <c r="G89" s="85">
        <f t="shared" si="10"/>
        <v>6.5449846949787358E-11</v>
      </c>
      <c r="H89" s="85">
        <v>7800</v>
      </c>
      <c r="I89" s="85">
        <f t="shared" si="12"/>
        <v>5.1050880620834141E-7</v>
      </c>
      <c r="J89" s="87">
        <v>1</v>
      </c>
      <c r="K89" s="88">
        <f t="shared" si="13"/>
        <v>1958830.0688233273</v>
      </c>
      <c r="O89" t="str">
        <v>1 -8</v>
      </c>
    </row>
    <row r="90" spans="1:15" hidden="1" x14ac:dyDescent="0.25">
      <c r="A90" t="str">
        <f t="shared" si="8"/>
        <v>52100Ø0,79375</v>
      </c>
      <c r="B90" s="81">
        <v>52100</v>
      </c>
      <c r="C90" s="101" t="s">
        <v>241</v>
      </c>
      <c r="D90" s="86">
        <f>1/32*25.4</f>
        <v>0.79374999999999996</v>
      </c>
      <c r="E90" s="85">
        <f t="shared" si="11"/>
        <v>7.9374999999999997E-4</v>
      </c>
      <c r="F90" s="85">
        <f t="shared" si="9"/>
        <v>3.9687499999999998E-4</v>
      </c>
      <c r="G90" s="85">
        <f t="shared" si="10"/>
        <v>2.6184834735262936E-10</v>
      </c>
      <c r="H90" s="85">
        <v>7800</v>
      </c>
      <c r="I90" s="85">
        <f t="shared" si="12"/>
        <v>2.0424171093505088E-6</v>
      </c>
      <c r="J90" s="87">
        <v>1</v>
      </c>
      <c r="K90" s="88">
        <f t="shared" si="13"/>
        <v>489615.95328488079</v>
      </c>
      <c r="O90" t="str">
        <v>23/32 -10</v>
      </c>
    </row>
    <row r="91" spans="1:15" hidden="1" x14ac:dyDescent="0.25">
      <c r="A91" t="str">
        <f t="shared" si="8"/>
        <v>52100Ø1</v>
      </c>
      <c r="B91" s="81">
        <v>52100</v>
      </c>
      <c r="D91" s="86">
        <v>1</v>
      </c>
      <c r="E91" s="85">
        <f t="shared" si="11"/>
        <v>1E-3</v>
      </c>
      <c r="F91" s="85">
        <f t="shared" si="9"/>
        <v>5.0000000000000001E-4</v>
      </c>
      <c r="G91" s="85">
        <f t="shared" si="10"/>
        <v>5.2359877559829886E-10</v>
      </c>
      <c r="H91" s="85">
        <v>7800</v>
      </c>
      <c r="I91" s="85">
        <f t="shared" si="12"/>
        <v>4.0840704496667312E-6</v>
      </c>
      <c r="J91" s="87">
        <v>1</v>
      </c>
      <c r="K91" s="88">
        <f t="shared" si="13"/>
        <v>244853.75860291591</v>
      </c>
      <c r="O91" t="str">
        <v>23/32 +10</v>
      </c>
    </row>
    <row r="92" spans="1:15" hidden="1" x14ac:dyDescent="0.25">
      <c r="A92" t="str">
        <f t="shared" si="8"/>
        <v>52100Ø1,190625</v>
      </c>
      <c r="B92" s="81">
        <v>52100</v>
      </c>
      <c r="C92" s="101" t="s">
        <v>245</v>
      </c>
      <c r="D92" s="86">
        <f>3/64*25.4</f>
        <v>1.1906249999999998</v>
      </c>
      <c r="E92" s="85">
        <f t="shared" si="11"/>
        <v>1.1906249999999998E-3</v>
      </c>
      <c r="F92" s="85">
        <f t="shared" si="9"/>
        <v>5.9531249999999992E-4</v>
      </c>
      <c r="G92" s="85">
        <f t="shared" si="10"/>
        <v>8.8373817231512396E-10</v>
      </c>
      <c r="H92" s="85">
        <v>7800</v>
      </c>
      <c r="I92" s="85">
        <f t="shared" si="12"/>
        <v>6.8931577440579671E-6</v>
      </c>
      <c r="J92" s="87">
        <v>1</v>
      </c>
      <c r="K92" s="88">
        <f t="shared" si="13"/>
        <v>145071.39356589061</v>
      </c>
      <c r="O92" t="str">
        <v>23/32 - 10</v>
      </c>
    </row>
    <row r="93" spans="1:15" hidden="1" x14ac:dyDescent="0.25">
      <c r="A93" t="str">
        <f t="shared" si="8"/>
        <v>52100Ø1,5</v>
      </c>
      <c r="B93" s="81">
        <v>52100</v>
      </c>
      <c r="D93" s="86">
        <v>1.5</v>
      </c>
      <c r="E93" s="85">
        <f t="shared" si="11"/>
        <v>1.5E-3</v>
      </c>
      <c r="F93" s="85">
        <f t="shared" si="9"/>
        <v>7.5000000000000002E-4</v>
      </c>
      <c r="G93" s="85">
        <f t="shared" si="10"/>
        <v>1.7671458676442585E-9</v>
      </c>
      <c r="H93" s="85">
        <v>7800</v>
      </c>
      <c r="I93" s="85">
        <f t="shared" si="12"/>
        <v>1.3783737767625217E-5</v>
      </c>
      <c r="J93" s="87">
        <v>1</v>
      </c>
      <c r="K93" s="88">
        <f t="shared" si="13"/>
        <v>72549.261808271374</v>
      </c>
      <c r="O93" t="str">
        <v>23/32 + 10</v>
      </c>
    </row>
    <row r="94" spans="1:15" hidden="1" x14ac:dyDescent="0.25">
      <c r="A94" t="str">
        <f t="shared" si="8"/>
        <v>52100Ø1,5875</v>
      </c>
      <c r="B94" s="81">
        <v>52100</v>
      </c>
      <c r="C94" s="101" t="s">
        <v>246</v>
      </c>
      <c r="D94" s="86">
        <f>1/16*25.4</f>
        <v>1.5874999999999999</v>
      </c>
      <c r="E94" s="85">
        <f t="shared" si="11"/>
        <v>1.5874999999999999E-3</v>
      </c>
      <c r="F94" s="85">
        <f t="shared" si="9"/>
        <v>7.9374999999999997E-4</v>
      </c>
      <c r="G94" s="85">
        <f t="shared" si="10"/>
        <v>2.0947867788210349E-9</v>
      </c>
      <c r="H94" s="85">
        <v>7800</v>
      </c>
      <c r="I94" s="85">
        <f t="shared" si="12"/>
        <v>1.6339336874804071E-5</v>
      </c>
      <c r="J94" s="87">
        <v>1</v>
      </c>
      <c r="K94" s="88">
        <f t="shared" si="13"/>
        <v>61201.994160610098</v>
      </c>
      <c r="O94" t="str">
        <v>11/16 - 10</v>
      </c>
    </row>
    <row r="95" spans="1:15" hidden="1" x14ac:dyDescent="0.25">
      <c r="A95" t="str">
        <f t="shared" si="8"/>
        <v>52100Ø2</v>
      </c>
      <c r="B95" s="81">
        <v>52100</v>
      </c>
      <c r="D95" s="86">
        <v>2</v>
      </c>
      <c r="E95" s="85">
        <f t="shared" si="11"/>
        <v>2E-3</v>
      </c>
      <c r="F95" s="85">
        <f t="shared" si="9"/>
        <v>1E-3</v>
      </c>
      <c r="G95" s="85">
        <f t="shared" si="10"/>
        <v>4.1887902047863909E-9</v>
      </c>
      <c r="H95" s="85">
        <v>7800</v>
      </c>
      <c r="I95" s="85">
        <f t="shared" si="12"/>
        <v>3.267256359733385E-5</v>
      </c>
      <c r="J95" s="87">
        <v>1</v>
      </c>
      <c r="K95" s="88">
        <f t="shared" si="13"/>
        <v>30606.719825364489</v>
      </c>
      <c r="O95" t="str">
        <v>11/16 + 10</v>
      </c>
    </row>
    <row r="96" spans="1:15" hidden="1" x14ac:dyDescent="0.25">
      <c r="A96" t="str">
        <f t="shared" si="8"/>
        <v>52100Ø2,38125</v>
      </c>
      <c r="B96" s="81">
        <v>52100</v>
      </c>
      <c r="C96" s="101" t="s">
        <v>213</v>
      </c>
      <c r="D96" s="86">
        <f>3/32*25.4</f>
        <v>2.3812499999999996</v>
      </c>
      <c r="E96" s="85">
        <f t="shared" si="11"/>
        <v>2.3812499999999997E-3</v>
      </c>
      <c r="F96" s="85">
        <f t="shared" si="9"/>
        <v>1.1906249999999998E-3</v>
      </c>
      <c r="G96" s="85">
        <f t="shared" si="10"/>
        <v>7.0699053785209917E-9</v>
      </c>
      <c r="H96" s="85">
        <v>7800</v>
      </c>
      <c r="I96" s="85">
        <f t="shared" si="12"/>
        <v>5.5145261952463737E-5</v>
      </c>
      <c r="J96" s="87">
        <v>1</v>
      </c>
      <c r="K96" s="88">
        <f t="shared" si="13"/>
        <v>18133.924195736327</v>
      </c>
      <c r="O96" t="str">
        <v>17/64</v>
      </c>
    </row>
    <row r="97" spans="1:15" hidden="1" x14ac:dyDescent="0.25">
      <c r="A97" t="str">
        <f t="shared" si="8"/>
        <v>52100Ø2,5</v>
      </c>
      <c r="B97" s="81">
        <v>52100</v>
      </c>
      <c r="D97" s="86">
        <v>2.5</v>
      </c>
      <c r="E97" s="85">
        <f t="shared" si="11"/>
        <v>2.5000000000000001E-3</v>
      </c>
      <c r="F97" s="85">
        <f t="shared" si="9"/>
        <v>1.25E-3</v>
      </c>
      <c r="G97" s="85">
        <f t="shared" si="10"/>
        <v>8.181230868723419E-9</v>
      </c>
      <c r="H97" s="85">
        <v>7800</v>
      </c>
      <c r="I97" s="85">
        <f t="shared" si="12"/>
        <v>6.3813600776042664E-5</v>
      </c>
      <c r="J97" s="87">
        <v>1</v>
      </c>
      <c r="K97" s="88">
        <f t="shared" si="13"/>
        <v>15670.640550586621</v>
      </c>
      <c r="O97" t="str">
        <v>5/64</v>
      </c>
    </row>
    <row r="98" spans="1:15" hidden="1" x14ac:dyDescent="0.25">
      <c r="A98" t="str">
        <f t="shared" si="8"/>
        <v>52100Ø2,778125</v>
      </c>
      <c r="B98" s="81">
        <v>52100</v>
      </c>
      <c r="C98" s="101" t="s">
        <v>247</v>
      </c>
      <c r="D98" s="86">
        <f>7/64*25.4</f>
        <v>2.7781249999999997</v>
      </c>
      <c r="E98" s="85">
        <f t="shared" si="11"/>
        <v>2.7781249999999998E-3</v>
      </c>
      <c r="F98" s="85">
        <f t="shared" si="9"/>
        <v>1.3890624999999999E-3</v>
      </c>
      <c r="G98" s="85">
        <f t="shared" si="10"/>
        <v>1.1226747892743984E-8</v>
      </c>
      <c r="H98" s="85">
        <v>7800</v>
      </c>
      <c r="I98" s="85">
        <f t="shared" si="12"/>
        <v>8.7568633563403075E-5</v>
      </c>
      <c r="J98" s="87">
        <v>1</v>
      </c>
      <c r="K98" s="88">
        <f t="shared" si="13"/>
        <v>11419.61407078439</v>
      </c>
      <c r="O98" t="str">
        <v>11/64</v>
      </c>
    </row>
    <row r="99" spans="1:15" hidden="1" x14ac:dyDescent="0.25">
      <c r="A99" t="str">
        <f t="shared" si="8"/>
        <v>52100Ø3</v>
      </c>
      <c r="B99" s="81">
        <v>52100</v>
      </c>
      <c r="D99" s="86">
        <v>3</v>
      </c>
      <c r="E99" s="85">
        <f t="shared" si="11"/>
        <v>3.0000000000000001E-3</v>
      </c>
      <c r="F99" s="85">
        <f t="shared" si="9"/>
        <v>1.5E-3</v>
      </c>
      <c r="G99" s="85">
        <f t="shared" si="10"/>
        <v>1.4137166941154068E-8</v>
      </c>
      <c r="H99" s="85">
        <v>7800</v>
      </c>
      <c r="I99" s="85">
        <f t="shared" si="12"/>
        <v>1.1026990214100174E-4</v>
      </c>
      <c r="J99" s="87">
        <v>1</v>
      </c>
      <c r="K99" s="88">
        <f t="shared" si="13"/>
        <v>9068.6577260339218</v>
      </c>
      <c r="O99" t="str">
        <v>3/16 -20</v>
      </c>
    </row>
    <row r="100" spans="1:15" hidden="1" x14ac:dyDescent="0.25">
      <c r="A100" t="str">
        <f t="shared" si="8"/>
        <v>52100Ø3,175</v>
      </c>
      <c r="B100" s="81">
        <v>52100</v>
      </c>
      <c r="C100" s="101" t="s">
        <v>214</v>
      </c>
      <c r="D100" s="86">
        <f>1/8*25.4</f>
        <v>3.1749999999999998</v>
      </c>
      <c r="E100" s="85">
        <f t="shared" si="11"/>
        <v>3.1749999999999999E-3</v>
      </c>
      <c r="F100" s="85">
        <f t="shared" si="9"/>
        <v>1.5874999999999999E-3</v>
      </c>
      <c r="G100" s="85">
        <f t="shared" si="10"/>
        <v>1.6758294230568279E-8</v>
      </c>
      <c r="H100" s="85">
        <v>7800</v>
      </c>
      <c r="I100" s="85">
        <f t="shared" si="12"/>
        <v>1.3071469499843257E-4</v>
      </c>
      <c r="J100" s="87">
        <v>1</v>
      </c>
      <c r="K100" s="88">
        <f t="shared" si="13"/>
        <v>7650.2492700762623</v>
      </c>
      <c r="O100" t="str">
        <v>3/16 -40</v>
      </c>
    </row>
    <row r="101" spans="1:15" hidden="1" x14ac:dyDescent="0.25">
      <c r="A101" t="str">
        <f t="shared" si="8"/>
        <v>52100Ø3,5</v>
      </c>
      <c r="B101" s="81">
        <v>52100</v>
      </c>
      <c r="D101" s="86">
        <v>3.5</v>
      </c>
      <c r="E101" s="85">
        <f t="shared" si="11"/>
        <v>3.5000000000000001E-3</v>
      </c>
      <c r="F101" s="85">
        <f t="shared" si="9"/>
        <v>1.75E-3</v>
      </c>
      <c r="G101" s="85">
        <f t="shared" si="10"/>
        <v>2.2449297503777064E-8</v>
      </c>
      <c r="H101" s="85">
        <v>7800</v>
      </c>
      <c r="I101" s="85">
        <f t="shared" si="12"/>
        <v>1.751045205294611E-4</v>
      </c>
      <c r="J101" s="87">
        <v>1</v>
      </c>
      <c r="K101" s="88">
        <f t="shared" si="13"/>
        <v>5710.8748362196129</v>
      </c>
      <c r="O101" t="str">
        <v>3/16 -50</v>
      </c>
    </row>
    <row r="102" spans="1:15" hidden="1" x14ac:dyDescent="0.25">
      <c r="A102" t="str">
        <f t="shared" si="8"/>
        <v>52100Ø3,96875</v>
      </c>
      <c r="B102" s="81">
        <v>52100</v>
      </c>
      <c r="C102" s="101" t="s">
        <v>215</v>
      </c>
      <c r="D102" s="86">
        <f>5/32*25.4</f>
        <v>3.96875</v>
      </c>
      <c r="E102" s="85">
        <f t="shared" si="11"/>
        <v>3.9687500000000001E-3</v>
      </c>
      <c r="F102" s="85">
        <f t="shared" si="9"/>
        <v>1.984375E-3</v>
      </c>
      <c r="G102" s="85">
        <f t="shared" si="10"/>
        <v>3.2731043419078684E-8</v>
      </c>
      <c r="H102" s="85">
        <v>7800</v>
      </c>
      <c r="I102" s="85">
        <f t="shared" si="12"/>
        <v>2.5530213866881374E-4</v>
      </c>
      <c r="J102" s="87">
        <v>1</v>
      </c>
      <c r="K102" s="88">
        <f t="shared" si="13"/>
        <v>3916.9276262790445</v>
      </c>
      <c r="O102" t="str">
        <v>3/16 -60</v>
      </c>
    </row>
    <row r="103" spans="1:15" hidden="1" x14ac:dyDescent="0.25">
      <c r="A103" t="str">
        <f t="shared" si="8"/>
        <v>52100Ø4</v>
      </c>
      <c r="B103" s="81">
        <v>52100</v>
      </c>
      <c r="D103" s="86">
        <v>4</v>
      </c>
      <c r="E103" s="85">
        <f t="shared" si="11"/>
        <v>4.0000000000000001E-3</v>
      </c>
      <c r="F103" s="85">
        <f t="shared" si="9"/>
        <v>2E-3</v>
      </c>
      <c r="G103" s="85">
        <f t="shared" si="10"/>
        <v>3.3510321638291127E-8</v>
      </c>
      <c r="H103" s="85">
        <v>7800</v>
      </c>
      <c r="I103" s="85">
        <f t="shared" si="12"/>
        <v>2.613805087786708E-4</v>
      </c>
      <c r="J103" s="87">
        <v>1</v>
      </c>
      <c r="K103" s="88">
        <f t="shared" si="13"/>
        <v>3825.8399781705612</v>
      </c>
      <c r="O103" t="str">
        <v>3/16 -80</v>
      </c>
    </row>
    <row r="104" spans="1:15" hidden="1" x14ac:dyDescent="0.25">
      <c r="A104" t="str">
        <f t="shared" si="8"/>
        <v>52100Ø4,5</v>
      </c>
      <c r="B104" s="81">
        <v>52100</v>
      </c>
      <c r="D104" s="86">
        <v>4.5</v>
      </c>
      <c r="E104" s="85">
        <f t="shared" si="11"/>
        <v>4.4999999999999997E-3</v>
      </c>
      <c r="F104" s="85">
        <f t="shared" si="9"/>
        <v>2.2499999999999998E-3</v>
      </c>
      <c r="G104" s="85">
        <f t="shared" si="10"/>
        <v>4.7712938426394968E-8</v>
      </c>
      <c r="H104" s="85">
        <v>7800</v>
      </c>
      <c r="I104" s="85">
        <f t="shared" si="12"/>
        <v>3.7216091972588076E-4</v>
      </c>
      <c r="J104" s="87">
        <v>1</v>
      </c>
      <c r="K104" s="88">
        <f t="shared" si="13"/>
        <v>2687.0096966026445</v>
      </c>
      <c r="O104" t="str">
        <v>5/8 +20</v>
      </c>
    </row>
    <row r="105" spans="1:15" hidden="1" x14ac:dyDescent="0.25">
      <c r="A105" t="str">
        <f t="shared" si="8"/>
        <v>52100Ø4,7625</v>
      </c>
      <c r="B105" s="81">
        <v>52100</v>
      </c>
      <c r="C105" s="101" t="s">
        <v>248</v>
      </c>
      <c r="D105" s="86">
        <f>3/16*25.4</f>
        <v>4.7624999999999993</v>
      </c>
      <c r="E105" s="85">
        <f t="shared" si="11"/>
        <v>4.7624999999999994E-3</v>
      </c>
      <c r="F105" s="85">
        <f t="shared" si="9"/>
        <v>2.3812499999999997E-3</v>
      </c>
      <c r="G105" s="85">
        <f t="shared" si="10"/>
        <v>5.6559243028167934E-8</v>
      </c>
      <c r="H105" s="85">
        <v>7800</v>
      </c>
      <c r="I105" s="85">
        <f t="shared" si="12"/>
        <v>4.4116209561970989E-4</v>
      </c>
      <c r="J105" s="87">
        <v>1</v>
      </c>
      <c r="K105" s="88">
        <f t="shared" si="13"/>
        <v>2266.7405244670408</v>
      </c>
      <c r="O105" t="str">
        <v>5/32 +100</v>
      </c>
    </row>
    <row r="106" spans="1:15" hidden="1" x14ac:dyDescent="0.25">
      <c r="A106" t="str">
        <f t="shared" si="8"/>
        <v>52100Ø5</v>
      </c>
      <c r="B106" s="81">
        <v>52100</v>
      </c>
      <c r="D106" s="86">
        <v>5</v>
      </c>
      <c r="E106" s="85">
        <f t="shared" si="11"/>
        <v>5.0000000000000001E-3</v>
      </c>
      <c r="F106" s="85">
        <f t="shared" si="9"/>
        <v>2.5000000000000001E-3</v>
      </c>
      <c r="G106" s="85">
        <f t="shared" si="10"/>
        <v>6.5449846949787352E-8</v>
      </c>
      <c r="H106" s="85">
        <v>7800</v>
      </c>
      <c r="I106" s="85">
        <f t="shared" si="12"/>
        <v>5.1050880620834131E-4</v>
      </c>
      <c r="J106" s="87">
        <v>1</v>
      </c>
      <c r="K106" s="88">
        <f t="shared" si="13"/>
        <v>1958.8300688233276</v>
      </c>
      <c r="O106" t="str">
        <v>5/32 -70</v>
      </c>
    </row>
    <row r="107" spans="1:15" hidden="1" x14ac:dyDescent="0.25">
      <c r="A107" t="str">
        <f t="shared" si="8"/>
        <v>52100Ø5,5</v>
      </c>
      <c r="B107" s="81">
        <v>52100</v>
      </c>
      <c r="D107" s="86">
        <v>5.5</v>
      </c>
      <c r="E107" s="85">
        <f t="shared" si="11"/>
        <v>5.4999999999999997E-3</v>
      </c>
      <c r="F107" s="85">
        <f t="shared" si="9"/>
        <v>2.7499999999999998E-3</v>
      </c>
      <c r="G107" s="85">
        <f t="shared" si="10"/>
        <v>8.7113746290166939E-8</v>
      </c>
      <c r="H107" s="85">
        <v>7800</v>
      </c>
      <c r="I107" s="85">
        <f t="shared" si="12"/>
        <v>6.794872210633021E-4</v>
      </c>
      <c r="J107" s="87">
        <v>1</v>
      </c>
      <c r="K107" s="88">
        <f t="shared" si="13"/>
        <v>1471.6980231580226</v>
      </c>
      <c r="O107" t="str">
        <v>1/8 -20</v>
      </c>
    </row>
    <row r="108" spans="1:15" hidden="1" x14ac:dyDescent="0.25">
      <c r="A108" t="str">
        <f t="shared" si="8"/>
        <v>52100Ø5,55625</v>
      </c>
      <c r="B108" s="81">
        <v>52100</v>
      </c>
      <c r="C108" s="101" t="s">
        <v>249</v>
      </c>
      <c r="D108" s="86">
        <f>7/32*25.4</f>
        <v>5.5562499999999995</v>
      </c>
      <c r="E108" s="85">
        <f t="shared" si="11"/>
        <v>5.5562499999999996E-3</v>
      </c>
      <c r="F108" s="85">
        <f t="shared" si="9"/>
        <v>2.7781249999999998E-3</v>
      </c>
      <c r="G108" s="85">
        <f t="shared" si="10"/>
        <v>8.9813983141951873E-8</v>
      </c>
      <c r="H108" s="85">
        <v>7800</v>
      </c>
      <c r="I108" s="85">
        <f t="shared" si="12"/>
        <v>7.005490685072246E-4</v>
      </c>
      <c r="J108" s="87">
        <v>1</v>
      </c>
      <c r="K108" s="88">
        <f t="shared" si="13"/>
        <v>1427.4517588480487</v>
      </c>
      <c r="O108" t="str">
        <v>25/64</v>
      </c>
    </row>
    <row r="109" spans="1:15" hidden="1" x14ac:dyDescent="0.25">
      <c r="A109" t="str">
        <f t="shared" si="8"/>
        <v>52100Ø6</v>
      </c>
      <c r="B109" s="81">
        <v>52100</v>
      </c>
      <c r="D109" s="86">
        <v>6</v>
      </c>
      <c r="E109" s="85">
        <f t="shared" si="11"/>
        <v>6.0000000000000001E-3</v>
      </c>
      <c r="F109" s="85">
        <f t="shared" si="9"/>
        <v>3.0000000000000001E-3</v>
      </c>
      <c r="G109" s="85">
        <f t="shared" si="10"/>
        <v>1.1309733552923255E-7</v>
      </c>
      <c r="H109" s="85">
        <v>7800</v>
      </c>
      <c r="I109" s="85">
        <f t="shared" si="12"/>
        <v>8.821592171280139E-4</v>
      </c>
      <c r="J109" s="87">
        <v>1</v>
      </c>
      <c r="K109" s="88">
        <f t="shared" si="13"/>
        <v>1133.5822157542402</v>
      </c>
      <c r="O109" t="str">
        <v>1/8 +20</v>
      </c>
    </row>
    <row r="110" spans="1:15" hidden="1" x14ac:dyDescent="0.25">
      <c r="A110" t="str">
        <f t="shared" si="8"/>
        <v>52100Ø6,35</v>
      </c>
      <c r="B110" s="81">
        <v>52100</v>
      </c>
      <c r="C110" s="101" t="s">
        <v>218</v>
      </c>
      <c r="D110" s="86">
        <f>1/4*25.4</f>
        <v>6.35</v>
      </c>
      <c r="E110" s="85">
        <f t="shared" si="11"/>
        <v>6.3499999999999997E-3</v>
      </c>
      <c r="F110" s="85">
        <f t="shared" si="9"/>
        <v>3.1749999999999999E-3</v>
      </c>
      <c r="G110" s="85">
        <f t="shared" si="10"/>
        <v>1.3406635384454623E-7</v>
      </c>
      <c r="H110" s="85">
        <v>7800</v>
      </c>
      <c r="I110" s="85">
        <f t="shared" si="12"/>
        <v>1.0457175599874605E-3</v>
      </c>
      <c r="J110" s="87">
        <v>1</v>
      </c>
      <c r="K110" s="88">
        <f t="shared" si="13"/>
        <v>956.28115875953279</v>
      </c>
      <c r="O110" t="str">
        <v>5/32 -20</v>
      </c>
    </row>
    <row r="111" spans="1:15" hidden="1" x14ac:dyDescent="0.25">
      <c r="A111" t="str">
        <f t="shared" si="8"/>
        <v>52100Ø6,5</v>
      </c>
      <c r="B111" s="81">
        <v>52100</v>
      </c>
      <c r="D111" s="86">
        <v>6.5</v>
      </c>
      <c r="E111" s="85">
        <f t="shared" si="11"/>
        <v>6.4999999999999997E-3</v>
      </c>
      <c r="F111" s="85">
        <f t="shared" si="9"/>
        <v>3.2499999999999999E-3</v>
      </c>
      <c r="G111" s="85">
        <f t="shared" si="10"/>
        <v>1.4379331374868281E-7</v>
      </c>
      <c r="H111" s="85">
        <v>7800</v>
      </c>
      <c r="I111" s="85">
        <f t="shared" si="12"/>
        <v>1.1215878472397259E-3</v>
      </c>
      <c r="J111" s="87">
        <v>1</v>
      </c>
      <c r="K111" s="88">
        <f t="shared" si="13"/>
        <v>891.59311280078623</v>
      </c>
      <c r="O111" t="str">
        <v>7/32 +100</v>
      </c>
    </row>
    <row r="112" spans="1:15" hidden="1" x14ac:dyDescent="0.25">
      <c r="A112" t="str">
        <f t="shared" si="8"/>
        <v>52100Ø7</v>
      </c>
      <c r="B112" s="81">
        <v>52100</v>
      </c>
      <c r="D112" s="86">
        <v>7</v>
      </c>
      <c r="E112" s="85">
        <f t="shared" si="11"/>
        <v>7.0000000000000001E-3</v>
      </c>
      <c r="F112" s="85">
        <f t="shared" si="9"/>
        <v>3.5000000000000001E-3</v>
      </c>
      <c r="G112" s="85">
        <f t="shared" si="10"/>
        <v>1.7959438003021651E-7</v>
      </c>
      <c r="H112" s="85">
        <v>7800</v>
      </c>
      <c r="I112" s="85">
        <f t="shared" si="12"/>
        <v>1.4008361642356888E-3</v>
      </c>
      <c r="J112" s="87">
        <v>1</v>
      </c>
      <c r="K112" s="88">
        <f t="shared" si="13"/>
        <v>713.85935452745161</v>
      </c>
      <c r="O112" t="str">
        <v>1/32 -7</v>
      </c>
    </row>
    <row r="113" spans="1:15" hidden="1" x14ac:dyDescent="0.25">
      <c r="A113" t="str">
        <f t="shared" si="8"/>
        <v>52100Ø7,14375</v>
      </c>
      <c r="B113" s="81">
        <v>52100</v>
      </c>
      <c r="C113" s="101" t="s">
        <v>250</v>
      </c>
      <c r="D113" s="86">
        <f>9/32*25.4</f>
        <v>7.1437499999999998</v>
      </c>
      <c r="E113" s="85">
        <f t="shared" si="11"/>
        <v>7.1437499999999999E-3</v>
      </c>
      <c r="F113" s="85">
        <f t="shared" si="9"/>
        <v>3.571875E-3</v>
      </c>
      <c r="G113" s="85">
        <f t="shared" si="10"/>
        <v>1.9088744522006684E-7</v>
      </c>
      <c r="H113" s="85">
        <v>7800</v>
      </c>
      <c r="I113" s="85">
        <f t="shared" si="12"/>
        <v>1.4889220727165213E-3</v>
      </c>
      <c r="J113" s="87">
        <v>1</v>
      </c>
      <c r="K113" s="88">
        <f t="shared" si="13"/>
        <v>671.62682206430816</v>
      </c>
      <c r="O113" t="str">
        <v>3/16 +100</v>
      </c>
    </row>
    <row r="114" spans="1:15" hidden="1" x14ac:dyDescent="0.25">
      <c r="A114" t="str">
        <f t="shared" si="8"/>
        <v>52100Ø7,15475</v>
      </c>
      <c r="B114" s="81">
        <v>52100</v>
      </c>
      <c r="C114" s="101" t="s">
        <v>251</v>
      </c>
      <c r="D114" s="86">
        <f>9/32*25.4+0.011</f>
        <v>7.1547499999999999</v>
      </c>
      <c r="E114" s="85">
        <f t="shared" si="11"/>
        <v>7.1547499999999997E-3</v>
      </c>
      <c r="F114" s="85">
        <f t="shared" si="9"/>
        <v>3.5773749999999998E-3</v>
      </c>
      <c r="G114" s="85">
        <f t="shared" si="10"/>
        <v>1.9177059347669925E-7</v>
      </c>
      <c r="H114" s="85">
        <v>7800</v>
      </c>
      <c r="I114" s="85">
        <f t="shared" si="12"/>
        <v>1.4958106291182542E-3</v>
      </c>
      <c r="J114" s="87">
        <v>1</v>
      </c>
      <c r="K114" s="88">
        <f t="shared" si="13"/>
        <v>668.53382409073856</v>
      </c>
      <c r="O114" t="str">
        <v>2.3/16</v>
      </c>
    </row>
    <row r="115" spans="1:15" hidden="1" x14ac:dyDescent="0.25">
      <c r="A115" t="str">
        <f t="shared" si="8"/>
        <v>52100Ø7,9375</v>
      </c>
      <c r="B115" s="81">
        <v>52100</v>
      </c>
      <c r="C115" s="101" t="s">
        <v>252</v>
      </c>
      <c r="D115" s="86">
        <f>5/16*25.4</f>
        <v>7.9375</v>
      </c>
      <c r="E115" s="85">
        <f t="shared" si="11"/>
        <v>7.9375000000000001E-3</v>
      </c>
      <c r="F115" s="85">
        <f t="shared" si="9"/>
        <v>3.9687500000000001E-3</v>
      </c>
      <c r="G115" s="85">
        <f t="shared" si="10"/>
        <v>2.6184834735262947E-7</v>
      </c>
      <c r="H115" s="85">
        <v>7800</v>
      </c>
      <c r="I115" s="85">
        <f t="shared" si="12"/>
        <v>2.0424171093505099E-3</v>
      </c>
      <c r="J115" s="87">
        <v>1</v>
      </c>
      <c r="K115" s="88">
        <f t="shared" si="13"/>
        <v>489.61595328488056</v>
      </c>
      <c r="O115" t="str">
        <v>5/32 + 40</v>
      </c>
    </row>
    <row r="116" spans="1:15" hidden="1" x14ac:dyDescent="0.25">
      <c r="A116" t="str">
        <f t="shared" si="8"/>
        <v>52100Ø8</v>
      </c>
      <c r="B116" s="81">
        <v>52100</v>
      </c>
      <c r="D116" s="86">
        <v>8</v>
      </c>
      <c r="E116" s="85">
        <f t="shared" si="11"/>
        <v>8.0000000000000002E-3</v>
      </c>
      <c r="F116" s="85">
        <f t="shared" si="9"/>
        <v>4.0000000000000001E-3</v>
      </c>
      <c r="G116" s="85">
        <f t="shared" si="10"/>
        <v>2.6808257310632902E-7</v>
      </c>
      <c r="H116" s="85">
        <v>7800</v>
      </c>
      <c r="I116" s="85">
        <f t="shared" si="12"/>
        <v>2.0910440702293664E-3</v>
      </c>
      <c r="J116" s="87">
        <v>1</v>
      </c>
      <c r="K116" s="88">
        <f t="shared" si="13"/>
        <v>478.22999727132014</v>
      </c>
      <c r="O116" t="str">
        <v>7/64 +4</v>
      </c>
    </row>
    <row r="117" spans="1:15" hidden="1" x14ac:dyDescent="0.25">
      <c r="A117" t="str">
        <f t="shared" si="8"/>
        <v>52100Ø8,5</v>
      </c>
      <c r="B117" s="81">
        <v>52100</v>
      </c>
      <c r="D117" s="86">
        <v>8.5</v>
      </c>
      <c r="E117" s="85">
        <f t="shared" si="11"/>
        <v>8.5000000000000006E-3</v>
      </c>
      <c r="F117" s="85">
        <f t="shared" si="9"/>
        <v>4.2500000000000003E-3</v>
      </c>
      <c r="G117" s="85">
        <f t="shared" si="10"/>
        <v>3.2155509806430529E-7</v>
      </c>
      <c r="H117" s="85">
        <v>7800</v>
      </c>
      <c r="I117" s="85">
        <f t="shared" si="12"/>
        <v>2.5081297649015813E-3</v>
      </c>
      <c r="J117" s="87">
        <v>1</v>
      </c>
      <c r="K117" s="88">
        <f t="shared" si="13"/>
        <v>398.70345386186182</v>
      </c>
      <c r="O117" t="str">
        <v>7/64 -4</v>
      </c>
    </row>
    <row r="118" spans="1:15" hidden="1" x14ac:dyDescent="0.25">
      <c r="A118" t="str">
        <f t="shared" si="8"/>
        <v>52100Ø8,73125</v>
      </c>
      <c r="B118" s="81">
        <v>52100</v>
      </c>
      <c r="C118" s="101" t="s">
        <v>253</v>
      </c>
      <c r="D118" s="86">
        <f>11/32*25.4</f>
        <v>8.7312499999999993</v>
      </c>
      <c r="E118" s="85">
        <f t="shared" si="11"/>
        <v>8.7312499999999994E-3</v>
      </c>
      <c r="F118" s="85">
        <f t="shared" si="9"/>
        <v>4.3656249999999997E-3</v>
      </c>
      <c r="G118" s="85">
        <f t="shared" si="10"/>
        <v>3.4852015032634969E-7</v>
      </c>
      <c r="H118" s="85">
        <v>7800</v>
      </c>
      <c r="I118" s="85">
        <f t="shared" si="12"/>
        <v>2.7184571725455274E-3</v>
      </c>
      <c r="J118" s="87">
        <v>1</v>
      </c>
      <c r="K118" s="88">
        <f t="shared" si="13"/>
        <v>367.85571246046641</v>
      </c>
      <c r="O118" t="str">
        <v>7/64 -2</v>
      </c>
    </row>
    <row r="119" spans="1:15" hidden="1" x14ac:dyDescent="0.25">
      <c r="A119" t="str">
        <f t="shared" si="8"/>
        <v>52100Ø9</v>
      </c>
      <c r="B119" s="81">
        <v>52100</v>
      </c>
      <c r="D119" s="86">
        <v>9</v>
      </c>
      <c r="E119" s="85">
        <f t="shared" si="11"/>
        <v>8.9999999999999993E-3</v>
      </c>
      <c r="F119" s="85">
        <f t="shared" si="9"/>
        <v>4.4999999999999997E-3</v>
      </c>
      <c r="G119" s="85">
        <f t="shared" si="10"/>
        <v>3.8170350741115974E-7</v>
      </c>
      <c r="H119" s="85">
        <v>7800</v>
      </c>
      <c r="I119" s="85">
        <f t="shared" si="12"/>
        <v>2.977287357807046E-3</v>
      </c>
      <c r="J119" s="87">
        <v>1</v>
      </c>
      <c r="K119" s="88">
        <f t="shared" si="13"/>
        <v>335.87621207533056</v>
      </c>
      <c r="O119" t="str">
        <v>1/8 +100</v>
      </c>
    </row>
    <row r="120" spans="1:15" hidden="1" x14ac:dyDescent="0.25">
      <c r="A120" t="str">
        <f t="shared" si="8"/>
        <v>52100Ø9,525</v>
      </c>
      <c r="B120" s="81">
        <v>52100</v>
      </c>
      <c r="C120" s="101" t="s">
        <v>254</v>
      </c>
      <c r="D120" s="86">
        <f>3/8*25.4</f>
        <v>9.5249999999999986</v>
      </c>
      <c r="E120" s="85">
        <f t="shared" si="11"/>
        <v>9.5249999999999987E-3</v>
      </c>
      <c r="F120" s="85">
        <f t="shared" si="9"/>
        <v>4.7624999999999994E-3</v>
      </c>
      <c r="G120" s="85">
        <f t="shared" si="10"/>
        <v>4.5247394422534347E-7</v>
      </c>
      <c r="H120" s="85">
        <v>7800</v>
      </c>
      <c r="I120" s="85">
        <f t="shared" si="12"/>
        <v>3.5292967649576791E-3</v>
      </c>
      <c r="J120" s="87">
        <v>1</v>
      </c>
      <c r="K120" s="88">
        <f t="shared" si="13"/>
        <v>283.3425655583801</v>
      </c>
      <c r="O120" t="str">
        <v>9/64</v>
      </c>
    </row>
    <row r="121" spans="1:15" hidden="1" x14ac:dyDescent="0.25">
      <c r="A121" t="str">
        <f t="shared" si="8"/>
        <v>52100Ø10</v>
      </c>
      <c r="B121" s="81">
        <v>52100</v>
      </c>
      <c r="D121" s="86">
        <v>10</v>
      </c>
      <c r="E121" s="85">
        <f t="shared" si="11"/>
        <v>0.01</v>
      </c>
      <c r="F121" s="85">
        <f t="shared" si="9"/>
        <v>5.0000000000000001E-3</v>
      </c>
      <c r="G121" s="85">
        <f t="shared" si="10"/>
        <v>5.2359877559829882E-7</v>
      </c>
      <c r="H121" s="85">
        <v>7800</v>
      </c>
      <c r="I121" s="85">
        <f t="shared" si="12"/>
        <v>4.0840704496667305E-3</v>
      </c>
      <c r="J121" s="87">
        <v>1</v>
      </c>
      <c r="K121" s="88">
        <f t="shared" si="13"/>
        <v>244.85375860291595</v>
      </c>
      <c r="O121" t="str">
        <v>13/64</v>
      </c>
    </row>
    <row r="122" spans="1:15" hidden="1" x14ac:dyDescent="0.25">
      <c r="A122" t="str">
        <f t="shared" si="8"/>
        <v>52100Ø25,4</v>
      </c>
      <c r="B122" s="81">
        <v>52100</v>
      </c>
      <c r="C122" s="101" t="s">
        <v>255</v>
      </c>
      <c r="D122" s="86">
        <f>1*25.4</f>
        <v>25.4</v>
      </c>
      <c r="E122" s="85">
        <f t="shared" si="11"/>
        <v>2.5399999999999999E-2</v>
      </c>
      <c r="F122" s="85">
        <f t="shared" si="9"/>
        <v>1.2699999999999999E-2</v>
      </c>
      <c r="G122" s="85">
        <f t="shared" si="10"/>
        <v>8.5802466460509588E-6</v>
      </c>
      <c r="H122" s="85">
        <v>7800</v>
      </c>
      <c r="I122" s="85">
        <f t="shared" si="12"/>
        <v>6.6925923839197474E-2</v>
      </c>
      <c r="J122" s="87">
        <v>1</v>
      </c>
      <c r="K122" s="97">
        <f t="shared" si="13"/>
        <v>14.9418931056177</v>
      </c>
      <c r="O122" t="str">
        <v>15/64</v>
      </c>
    </row>
    <row r="123" spans="1:15" hidden="1" x14ac:dyDescent="0.25">
      <c r="A123" t="str">
        <f t="shared" si="8"/>
        <v>52100Ø25</v>
      </c>
      <c r="B123" s="81">
        <v>52100</v>
      </c>
      <c r="D123" s="86">
        <v>25</v>
      </c>
      <c r="E123" s="85">
        <f t="shared" si="11"/>
        <v>2.5000000000000001E-2</v>
      </c>
      <c r="F123" s="85">
        <f t="shared" si="9"/>
        <v>1.2500000000000001E-2</v>
      </c>
      <c r="G123" s="85">
        <f t="shared" si="10"/>
        <v>8.1812308687234206E-6</v>
      </c>
      <c r="H123" s="85">
        <v>7800</v>
      </c>
      <c r="I123" s="85">
        <f t="shared" si="12"/>
        <v>6.3813600776042687E-2</v>
      </c>
      <c r="J123" s="87">
        <v>1</v>
      </c>
      <c r="K123" s="97">
        <f t="shared" si="13"/>
        <v>15.670640550586615</v>
      </c>
      <c r="O123" t="str">
        <v>19/64</v>
      </c>
    </row>
    <row r="124" spans="1:15" hidden="1" x14ac:dyDescent="0.25">
      <c r="A124" t="str">
        <f t="shared" si="8"/>
        <v>52100Ø24,60625</v>
      </c>
      <c r="B124" s="81">
        <v>52100</v>
      </c>
      <c r="C124" s="101" t="s">
        <v>256</v>
      </c>
      <c r="D124" s="86">
        <f>31/32*25.4</f>
        <v>24.606249999999999</v>
      </c>
      <c r="E124" s="85">
        <f t="shared" si="11"/>
        <v>2.460625E-2</v>
      </c>
      <c r="F124" s="85">
        <f t="shared" si="9"/>
        <v>1.2303125E-2</v>
      </c>
      <c r="G124" s="85">
        <f t="shared" si="10"/>
        <v>7.8007241159821839E-6</v>
      </c>
      <c r="H124" s="85">
        <v>7800</v>
      </c>
      <c r="I124" s="85">
        <f t="shared" si="12"/>
        <v>6.0845648104661032E-2</v>
      </c>
      <c r="J124" s="87">
        <v>1</v>
      </c>
      <c r="K124" s="97">
        <f t="shared" si="13"/>
        <v>16.435029145878978</v>
      </c>
      <c r="O124" t="str">
        <v>21/64</v>
      </c>
    </row>
    <row r="125" spans="1:15" hidden="1" x14ac:dyDescent="0.25">
      <c r="A125" t="str">
        <f t="shared" si="8"/>
        <v>52100Ø24</v>
      </c>
      <c r="B125" s="81">
        <v>52100</v>
      </c>
      <c r="D125" s="86">
        <v>24</v>
      </c>
      <c r="E125" s="85">
        <f t="shared" si="11"/>
        <v>2.4E-2</v>
      </c>
      <c r="F125" s="85">
        <f t="shared" si="9"/>
        <v>1.2E-2</v>
      </c>
      <c r="G125" s="85">
        <f t="shared" si="10"/>
        <v>7.2382294738708829E-6</v>
      </c>
      <c r="H125" s="85">
        <v>7800</v>
      </c>
      <c r="I125" s="85">
        <f t="shared" si="12"/>
        <v>5.645818989619289E-2</v>
      </c>
      <c r="J125" s="87">
        <v>1</v>
      </c>
      <c r="K125" s="97">
        <f t="shared" si="13"/>
        <v>17.712222121160003</v>
      </c>
      <c r="O125" t="str">
        <v>23/64</v>
      </c>
    </row>
    <row r="126" spans="1:15" hidden="1" x14ac:dyDescent="0.25">
      <c r="A126" t="str">
        <f t="shared" si="8"/>
        <v>52100Ø23,8125</v>
      </c>
      <c r="B126" s="81">
        <v>52100</v>
      </c>
      <c r="C126" s="101" t="s">
        <v>257</v>
      </c>
      <c r="D126" s="86">
        <f>15/16*25.4</f>
        <v>23.8125</v>
      </c>
      <c r="E126" s="85">
        <f t="shared" si="11"/>
        <v>2.38125E-2</v>
      </c>
      <c r="F126" s="85">
        <f t="shared" si="9"/>
        <v>1.190625E-2</v>
      </c>
      <c r="G126" s="85">
        <f t="shared" si="10"/>
        <v>7.0699053785209952E-6</v>
      </c>
      <c r="H126" s="85">
        <v>7800</v>
      </c>
      <c r="I126" s="85">
        <f t="shared" si="12"/>
        <v>5.5145261952463762E-2</v>
      </c>
      <c r="J126" s="87">
        <v>1</v>
      </c>
      <c r="K126" s="97">
        <f t="shared" si="13"/>
        <v>18.133924195736316</v>
      </c>
      <c r="O126" t="str">
        <v>27/64</v>
      </c>
    </row>
    <row r="127" spans="1:15" hidden="1" x14ac:dyDescent="0.25">
      <c r="A127" t="str">
        <f t="shared" si="8"/>
        <v>52100Ø7,15075</v>
      </c>
      <c r="B127" s="81">
        <v>52100</v>
      </c>
      <c r="C127" s="101" t="s">
        <v>43</v>
      </c>
      <c r="D127" s="86">
        <f>9/32*25.4+0.007</f>
        <v>7.1507499999999995</v>
      </c>
      <c r="E127" s="85">
        <f t="shared" si="11"/>
        <v>7.1507499999999991E-3</v>
      </c>
      <c r="F127" s="85">
        <f t="shared" si="9"/>
        <v>3.5753749999999996E-3</v>
      </c>
      <c r="G127" s="85">
        <f t="shared" si="10"/>
        <v>1.9144913419367656E-7</v>
      </c>
      <c r="H127" s="85">
        <v>7800</v>
      </c>
      <c r="I127" s="85">
        <f t="shared" si="12"/>
        <v>1.4933032467106771E-3</v>
      </c>
      <c r="J127" s="87">
        <v>1</v>
      </c>
      <c r="K127" s="97">
        <f t="shared" si="13"/>
        <v>669.65634890482954</v>
      </c>
      <c r="O127" t="str">
        <v>33/64</v>
      </c>
    </row>
    <row r="128" spans="1:15" hidden="1" x14ac:dyDescent="0.25">
      <c r="A128" t="str">
        <f t="shared" si="8"/>
        <v>52100Ø23</v>
      </c>
      <c r="B128" s="81">
        <v>52100</v>
      </c>
      <c r="D128" s="86">
        <v>23</v>
      </c>
      <c r="E128" s="85">
        <f t="shared" si="11"/>
        <v>2.3E-2</v>
      </c>
      <c r="F128" s="85">
        <f t="shared" si="9"/>
        <v>1.15E-2</v>
      </c>
      <c r="G128" s="85">
        <f t="shared" si="10"/>
        <v>6.3706263027045014E-6</v>
      </c>
      <c r="H128" s="85">
        <v>7800</v>
      </c>
      <c r="I128" s="85">
        <f t="shared" si="12"/>
        <v>4.9690885161095114E-2</v>
      </c>
      <c r="J128" s="87">
        <v>1</v>
      </c>
      <c r="K128" s="97">
        <f t="shared" si="13"/>
        <v>20.124415106675098</v>
      </c>
      <c r="O128" t="str">
        <v>35/64</v>
      </c>
    </row>
    <row r="129" spans="1:15" hidden="1" x14ac:dyDescent="0.25">
      <c r="A129" t="str">
        <f t="shared" si="8"/>
        <v>52100Ø22,225</v>
      </c>
      <c r="B129" s="81">
        <v>52100</v>
      </c>
      <c r="C129" s="101" t="s">
        <v>258</v>
      </c>
      <c r="D129" s="86">
        <f>7/8*25.4</f>
        <v>22.224999999999998</v>
      </c>
      <c r="E129" s="85">
        <f t="shared" si="11"/>
        <v>2.2224999999999998E-2</v>
      </c>
      <c r="F129" s="85">
        <f t="shared" si="9"/>
        <v>1.1112499999999999E-2</v>
      </c>
      <c r="G129" s="85">
        <f t="shared" si="10"/>
        <v>5.7480949210849199E-6</v>
      </c>
      <c r="H129" s="85">
        <v>7800</v>
      </c>
      <c r="I129" s="85">
        <f t="shared" si="12"/>
        <v>4.4835140384462374E-2</v>
      </c>
      <c r="J129" s="87">
        <v>1</v>
      </c>
      <c r="K129" s="97">
        <f t="shared" si="13"/>
        <v>22.303933732000761</v>
      </c>
      <c r="O129" t="str">
        <v>37/64</v>
      </c>
    </row>
    <row r="130" spans="1:15" hidden="1" x14ac:dyDescent="0.25">
      <c r="A130" t="str">
        <f t="shared" si="8"/>
        <v>52100Ø22</v>
      </c>
      <c r="B130" s="81">
        <v>52100</v>
      </c>
      <c r="D130" s="86">
        <v>22</v>
      </c>
      <c r="E130" s="85">
        <f t="shared" si="11"/>
        <v>2.1999999999999999E-2</v>
      </c>
      <c r="F130" s="85">
        <f t="shared" si="9"/>
        <v>1.0999999999999999E-2</v>
      </c>
      <c r="G130" s="85">
        <f t="shared" si="10"/>
        <v>5.5752797625706841E-6</v>
      </c>
      <c r="H130" s="85">
        <v>7800</v>
      </c>
      <c r="I130" s="85">
        <f t="shared" si="12"/>
        <v>4.3487182148051334E-2</v>
      </c>
      <c r="J130" s="87">
        <v>1</v>
      </c>
      <c r="K130" s="97">
        <f t="shared" si="13"/>
        <v>22.995281611844103</v>
      </c>
      <c r="O130" t="str">
        <v>39/64</v>
      </c>
    </row>
    <row r="131" spans="1:15" hidden="1" x14ac:dyDescent="0.25">
      <c r="A131" t="str">
        <f t="shared" si="8"/>
        <v>52100Ø21,43125</v>
      </c>
      <c r="B131" s="81">
        <v>52100</v>
      </c>
      <c r="C131" s="101" t="s">
        <v>259</v>
      </c>
      <c r="D131" s="86">
        <f>27/32*25.4</f>
        <v>21.431249999999999</v>
      </c>
      <c r="E131" s="85">
        <f t="shared" si="11"/>
        <v>2.1431249999999999E-2</v>
      </c>
      <c r="F131" s="85">
        <f t="shared" si="9"/>
        <v>1.0715624999999999E-2</v>
      </c>
      <c r="G131" s="85">
        <f t="shared" si="10"/>
        <v>5.1539610209418047E-6</v>
      </c>
      <c r="H131" s="85">
        <v>7800</v>
      </c>
      <c r="I131" s="85">
        <f t="shared" si="12"/>
        <v>4.0200895963346077E-2</v>
      </c>
      <c r="J131" s="87">
        <v>1</v>
      </c>
      <c r="K131" s="97">
        <f t="shared" si="13"/>
        <v>24.875067483863265</v>
      </c>
      <c r="O131" t="str">
        <v>41/64</v>
      </c>
    </row>
    <row r="132" spans="1:15" hidden="1" x14ac:dyDescent="0.25">
      <c r="A132" t="str">
        <f t="shared" ref="A132:A195" si="14">CONCATENATE(B132,"Ø",D132)</f>
        <v>52100Ø21</v>
      </c>
      <c r="B132" s="81">
        <v>52100</v>
      </c>
      <c r="D132" s="86">
        <v>21</v>
      </c>
      <c r="E132" s="85">
        <f t="shared" si="11"/>
        <v>2.1000000000000001E-2</v>
      </c>
      <c r="F132" s="85">
        <f t="shared" si="9"/>
        <v>1.0500000000000001E-2</v>
      </c>
      <c r="G132" s="85">
        <f t="shared" si="10"/>
        <v>4.8490482608158458E-6</v>
      </c>
      <c r="H132" s="85">
        <v>7800</v>
      </c>
      <c r="I132" s="85">
        <f t="shared" si="12"/>
        <v>3.7822576434363597E-2</v>
      </c>
      <c r="J132" s="87">
        <v>1</v>
      </c>
      <c r="K132" s="97">
        <f t="shared" si="13"/>
        <v>26.439235352868579</v>
      </c>
      <c r="O132" t="str">
        <v>43/64</v>
      </c>
    </row>
    <row r="133" spans="1:15" hidden="1" x14ac:dyDescent="0.25">
      <c r="A133" t="str">
        <f t="shared" si="14"/>
        <v>52100Ø20,6375</v>
      </c>
      <c r="B133" s="81">
        <v>52100</v>
      </c>
      <c r="C133" s="101" t="s">
        <v>260</v>
      </c>
      <c r="D133" s="86">
        <f>13/16*25.4</f>
        <v>20.637499999999999</v>
      </c>
      <c r="E133" s="85">
        <f t="shared" si="11"/>
        <v>2.06375E-2</v>
      </c>
      <c r="F133" s="85">
        <f t="shared" si="9"/>
        <v>1.031875E-2</v>
      </c>
      <c r="G133" s="85">
        <f t="shared" si="10"/>
        <v>4.6022465530698137E-6</v>
      </c>
      <c r="H133" s="85">
        <v>7800</v>
      </c>
      <c r="I133" s="85">
        <f t="shared" si="12"/>
        <v>3.5897523113944549E-2</v>
      </c>
      <c r="J133" s="87">
        <v>1</v>
      </c>
      <c r="K133" s="97">
        <f t="shared" si="13"/>
        <v>27.857075175516655</v>
      </c>
      <c r="O133" t="str">
        <v>45/64</v>
      </c>
    </row>
    <row r="134" spans="1:15" hidden="1" x14ac:dyDescent="0.25">
      <c r="A134" t="str">
        <f t="shared" si="14"/>
        <v>52100Ø20</v>
      </c>
      <c r="B134" s="81">
        <v>52100</v>
      </c>
      <c r="D134" s="86">
        <v>20</v>
      </c>
      <c r="E134" s="85">
        <f t="shared" si="11"/>
        <v>0.02</v>
      </c>
      <c r="F134" s="85">
        <f t="shared" ref="F134:F197" si="15">E134/2</f>
        <v>0.01</v>
      </c>
      <c r="G134" s="85">
        <f t="shared" ref="G134:G197" si="16">4/3*PI()*F134*F134*F134</f>
        <v>4.1887902047863905E-6</v>
      </c>
      <c r="H134" s="85">
        <v>7800</v>
      </c>
      <c r="I134" s="85">
        <f t="shared" si="12"/>
        <v>3.2672563597333844E-2</v>
      </c>
      <c r="J134" s="87">
        <v>1</v>
      </c>
      <c r="K134" s="97">
        <f t="shared" si="13"/>
        <v>30.606719825364493</v>
      </c>
      <c r="O134" t="str">
        <v>47/64</v>
      </c>
    </row>
    <row r="135" spans="1:15" hidden="1" x14ac:dyDescent="0.25">
      <c r="A135" t="str">
        <f t="shared" si="14"/>
        <v>52100Ø19,84375</v>
      </c>
      <c r="B135" s="81">
        <v>52100</v>
      </c>
      <c r="C135" s="101" t="s">
        <v>261</v>
      </c>
      <c r="D135" s="86">
        <f>25/32*25.4</f>
        <v>19.84375</v>
      </c>
      <c r="E135" s="85">
        <f t="shared" ref="E135:E198" si="17">D135/1000</f>
        <v>1.984375E-2</v>
      </c>
      <c r="F135" s="85">
        <f t="shared" si="15"/>
        <v>9.9218750000000001E-3</v>
      </c>
      <c r="G135" s="85">
        <f t="shared" si="16"/>
        <v>4.0913804273848348E-6</v>
      </c>
      <c r="H135" s="85">
        <v>7800</v>
      </c>
      <c r="I135" s="85">
        <f t="shared" si="12"/>
        <v>3.191276733360171E-2</v>
      </c>
      <c r="J135" s="87">
        <v>1</v>
      </c>
      <c r="K135" s="97">
        <f t="shared" si="13"/>
        <v>31.335421010232363</v>
      </c>
      <c r="O135" t="str">
        <v>49/64</v>
      </c>
    </row>
    <row r="136" spans="1:15" hidden="1" x14ac:dyDescent="0.25">
      <c r="A136" t="str">
        <f t="shared" si="14"/>
        <v>52100Ø19,05</v>
      </c>
      <c r="B136" s="81">
        <v>52100</v>
      </c>
      <c r="C136" s="101" t="s">
        <v>262</v>
      </c>
      <c r="D136" s="86">
        <f>3/4*25.4</f>
        <v>19.049999999999997</v>
      </c>
      <c r="E136" s="85">
        <f t="shared" si="17"/>
        <v>1.9049999999999997E-2</v>
      </c>
      <c r="F136" s="85">
        <f t="shared" si="15"/>
        <v>9.5249999999999987E-3</v>
      </c>
      <c r="G136" s="85">
        <f t="shared" si="16"/>
        <v>3.6197915538027477E-6</v>
      </c>
      <c r="H136" s="85">
        <v>7800</v>
      </c>
      <c r="I136" s="85">
        <f t="shared" si="12"/>
        <v>2.8234374119661433E-2</v>
      </c>
      <c r="J136" s="87">
        <v>1</v>
      </c>
      <c r="K136" s="97">
        <f t="shared" si="13"/>
        <v>35.417820694797513</v>
      </c>
      <c r="O136" t="str">
        <v>51/64</v>
      </c>
    </row>
    <row r="137" spans="1:15" hidden="1" x14ac:dyDescent="0.25">
      <c r="A137" t="str">
        <f t="shared" si="14"/>
        <v>52100Ø18,25625</v>
      </c>
      <c r="B137" s="81">
        <v>52100</v>
      </c>
      <c r="C137" s="101" t="s">
        <v>263</v>
      </c>
      <c r="D137" s="86">
        <f>23/32*25.4</f>
        <v>18.256249999999998</v>
      </c>
      <c r="E137" s="85">
        <f t="shared" si="17"/>
        <v>1.8256249999999998E-2</v>
      </c>
      <c r="F137" s="85">
        <f t="shared" si="15"/>
        <v>9.1281249999999991E-3</v>
      </c>
      <c r="G137" s="85">
        <f t="shared" si="16"/>
        <v>3.1859088422394418E-6</v>
      </c>
      <c r="H137" s="85">
        <v>7800</v>
      </c>
      <c r="I137" s="85">
        <f t="shared" si="12"/>
        <v>2.4850088969467644E-2</v>
      </c>
      <c r="J137" s="87">
        <v>1</v>
      </c>
      <c r="K137" s="97">
        <f t="shared" si="13"/>
        <v>40.241304617808886</v>
      </c>
      <c r="O137" t="str">
        <v>53/64</v>
      </c>
    </row>
    <row r="138" spans="1:15" hidden="1" x14ac:dyDescent="0.25">
      <c r="A138" t="str">
        <f t="shared" si="14"/>
        <v>52100Ø18</v>
      </c>
      <c r="B138" s="81">
        <v>52100</v>
      </c>
      <c r="D138" s="86">
        <v>18</v>
      </c>
      <c r="E138" s="85">
        <f t="shared" si="17"/>
        <v>1.7999999999999999E-2</v>
      </c>
      <c r="F138" s="85">
        <f t="shared" si="15"/>
        <v>8.9999999999999993E-3</v>
      </c>
      <c r="G138" s="85">
        <f t="shared" si="16"/>
        <v>3.053628059289278E-6</v>
      </c>
      <c r="H138" s="85">
        <v>7800</v>
      </c>
      <c r="I138" s="85">
        <f t="shared" si="12"/>
        <v>2.3818298862456368E-2</v>
      </c>
      <c r="J138" s="87">
        <v>1</v>
      </c>
      <c r="K138" s="97">
        <f t="shared" si="13"/>
        <v>41.98452650941632</v>
      </c>
      <c r="O138" t="str">
        <v>55/64</v>
      </c>
    </row>
    <row r="139" spans="1:15" hidden="1" x14ac:dyDescent="0.25">
      <c r="A139" t="str">
        <f t="shared" si="14"/>
        <v>52100Ø17,4625</v>
      </c>
      <c r="B139" s="81">
        <v>52100</v>
      </c>
      <c r="C139" s="101" t="s">
        <v>264</v>
      </c>
      <c r="D139" s="86">
        <f>11/16*25.4</f>
        <v>17.462499999999999</v>
      </c>
      <c r="E139" s="85">
        <f t="shared" si="17"/>
        <v>1.7462499999999999E-2</v>
      </c>
      <c r="F139" s="85">
        <f t="shared" si="15"/>
        <v>8.7312499999999994E-3</v>
      </c>
      <c r="G139" s="85">
        <f t="shared" si="16"/>
        <v>2.7881612026107975E-6</v>
      </c>
      <c r="H139" s="85">
        <v>7800</v>
      </c>
      <c r="I139" s="85">
        <f t="shared" si="12"/>
        <v>2.1747657380364219E-2</v>
      </c>
      <c r="J139" s="87">
        <v>1</v>
      </c>
      <c r="K139" s="97">
        <f t="shared" si="13"/>
        <v>45.981964057558301</v>
      </c>
      <c r="O139" t="str">
        <v>57/64</v>
      </c>
    </row>
    <row r="140" spans="1:15" hidden="1" x14ac:dyDescent="0.25">
      <c r="A140" t="str">
        <f t="shared" si="14"/>
        <v>52100Ø17</v>
      </c>
      <c r="B140" s="81">
        <v>52100</v>
      </c>
      <c r="D140" s="86">
        <v>17</v>
      </c>
      <c r="E140" s="85">
        <f t="shared" si="17"/>
        <v>1.7000000000000001E-2</v>
      </c>
      <c r="F140" s="85">
        <f t="shared" si="15"/>
        <v>8.5000000000000006E-3</v>
      </c>
      <c r="G140" s="85">
        <f t="shared" si="16"/>
        <v>2.5724407845144423E-6</v>
      </c>
      <c r="H140" s="85">
        <v>7800</v>
      </c>
      <c r="I140" s="85">
        <f t="shared" si="12"/>
        <v>2.006503811921265E-2</v>
      </c>
      <c r="J140" s="87">
        <v>1</v>
      </c>
      <c r="K140" s="97">
        <f t="shared" si="13"/>
        <v>49.837931732732727</v>
      </c>
      <c r="O140" t="str">
        <v>59/64</v>
      </c>
    </row>
    <row r="141" spans="1:15" hidden="1" x14ac:dyDescent="0.25">
      <c r="A141" t="str">
        <f t="shared" si="14"/>
        <v>52100Ø16,66875</v>
      </c>
      <c r="B141" s="81">
        <v>52100</v>
      </c>
      <c r="C141" s="101" t="s">
        <v>265</v>
      </c>
      <c r="D141" s="86">
        <f>21/32*25.4</f>
        <v>16.668749999999999</v>
      </c>
      <c r="E141" s="85">
        <f t="shared" si="17"/>
        <v>1.666875E-2</v>
      </c>
      <c r="F141" s="85">
        <f t="shared" si="15"/>
        <v>8.3343749999999998E-3</v>
      </c>
      <c r="G141" s="85">
        <f t="shared" si="16"/>
        <v>2.4249775448327007E-6</v>
      </c>
      <c r="H141" s="85">
        <v>7800</v>
      </c>
      <c r="I141" s="85">
        <f t="shared" si="12"/>
        <v>1.8914824849695065E-2</v>
      </c>
      <c r="J141" s="87">
        <v>1</v>
      </c>
      <c r="K141" s="97">
        <f t="shared" si="13"/>
        <v>52.868583661038841</v>
      </c>
      <c r="O141" t="str">
        <v>61/64</v>
      </c>
    </row>
    <row r="142" spans="1:15" hidden="1" x14ac:dyDescent="0.25">
      <c r="A142" t="str">
        <f t="shared" si="14"/>
        <v>52100Ø16</v>
      </c>
      <c r="B142" s="81">
        <v>52100</v>
      </c>
      <c r="D142" s="86">
        <v>16</v>
      </c>
      <c r="E142" s="85">
        <f t="shared" si="17"/>
        <v>1.6E-2</v>
      </c>
      <c r="F142" s="85">
        <f t="shared" si="15"/>
        <v>8.0000000000000002E-3</v>
      </c>
      <c r="G142" s="85">
        <f t="shared" si="16"/>
        <v>2.1446605848506321E-6</v>
      </c>
      <c r="H142" s="85">
        <v>7800</v>
      </c>
      <c r="I142" s="85">
        <f t="shared" si="12"/>
        <v>1.6728352561834931E-2</v>
      </c>
      <c r="J142" s="87">
        <v>1</v>
      </c>
      <c r="K142" s="97">
        <f t="shared" si="13"/>
        <v>59.778749658915018</v>
      </c>
      <c r="O142" t="str">
        <v>63/64</v>
      </c>
    </row>
    <row r="143" spans="1:15" hidden="1" x14ac:dyDescent="0.25">
      <c r="A143" t="str">
        <f t="shared" si="14"/>
        <v>52100Ø15,875</v>
      </c>
      <c r="B143" s="81">
        <v>52100</v>
      </c>
      <c r="C143" s="101" t="s">
        <v>266</v>
      </c>
      <c r="D143" s="86">
        <f>5/8*25.4</f>
        <v>15.875</v>
      </c>
      <c r="E143" s="85">
        <f t="shared" si="17"/>
        <v>1.5875E-2</v>
      </c>
      <c r="F143" s="85">
        <f t="shared" si="15"/>
        <v>7.9375000000000001E-3</v>
      </c>
      <c r="G143" s="85">
        <f t="shared" si="16"/>
        <v>2.0947867788210358E-6</v>
      </c>
      <c r="H143" s="85">
        <v>7800</v>
      </c>
      <c r="I143" s="85">
        <f t="shared" si="12"/>
        <v>1.6339336874804079E-2</v>
      </c>
      <c r="J143" s="87">
        <v>1</v>
      </c>
      <c r="K143" s="97">
        <f t="shared" si="13"/>
        <v>61.20199416061007</v>
      </c>
      <c r="O143" t="str">
        <v>0,68</v>
      </c>
    </row>
    <row r="144" spans="1:15" hidden="1" x14ac:dyDescent="0.25">
      <c r="A144" t="str">
        <f t="shared" si="14"/>
        <v>52100Ø7,3</v>
      </c>
      <c r="B144" s="81">
        <v>52100</v>
      </c>
      <c r="C144" s="101" t="s">
        <v>267</v>
      </c>
      <c r="D144" s="86">
        <v>7.3</v>
      </c>
      <c r="E144" s="85">
        <f t="shared" si="17"/>
        <v>7.3000000000000001E-3</v>
      </c>
      <c r="F144" s="85">
        <f t="shared" si="15"/>
        <v>3.65E-3</v>
      </c>
      <c r="G144" s="85">
        <f t="shared" si="16"/>
        <v>2.036888248869234E-7</v>
      </c>
      <c r="H144" s="85">
        <v>7800</v>
      </c>
      <c r="I144" s="85">
        <f t="shared" si="12"/>
        <v>1.5887728341180025E-3</v>
      </c>
      <c r="J144" s="87">
        <v>1</v>
      </c>
      <c r="K144" s="97">
        <f t="shared" si="13"/>
        <v>629.4166028808919</v>
      </c>
      <c r="O144" t="str">
        <v>0,35898</v>
      </c>
    </row>
    <row r="145" spans="1:15" hidden="1" x14ac:dyDescent="0.25">
      <c r="A145" t="str">
        <f t="shared" si="14"/>
        <v>52100Ø15</v>
      </c>
      <c r="B145" s="81">
        <v>52100</v>
      </c>
      <c r="D145" s="86">
        <v>15</v>
      </c>
      <c r="E145" s="85">
        <f t="shared" si="17"/>
        <v>1.4999999999999999E-2</v>
      </c>
      <c r="F145" s="85">
        <f t="shared" si="15"/>
        <v>7.4999999999999997E-3</v>
      </c>
      <c r="G145" s="85">
        <f t="shared" si="16"/>
        <v>1.7671458676442584E-6</v>
      </c>
      <c r="H145" s="85">
        <v>7800</v>
      </c>
      <c r="I145" s="85">
        <f t="shared" si="12"/>
        <v>1.3783737767625216E-2</v>
      </c>
      <c r="J145" s="87">
        <v>1</v>
      </c>
      <c r="K145" s="97">
        <f t="shared" si="13"/>
        <v>72.549261808271382</v>
      </c>
      <c r="O145" t="str">
        <v>5/64 -4</v>
      </c>
    </row>
    <row r="146" spans="1:15" hidden="1" x14ac:dyDescent="0.25">
      <c r="A146" t="str">
        <f t="shared" si="14"/>
        <v>52100Ø14,2875</v>
      </c>
      <c r="B146" s="81">
        <v>52100</v>
      </c>
      <c r="C146" s="101" t="s">
        <v>268</v>
      </c>
      <c r="D146" s="86">
        <f>9/16*25.4</f>
        <v>14.2875</v>
      </c>
      <c r="E146" s="85">
        <f t="shared" si="17"/>
        <v>1.42875E-2</v>
      </c>
      <c r="F146" s="85">
        <f t="shared" si="15"/>
        <v>7.1437499999999999E-3</v>
      </c>
      <c r="G146" s="85">
        <f t="shared" si="16"/>
        <v>1.5270995617605347E-6</v>
      </c>
      <c r="H146" s="85">
        <v>7800</v>
      </c>
      <c r="I146" s="85">
        <f t="shared" si="12"/>
        <v>1.1911376581732171E-2</v>
      </c>
      <c r="J146" s="87">
        <v>1</v>
      </c>
      <c r="K146" s="97">
        <f t="shared" si="13"/>
        <v>83.95335275803852</v>
      </c>
      <c r="O146" t="str">
        <v>5/64 -2</v>
      </c>
    </row>
    <row r="147" spans="1:15" hidden="1" x14ac:dyDescent="0.25">
      <c r="A147" t="str">
        <f t="shared" si="14"/>
        <v>52100Ø14</v>
      </c>
      <c r="B147" s="81">
        <v>52100</v>
      </c>
      <c r="D147" s="86">
        <v>14</v>
      </c>
      <c r="E147" s="85">
        <f t="shared" si="17"/>
        <v>1.4E-2</v>
      </c>
      <c r="F147" s="85">
        <f t="shared" si="15"/>
        <v>7.0000000000000001E-3</v>
      </c>
      <c r="G147" s="85">
        <f t="shared" si="16"/>
        <v>1.4367550402417321E-6</v>
      </c>
      <c r="H147" s="85">
        <v>7800</v>
      </c>
      <c r="I147" s="85">
        <f t="shared" si="12"/>
        <v>1.120668931388551E-2</v>
      </c>
      <c r="J147" s="87">
        <v>1</v>
      </c>
      <c r="K147" s="97">
        <f t="shared" si="13"/>
        <v>89.232419315931452</v>
      </c>
      <c r="O147" t="str">
        <v>3/32 -8</v>
      </c>
    </row>
    <row r="148" spans="1:15" hidden="1" x14ac:dyDescent="0.25">
      <c r="A148" t="str">
        <f t="shared" si="14"/>
        <v>52100Ø13,49375</v>
      </c>
      <c r="B148" s="81">
        <v>52100</v>
      </c>
      <c r="C148" s="101" t="s">
        <v>269</v>
      </c>
      <c r="D148" s="86">
        <f>17/32*25.4</f>
        <v>13.493749999999999</v>
      </c>
      <c r="E148" s="85">
        <f t="shared" si="17"/>
        <v>1.3493749999999999E-2</v>
      </c>
      <c r="F148" s="85">
        <f t="shared" si="15"/>
        <v>6.7468749999999994E-3</v>
      </c>
      <c r="G148" s="85">
        <f t="shared" si="16"/>
        <v>1.2864609305434682E-6</v>
      </c>
      <c r="H148" s="85">
        <v>7800</v>
      </c>
      <c r="I148" s="85">
        <f t="shared" si="12"/>
        <v>1.0034395258239051E-2</v>
      </c>
      <c r="J148" s="87">
        <v>1</v>
      </c>
      <c r="K148" s="97">
        <f t="shared" si="13"/>
        <v>99.65722639627127</v>
      </c>
      <c r="O148" t="str">
        <v>3/32 -2</v>
      </c>
    </row>
    <row r="149" spans="1:15" hidden="1" x14ac:dyDescent="0.25">
      <c r="A149" t="str">
        <f t="shared" si="14"/>
        <v>52100Ø13</v>
      </c>
      <c r="B149" s="81">
        <v>52100</v>
      </c>
      <c r="D149" s="86">
        <v>13</v>
      </c>
      <c r="E149" s="85">
        <f t="shared" si="17"/>
        <v>1.2999999999999999E-2</v>
      </c>
      <c r="F149" s="85">
        <f t="shared" si="15"/>
        <v>6.4999999999999997E-3</v>
      </c>
      <c r="G149" s="85">
        <f t="shared" si="16"/>
        <v>1.1503465099894625E-6</v>
      </c>
      <c r="H149" s="85">
        <v>7800</v>
      </c>
      <c r="I149" s="85">
        <f t="shared" si="12"/>
        <v>8.9727027779178074E-3</v>
      </c>
      <c r="J149" s="87">
        <v>1</v>
      </c>
      <c r="K149" s="88">
        <f t="shared" si="13"/>
        <v>111.44913910009828</v>
      </c>
      <c r="O149" t="str">
        <v>3/32 -5</v>
      </c>
    </row>
    <row r="150" spans="1:15" hidden="1" x14ac:dyDescent="0.25">
      <c r="A150" t="str">
        <f t="shared" si="14"/>
        <v>52100Ø12,7</v>
      </c>
      <c r="B150" s="81">
        <v>52100</v>
      </c>
      <c r="C150" s="101" t="s">
        <v>270</v>
      </c>
      <c r="D150" s="86">
        <f>1/2*25.4</f>
        <v>12.7</v>
      </c>
      <c r="E150" s="85">
        <f t="shared" si="17"/>
        <v>1.2699999999999999E-2</v>
      </c>
      <c r="F150" s="85">
        <f t="shared" si="15"/>
        <v>6.3499999999999997E-3</v>
      </c>
      <c r="G150" s="85">
        <f t="shared" si="16"/>
        <v>1.0725308307563699E-6</v>
      </c>
      <c r="H150" s="85">
        <v>7800</v>
      </c>
      <c r="I150" s="85">
        <f t="shared" si="12"/>
        <v>8.3657404798996842E-3</v>
      </c>
      <c r="J150" s="87">
        <v>1</v>
      </c>
      <c r="K150" s="88">
        <f t="shared" si="13"/>
        <v>119.5351448449416</v>
      </c>
      <c r="O150" t="str">
        <v>1/2 +0,05</v>
      </c>
    </row>
    <row r="151" spans="1:15" hidden="1" x14ac:dyDescent="0.25">
      <c r="A151" t="str">
        <f t="shared" si="14"/>
        <v>52100Ø12,303125</v>
      </c>
      <c r="B151" s="81">
        <v>52100</v>
      </c>
      <c r="C151" s="101" t="s">
        <v>271</v>
      </c>
      <c r="D151" s="86">
        <f>31/64*25.4</f>
        <v>12.303125</v>
      </c>
      <c r="E151" s="85">
        <f t="shared" si="17"/>
        <v>1.2303125E-2</v>
      </c>
      <c r="F151" s="85">
        <f t="shared" si="15"/>
        <v>6.1515624999999999E-3</v>
      </c>
      <c r="G151" s="85">
        <f t="shared" si="16"/>
        <v>9.7509051449777298E-7</v>
      </c>
      <c r="H151" s="85">
        <v>7800</v>
      </c>
      <c r="I151" s="85">
        <f t="shared" ref="I151:I214" si="18">H151*G151</f>
        <v>7.605706013082629E-3</v>
      </c>
      <c r="J151" s="87">
        <v>1</v>
      </c>
      <c r="K151" s="88">
        <f t="shared" ref="K151:K214" si="19">J151/I151</f>
        <v>131.48023316703183</v>
      </c>
      <c r="O151" t="str">
        <v>5/64 +8</v>
      </c>
    </row>
    <row r="152" spans="1:15" hidden="1" x14ac:dyDescent="0.25">
      <c r="A152" t="str">
        <f t="shared" si="14"/>
        <v>52100Ø12</v>
      </c>
      <c r="B152" s="81">
        <v>52100</v>
      </c>
      <c r="D152" s="86">
        <v>12</v>
      </c>
      <c r="E152" s="85">
        <f t="shared" si="17"/>
        <v>1.2E-2</v>
      </c>
      <c r="F152" s="85">
        <f t="shared" si="15"/>
        <v>6.0000000000000001E-3</v>
      </c>
      <c r="G152" s="85">
        <f t="shared" si="16"/>
        <v>9.0477868423386037E-7</v>
      </c>
      <c r="H152" s="85">
        <v>7800</v>
      </c>
      <c r="I152" s="85">
        <f t="shared" si="18"/>
        <v>7.0572737370241112E-3</v>
      </c>
      <c r="J152" s="87">
        <v>1</v>
      </c>
      <c r="K152" s="88">
        <f t="shared" si="19"/>
        <v>141.69777696928003</v>
      </c>
      <c r="O152" t="str">
        <v>5/64 +10</v>
      </c>
    </row>
    <row r="153" spans="1:15" hidden="1" x14ac:dyDescent="0.25">
      <c r="A153" t="str">
        <f t="shared" si="14"/>
        <v>52100Ø11,90625</v>
      </c>
      <c r="B153" s="81">
        <v>52100</v>
      </c>
      <c r="C153" s="101" t="s">
        <v>272</v>
      </c>
      <c r="D153" s="86">
        <f>15/32*25.4</f>
        <v>11.90625</v>
      </c>
      <c r="E153" s="85">
        <f t="shared" si="17"/>
        <v>1.190625E-2</v>
      </c>
      <c r="F153" s="85">
        <f t="shared" si="15"/>
        <v>5.9531250000000001E-3</v>
      </c>
      <c r="G153" s="85">
        <f t="shared" si="16"/>
        <v>8.837381723151244E-7</v>
      </c>
      <c r="H153" s="85">
        <v>7800</v>
      </c>
      <c r="I153" s="85">
        <f t="shared" si="18"/>
        <v>6.8931577440579702E-3</v>
      </c>
      <c r="J153" s="87">
        <v>1</v>
      </c>
      <c r="K153" s="88">
        <f t="shared" si="19"/>
        <v>145.07139356589053</v>
      </c>
      <c r="O153" t="str">
        <v>5/64 +2</v>
      </c>
    </row>
    <row r="154" spans="1:15" hidden="1" x14ac:dyDescent="0.25">
      <c r="A154" t="str">
        <f t="shared" si="14"/>
        <v>52100Ø11,509375</v>
      </c>
      <c r="B154" s="81">
        <v>52100</v>
      </c>
      <c r="C154" s="101" t="s">
        <v>273</v>
      </c>
      <c r="D154" s="86">
        <f>29/64*25.4</f>
        <v>11.509374999999999</v>
      </c>
      <c r="E154" s="85">
        <f t="shared" si="17"/>
        <v>1.1509374999999999E-2</v>
      </c>
      <c r="F154" s="85">
        <f t="shared" si="15"/>
        <v>5.7546874999999994E-3</v>
      </c>
      <c r="G154" s="85">
        <f t="shared" si="16"/>
        <v>7.9827741794790967E-7</v>
      </c>
      <c r="H154" s="85">
        <v>7800</v>
      </c>
      <c r="I154" s="85">
        <f t="shared" si="18"/>
        <v>6.2265638599936952E-3</v>
      </c>
      <c r="J154" s="87">
        <v>1</v>
      </c>
      <c r="K154" s="88">
        <f t="shared" si="19"/>
        <v>160.60222339083381</v>
      </c>
      <c r="O154" t="str">
        <v>3/32 +2</v>
      </c>
    </row>
    <row r="155" spans="1:15" hidden="1" x14ac:dyDescent="0.25">
      <c r="A155" t="str">
        <f t="shared" si="14"/>
        <v>52100Ø11,1125</v>
      </c>
      <c r="B155" s="81">
        <v>52100</v>
      </c>
      <c r="C155" s="101" t="s">
        <v>274</v>
      </c>
      <c r="D155" s="86">
        <f>7/16*25.4</f>
        <v>11.112499999999999</v>
      </c>
      <c r="E155" s="85">
        <f t="shared" si="17"/>
        <v>1.1112499999999999E-2</v>
      </c>
      <c r="F155" s="85">
        <f t="shared" si="15"/>
        <v>5.5562499999999996E-3</v>
      </c>
      <c r="G155" s="85">
        <f t="shared" si="16"/>
        <v>7.1851186513561499E-7</v>
      </c>
      <c r="H155" s="85">
        <v>7800</v>
      </c>
      <c r="I155" s="85">
        <f t="shared" si="18"/>
        <v>5.6043925480577968E-3</v>
      </c>
      <c r="J155" s="87">
        <v>1</v>
      </c>
      <c r="K155" s="88">
        <f t="shared" si="19"/>
        <v>178.43146985600609</v>
      </c>
      <c r="O155" t="str">
        <v>3/32 +5</v>
      </c>
    </row>
    <row r="156" spans="1:15" hidden="1" x14ac:dyDescent="0.25">
      <c r="A156" t="str">
        <f t="shared" si="14"/>
        <v>52100Ø11</v>
      </c>
      <c r="B156" s="81">
        <v>52100</v>
      </c>
      <c r="D156" s="86">
        <v>11</v>
      </c>
      <c r="E156" s="85">
        <f t="shared" si="17"/>
        <v>1.0999999999999999E-2</v>
      </c>
      <c r="F156" s="85">
        <f t="shared" si="15"/>
        <v>5.4999999999999997E-3</v>
      </c>
      <c r="G156" s="85">
        <f t="shared" si="16"/>
        <v>6.9690997032133551E-7</v>
      </c>
      <c r="H156" s="85">
        <v>7800</v>
      </c>
      <c r="I156" s="85">
        <f t="shared" si="18"/>
        <v>5.4358977685064168E-3</v>
      </c>
      <c r="J156" s="87">
        <v>1</v>
      </c>
      <c r="K156" s="88">
        <f t="shared" si="19"/>
        <v>183.96225289475282</v>
      </c>
      <c r="O156" t="str">
        <v>9/32 +40</v>
      </c>
    </row>
    <row r="157" spans="1:15" hidden="1" x14ac:dyDescent="0.25">
      <c r="A157" t="str">
        <f t="shared" si="14"/>
        <v>52100Ø10,31875</v>
      </c>
      <c r="B157" s="81">
        <v>52100</v>
      </c>
      <c r="C157" s="101" t="s">
        <v>275</v>
      </c>
      <c r="D157" s="86">
        <f>13/32*25.4</f>
        <v>10.31875</v>
      </c>
      <c r="E157" s="85">
        <f t="shared" si="17"/>
        <v>1.031875E-2</v>
      </c>
      <c r="F157" s="85">
        <f t="shared" si="15"/>
        <v>5.1593749999999999E-3</v>
      </c>
      <c r="G157" s="85">
        <f t="shared" si="16"/>
        <v>5.7528081913372671E-7</v>
      </c>
      <c r="H157" s="85">
        <v>7800</v>
      </c>
      <c r="I157" s="85">
        <f t="shared" si="18"/>
        <v>4.4871903892430686E-3</v>
      </c>
      <c r="J157" s="87">
        <v>1</v>
      </c>
      <c r="K157" s="88">
        <f t="shared" si="19"/>
        <v>222.85660140413324</v>
      </c>
      <c r="O157" t="str">
        <v>3/8 -100</v>
      </c>
    </row>
    <row r="158" spans="1:15" hidden="1" x14ac:dyDescent="0.25">
      <c r="A158" t="str">
        <f t="shared" si="14"/>
        <v>52100Ø26</v>
      </c>
      <c r="B158" s="81">
        <v>52100</v>
      </c>
      <c r="D158" s="86">
        <v>26</v>
      </c>
      <c r="E158" s="85">
        <f t="shared" si="17"/>
        <v>2.5999999999999999E-2</v>
      </c>
      <c r="F158" s="85">
        <f t="shared" si="15"/>
        <v>1.2999999999999999E-2</v>
      </c>
      <c r="G158" s="85">
        <f t="shared" si="16"/>
        <v>9.2027720799156996E-6</v>
      </c>
      <c r="H158" s="85">
        <v>7800</v>
      </c>
      <c r="I158" s="85">
        <f t="shared" si="18"/>
        <v>7.1781622223342459E-2</v>
      </c>
      <c r="J158" s="87">
        <v>1</v>
      </c>
      <c r="K158" s="97">
        <f t="shared" si="19"/>
        <v>13.931142387512285</v>
      </c>
      <c r="O158" t="str">
        <v>1.3/32</v>
      </c>
    </row>
    <row r="159" spans="1:15" hidden="1" x14ac:dyDescent="0.25">
      <c r="A159" t="str">
        <f t="shared" si="14"/>
        <v>52100Ø26,9875</v>
      </c>
      <c r="B159" s="81">
        <v>52100</v>
      </c>
      <c r="C159" s="101" t="s">
        <v>276</v>
      </c>
      <c r="D159" s="86">
        <f>25.4+1/16*25.4</f>
        <v>26.987499999999997</v>
      </c>
      <c r="E159" s="85">
        <f t="shared" si="17"/>
        <v>2.6987499999999998E-2</v>
      </c>
      <c r="F159" s="85">
        <f t="shared" si="15"/>
        <v>1.3493749999999999E-2</v>
      </c>
      <c r="G159" s="85">
        <f t="shared" si="16"/>
        <v>1.0291687444347746E-5</v>
      </c>
      <c r="H159" s="85">
        <v>7800</v>
      </c>
      <c r="I159" s="85">
        <f t="shared" si="18"/>
        <v>8.0275162065912412E-2</v>
      </c>
      <c r="J159" s="87">
        <v>1</v>
      </c>
      <c r="K159" s="97">
        <f t="shared" si="19"/>
        <v>12.457153299533909</v>
      </c>
      <c r="O159" t="str">
        <v>7/64 -20</v>
      </c>
    </row>
    <row r="160" spans="1:15" hidden="1" x14ac:dyDescent="0.25">
      <c r="A160" t="str">
        <f t="shared" si="14"/>
        <v>52100Ø28</v>
      </c>
      <c r="B160" s="81">
        <v>52100</v>
      </c>
      <c r="D160" s="86">
        <v>28</v>
      </c>
      <c r="E160" s="85">
        <f t="shared" si="17"/>
        <v>2.8000000000000001E-2</v>
      </c>
      <c r="F160" s="85">
        <f t="shared" si="15"/>
        <v>1.4E-2</v>
      </c>
      <c r="G160" s="85">
        <f t="shared" si="16"/>
        <v>1.1494040321933857E-5</v>
      </c>
      <c r="H160" s="85">
        <v>7800</v>
      </c>
      <c r="I160" s="85">
        <f t="shared" si="18"/>
        <v>8.9653514511084081E-2</v>
      </c>
      <c r="J160" s="87">
        <v>1</v>
      </c>
      <c r="K160" s="97">
        <f t="shared" si="19"/>
        <v>11.154052414491431</v>
      </c>
      <c r="O160" t="str">
        <v>3/8 - 10</v>
      </c>
    </row>
    <row r="161" spans="1:11" hidden="1" x14ac:dyDescent="0.25">
      <c r="A161" t="str">
        <f t="shared" si="14"/>
        <v>52100Ø28,575</v>
      </c>
      <c r="B161" s="81">
        <v>52100</v>
      </c>
      <c r="C161" s="101" t="s">
        <v>277</v>
      </c>
      <c r="D161" s="86">
        <f>25.4+1/8*25.4</f>
        <v>28.574999999999999</v>
      </c>
      <c r="E161" s="85">
        <f t="shared" si="17"/>
        <v>2.8575E-2</v>
      </c>
      <c r="F161" s="85">
        <f t="shared" si="15"/>
        <v>1.42875E-2</v>
      </c>
      <c r="G161" s="85">
        <f t="shared" si="16"/>
        <v>1.2216796494084278E-5</v>
      </c>
      <c r="H161" s="85">
        <v>7800</v>
      </c>
      <c r="I161" s="85">
        <f t="shared" si="18"/>
        <v>9.5291012653857365E-2</v>
      </c>
      <c r="J161" s="87">
        <v>1</v>
      </c>
      <c r="K161" s="97">
        <f t="shared" si="19"/>
        <v>10.494169094754815</v>
      </c>
    </row>
    <row r="162" spans="1:11" hidden="1" x14ac:dyDescent="0.25">
      <c r="A162" t="str">
        <f t="shared" si="14"/>
        <v>52100Ø30</v>
      </c>
      <c r="B162" s="81">
        <v>52100</v>
      </c>
      <c r="D162" s="86">
        <v>30</v>
      </c>
      <c r="E162" s="85">
        <f t="shared" si="17"/>
        <v>0.03</v>
      </c>
      <c r="F162" s="85">
        <f t="shared" si="15"/>
        <v>1.4999999999999999E-2</v>
      </c>
      <c r="G162" s="85">
        <f t="shared" si="16"/>
        <v>1.4137166941154067E-5</v>
      </c>
      <c r="H162" s="85">
        <v>7800</v>
      </c>
      <c r="I162" s="85">
        <f t="shared" si="18"/>
        <v>0.11026990214100173</v>
      </c>
      <c r="J162" s="87">
        <v>1</v>
      </c>
      <c r="K162" s="94">
        <f t="shared" si="19"/>
        <v>9.0686577260339227</v>
      </c>
    </row>
    <row r="163" spans="1:11" hidden="1" x14ac:dyDescent="0.25">
      <c r="A163" t="str">
        <f t="shared" si="14"/>
        <v>52100Ø30,1625</v>
      </c>
      <c r="B163" s="81">
        <v>52100</v>
      </c>
      <c r="C163" s="101" t="s">
        <v>278</v>
      </c>
      <c r="D163" s="86">
        <f>25.4+3/16*25.4</f>
        <v>30.162499999999998</v>
      </c>
      <c r="E163" s="85">
        <f t="shared" si="17"/>
        <v>3.0162499999999998E-2</v>
      </c>
      <c r="F163" s="85">
        <f t="shared" si="15"/>
        <v>1.5081249999999999E-2</v>
      </c>
      <c r="G163" s="85">
        <f t="shared" si="16"/>
        <v>1.4368142515933479E-5</v>
      </c>
      <c r="H163" s="85">
        <v>7800</v>
      </c>
      <c r="I163" s="85">
        <f t="shared" si="18"/>
        <v>0.11207151162428114</v>
      </c>
      <c r="J163" s="87">
        <v>1</v>
      </c>
      <c r="K163" s="94">
        <f t="shared" si="19"/>
        <v>8.9228742033255699</v>
      </c>
    </row>
    <row r="164" spans="1:11" hidden="1" x14ac:dyDescent="0.25">
      <c r="A164" t="str">
        <f t="shared" si="14"/>
        <v>52100Ø31,75</v>
      </c>
      <c r="B164" s="81">
        <v>52100</v>
      </c>
      <c r="C164" s="101" t="s">
        <v>279</v>
      </c>
      <c r="D164" s="86">
        <f>25.4+1/4*25.4</f>
        <v>31.75</v>
      </c>
      <c r="E164" s="85">
        <f t="shared" si="17"/>
        <v>3.175E-2</v>
      </c>
      <c r="F164" s="85">
        <f t="shared" si="15"/>
        <v>1.5875E-2</v>
      </c>
      <c r="G164" s="85">
        <f t="shared" si="16"/>
        <v>1.6758294230568286E-5</v>
      </c>
      <c r="H164" s="85">
        <v>7800</v>
      </c>
      <c r="I164" s="85">
        <f t="shared" si="18"/>
        <v>0.13071469499843263</v>
      </c>
      <c r="J164" s="87">
        <v>1</v>
      </c>
      <c r="K164" s="94">
        <f t="shared" si="19"/>
        <v>7.6502492700762588</v>
      </c>
    </row>
    <row r="165" spans="1:11" hidden="1" x14ac:dyDescent="0.25">
      <c r="A165" t="str">
        <f t="shared" si="14"/>
        <v>52100Ø32</v>
      </c>
      <c r="B165" s="81">
        <v>52100</v>
      </c>
      <c r="D165" s="86">
        <v>32</v>
      </c>
      <c r="E165" s="85">
        <f t="shared" si="17"/>
        <v>3.2000000000000001E-2</v>
      </c>
      <c r="F165" s="85">
        <f t="shared" si="15"/>
        <v>1.6E-2</v>
      </c>
      <c r="G165" s="85">
        <f t="shared" si="16"/>
        <v>1.7157284678805057E-5</v>
      </c>
      <c r="H165" s="85">
        <v>7800</v>
      </c>
      <c r="I165" s="85">
        <f t="shared" si="18"/>
        <v>0.13382682049467945</v>
      </c>
      <c r="J165" s="87">
        <v>1</v>
      </c>
      <c r="K165" s="94">
        <f t="shared" si="19"/>
        <v>7.4723437073643773</v>
      </c>
    </row>
    <row r="166" spans="1:11" hidden="1" x14ac:dyDescent="0.25">
      <c r="A166" t="str">
        <f t="shared" si="14"/>
        <v>52100Ø33,3375</v>
      </c>
      <c r="B166" s="81">
        <v>52100</v>
      </c>
      <c r="C166" s="101" t="s">
        <v>280</v>
      </c>
      <c r="D166" s="86">
        <f>25.4+5/16*25.4</f>
        <v>33.337499999999999</v>
      </c>
      <c r="E166" s="85">
        <f t="shared" si="17"/>
        <v>3.3337499999999999E-2</v>
      </c>
      <c r="F166" s="85">
        <f t="shared" si="15"/>
        <v>1.666875E-2</v>
      </c>
      <c r="G166" s="85">
        <f t="shared" si="16"/>
        <v>1.9399820358661605E-5</v>
      </c>
      <c r="H166" s="85">
        <v>7800</v>
      </c>
      <c r="I166" s="85">
        <f t="shared" si="18"/>
        <v>0.15131859879756052</v>
      </c>
      <c r="J166" s="87">
        <v>1</v>
      </c>
      <c r="K166" s="94">
        <f t="shared" si="19"/>
        <v>6.6085729576298551</v>
      </c>
    </row>
    <row r="167" spans="1:11" hidden="1" x14ac:dyDescent="0.25">
      <c r="A167" t="str">
        <f t="shared" si="14"/>
        <v>52100Ø34</v>
      </c>
      <c r="B167" s="81">
        <v>52100</v>
      </c>
      <c r="D167" s="86">
        <v>34</v>
      </c>
      <c r="E167" s="85">
        <f t="shared" si="17"/>
        <v>3.4000000000000002E-2</v>
      </c>
      <c r="F167" s="85">
        <f t="shared" si="15"/>
        <v>1.7000000000000001E-2</v>
      </c>
      <c r="G167" s="85">
        <f t="shared" si="16"/>
        <v>2.0579526276115539E-5</v>
      </c>
      <c r="H167" s="85">
        <v>7800</v>
      </c>
      <c r="I167" s="85">
        <f t="shared" si="18"/>
        <v>0.1605203049537012</v>
      </c>
      <c r="J167" s="87">
        <v>1</v>
      </c>
      <c r="K167" s="94">
        <f t="shared" si="19"/>
        <v>6.2297414665915909</v>
      </c>
    </row>
    <row r="168" spans="1:11" hidden="1" x14ac:dyDescent="0.25">
      <c r="A168" t="str">
        <f t="shared" si="14"/>
        <v>52100Ø34,925</v>
      </c>
      <c r="B168" s="81">
        <v>52100</v>
      </c>
      <c r="C168" s="101" t="s">
        <v>281</v>
      </c>
      <c r="D168" s="86">
        <f>25.4+3/8*25.4</f>
        <v>34.924999999999997</v>
      </c>
      <c r="E168" s="85">
        <f t="shared" si="17"/>
        <v>3.4924999999999998E-2</v>
      </c>
      <c r="F168" s="85">
        <f t="shared" si="15"/>
        <v>1.7462499999999999E-2</v>
      </c>
      <c r="G168" s="85">
        <f t="shared" si="16"/>
        <v>2.230528962088638E-5</v>
      </c>
      <c r="H168" s="85">
        <v>7800</v>
      </c>
      <c r="I168" s="85">
        <f t="shared" si="18"/>
        <v>0.17398125904291376</v>
      </c>
      <c r="J168" s="87">
        <v>1</v>
      </c>
      <c r="K168" s="94">
        <f t="shared" si="19"/>
        <v>5.7477455071947876</v>
      </c>
    </row>
    <row r="169" spans="1:11" hidden="1" x14ac:dyDescent="0.25">
      <c r="A169" t="str">
        <f t="shared" si="14"/>
        <v>52100Ø35</v>
      </c>
      <c r="B169" s="81">
        <v>52100</v>
      </c>
      <c r="D169" s="86">
        <v>35</v>
      </c>
      <c r="E169" s="85">
        <f t="shared" si="17"/>
        <v>3.5000000000000003E-2</v>
      </c>
      <c r="F169" s="85">
        <f t="shared" si="15"/>
        <v>1.7500000000000002E-2</v>
      </c>
      <c r="G169" s="85">
        <f t="shared" si="16"/>
        <v>2.2449297503777071E-5</v>
      </c>
      <c r="H169" s="85">
        <v>7800</v>
      </c>
      <c r="I169" s="85">
        <f t="shared" si="18"/>
        <v>0.17510452052946116</v>
      </c>
      <c r="J169" s="87">
        <v>1</v>
      </c>
      <c r="K169" s="94">
        <f t="shared" si="19"/>
        <v>5.7108748362196113</v>
      </c>
    </row>
    <row r="170" spans="1:11" hidden="1" x14ac:dyDescent="0.25">
      <c r="A170" t="str">
        <f t="shared" si="14"/>
        <v>52100Ø36</v>
      </c>
      <c r="B170" s="81">
        <v>52100</v>
      </c>
      <c r="D170" s="86">
        <v>36</v>
      </c>
      <c r="E170" s="85">
        <f t="shared" si="17"/>
        <v>3.5999999999999997E-2</v>
      </c>
      <c r="F170" s="85">
        <f t="shared" si="15"/>
        <v>1.7999999999999999E-2</v>
      </c>
      <c r="G170" s="85">
        <f t="shared" si="16"/>
        <v>2.4429024474314224E-5</v>
      </c>
      <c r="H170" s="85">
        <v>7800</v>
      </c>
      <c r="I170" s="85">
        <f t="shared" si="18"/>
        <v>0.19054639089965095</v>
      </c>
      <c r="J170" s="87">
        <v>1</v>
      </c>
      <c r="K170" s="94">
        <f t="shared" si="19"/>
        <v>5.2480658136770399</v>
      </c>
    </row>
    <row r="171" spans="1:11" hidden="1" x14ac:dyDescent="0.25">
      <c r="A171" t="str">
        <f t="shared" si="14"/>
        <v>52100Ø36,5125</v>
      </c>
      <c r="B171" s="81">
        <v>52100</v>
      </c>
      <c r="C171" s="101" t="s">
        <v>282</v>
      </c>
      <c r="D171" s="86">
        <f>25.4+7/16*25.4</f>
        <v>36.512499999999996</v>
      </c>
      <c r="E171" s="85">
        <f t="shared" si="17"/>
        <v>3.6512499999999996E-2</v>
      </c>
      <c r="F171" s="85">
        <f t="shared" si="15"/>
        <v>1.8256249999999998E-2</v>
      </c>
      <c r="G171" s="85">
        <f t="shared" si="16"/>
        <v>2.5487270737915534E-5</v>
      </c>
      <c r="H171" s="85">
        <v>7800</v>
      </c>
      <c r="I171" s="85">
        <f t="shared" si="18"/>
        <v>0.19880071175574116</v>
      </c>
      <c r="J171" s="87">
        <v>1</v>
      </c>
      <c r="K171" s="94">
        <f t="shared" si="19"/>
        <v>5.0301630772261108</v>
      </c>
    </row>
    <row r="172" spans="1:11" hidden="1" x14ac:dyDescent="0.25">
      <c r="A172" t="str">
        <f t="shared" si="14"/>
        <v>52100Ø38</v>
      </c>
      <c r="B172" s="81">
        <v>52100</v>
      </c>
      <c r="D172" s="86">
        <v>38</v>
      </c>
      <c r="E172" s="85">
        <f t="shared" si="17"/>
        <v>3.7999999999999999E-2</v>
      </c>
      <c r="F172" s="85">
        <f t="shared" si="15"/>
        <v>1.9E-2</v>
      </c>
      <c r="G172" s="85">
        <f t="shared" si="16"/>
        <v>2.8730912014629851E-5</v>
      </c>
      <c r="H172" s="85">
        <v>7800</v>
      </c>
      <c r="I172" s="85">
        <f t="shared" si="18"/>
        <v>0.22410111371411284</v>
      </c>
      <c r="J172" s="87">
        <v>1</v>
      </c>
      <c r="K172" s="94">
        <f t="shared" si="19"/>
        <v>4.4622714426832619</v>
      </c>
    </row>
    <row r="173" spans="1:11" hidden="1" x14ac:dyDescent="0.25">
      <c r="A173" t="str">
        <f t="shared" si="14"/>
        <v>52100Ø38,1</v>
      </c>
      <c r="B173" s="81">
        <v>52100</v>
      </c>
      <c r="C173" s="101" t="s">
        <v>283</v>
      </c>
      <c r="D173" s="86">
        <f>25.4+1/2*25.4</f>
        <v>38.099999999999994</v>
      </c>
      <c r="E173" s="85">
        <f t="shared" si="17"/>
        <v>3.8099999999999995E-2</v>
      </c>
      <c r="F173" s="85">
        <f t="shared" si="15"/>
        <v>1.9049999999999997E-2</v>
      </c>
      <c r="G173" s="85">
        <f t="shared" si="16"/>
        <v>2.8958332430421982E-5</v>
      </c>
      <c r="H173" s="85">
        <v>7800</v>
      </c>
      <c r="I173" s="85">
        <f t="shared" si="18"/>
        <v>0.22587499295729146</v>
      </c>
      <c r="J173" s="87">
        <v>1</v>
      </c>
      <c r="K173" s="94">
        <f t="shared" si="19"/>
        <v>4.4272275868496891</v>
      </c>
    </row>
    <row r="174" spans="1:11" hidden="1" x14ac:dyDescent="0.25">
      <c r="A174" t="str">
        <f t="shared" si="14"/>
        <v>52100Ø39,6875</v>
      </c>
      <c r="B174" s="81">
        <v>52100</v>
      </c>
      <c r="C174" s="101" t="s">
        <v>284</v>
      </c>
      <c r="D174" s="86">
        <f>25.4+9/16*25.4</f>
        <v>39.6875</v>
      </c>
      <c r="E174" s="85">
        <f t="shared" si="17"/>
        <v>3.9687500000000001E-2</v>
      </c>
      <c r="F174" s="85">
        <f t="shared" si="15"/>
        <v>1.984375E-2</v>
      </c>
      <c r="G174" s="85">
        <f t="shared" si="16"/>
        <v>3.2731043419078678E-5</v>
      </c>
      <c r="H174" s="85">
        <v>7800</v>
      </c>
      <c r="I174" s="85">
        <f t="shared" si="18"/>
        <v>0.25530213866881368</v>
      </c>
      <c r="J174" s="87">
        <v>1</v>
      </c>
      <c r="K174" s="94">
        <f t="shared" si="19"/>
        <v>3.9169276262790453</v>
      </c>
    </row>
    <row r="175" spans="1:11" hidden="1" x14ac:dyDescent="0.25">
      <c r="A175" t="str">
        <f t="shared" si="14"/>
        <v>52100Ø40</v>
      </c>
      <c r="B175" s="81">
        <v>52100</v>
      </c>
      <c r="D175" s="86">
        <v>40</v>
      </c>
      <c r="E175" s="85">
        <f t="shared" si="17"/>
        <v>0.04</v>
      </c>
      <c r="F175" s="85">
        <f t="shared" si="15"/>
        <v>0.02</v>
      </c>
      <c r="G175" s="85">
        <f t="shared" si="16"/>
        <v>3.3510321638291124E-5</v>
      </c>
      <c r="H175" s="85">
        <v>7800</v>
      </c>
      <c r="I175" s="85">
        <f t="shared" si="18"/>
        <v>0.26138050877867075</v>
      </c>
      <c r="J175" s="87">
        <v>1</v>
      </c>
      <c r="K175" s="94">
        <f t="shared" si="19"/>
        <v>3.8258399781705617</v>
      </c>
    </row>
    <row r="176" spans="1:11" hidden="1" x14ac:dyDescent="0.25">
      <c r="A176" t="str">
        <f t="shared" si="14"/>
        <v>52100Ø41,275</v>
      </c>
      <c r="B176" s="81">
        <v>52100</v>
      </c>
      <c r="C176" s="101" t="s">
        <v>285</v>
      </c>
      <c r="D176" s="86">
        <f>25.4+5/8*25.4</f>
        <v>41.274999999999999</v>
      </c>
      <c r="E176" s="85">
        <f t="shared" si="17"/>
        <v>4.1274999999999999E-2</v>
      </c>
      <c r="F176" s="85">
        <f t="shared" si="15"/>
        <v>2.06375E-2</v>
      </c>
      <c r="G176" s="85">
        <f t="shared" si="16"/>
        <v>3.6817972424558509E-5</v>
      </c>
      <c r="H176" s="85">
        <v>7800</v>
      </c>
      <c r="I176" s="85">
        <f t="shared" si="18"/>
        <v>0.28718018491155639</v>
      </c>
      <c r="J176" s="87">
        <v>1</v>
      </c>
      <c r="K176" s="94">
        <f t="shared" si="19"/>
        <v>3.4821343969395819</v>
      </c>
    </row>
    <row r="177" spans="1:11" hidden="1" x14ac:dyDescent="0.25">
      <c r="A177" t="str">
        <f t="shared" si="14"/>
        <v>52100Ø42,8625</v>
      </c>
      <c r="B177" s="81">
        <v>52100</v>
      </c>
      <c r="C177" s="101" t="s">
        <v>286</v>
      </c>
      <c r="D177" s="86">
        <f>25.4+11/16*25.4</f>
        <v>42.862499999999997</v>
      </c>
      <c r="E177" s="85">
        <f t="shared" si="17"/>
        <v>4.2862499999999998E-2</v>
      </c>
      <c r="F177" s="85">
        <f t="shared" si="15"/>
        <v>2.1431249999999999E-2</v>
      </c>
      <c r="G177" s="85">
        <f t="shared" si="16"/>
        <v>4.1231688167534437E-5</v>
      </c>
      <c r="H177" s="85">
        <v>7800</v>
      </c>
      <c r="I177" s="85">
        <f t="shared" si="18"/>
        <v>0.32160716770676862</v>
      </c>
      <c r="J177" s="87">
        <v>1</v>
      </c>
      <c r="K177" s="94">
        <f t="shared" si="19"/>
        <v>3.1093834354829082</v>
      </c>
    </row>
    <row r="178" spans="1:11" hidden="1" x14ac:dyDescent="0.25">
      <c r="A178" t="str">
        <f t="shared" si="14"/>
        <v>52100Ø44,45</v>
      </c>
      <c r="B178" s="81">
        <v>52100</v>
      </c>
      <c r="C178" s="101" t="s">
        <v>287</v>
      </c>
      <c r="D178" s="86">
        <f>25.4+3/4*25.4</f>
        <v>44.449999999999996</v>
      </c>
      <c r="E178" s="85">
        <f t="shared" si="17"/>
        <v>4.4449999999999996E-2</v>
      </c>
      <c r="F178" s="85">
        <f t="shared" si="15"/>
        <v>2.2224999999999998E-2</v>
      </c>
      <c r="G178" s="85">
        <f t="shared" si="16"/>
        <v>4.5984759368679359E-5</v>
      </c>
      <c r="H178" s="85">
        <v>7800</v>
      </c>
      <c r="I178" s="85">
        <f t="shared" si="18"/>
        <v>0.35868112307569899</v>
      </c>
      <c r="J178" s="87">
        <v>1</v>
      </c>
      <c r="K178" s="94">
        <f t="shared" si="19"/>
        <v>2.7879917165000951</v>
      </c>
    </row>
    <row r="179" spans="1:11" hidden="1" x14ac:dyDescent="0.25">
      <c r="A179" t="str">
        <f t="shared" si="14"/>
        <v>52100Ø45</v>
      </c>
      <c r="B179" s="81">
        <v>52100</v>
      </c>
      <c r="D179" s="86">
        <v>45</v>
      </c>
      <c r="E179" s="85">
        <f t="shared" si="17"/>
        <v>4.4999999999999998E-2</v>
      </c>
      <c r="F179" s="85">
        <f t="shared" si="15"/>
        <v>2.2499999999999999E-2</v>
      </c>
      <c r="G179" s="85">
        <f t="shared" si="16"/>
        <v>4.7712938426394975E-5</v>
      </c>
      <c r="H179" s="85">
        <v>7800</v>
      </c>
      <c r="I179" s="85">
        <f t="shared" si="18"/>
        <v>0.37216091972588083</v>
      </c>
      <c r="J179" s="87">
        <v>1</v>
      </c>
      <c r="K179" s="94">
        <f t="shared" si="19"/>
        <v>2.6870096966026438</v>
      </c>
    </row>
    <row r="180" spans="1:11" hidden="1" x14ac:dyDescent="0.25">
      <c r="A180" t="str">
        <f t="shared" si="14"/>
        <v>52100Ø46,0375</v>
      </c>
      <c r="B180" s="81">
        <v>52100</v>
      </c>
      <c r="C180" s="101" t="s">
        <v>288</v>
      </c>
      <c r="D180" s="86">
        <f>25.4+13/16*25.4</f>
        <v>46.037499999999994</v>
      </c>
      <c r="E180" s="85">
        <f t="shared" si="17"/>
        <v>4.6037499999999995E-2</v>
      </c>
      <c r="F180" s="85">
        <f t="shared" si="15"/>
        <v>2.3018749999999998E-2</v>
      </c>
      <c r="G180" s="85">
        <f t="shared" si="16"/>
        <v>5.1089754748666219E-5</v>
      </c>
      <c r="H180" s="85">
        <v>7800</v>
      </c>
      <c r="I180" s="85">
        <f t="shared" si="18"/>
        <v>0.3985000870395965</v>
      </c>
      <c r="J180" s="87">
        <v>1</v>
      </c>
      <c r="K180" s="94">
        <f t="shared" si="19"/>
        <v>2.5094097404817783</v>
      </c>
    </row>
    <row r="181" spans="1:11" hidden="1" x14ac:dyDescent="0.25">
      <c r="A181" t="str">
        <f t="shared" si="14"/>
        <v>52100Ø47,625</v>
      </c>
      <c r="B181" s="81">
        <v>52100</v>
      </c>
      <c r="C181" s="101" t="s">
        <v>289</v>
      </c>
      <c r="D181" s="86">
        <f>25.4+7/8*25.4</f>
        <v>47.625</v>
      </c>
      <c r="E181" s="85">
        <f t="shared" si="17"/>
        <v>4.7625000000000001E-2</v>
      </c>
      <c r="F181" s="85">
        <f t="shared" si="15"/>
        <v>2.38125E-2</v>
      </c>
      <c r="G181" s="85">
        <f t="shared" si="16"/>
        <v>5.6559243028167962E-5</v>
      </c>
      <c r="H181" s="85">
        <v>7800</v>
      </c>
      <c r="I181" s="85">
        <f t="shared" si="18"/>
        <v>0.44116209561971009</v>
      </c>
      <c r="J181" s="87">
        <v>1</v>
      </c>
      <c r="K181" s="94">
        <f t="shared" si="19"/>
        <v>2.2667405244670396</v>
      </c>
    </row>
    <row r="182" spans="1:11" hidden="1" x14ac:dyDescent="0.25">
      <c r="A182" t="str">
        <f t="shared" si="14"/>
        <v>52100Ø49,2125</v>
      </c>
      <c r="B182" s="81">
        <v>52100</v>
      </c>
      <c r="C182" s="101" t="s">
        <v>290</v>
      </c>
      <c r="D182" s="86">
        <f>25.4+15/16*25.4</f>
        <v>49.212499999999999</v>
      </c>
      <c r="E182" s="85">
        <f t="shared" si="17"/>
        <v>4.9212499999999999E-2</v>
      </c>
      <c r="F182" s="85">
        <f t="shared" si="15"/>
        <v>2.460625E-2</v>
      </c>
      <c r="G182" s="85">
        <f t="shared" si="16"/>
        <v>6.2405792927857471E-5</v>
      </c>
      <c r="H182" s="85">
        <v>7800</v>
      </c>
      <c r="I182" s="85">
        <f t="shared" si="18"/>
        <v>0.48676518483728826</v>
      </c>
      <c r="J182" s="87">
        <v>1</v>
      </c>
      <c r="K182" s="94">
        <f t="shared" si="19"/>
        <v>2.0543786432348723</v>
      </c>
    </row>
    <row r="183" spans="1:11" hidden="1" x14ac:dyDescent="0.25">
      <c r="A183" t="str">
        <f t="shared" si="14"/>
        <v>52100Ø50</v>
      </c>
      <c r="B183" s="81">
        <v>52100</v>
      </c>
      <c r="D183" s="86">
        <v>50</v>
      </c>
      <c r="E183" s="85">
        <f t="shared" si="17"/>
        <v>0.05</v>
      </c>
      <c r="F183" s="85">
        <f t="shared" si="15"/>
        <v>2.5000000000000001E-2</v>
      </c>
      <c r="G183" s="85">
        <f t="shared" si="16"/>
        <v>6.5449846949787365E-5</v>
      </c>
      <c r="H183" s="85">
        <v>7800</v>
      </c>
      <c r="I183" s="85">
        <f t="shared" si="18"/>
        <v>0.51050880620834149</v>
      </c>
      <c r="J183" s="87">
        <v>1</v>
      </c>
      <c r="K183" s="94">
        <f t="shared" si="19"/>
        <v>1.9588300688233269</v>
      </c>
    </row>
    <row r="184" spans="1:11" hidden="1" x14ac:dyDescent="0.25">
      <c r="A184" t="str">
        <f t="shared" si="14"/>
        <v>52100Ø50,8</v>
      </c>
      <c r="B184" s="81">
        <v>52100</v>
      </c>
      <c r="C184" s="101" t="s">
        <v>291</v>
      </c>
      <c r="D184" s="86">
        <f>2*25.4</f>
        <v>50.8</v>
      </c>
      <c r="E184" s="85">
        <f t="shared" si="17"/>
        <v>5.0799999999999998E-2</v>
      </c>
      <c r="F184" s="85">
        <f t="shared" si="15"/>
        <v>2.5399999999999999E-2</v>
      </c>
      <c r="G184" s="85">
        <f t="shared" si="16"/>
        <v>6.8641973168407671E-5</v>
      </c>
      <c r="H184" s="85">
        <v>7800</v>
      </c>
      <c r="I184" s="85">
        <f t="shared" si="18"/>
        <v>0.53540739071357979</v>
      </c>
      <c r="J184" s="87">
        <v>1</v>
      </c>
      <c r="K184" s="94">
        <f t="shared" si="19"/>
        <v>1.8677366382022125</v>
      </c>
    </row>
    <row r="185" spans="1:11" hidden="1" x14ac:dyDescent="0.25">
      <c r="A185" t="str">
        <f t="shared" si="14"/>
        <v>52100Ø53,975</v>
      </c>
      <c r="B185" s="81">
        <v>52100</v>
      </c>
      <c r="C185" s="101" t="s">
        <v>292</v>
      </c>
      <c r="D185" s="86">
        <f>50.8+1/8*25.4</f>
        <v>53.974999999999994</v>
      </c>
      <c r="E185" s="85">
        <f t="shared" si="17"/>
        <v>5.3974999999999995E-2</v>
      </c>
      <c r="F185" s="85">
        <f t="shared" si="15"/>
        <v>2.6987499999999998E-2</v>
      </c>
      <c r="G185" s="85">
        <f t="shared" si="16"/>
        <v>8.2333499554781967E-5</v>
      </c>
      <c r="H185" s="85">
        <v>7800</v>
      </c>
      <c r="I185" s="85">
        <f t="shared" si="18"/>
        <v>0.64220129652729929</v>
      </c>
      <c r="J185" s="87">
        <v>1</v>
      </c>
      <c r="K185" s="94">
        <f t="shared" si="19"/>
        <v>1.5571441624417386</v>
      </c>
    </row>
    <row r="186" spans="1:11" hidden="1" x14ac:dyDescent="0.25">
      <c r="A186" t="str">
        <f t="shared" si="14"/>
        <v>52100Ø55</v>
      </c>
      <c r="B186" s="81">
        <v>52100</v>
      </c>
      <c r="D186" s="86">
        <v>55</v>
      </c>
      <c r="E186" s="85">
        <f t="shared" si="17"/>
        <v>5.5E-2</v>
      </c>
      <c r="F186" s="85">
        <f t="shared" si="15"/>
        <v>2.75E-2</v>
      </c>
      <c r="G186" s="85">
        <f t="shared" si="16"/>
        <v>8.711374629016697E-5</v>
      </c>
      <c r="H186" s="85">
        <v>7800</v>
      </c>
      <c r="I186" s="85">
        <f t="shared" si="18"/>
        <v>0.67948722106330239</v>
      </c>
      <c r="J186" s="87">
        <v>1</v>
      </c>
      <c r="K186" s="94">
        <f t="shared" si="19"/>
        <v>1.4716980231580219</v>
      </c>
    </row>
    <row r="187" spans="1:11" hidden="1" x14ac:dyDescent="0.25">
      <c r="A187" t="str">
        <f t="shared" si="14"/>
        <v>52100Ø57,15</v>
      </c>
      <c r="B187" s="81">
        <v>52100</v>
      </c>
      <c r="C187" s="101" t="s">
        <v>293</v>
      </c>
      <c r="D187" s="86">
        <f>50.8+1/4*25.4</f>
        <v>57.15</v>
      </c>
      <c r="E187" s="85">
        <f t="shared" si="17"/>
        <v>5.7149999999999999E-2</v>
      </c>
      <c r="F187" s="85">
        <f t="shared" si="15"/>
        <v>2.8575E-2</v>
      </c>
      <c r="G187" s="85">
        <f t="shared" si="16"/>
        <v>9.7734371952674223E-5</v>
      </c>
      <c r="H187" s="85">
        <v>7800</v>
      </c>
      <c r="I187" s="85">
        <f t="shared" si="18"/>
        <v>0.76232810123085892</v>
      </c>
      <c r="J187" s="87">
        <v>1</v>
      </c>
      <c r="K187" s="94">
        <f t="shared" si="19"/>
        <v>1.3117711368443519</v>
      </c>
    </row>
    <row r="188" spans="1:11" hidden="1" x14ac:dyDescent="0.25">
      <c r="A188" t="str">
        <f t="shared" si="14"/>
        <v>52100Ø60</v>
      </c>
      <c r="B188" s="81">
        <v>52100</v>
      </c>
      <c r="D188" s="86">
        <v>60</v>
      </c>
      <c r="E188" s="85">
        <f t="shared" si="17"/>
        <v>0.06</v>
      </c>
      <c r="F188" s="85">
        <f t="shared" si="15"/>
        <v>0.03</v>
      </c>
      <c r="G188" s="85">
        <f t="shared" si="16"/>
        <v>1.1309733552923254E-4</v>
      </c>
      <c r="H188" s="85">
        <v>7800</v>
      </c>
      <c r="I188" s="85">
        <f t="shared" si="18"/>
        <v>0.88215921712801382</v>
      </c>
      <c r="J188" s="87">
        <v>1</v>
      </c>
      <c r="K188" s="94">
        <f t="shared" si="19"/>
        <v>1.1335822157542403</v>
      </c>
    </row>
    <row r="189" spans="1:11" hidden="1" x14ac:dyDescent="0.25">
      <c r="A189" t="str">
        <f t="shared" si="14"/>
        <v>52100Ø60,325</v>
      </c>
      <c r="B189" s="81">
        <v>52100</v>
      </c>
      <c r="C189" s="101" t="s">
        <v>219</v>
      </c>
      <c r="D189" s="86">
        <f>50.8+3/8*25.4</f>
        <v>60.324999999999996</v>
      </c>
      <c r="E189" s="85">
        <f t="shared" si="17"/>
        <v>6.0324999999999997E-2</v>
      </c>
      <c r="F189" s="85">
        <f t="shared" si="15"/>
        <v>3.0162499999999998E-2</v>
      </c>
      <c r="G189" s="85">
        <f t="shared" si="16"/>
        <v>1.1494514012746783E-4</v>
      </c>
      <c r="H189" s="85">
        <v>7800</v>
      </c>
      <c r="I189" s="85">
        <f t="shared" si="18"/>
        <v>0.89657209299424911</v>
      </c>
      <c r="J189" s="87">
        <v>1</v>
      </c>
      <c r="K189" s="94">
        <f t="shared" si="19"/>
        <v>1.1153592754156962</v>
      </c>
    </row>
    <row r="190" spans="1:11" hidden="1" x14ac:dyDescent="0.25">
      <c r="A190" t="str">
        <f t="shared" si="14"/>
        <v>PA6.6Ø2</v>
      </c>
      <c r="B190" s="81" t="s">
        <v>244</v>
      </c>
      <c r="D190" s="86">
        <v>2</v>
      </c>
      <c r="E190" s="85">
        <f t="shared" si="17"/>
        <v>2E-3</v>
      </c>
      <c r="F190" s="85">
        <f t="shared" si="15"/>
        <v>1E-3</v>
      </c>
      <c r="G190" s="85">
        <f t="shared" si="16"/>
        <v>4.1887902047863909E-9</v>
      </c>
      <c r="H190" s="85">
        <v>1130</v>
      </c>
      <c r="I190" s="96">
        <f t="shared" si="18"/>
        <v>4.7333329314086216E-6</v>
      </c>
      <c r="J190" s="87">
        <v>1</v>
      </c>
      <c r="K190" s="88">
        <f t="shared" si="19"/>
        <v>211267.62357331239</v>
      </c>
    </row>
    <row r="191" spans="1:11" hidden="1" x14ac:dyDescent="0.25">
      <c r="A191" t="str">
        <f t="shared" si="14"/>
        <v>PA6.6Ø2</v>
      </c>
      <c r="B191" s="81" t="s">
        <v>244</v>
      </c>
      <c r="D191" s="86">
        <v>2</v>
      </c>
      <c r="E191" s="85">
        <f t="shared" si="17"/>
        <v>2E-3</v>
      </c>
      <c r="F191" s="85">
        <f t="shared" si="15"/>
        <v>1E-3</v>
      </c>
      <c r="G191" s="85">
        <f t="shared" si="16"/>
        <v>4.1887902047863909E-9</v>
      </c>
      <c r="H191" s="85">
        <v>1130</v>
      </c>
      <c r="I191" s="96">
        <f t="shared" si="18"/>
        <v>4.7333329314086216E-6</v>
      </c>
      <c r="J191" s="87">
        <v>1</v>
      </c>
      <c r="K191" s="88">
        <f t="shared" si="19"/>
        <v>211267.62357331239</v>
      </c>
    </row>
    <row r="192" spans="1:11" hidden="1" x14ac:dyDescent="0.25">
      <c r="A192" t="str">
        <f t="shared" si="14"/>
        <v>POMØ1</v>
      </c>
      <c r="B192" s="81" t="s">
        <v>201</v>
      </c>
      <c r="D192" s="86">
        <v>1</v>
      </c>
      <c r="E192" s="85">
        <f t="shared" si="17"/>
        <v>1E-3</v>
      </c>
      <c r="F192" s="85">
        <f t="shared" si="15"/>
        <v>5.0000000000000001E-4</v>
      </c>
      <c r="G192" s="85">
        <f t="shared" si="16"/>
        <v>5.2359877559829886E-10</v>
      </c>
      <c r="H192" s="85">
        <v>1400</v>
      </c>
      <c r="I192" s="96">
        <f t="shared" si="18"/>
        <v>7.3303828583761837E-7</v>
      </c>
      <c r="J192" s="87">
        <v>1</v>
      </c>
      <c r="K192" s="88">
        <f t="shared" si="19"/>
        <v>1364185.2265019601</v>
      </c>
    </row>
    <row r="193" spans="1:12" hidden="1" x14ac:dyDescent="0.25">
      <c r="A193" t="str">
        <f t="shared" si="14"/>
        <v>POMØ1</v>
      </c>
      <c r="B193" s="81" t="s">
        <v>201</v>
      </c>
      <c r="D193" s="86">
        <v>1</v>
      </c>
      <c r="E193" s="85">
        <f t="shared" si="17"/>
        <v>1E-3</v>
      </c>
      <c r="F193" s="85">
        <f t="shared" si="15"/>
        <v>5.0000000000000001E-4</v>
      </c>
      <c r="G193" s="85">
        <f t="shared" si="16"/>
        <v>5.2359877559829886E-10</v>
      </c>
      <c r="H193" s="85">
        <v>1400</v>
      </c>
      <c r="I193" s="96">
        <f t="shared" si="18"/>
        <v>7.3303828583761837E-7</v>
      </c>
      <c r="J193" s="87">
        <v>1</v>
      </c>
      <c r="K193" s="88">
        <f t="shared" si="19"/>
        <v>1364185.2265019601</v>
      </c>
    </row>
    <row r="194" spans="1:12" hidden="1" x14ac:dyDescent="0.25">
      <c r="A194" t="str">
        <f t="shared" si="14"/>
        <v>52100Ø1,3</v>
      </c>
      <c r="B194" s="81">
        <v>52100</v>
      </c>
      <c r="D194" s="86">
        <v>1.3</v>
      </c>
      <c r="E194" s="85">
        <f t="shared" si="17"/>
        <v>1.2999999999999999E-3</v>
      </c>
      <c r="F194" s="85">
        <f t="shared" si="15"/>
        <v>6.4999999999999997E-4</v>
      </c>
      <c r="G194" s="85">
        <f t="shared" si="16"/>
        <v>1.1503465099894624E-9</v>
      </c>
      <c r="H194" s="85">
        <v>7800</v>
      </c>
      <c r="I194" s="85">
        <f t="shared" si="18"/>
        <v>8.9727027779178067E-6</v>
      </c>
      <c r="J194" s="87">
        <v>1</v>
      </c>
      <c r="K194" s="88">
        <f t="shared" si="19"/>
        <v>111449.1391000983</v>
      </c>
    </row>
    <row r="195" spans="1:12" hidden="1" x14ac:dyDescent="0.25">
      <c r="A195" t="str">
        <f t="shared" si="14"/>
        <v>Nylon 6.6Ø5</v>
      </c>
      <c r="B195" s="81" t="s">
        <v>209</v>
      </c>
      <c r="C195" s="102"/>
      <c r="D195" s="86">
        <v>5</v>
      </c>
      <c r="E195" s="85">
        <f t="shared" si="17"/>
        <v>5.0000000000000001E-3</v>
      </c>
      <c r="F195" s="85">
        <f t="shared" si="15"/>
        <v>2.5000000000000001E-3</v>
      </c>
      <c r="G195" s="85">
        <f t="shared" si="16"/>
        <v>6.5449846949787352E-8</v>
      </c>
      <c r="H195" s="85">
        <v>1130</v>
      </c>
      <c r="I195" s="85">
        <f t="shared" si="18"/>
        <v>7.3958327053259704E-5</v>
      </c>
      <c r="J195" s="87">
        <v>1</v>
      </c>
      <c r="K195" s="88">
        <f t="shared" si="19"/>
        <v>13521.127908691995</v>
      </c>
    </row>
    <row r="196" spans="1:12" hidden="1" x14ac:dyDescent="0.25">
      <c r="A196" t="str">
        <f t="shared" ref="A196:A259" si="20">CONCATENATE(B196,"Ø",D196)</f>
        <v>52100Ø1,688</v>
      </c>
      <c r="B196" s="81">
        <v>52100</v>
      </c>
      <c r="D196" s="86">
        <v>1.6879999999999999</v>
      </c>
      <c r="E196" s="85">
        <f t="shared" si="17"/>
        <v>1.688E-3</v>
      </c>
      <c r="F196" s="85">
        <f t="shared" si="15"/>
        <v>8.4400000000000002E-4</v>
      </c>
      <c r="G196" s="85">
        <f t="shared" si="16"/>
        <v>2.5183491940633105E-9</v>
      </c>
      <c r="H196" s="85">
        <v>7800</v>
      </c>
      <c r="I196" s="85">
        <f t="shared" si="18"/>
        <v>1.9643123713693822E-5</v>
      </c>
      <c r="J196" s="87">
        <v>1</v>
      </c>
      <c r="K196" s="88">
        <f t="shared" si="19"/>
        <v>50908.400037356048</v>
      </c>
    </row>
    <row r="197" spans="1:12" hidden="1" x14ac:dyDescent="0.25">
      <c r="A197" t="str">
        <f t="shared" si="20"/>
        <v>52100Ø25,4</v>
      </c>
      <c r="B197" s="81">
        <v>52100</v>
      </c>
      <c r="C197" s="101" t="s">
        <v>255</v>
      </c>
      <c r="D197" s="86">
        <f>25.4</f>
        <v>25.4</v>
      </c>
      <c r="E197" s="85">
        <f t="shared" si="17"/>
        <v>2.5399999999999999E-2</v>
      </c>
      <c r="F197" s="85">
        <f t="shared" si="15"/>
        <v>1.2699999999999999E-2</v>
      </c>
      <c r="G197" s="85">
        <f t="shared" si="16"/>
        <v>8.5802466460509588E-6</v>
      </c>
      <c r="H197" s="85">
        <v>7800</v>
      </c>
      <c r="I197" s="85">
        <f t="shared" si="18"/>
        <v>6.6925923839197474E-2</v>
      </c>
      <c r="J197" s="87">
        <v>1</v>
      </c>
      <c r="K197" s="88">
        <f t="shared" si="19"/>
        <v>14.9418931056177</v>
      </c>
    </row>
    <row r="198" spans="1:12" hidden="1" x14ac:dyDescent="0.25">
      <c r="A198" t="str">
        <f t="shared" si="20"/>
        <v>Bronzo FosforosoØ6,35</v>
      </c>
      <c r="B198" s="81" t="s">
        <v>294</v>
      </c>
      <c r="C198" s="101" t="s">
        <v>218</v>
      </c>
      <c r="D198" s="86">
        <f>1/4*25.4</f>
        <v>6.35</v>
      </c>
      <c r="E198" s="85">
        <f t="shared" si="17"/>
        <v>6.3499999999999997E-3</v>
      </c>
      <c r="F198" s="85">
        <f t="shared" ref="F198:F238" si="21">E198/2</f>
        <v>3.1749999999999999E-3</v>
      </c>
      <c r="G198" s="85">
        <f t="shared" ref="G198:G238" si="22">4/3*PI()*F198*F198*F198</f>
        <v>1.3406635384454623E-7</v>
      </c>
      <c r="H198" s="85">
        <v>8910</v>
      </c>
      <c r="I198" s="85">
        <f t="shared" si="18"/>
        <v>1.194531212754907E-3</v>
      </c>
      <c r="J198" s="87">
        <v>1</v>
      </c>
      <c r="K198" s="88">
        <f t="shared" si="19"/>
        <v>837.14848914975926</v>
      </c>
      <c r="L198" s="98"/>
    </row>
    <row r="199" spans="1:12" hidden="1" x14ac:dyDescent="0.25">
      <c r="A199" t="str">
        <f t="shared" si="20"/>
        <v>Bronzo FosforosoØ6,35</v>
      </c>
      <c r="B199" s="81" t="s">
        <v>294</v>
      </c>
      <c r="C199" s="101" t="s">
        <v>218</v>
      </c>
      <c r="D199" s="86">
        <f>1/4*25.4</f>
        <v>6.35</v>
      </c>
      <c r="E199" s="85">
        <f t="shared" ref="E199:E238" si="23">D199/1000</f>
        <v>6.3499999999999997E-3</v>
      </c>
      <c r="F199" s="85">
        <f t="shared" si="21"/>
        <v>3.1749999999999999E-3</v>
      </c>
      <c r="G199" s="85">
        <f t="shared" si="22"/>
        <v>1.3406635384454623E-7</v>
      </c>
      <c r="H199" s="85">
        <v>8910</v>
      </c>
      <c r="I199" s="85">
        <f t="shared" si="18"/>
        <v>1.194531212754907E-3</v>
      </c>
      <c r="J199" s="87">
        <v>1</v>
      </c>
      <c r="K199" s="88">
        <f t="shared" si="19"/>
        <v>837.14848914975926</v>
      </c>
      <c r="L199" s="98"/>
    </row>
    <row r="200" spans="1:12" hidden="1" x14ac:dyDescent="0.25">
      <c r="A200" t="str">
        <f t="shared" si="20"/>
        <v>Bronzo FosforosoØ6,33</v>
      </c>
      <c r="B200" s="81" t="s">
        <v>294</v>
      </c>
      <c r="C200" s="101" t="s">
        <v>218</v>
      </c>
      <c r="D200" s="86">
        <v>6.33</v>
      </c>
      <c r="E200" s="85">
        <f t="shared" si="23"/>
        <v>6.3299999999999997E-3</v>
      </c>
      <c r="F200" s="85">
        <f t="shared" si="21"/>
        <v>3.1649999999999998E-3</v>
      </c>
      <c r="G200" s="85">
        <f t="shared" si="22"/>
        <v>1.3280357078068235E-7</v>
      </c>
      <c r="H200" s="85">
        <v>8924</v>
      </c>
      <c r="I200" s="85">
        <f t="shared" si="18"/>
        <v>1.1851390656468092E-3</v>
      </c>
      <c r="J200" s="87">
        <v>1</v>
      </c>
      <c r="K200" s="88">
        <f t="shared" si="19"/>
        <v>843.78283442562372</v>
      </c>
      <c r="L200" s="98"/>
    </row>
    <row r="201" spans="1:12" hidden="1" x14ac:dyDescent="0.25">
      <c r="A201" t="str">
        <f t="shared" si="20"/>
        <v>Bronzo FosforosoØ6,35</v>
      </c>
      <c r="B201" s="81" t="s">
        <v>294</v>
      </c>
      <c r="C201" s="101" t="s">
        <v>218</v>
      </c>
      <c r="D201" s="86">
        <f>1/4*25.4</f>
        <v>6.35</v>
      </c>
      <c r="E201" s="85">
        <f t="shared" si="23"/>
        <v>6.3499999999999997E-3</v>
      </c>
      <c r="F201" s="85">
        <f t="shared" si="21"/>
        <v>3.1749999999999999E-3</v>
      </c>
      <c r="G201" s="85">
        <f t="shared" si="22"/>
        <v>1.3406635384454623E-7</v>
      </c>
      <c r="H201" s="85">
        <v>8915</v>
      </c>
      <c r="I201" s="85">
        <f t="shared" si="18"/>
        <v>1.1952015445241297E-3</v>
      </c>
      <c r="J201" s="87">
        <v>1</v>
      </c>
      <c r="K201" s="88">
        <f t="shared" si="19"/>
        <v>836.67897233026974</v>
      </c>
      <c r="L201" s="98"/>
    </row>
    <row r="202" spans="1:12" hidden="1" x14ac:dyDescent="0.25">
      <c r="A202" t="str">
        <f t="shared" si="20"/>
        <v>420CØ3,5</v>
      </c>
      <c r="B202" s="81" t="s">
        <v>295</v>
      </c>
      <c r="D202" s="86">
        <v>3.5</v>
      </c>
      <c r="E202" s="85">
        <f t="shared" si="23"/>
        <v>3.5000000000000001E-3</v>
      </c>
      <c r="F202" s="85">
        <f t="shared" si="21"/>
        <v>1.75E-3</v>
      </c>
      <c r="G202" s="85">
        <f t="shared" si="22"/>
        <v>2.2449297503777064E-8</v>
      </c>
      <c r="H202" s="85">
        <v>7800</v>
      </c>
      <c r="I202" s="85">
        <f t="shared" si="18"/>
        <v>1.751045205294611E-4</v>
      </c>
      <c r="J202" s="87">
        <v>1</v>
      </c>
      <c r="K202" s="88">
        <f t="shared" si="19"/>
        <v>5710.8748362196129</v>
      </c>
    </row>
    <row r="203" spans="1:12" hidden="1" x14ac:dyDescent="0.25">
      <c r="A203" t="str">
        <f t="shared" si="20"/>
        <v>420CØ3,5</v>
      </c>
      <c r="B203" s="81" t="s">
        <v>295</v>
      </c>
      <c r="D203" s="86">
        <v>3.5</v>
      </c>
      <c r="E203" s="85">
        <f t="shared" si="23"/>
        <v>3.5000000000000001E-3</v>
      </c>
      <c r="F203" s="85">
        <f t="shared" si="21"/>
        <v>1.75E-3</v>
      </c>
      <c r="G203" s="85">
        <f t="shared" si="22"/>
        <v>2.2449297503777064E-8</v>
      </c>
      <c r="H203" s="85">
        <v>7710</v>
      </c>
      <c r="I203" s="85">
        <f t="shared" si="18"/>
        <v>1.7308408375412118E-4</v>
      </c>
      <c r="J203" s="87">
        <v>1</v>
      </c>
      <c r="K203" s="88">
        <f t="shared" si="19"/>
        <v>5777.5387448136153</v>
      </c>
    </row>
    <row r="204" spans="1:12" hidden="1" x14ac:dyDescent="0.25">
      <c r="A204" t="str">
        <f t="shared" si="20"/>
        <v>420CØ3,5</v>
      </c>
      <c r="B204" s="81" t="s">
        <v>295</v>
      </c>
      <c r="D204" s="86">
        <v>3.5</v>
      </c>
      <c r="E204" s="85">
        <f t="shared" si="23"/>
        <v>3.5000000000000001E-3</v>
      </c>
      <c r="F204" s="85">
        <f t="shared" si="21"/>
        <v>1.75E-3</v>
      </c>
      <c r="G204" s="85">
        <f t="shared" si="22"/>
        <v>2.2449297503777064E-8</v>
      </c>
      <c r="H204" s="85">
        <v>7600</v>
      </c>
      <c r="I204" s="85">
        <f t="shared" si="18"/>
        <v>1.7061466102870568E-4</v>
      </c>
      <c r="J204" s="87">
        <v>1</v>
      </c>
      <c r="K204" s="88">
        <f t="shared" si="19"/>
        <v>5861.1610161201288</v>
      </c>
    </row>
    <row r="205" spans="1:12" hidden="1" x14ac:dyDescent="0.25">
      <c r="A205" t="str">
        <f t="shared" si="20"/>
        <v>AlluminioØ3,18</v>
      </c>
      <c r="B205" s="81" t="s">
        <v>296</v>
      </c>
      <c r="D205" s="86">
        <v>3.18</v>
      </c>
      <c r="E205" s="85">
        <f t="shared" si="23"/>
        <v>3.1800000000000001E-3</v>
      </c>
      <c r="F205" s="85">
        <f t="shared" si="21"/>
        <v>1.5900000000000001E-3</v>
      </c>
      <c r="G205" s="85">
        <f t="shared" si="22"/>
        <v>1.6837592021585557E-8</v>
      </c>
      <c r="H205" s="88">
        <v>2672.5911841972788</v>
      </c>
      <c r="I205" s="85">
        <f t="shared" si="18"/>
        <v>4.4999999999999996E-5</v>
      </c>
      <c r="J205" s="87">
        <v>1</v>
      </c>
      <c r="K205" s="88">
        <f t="shared" si="19"/>
        <v>22222.222222222223</v>
      </c>
    </row>
    <row r="206" spans="1:12" hidden="1" x14ac:dyDescent="0.25">
      <c r="A206" t="str">
        <f t="shared" si="20"/>
        <v>AlluminioØ3</v>
      </c>
      <c r="B206" s="81" t="s">
        <v>296</v>
      </c>
      <c r="D206" s="86">
        <v>3</v>
      </c>
      <c r="E206" s="85">
        <f t="shared" si="23"/>
        <v>3.0000000000000001E-3</v>
      </c>
      <c r="F206" s="85">
        <f t="shared" si="21"/>
        <v>1.5E-3</v>
      </c>
      <c r="G206" s="85">
        <f t="shared" si="22"/>
        <v>1.4137166941154068E-8</v>
      </c>
      <c r="H206" s="88">
        <v>2672.5911841972788</v>
      </c>
      <c r="I206" s="85">
        <f t="shared" si="18"/>
        <v>3.7782867736453572E-5</v>
      </c>
      <c r="J206" s="87">
        <v>1</v>
      </c>
      <c r="K206" s="88">
        <f t="shared" si="19"/>
        <v>26467.022222222229</v>
      </c>
    </row>
    <row r="207" spans="1:12" hidden="1" x14ac:dyDescent="0.25">
      <c r="A207" t="str">
        <f t="shared" si="20"/>
        <v>Wc-CoØ1,2</v>
      </c>
      <c r="B207" s="81" t="s">
        <v>206</v>
      </c>
      <c r="C207" s="102"/>
      <c r="D207" s="86">
        <v>1.2</v>
      </c>
      <c r="E207" s="85">
        <f t="shared" si="23"/>
        <v>1.1999999999999999E-3</v>
      </c>
      <c r="F207" s="85">
        <f t="shared" si="21"/>
        <v>5.9999999999999995E-4</v>
      </c>
      <c r="G207" s="85">
        <f t="shared" si="22"/>
        <v>9.0477868423386013E-10</v>
      </c>
      <c r="H207" s="85">
        <v>14950</v>
      </c>
      <c r="I207" s="85">
        <f t="shared" si="18"/>
        <v>1.3526441329296208E-5</v>
      </c>
      <c r="J207" s="87">
        <v>1</v>
      </c>
      <c r="K207" s="88">
        <f t="shared" si="19"/>
        <v>73929.274940493968</v>
      </c>
    </row>
    <row r="208" spans="1:12" hidden="1" x14ac:dyDescent="0.25">
      <c r="A208" t="str">
        <f t="shared" si="20"/>
        <v>Wc-CoØ1,2</v>
      </c>
      <c r="B208" s="81" t="s">
        <v>206</v>
      </c>
      <c r="C208" s="102"/>
      <c r="D208" s="86">
        <v>1.2</v>
      </c>
      <c r="E208" s="85">
        <f t="shared" si="23"/>
        <v>1.1999999999999999E-3</v>
      </c>
      <c r="F208" s="85">
        <f t="shared" si="21"/>
        <v>5.9999999999999995E-4</v>
      </c>
      <c r="G208" s="85">
        <f t="shared" si="22"/>
        <v>9.0477868423386013E-10</v>
      </c>
      <c r="H208" s="85">
        <v>14950</v>
      </c>
      <c r="I208" s="85">
        <f t="shared" si="18"/>
        <v>1.3526441329296208E-5</v>
      </c>
      <c r="J208" s="87">
        <v>1</v>
      </c>
      <c r="K208" s="88">
        <f t="shared" si="19"/>
        <v>73929.274940493968</v>
      </c>
    </row>
    <row r="209" spans="1:11" hidden="1" x14ac:dyDescent="0.25">
      <c r="A209" t="str">
        <f t="shared" si="20"/>
        <v>ZrO2Ø20</v>
      </c>
      <c r="B209" s="81" t="s">
        <v>205</v>
      </c>
      <c r="D209" s="86">
        <v>20</v>
      </c>
      <c r="E209" s="85">
        <f t="shared" si="23"/>
        <v>0.02</v>
      </c>
      <c r="F209" s="85">
        <f t="shared" si="21"/>
        <v>0.01</v>
      </c>
      <c r="G209" s="85">
        <f t="shared" si="22"/>
        <v>4.1887902047863905E-6</v>
      </c>
      <c r="H209" s="88">
        <v>5962.2978458737161</v>
      </c>
      <c r="I209" s="85">
        <f t="shared" si="18"/>
        <v>2.4974814814814818E-2</v>
      </c>
      <c r="J209" s="87">
        <v>1</v>
      </c>
      <c r="K209" s="88">
        <f t="shared" si="19"/>
        <v>40.040336932020402</v>
      </c>
    </row>
    <row r="210" spans="1:11" hidden="1" x14ac:dyDescent="0.25">
      <c r="A210" t="str">
        <f t="shared" si="20"/>
        <v>Wc-CoØ13</v>
      </c>
      <c r="B210" s="81" t="s">
        <v>206</v>
      </c>
      <c r="C210" s="102"/>
      <c r="D210" s="86">
        <v>13</v>
      </c>
      <c r="E210" s="85">
        <f t="shared" si="23"/>
        <v>1.2999999999999999E-2</v>
      </c>
      <c r="F210" s="85">
        <f t="shared" si="21"/>
        <v>6.4999999999999997E-3</v>
      </c>
      <c r="G210" s="85">
        <f t="shared" si="22"/>
        <v>1.1503465099894625E-6</v>
      </c>
      <c r="H210" s="85">
        <v>14950</v>
      </c>
      <c r="I210" s="85">
        <f t="shared" si="18"/>
        <v>1.7197680324342463E-2</v>
      </c>
      <c r="J210" s="87">
        <v>1</v>
      </c>
      <c r="K210" s="88">
        <f t="shared" si="19"/>
        <v>58.147376921790418</v>
      </c>
    </row>
    <row r="211" spans="1:11" hidden="1" x14ac:dyDescent="0.25">
      <c r="A211" t="str">
        <f t="shared" si="20"/>
        <v>Wc-CoØ20</v>
      </c>
      <c r="B211" s="81" t="s">
        <v>206</v>
      </c>
      <c r="C211" s="102"/>
      <c r="D211" s="86">
        <v>20</v>
      </c>
      <c r="E211" s="85">
        <f t="shared" si="23"/>
        <v>0.02</v>
      </c>
      <c r="F211" s="85">
        <f t="shared" si="21"/>
        <v>0.01</v>
      </c>
      <c r="G211" s="85">
        <f t="shared" si="22"/>
        <v>4.1887902047863905E-6</v>
      </c>
      <c r="H211" s="85">
        <v>14950</v>
      </c>
      <c r="I211" s="85">
        <f t="shared" si="18"/>
        <v>6.2622413561556539E-2</v>
      </c>
      <c r="J211" s="87">
        <v>1</v>
      </c>
      <c r="K211" s="88">
        <f t="shared" si="19"/>
        <v>15.96872338714669</v>
      </c>
    </row>
    <row r="212" spans="1:11" hidden="1" x14ac:dyDescent="0.25">
      <c r="A212" t="str">
        <f t="shared" si="20"/>
        <v>304Ø5</v>
      </c>
      <c r="B212" s="81">
        <v>304</v>
      </c>
      <c r="D212" s="86">
        <v>5</v>
      </c>
      <c r="E212" s="85">
        <f t="shared" si="23"/>
        <v>5.0000000000000001E-3</v>
      </c>
      <c r="F212" s="85">
        <f t="shared" si="21"/>
        <v>2.5000000000000001E-3</v>
      </c>
      <c r="G212" s="85">
        <f t="shared" si="22"/>
        <v>6.5449846949787352E-8</v>
      </c>
      <c r="H212" s="85">
        <v>7950</v>
      </c>
      <c r="I212" s="85">
        <f t="shared" si="18"/>
        <v>5.2032628325080941E-4</v>
      </c>
      <c r="J212" s="87">
        <v>1</v>
      </c>
      <c r="K212" s="88">
        <f t="shared" si="19"/>
        <v>1921.8710109210006</v>
      </c>
    </row>
    <row r="213" spans="1:11" hidden="1" x14ac:dyDescent="0.25">
      <c r="A213" t="str">
        <f t="shared" si="20"/>
        <v>PSØ5</v>
      </c>
      <c r="B213" s="81" t="s">
        <v>242</v>
      </c>
      <c r="D213" s="86">
        <v>5</v>
      </c>
      <c r="E213" s="85">
        <f t="shared" si="23"/>
        <v>5.0000000000000001E-3</v>
      </c>
      <c r="F213" s="85">
        <f t="shared" si="21"/>
        <v>2.5000000000000001E-3</v>
      </c>
      <c r="G213" s="85">
        <f t="shared" si="22"/>
        <v>6.5449846949787352E-8</v>
      </c>
      <c r="H213" s="85">
        <v>1050</v>
      </c>
      <c r="I213" s="96">
        <f t="shared" si="18"/>
        <v>6.8722339297276714E-5</v>
      </c>
      <c r="J213" s="87">
        <v>1</v>
      </c>
      <c r="K213" s="88">
        <f t="shared" si="19"/>
        <v>14551.309082687576</v>
      </c>
    </row>
    <row r="214" spans="1:11" hidden="1" x14ac:dyDescent="0.25">
      <c r="A214" t="str">
        <f t="shared" si="20"/>
        <v>52100Ø3,96375</v>
      </c>
      <c r="B214" s="81">
        <v>52100</v>
      </c>
      <c r="D214" s="86">
        <v>3.9637500000000001</v>
      </c>
      <c r="E214" s="85">
        <f t="shared" si="23"/>
        <v>3.9637500000000003E-3</v>
      </c>
      <c r="F214" s="85">
        <f t="shared" si="21"/>
        <v>1.9818750000000001E-3</v>
      </c>
      <c r="G214" s="85">
        <f t="shared" si="22"/>
        <v>3.2607491325437844E-8</v>
      </c>
      <c r="H214" s="85">
        <v>7800</v>
      </c>
      <c r="I214" s="85">
        <f t="shared" si="18"/>
        <v>2.5433843233841518E-4</v>
      </c>
      <c r="J214" s="87">
        <v>1</v>
      </c>
      <c r="K214" s="88">
        <f t="shared" si="19"/>
        <v>3931.7691424213454</v>
      </c>
    </row>
    <row r="215" spans="1:11" hidden="1" x14ac:dyDescent="0.25">
      <c r="A215" t="str">
        <f t="shared" si="20"/>
        <v>WC-CoØ2,778125</v>
      </c>
      <c r="B215" s="81" t="s">
        <v>297</v>
      </c>
      <c r="C215" s="101" t="s">
        <v>247</v>
      </c>
      <c r="D215" s="86">
        <f>7/64*25.4</f>
        <v>2.7781249999999997</v>
      </c>
      <c r="E215" s="85">
        <f t="shared" si="23"/>
        <v>2.7781249999999998E-3</v>
      </c>
      <c r="F215" s="85">
        <f t="shared" si="21"/>
        <v>1.3890624999999999E-3</v>
      </c>
      <c r="G215" s="85">
        <f t="shared" si="22"/>
        <v>1.1226747892743984E-8</v>
      </c>
      <c r="H215" s="85">
        <v>14950</v>
      </c>
      <c r="I215" s="85">
        <f t="shared" ref="I215:I238" si="24">H215*G215</f>
        <v>1.6783988099652256E-4</v>
      </c>
      <c r="J215" s="87">
        <v>1</v>
      </c>
      <c r="K215" s="88">
        <f t="shared" ref="K215:K278" si="25">J215/I215</f>
        <v>5958.059515191856</v>
      </c>
    </row>
    <row r="216" spans="1:11" hidden="1" x14ac:dyDescent="0.25">
      <c r="A216" t="str">
        <f t="shared" si="20"/>
        <v>420CØ1,5</v>
      </c>
      <c r="B216" s="81" t="s">
        <v>295</v>
      </c>
      <c r="D216" s="86">
        <v>1.5</v>
      </c>
      <c r="E216" s="85">
        <f t="shared" si="23"/>
        <v>1.5E-3</v>
      </c>
      <c r="F216" s="85">
        <f t="shared" si="21"/>
        <v>7.5000000000000002E-4</v>
      </c>
      <c r="G216" s="85">
        <f t="shared" si="22"/>
        <v>1.7671458676442585E-9</v>
      </c>
      <c r="H216" s="85">
        <v>7700</v>
      </c>
      <c r="I216" s="85">
        <f t="shared" si="24"/>
        <v>1.3607023180860791E-5</v>
      </c>
      <c r="J216" s="87">
        <v>1</v>
      </c>
      <c r="K216" s="88">
        <f t="shared" si="25"/>
        <v>73491.460013573611</v>
      </c>
    </row>
    <row r="217" spans="1:11" hidden="1" x14ac:dyDescent="0.25">
      <c r="A217" t="str">
        <f t="shared" si="20"/>
        <v>304Ø1,2</v>
      </c>
      <c r="B217" s="81">
        <v>304</v>
      </c>
      <c r="D217" s="86">
        <v>1.2</v>
      </c>
      <c r="E217" s="85">
        <f t="shared" si="23"/>
        <v>1.1999999999999999E-3</v>
      </c>
      <c r="F217" s="85">
        <f t="shared" si="21"/>
        <v>5.9999999999999995E-4</v>
      </c>
      <c r="G217" s="85">
        <f t="shared" si="22"/>
        <v>9.0477868423386013E-10</v>
      </c>
      <c r="H217" s="85">
        <v>7950</v>
      </c>
      <c r="I217" s="85">
        <f t="shared" si="24"/>
        <v>7.1929905396591882E-6</v>
      </c>
      <c r="J217" s="87">
        <v>1</v>
      </c>
      <c r="K217" s="88">
        <f t="shared" si="25"/>
        <v>139024.23400759554</v>
      </c>
    </row>
    <row r="218" spans="1:11" hidden="1" x14ac:dyDescent="0.25">
      <c r="A218" t="str">
        <f t="shared" si="20"/>
        <v>304Ø9,525</v>
      </c>
      <c r="B218" s="81">
        <v>304</v>
      </c>
      <c r="C218" s="101" t="s">
        <v>254</v>
      </c>
      <c r="D218" s="86">
        <f>3/8*25.4</f>
        <v>9.5249999999999986</v>
      </c>
      <c r="E218" s="85">
        <f t="shared" si="23"/>
        <v>9.5249999999999987E-3</v>
      </c>
      <c r="F218" s="85">
        <f t="shared" si="21"/>
        <v>4.7624999999999994E-3</v>
      </c>
      <c r="G218" s="85">
        <f t="shared" si="22"/>
        <v>4.5247394422534347E-7</v>
      </c>
      <c r="H218" s="88">
        <v>7903.9837669152303</v>
      </c>
      <c r="I218" s="85">
        <f t="shared" si="24"/>
        <v>3.5763467101092221E-3</v>
      </c>
      <c r="J218" s="87">
        <v>1</v>
      </c>
      <c r="K218" s="88">
        <f t="shared" si="25"/>
        <v>279.61494817415502</v>
      </c>
    </row>
    <row r="219" spans="1:11" hidden="1" x14ac:dyDescent="0.25">
      <c r="A219" t="str">
        <f t="shared" si="20"/>
        <v>304Ø9,525</v>
      </c>
      <c r="B219" s="81">
        <v>304</v>
      </c>
      <c r="C219" s="101" t="s">
        <v>254</v>
      </c>
      <c r="D219" s="86">
        <f>3/8*25.4</f>
        <v>9.5249999999999986</v>
      </c>
      <c r="E219" s="85">
        <f t="shared" si="23"/>
        <v>9.5249999999999987E-3</v>
      </c>
      <c r="F219" s="85">
        <f t="shared" si="21"/>
        <v>4.7624999999999994E-3</v>
      </c>
      <c r="G219" s="85">
        <f t="shared" si="22"/>
        <v>4.5247394422534347E-7</v>
      </c>
      <c r="H219" s="88">
        <v>7950</v>
      </c>
      <c r="I219" s="85">
        <f t="shared" si="24"/>
        <v>3.5971678565914805E-3</v>
      </c>
      <c r="J219" s="87">
        <v>1</v>
      </c>
      <c r="K219" s="88">
        <f t="shared" si="25"/>
        <v>277.99647941576916</v>
      </c>
    </row>
    <row r="220" spans="1:11" hidden="1" x14ac:dyDescent="0.25">
      <c r="A220" t="str">
        <f t="shared" si="20"/>
        <v>52100Ø7,9375</v>
      </c>
      <c r="B220" s="81">
        <v>52100</v>
      </c>
      <c r="C220" s="101" t="s">
        <v>252</v>
      </c>
      <c r="D220" s="86">
        <f>5/16*25.4</f>
        <v>7.9375</v>
      </c>
      <c r="E220" s="85">
        <f t="shared" si="23"/>
        <v>7.9375000000000001E-3</v>
      </c>
      <c r="F220" s="85">
        <f t="shared" si="21"/>
        <v>3.9687500000000001E-3</v>
      </c>
      <c r="G220" s="85">
        <f t="shared" si="22"/>
        <v>2.6184834735262947E-7</v>
      </c>
      <c r="H220" s="85">
        <v>7800</v>
      </c>
      <c r="I220" s="85">
        <f t="shared" si="24"/>
        <v>2.0424171093505099E-3</v>
      </c>
      <c r="J220" s="87">
        <v>1</v>
      </c>
      <c r="K220" s="88">
        <f t="shared" si="25"/>
        <v>489.61595328488056</v>
      </c>
    </row>
    <row r="221" spans="1:11" hidden="1" x14ac:dyDescent="0.25">
      <c r="A221" t="str">
        <f t="shared" si="20"/>
        <v>316LØ4,7625</v>
      </c>
      <c r="B221" s="81" t="s">
        <v>298</v>
      </c>
      <c r="C221" s="101" t="s">
        <v>248</v>
      </c>
      <c r="D221" s="86">
        <f>3/16*25.4</f>
        <v>4.7624999999999993</v>
      </c>
      <c r="E221" s="85">
        <f t="shared" si="23"/>
        <v>4.7624999999999994E-3</v>
      </c>
      <c r="F221" s="85">
        <f t="shared" si="21"/>
        <v>2.3812499999999997E-3</v>
      </c>
      <c r="G221" s="85">
        <f t="shared" si="22"/>
        <v>5.6559243028167934E-8</v>
      </c>
      <c r="H221" s="85">
        <v>7950</v>
      </c>
      <c r="I221" s="85">
        <f t="shared" si="24"/>
        <v>4.4964598207393507E-4</v>
      </c>
      <c r="J221" s="87">
        <v>1</v>
      </c>
      <c r="K221" s="88">
        <f t="shared" si="25"/>
        <v>2223.9718353261533</v>
      </c>
    </row>
    <row r="222" spans="1:11" hidden="1" x14ac:dyDescent="0.25">
      <c r="A222" t="str">
        <f t="shared" si="20"/>
        <v>52100Ø0,3</v>
      </c>
      <c r="B222" s="81">
        <v>52100</v>
      </c>
      <c r="D222" s="86">
        <v>0.3</v>
      </c>
      <c r="E222" s="85">
        <f t="shared" si="23"/>
        <v>2.9999999999999997E-4</v>
      </c>
      <c r="F222" s="85">
        <f t="shared" si="21"/>
        <v>1.4999999999999999E-4</v>
      </c>
      <c r="G222" s="85">
        <f t="shared" si="22"/>
        <v>1.4137166941154065E-11</v>
      </c>
      <c r="H222" s="85">
        <v>7800</v>
      </c>
      <c r="I222" s="85">
        <f t="shared" si="24"/>
        <v>1.1026990214100171E-7</v>
      </c>
      <c r="J222" s="87">
        <v>1</v>
      </c>
      <c r="K222" s="88">
        <f t="shared" si="25"/>
        <v>9068657.726033926</v>
      </c>
    </row>
    <row r="223" spans="1:11" hidden="1" x14ac:dyDescent="0.25">
      <c r="A223" t="str">
        <f t="shared" si="20"/>
        <v>52100Ø0,7</v>
      </c>
      <c r="B223" s="81">
        <v>52100</v>
      </c>
      <c r="D223" s="86">
        <v>0.7</v>
      </c>
      <c r="E223" s="85">
        <f t="shared" si="23"/>
        <v>6.9999999999999999E-4</v>
      </c>
      <c r="F223" s="85">
        <f t="shared" si="21"/>
        <v>3.5E-4</v>
      </c>
      <c r="G223" s="85">
        <f t="shared" si="22"/>
        <v>1.7959438003021649E-10</v>
      </c>
      <c r="H223" s="85">
        <v>7800</v>
      </c>
      <c r="I223" s="85">
        <f t="shared" si="24"/>
        <v>1.4008361642356885E-6</v>
      </c>
      <c r="J223" s="87">
        <v>1</v>
      </c>
      <c r="K223" s="88">
        <f t="shared" si="25"/>
        <v>713859.3545274518</v>
      </c>
    </row>
    <row r="224" spans="1:11" hidden="1" x14ac:dyDescent="0.25">
      <c r="A224" t="str">
        <f t="shared" si="20"/>
        <v>PPHØ2</v>
      </c>
      <c r="B224" s="81" t="s">
        <v>202</v>
      </c>
      <c r="C224" s="102"/>
      <c r="D224" s="86">
        <v>2</v>
      </c>
      <c r="E224" s="85">
        <f t="shared" si="23"/>
        <v>2E-3</v>
      </c>
      <c r="F224" s="85">
        <f t="shared" si="21"/>
        <v>1E-3</v>
      </c>
      <c r="G224" s="85">
        <f t="shared" si="22"/>
        <v>4.1887902047863909E-9</v>
      </c>
      <c r="H224" s="85">
        <v>870</v>
      </c>
      <c r="I224" s="85">
        <f t="shared" si="24"/>
        <v>3.6442474781641599E-6</v>
      </c>
      <c r="J224" s="87">
        <v>1</v>
      </c>
      <c r="K224" s="88">
        <f t="shared" si="25"/>
        <v>274405.07429637131</v>
      </c>
    </row>
    <row r="225" spans="1:11" hidden="1" x14ac:dyDescent="0.25">
      <c r="A225" t="str">
        <f t="shared" si="20"/>
        <v>PPHØ4,7625</v>
      </c>
      <c r="B225" s="81" t="s">
        <v>202</v>
      </c>
      <c r="C225" s="101" t="s">
        <v>248</v>
      </c>
      <c r="D225" s="86">
        <f>3/16*25.4</f>
        <v>4.7624999999999993</v>
      </c>
      <c r="E225" s="85">
        <f t="shared" si="23"/>
        <v>4.7624999999999994E-3</v>
      </c>
      <c r="F225" s="85">
        <f t="shared" si="21"/>
        <v>2.3812499999999997E-3</v>
      </c>
      <c r="G225" s="85">
        <f t="shared" si="22"/>
        <v>5.6559243028167934E-8</v>
      </c>
      <c r="H225" s="85">
        <v>870</v>
      </c>
      <c r="I225" s="85">
        <f t="shared" si="24"/>
        <v>4.9206541434506105E-5</v>
      </c>
      <c r="J225" s="87">
        <v>1</v>
      </c>
      <c r="K225" s="88">
        <f t="shared" si="25"/>
        <v>20322.501253842434</v>
      </c>
    </row>
    <row r="226" spans="1:11" hidden="1" x14ac:dyDescent="0.25">
      <c r="A226" t="str">
        <f t="shared" si="20"/>
        <v>PPHØ11,1125</v>
      </c>
      <c r="B226" s="81" t="s">
        <v>202</v>
      </c>
      <c r="C226" s="101" t="s">
        <v>274</v>
      </c>
      <c r="D226" s="86">
        <f>7/16*25.4</f>
        <v>11.112499999999999</v>
      </c>
      <c r="E226" s="85">
        <f t="shared" si="23"/>
        <v>1.1112499999999999E-2</v>
      </c>
      <c r="F226" s="85">
        <f t="shared" si="21"/>
        <v>5.5562499999999996E-3</v>
      </c>
      <c r="G226" s="85">
        <f t="shared" si="22"/>
        <v>7.1851186513561499E-7</v>
      </c>
      <c r="H226" s="85">
        <v>870</v>
      </c>
      <c r="I226" s="85">
        <f t="shared" si="24"/>
        <v>6.2510532266798504E-4</v>
      </c>
      <c r="J226" s="87">
        <v>1</v>
      </c>
      <c r="K226" s="88">
        <f t="shared" si="25"/>
        <v>1599.7304193986754</v>
      </c>
    </row>
    <row r="227" spans="1:11" hidden="1" x14ac:dyDescent="0.25">
      <c r="A227" t="str">
        <f t="shared" si="20"/>
        <v>POMØ2</v>
      </c>
      <c r="B227" s="81" t="s">
        <v>201</v>
      </c>
      <c r="D227" s="86">
        <v>2</v>
      </c>
      <c r="E227" s="85">
        <f t="shared" si="23"/>
        <v>2E-3</v>
      </c>
      <c r="F227" s="85">
        <f t="shared" si="21"/>
        <v>1E-3</v>
      </c>
      <c r="G227" s="85">
        <f t="shared" si="22"/>
        <v>4.1887902047863909E-9</v>
      </c>
      <c r="H227" s="85">
        <v>1400</v>
      </c>
      <c r="I227" s="96">
        <f t="shared" si="24"/>
        <v>5.8643062867009469E-6</v>
      </c>
      <c r="J227" s="87">
        <v>1</v>
      </c>
      <c r="K227" s="88">
        <f t="shared" si="25"/>
        <v>170523.15331274501</v>
      </c>
    </row>
    <row r="228" spans="1:11" hidden="1" x14ac:dyDescent="0.25">
      <c r="A228" t="str">
        <f t="shared" si="20"/>
        <v>POMØ4,7625</v>
      </c>
      <c r="B228" s="81" t="s">
        <v>201</v>
      </c>
      <c r="C228" s="101" t="s">
        <v>248</v>
      </c>
      <c r="D228" s="86">
        <f>3/16*25.4</f>
        <v>4.7624999999999993</v>
      </c>
      <c r="E228" s="85">
        <f t="shared" si="23"/>
        <v>4.7624999999999994E-3</v>
      </c>
      <c r="F228" s="85">
        <f t="shared" si="21"/>
        <v>2.3812499999999997E-3</v>
      </c>
      <c r="G228" s="85">
        <f t="shared" si="22"/>
        <v>5.6559243028167934E-8</v>
      </c>
      <c r="H228" s="85">
        <v>1400</v>
      </c>
      <c r="I228" s="96">
        <f t="shared" si="24"/>
        <v>7.9182940239435113E-5</v>
      </c>
      <c r="J228" s="87">
        <v>1</v>
      </c>
      <c r="K228" s="88">
        <f t="shared" si="25"/>
        <v>12628.982922030655</v>
      </c>
    </row>
    <row r="229" spans="1:11" hidden="1" x14ac:dyDescent="0.25">
      <c r="A229" t="str">
        <f t="shared" si="20"/>
        <v>POMØ11,1125</v>
      </c>
      <c r="B229" s="81" t="s">
        <v>201</v>
      </c>
      <c r="C229" s="101" t="s">
        <v>274</v>
      </c>
      <c r="D229" s="86">
        <f>7/16*25.4</f>
        <v>11.112499999999999</v>
      </c>
      <c r="E229" s="85">
        <f t="shared" si="23"/>
        <v>1.1112499999999999E-2</v>
      </c>
      <c r="F229" s="85">
        <f t="shared" si="21"/>
        <v>5.5562499999999996E-3</v>
      </c>
      <c r="G229" s="85">
        <f t="shared" si="22"/>
        <v>7.1851186513561499E-7</v>
      </c>
      <c r="H229" s="85">
        <v>1400</v>
      </c>
      <c r="I229" s="96">
        <f t="shared" si="24"/>
        <v>1.005916611189861E-3</v>
      </c>
      <c r="J229" s="87">
        <v>1</v>
      </c>
      <c r="K229" s="88">
        <f t="shared" si="25"/>
        <v>994.11818919774828</v>
      </c>
    </row>
    <row r="230" spans="1:11" hidden="1" x14ac:dyDescent="0.25">
      <c r="A230" t="str">
        <f t="shared" si="20"/>
        <v>POMØ2,5</v>
      </c>
      <c r="B230" s="81" t="s">
        <v>201</v>
      </c>
      <c r="D230" s="86">
        <v>2.5</v>
      </c>
      <c r="E230" s="85">
        <f t="shared" si="23"/>
        <v>2.5000000000000001E-3</v>
      </c>
      <c r="F230" s="85">
        <f t="shared" si="21"/>
        <v>1.25E-3</v>
      </c>
      <c r="G230" s="85">
        <f t="shared" si="22"/>
        <v>8.181230868723419E-9</v>
      </c>
      <c r="H230" s="85">
        <v>1400</v>
      </c>
      <c r="I230" s="96">
        <f t="shared" si="24"/>
        <v>1.1453723216212786E-5</v>
      </c>
      <c r="J230" s="87">
        <v>1</v>
      </c>
      <c r="K230" s="88">
        <f t="shared" si="25"/>
        <v>87307.854496125452</v>
      </c>
    </row>
    <row r="231" spans="1:11" hidden="1" x14ac:dyDescent="0.25">
      <c r="A231" t="str">
        <f t="shared" si="20"/>
        <v>POMØ3</v>
      </c>
      <c r="B231" s="81" t="s">
        <v>201</v>
      </c>
      <c r="D231" s="86">
        <v>3</v>
      </c>
      <c r="E231" s="85">
        <f t="shared" si="23"/>
        <v>3.0000000000000001E-3</v>
      </c>
      <c r="F231" s="85">
        <f t="shared" si="21"/>
        <v>1.5E-3</v>
      </c>
      <c r="G231" s="85">
        <f t="shared" si="22"/>
        <v>1.4137166941154068E-8</v>
      </c>
      <c r="H231" s="85">
        <v>1400</v>
      </c>
      <c r="I231" s="96">
        <f t="shared" si="24"/>
        <v>1.9792033717615694E-5</v>
      </c>
      <c r="J231" s="87">
        <v>1</v>
      </c>
      <c r="K231" s="88">
        <f t="shared" si="25"/>
        <v>50525.378759331863</v>
      </c>
    </row>
    <row r="232" spans="1:11" hidden="1" x14ac:dyDescent="0.25">
      <c r="A232" t="str">
        <f t="shared" si="20"/>
        <v>Al2O3Ø25,4</v>
      </c>
      <c r="B232" s="81" t="s">
        <v>217</v>
      </c>
      <c r="C232" s="101" t="s">
        <v>255</v>
      </c>
      <c r="D232" s="86">
        <f>25.4</f>
        <v>25.4</v>
      </c>
      <c r="E232" s="85">
        <f t="shared" si="23"/>
        <v>2.5399999999999999E-2</v>
      </c>
      <c r="F232" s="85">
        <f t="shared" si="21"/>
        <v>1.2699999999999999E-2</v>
      </c>
      <c r="G232" s="85">
        <f t="shared" si="22"/>
        <v>8.5802466460509588E-6</v>
      </c>
      <c r="H232" s="85">
        <v>3900</v>
      </c>
      <c r="I232" s="96">
        <f t="shared" si="24"/>
        <v>3.3462961919598737E-2</v>
      </c>
      <c r="J232" s="87">
        <v>1</v>
      </c>
      <c r="K232" s="88">
        <f t="shared" si="25"/>
        <v>29.8837862112354</v>
      </c>
    </row>
    <row r="233" spans="1:11" hidden="1" x14ac:dyDescent="0.25">
      <c r="A233" t="str">
        <f t="shared" si="20"/>
        <v>Al2O3Ø25,4</v>
      </c>
      <c r="B233" s="81" t="s">
        <v>217</v>
      </c>
      <c r="C233" s="101" t="s">
        <v>255</v>
      </c>
      <c r="D233" s="86">
        <f>25.4</f>
        <v>25.4</v>
      </c>
      <c r="E233" s="85">
        <f t="shared" si="23"/>
        <v>2.5399999999999999E-2</v>
      </c>
      <c r="F233" s="85">
        <f t="shared" si="21"/>
        <v>1.2699999999999999E-2</v>
      </c>
      <c r="G233" s="85">
        <f t="shared" si="22"/>
        <v>8.5802466460509588E-6</v>
      </c>
      <c r="H233" s="85">
        <v>3900</v>
      </c>
      <c r="I233" s="96">
        <f t="shared" si="24"/>
        <v>3.3462961919598737E-2</v>
      </c>
      <c r="J233" s="87">
        <v>1</v>
      </c>
      <c r="K233" s="88">
        <f t="shared" si="25"/>
        <v>29.8837862112354</v>
      </c>
    </row>
    <row r="234" spans="1:11" hidden="1" x14ac:dyDescent="0.25">
      <c r="A234" t="str">
        <f t="shared" si="20"/>
        <v>Al2O3Ø38,1</v>
      </c>
      <c r="B234" s="81" t="s">
        <v>217</v>
      </c>
      <c r="C234" s="101" t="s">
        <v>283</v>
      </c>
      <c r="D234" s="86">
        <f>25.4+1/2*25.4</f>
        <v>38.099999999999994</v>
      </c>
      <c r="E234" s="85">
        <f t="shared" si="23"/>
        <v>3.8099999999999995E-2</v>
      </c>
      <c r="F234" s="85">
        <f t="shared" si="21"/>
        <v>1.9049999999999997E-2</v>
      </c>
      <c r="G234" s="85">
        <f t="shared" si="22"/>
        <v>2.8958332430421982E-5</v>
      </c>
      <c r="H234" s="85">
        <v>3900</v>
      </c>
      <c r="I234" s="96">
        <f t="shared" si="24"/>
        <v>0.11293749647864573</v>
      </c>
      <c r="J234" s="87">
        <v>1</v>
      </c>
      <c r="K234" s="88">
        <f t="shared" si="25"/>
        <v>8.8544551736993782</v>
      </c>
    </row>
    <row r="235" spans="1:11" hidden="1" x14ac:dyDescent="0.25">
      <c r="A235" t="str">
        <f t="shared" si="20"/>
        <v>Al2O3Ø38,1</v>
      </c>
      <c r="B235" s="81" t="s">
        <v>217</v>
      </c>
      <c r="C235" s="101" t="s">
        <v>283</v>
      </c>
      <c r="D235" s="86">
        <f>25.4+1/2*25.4</f>
        <v>38.099999999999994</v>
      </c>
      <c r="E235" s="85">
        <f t="shared" si="23"/>
        <v>3.8099999999999995E-2</v>
      </c>
      <c r="F235" s="85">
        <f t="shared" si="21"/>
        <v>1.9049999999999997E-2</v>
      </c>
      <c r="G235" s="85">
        <f t="shared" si="22"/>
        <v>2.8958332430421982E-5</v>
      </c>
      <c r="H235" s="85">
        <v>3900</v>
      </c>
      <c r="I235" s="96">
        <f t="shared" si="24"/>
        <v>0.11293749647864573</v>
      </c>
      <c r="J235" s="87">
        <v>1</v>
      </c>
      <c r="K235" s="88">
        <f t="shared" si="25"/>
        <v>8.8544551736993782</v>
      </c>
    </row>
    <row r="236" spans="1:11" hidden="1" x14ac:dyDescent="0.25">
      <c r="A236" t="str">
        <f t="shared" si="20"/>
        <v>Al2O3Ø50,8</v>
      </c>
      <c r="B236" s="81" t="s">
        <v>217</v>
      </c>
      <c r="C236" s="101" t="s">
        <v>291</v>
      </c>
      <c r="D236" s="86">
        <f>2*25.4</f>
        <v>50.8</v>
      </c>
      <c r="E236" s="85">
        <f t="shared" si="23"/>
        <v>5.0799999999999998E-2</v>
      </c>
      <c r="F236" s="85">
        <f t="shared" si="21"/>
        <v>2.5399999999999999E-2</v>
      </c>
      <c r="G236" s="85">
        <f t="shared" si="22"/>
        <v>6.8641973168407671E-5</v>
      </c>
      <c r="H236" s="85">
        <v>3900</v>
      </c>
      <c r="I236" s="96">
        <f t="shared" si="24"/>
        <v>0.26770369535678989</v>
      </c>
      <c r="J236" s="87">
        <v>1</v>
      </c>
      <c r="K236" s="88">
        <f t="shared" si="25"/>
        <v>3.7354732764044249</v>
      </c>
    </row>
    <row r="237" spans="1:11" hidden="1" x14ac:dyDescent="0.25">
      <c r="A237" t="str">
        <f t="shared" si="20"/>
        <v>Al2O3Ø50,8</v>
      </c>
      <c r="B237" s="81" t="s">
        <v>217</v>
      </c>
      <c r="C237" s="101" t="s">
        <v>291</v>
      </c>
      <c r="D237" s="86">
        <f>2*25.4</f>
        <v>50.8</v>
      </c>
      <c r="E237" s="85">
        <f t="shared" si="23"/>
        <v>5.0799999999999998E-2</v>
      </c>
      <c r="F237" s="85">
        <f t="shared" si="21"/>
        <v>2.5399999999999999E-2</v>
      </c>
      <c r="G237" s="85">
        <f t="shared" si="22"/>
        <v>6.8641973168407671E-5</v>
      </c>
      <c r="H237" s="85">
        <v>3900</v>
      </c>
      <c r="I237" s="96">
        <f t="shared" si="24"/>
        <v>0.26770369535678989</v>
      </c>
      <c r="J237" s="87">
        <v>1</v>
      </c>
      <c r="K237" s="88">
        <f t="shared" si="25"/>
        <v>3.7354732764044249</v>
      </c>
    </row>
    <row r="238" spans="1:11" hidden="1" x14ac:dyDescent="0.25">
      <c r="A238" t="str">
        <f t="shared" si="20"/>
        <v>52100Ø1</v>
      </c>
      <c r="B238" s="81">
        <v>52100</v>
      </c>
      <c r="D238" s="86">
        <v>1</v>
      </c>
      <c r="E238" s="85">
        <f t="shared" si="23"/>
        <v>1E-3</v>
      </c>
      <c r="F238" s="85">
        <f t="shared" si="21"/>
        <v>5.0000000000000001E-4</v>
      </c>
      <c r="G238" s="85">
        <f t="shared" si="22"/>
        <v>5.2359877559829886E-10</v>
      </c>
      <c r="H238" s="85">
        <v>7800</v>
      </c>
      <c r="I238" s="85">
        <f t="shared" si="24"/>
        <v>4.0840704496667312E-6</v>
      </c>
      <c r="J238" s="87">
        <v>1</v>
      </c>
      <c r="K238" s="88">
        <f t="shared" si="25"/>
        <v>244853.75860291591</v>
      </c>
    </row>
    <row r="239" spans="1:11" hidden="1" x14ac:dyDescent="0.25">
      <c r="A239" t="str">
        <f t="shared" si="20"/>
        <v>304Ø20</v>
      </c>
      <c r="B239" s="81">
        <v>304</v>
      </c>
      <c r="D239" s="86">
        <v>20</v>
      </c>
      <c r="I239" s="85">
        <v>3.8383928776077672E-3</v>
      </c>
      <c r="J239" s="87">
        <v>1</v>
      </c>
      <c r="K239" s="88">
        <f t="shared" si="25"/>
        <v>260.52570226298411</v>
      </c>
    </row>
    <row r="240" spans="1:11" hidden="1" x14ac:dyDescent="0.25">
      <c r="A240" t="str">
        <f t="shared" si="20"/>
        <v>304Ø30</v>
      </c>
      <c r="B240" s="81">
        <v>304</v>
      </c>
      <c r="D240" s="86">
        <v>30</v>
      </c>
      <c r="I240" s="85">
        <v>8.7536030797082109E-3</v>
      </c>
      <c r="J240" s="87">
        <v>1</v>
      </c>
      <c r="K240" s="88">
        <f t="shared" si="25"/>
        <v>114.238673023467</v>
      </c>
    </row>
    <row r="241" spans="1:11" hidden="1" x14ac:dyDescent="0.25">
      <c r="A241" t="str">
        <f t="shared" si="20"/>
        <v>PMMAØ1,5875</v>
      </c>
      <c r="B241" s="81" t="s">
        <v>299</v>
      </c>
      <c r="C241" s="101" t="s">
        <v>246</v>
      </c>
      <c r="D241" s="86">
        <f t="shared" ref="D241:D246" si="26">1/16*25.4</f>
        <v>1.5874999999999999</v>
      </c>
      <c r="E241" s="85">
        <f t="shared" ref="E241:E304" si="27">D241/1000</f>
        <v>1.5874999999999999E-3</v>
      </c>
      <c r="F241" s="85">
        <f t="shared" ref="F241:F304" si="28">E241/2</f>
        <v>7.9374999999999997E-4</v>
      </c>
      <c r="G241" s="85">
        <f t="shared" ref="G241:G304" si="29">4/3*PI()*F241*F241*F241</f>
        <v>2.0947867788210349E-9</v>
      </c>
      <c r="H241" s="85">
        <v>1180</v>
      </c>
      <c r="I241" s="85">
        <f t="shared" ref="I241:I304" si="30">H241*G241</f>
        <v>2.4718483990088211E-6</v>
      </c>
      <c r="J241" s="87">
        <v>1</v>
      </c>
      <c r="K241" s="88">
        <f t="shared" si="25"/>
        <v>404555.55462098197</v>
      </c>
    </row>
    <row r="242" spans="1:11" hidden="1" x14ac:dyDescent="0.25">
      <c r="A242" t="str">
        <f t="shared" si="20"/>
        <v>PMMAØ1,5875</v>
      </c>
      <c r="B242" s="81" t="s">
        <v>299</v>
      </c>
      <c r="C242" s="101" t="s">
        <v>246</v>
      </c>
      <c r="D242" s="86">
        <f t="shared" si="26"/>
        <v>1.5874999999999999</v>
      </c>
      <c r="E242" s="85">
        <f t="shared" si="27"/>
        <v>1.5874999999999999E-3</v>
      </c>
      <c r="F242" s="85">
        <f t="shared" si="28"/>
        <v>7.9374999999999997E-4</v>
      </c>
      <c r="G242" s="85">
        <f t="shared" si="29"/>
        <v>2.0947867788210349E-9</v>
      </c>
      <c r="H242" s="85">
        <v>1180</v>
      </c>
      <c r="I242" s="85">
        <f t="shared" si="30"/>
        <v>2.4718483990088211E-6</v>
      </c>
      <c r="J242" s="87">
        <v>1</v>
      </c>
      <c r="K242" s="88">
        <f t="shared" si="25"/>
        <v>404555.55462098197</v>
      </c>
    </row>
    <row r="243" spans="1:11" hidden="1" x14ac:dyDescent="0.25">
      <c r="A243" t="str">
        <f t="shared" si="20"/>
        <v>PURØ1,5875</v>
      </c>
      <c r="B243" s="81" t="s">
        <v>300</v>
      </c>
      <c r="C243" s="101" t="s">
        <v>246</v>
      </c>
      <c r="D243" s="86">
        <f t="shared" si="26"/>
        <v>1.5874999999999999</v>
      </c>
      <c r="E243" s="85">
        <f t="shared" si="27"/>
        <v>1.5874999999999999E-3</v>
      </c>
      <c r="F243" s="85">
        <f t="shared" si="28"/>
        <v>7.9374999999999997E-4</v>
      </c>
      <c r="G243" s="85">
        <f t="shared" si="29"/>
        <v>2.0947867788210349E-9</v>
      </c>
      <c r="H243" s="85">
        <v>1140</v>
      </c>
      <c r="I243" s="85">
        <f t="shared" si="30"/>
        <v>2.3880569278559799E-6</v>
      </c>
      <c r="J243" s="87">
        <v>1</v>
      </c>
      <c r="K243" s="88">
        <f t="shared" si="25"/>
        <v>418750.48636206903</v>
      </c>
    </row>
    <row r="244" spans="1:11" hidden="1" x14ac:dyDescent="0.25">
      <c r="A244" t="str">
        <f t="shared" si="20"/>
        <v>PURØ1,5875</v>
      </c>
      <c r="B244" s="81" t="s">
        <v>300</v>
      </c>
      <c r="C244" s="101" t="s">
        <v>246</v>
      </c>
      <c r="D244" s="86">
        <f t="shared" si="26"/>
        <v>1.5874999999999999</v>
      </c>
      <c r="E244" s="85">
        <f t="shared" si="27"/>
        <v>1.5874999999999999E-3</v>
      </c>
      <c r="F244" s="85">
        <f t="shared" si="28"/>
        <v>7.9374999999999997E-4</v>
      </c>
      <c r="G244" s="85">
        <f t="shared" si="29"/>
        <v>2.0947867788210349E-9</v>
      </c>
      <c r="H244" s="85">
        <v>1140</v>
      </c>
      <c r="I244" s="85">
        <f t="shared" si="30"/>
        <v>2.3880569278559799E-6</v>
      </c>
      <c r="J244" s="87">
        <v>1</v>
      </c>
      <c r="K244" s="88">
        <f t="shared" si="25"/>
        <v>418750.48636206903</v>
      </c>
    </row>
    <row r="245" spans="1:11" hidden="1" x14ac:dyDescent="0.25">
      <c r="A245" t="str">
        <f t="shared" si="20"/>
        <v>PA6.6Ø1,5875</v>
      </c>
      <c r="B245" s="81" t="s">
        <v>244</v>
      </c>
      <c r="C245" s="101" t="s">
        <v>246</v>
      </c>
      <c r="D245" s="86">
        <f t="shared" si="26"/>
        <v>1.5874999999999999</v>
      </c>
      <c r="E245" s="85">
        <f t="shared" si="27"/>
        <v>1.5874999999999999E-3</v>
      </c>
      <c r="F245" s="85">
        <f t="shared" si="28"/>
        <v>7.9374999999999997E-4</v>
      </c>
      <c r="G245" s="85">
        <f t="shared" si="29"/>
        <v>2.0947867788210349E-9</v>
      </c>
      <c r="H245" s="85">
        <v>1110</v>
      </c>
      <c r="I245" s="85">
        <f t="shared" si="30"/>
        <v>2.3252133244913488E-6</v>
      </c>
      <c r="J245" s="87">
        <v>1</v>
      </c>
      <c r="K245" s="88">
        <f t="shared" si="25"/>
        <v>430068.06707455742</v>
      </c>
    </row>
    <row r="246" spans="1:11" hidden="1" x14ac:dyDescent="0.25">
      <c r="A246" t="str">
        <f t="shared" si="20"/>
        <v>PA6.6Ø1,5875</v>
      </c>
      <c r="B246" s="81" t="s">
        <v>244</v>
      </c>
      <c r="C246" s="101" t="s">
        <v>246</v>
      </c>
      <c r="D246" s="86">
        <f t="shared" si="26"/>
        <v>1.5874999999999999</v>
      </c>
      <c r="E246" s="85">
        <f t="shared" si="27"/>
        <v>1.5874999999999999E-3</v>
      </c>
      <c r="F246" s="85">
        <f t="shared" si="28"/>
        <v>7.9374999999999997E-4</v>
      </c>
      <c r="G246" s="85">
        <f t="shared" si="29"/>
        <v>2.0947867788210349E-9</v>
      </c>
      <c r="H246" s="85">
        <v>1110</v>
      </c>
      <c r="I246" s="85">
        <f t="shared" si="30"/>
        <v>2.3252133244913488E-6</v>
      </c>
      <c r="J246" s="87">
        <v>1</v>
      </c>
      <c r="K246" s="88">
        <f t="shared" si="25"/>
        <v>430068.06707455742</v>
      </c>
    </row>
    <row r="247" spans="1:11" hidden="1" x14ac:dyDescent="0.25">
      <c r="A247" t="str">
        <f t="shared" si="20"/>
        <v>VESCØ16</v>
      </c>
      <c r="B247" s="81" t="s">
        <v>210</v>
      </c>
      <c r="D247" s="86">
        <v>16</v>
      </c>
      <c r="E247" s="85">
        <f t="shared" si="27"/>
        <v>1.6E-2</v>
      </c>
      <c r="F247" s="85">
        <f t="shared" si="28"/>
        <v>8.0000000000000002E-3</v>
      </c>
      <c r="G247" s="85">
        <f t="shared" si="29"/>
        <v>2.1446605848506321E-6</v>
      </c>
      <c r="H247" s="85">
        <v>2550</v>
      </c>
      <c r="I247" s="85">
        <f t="shared" si="30"/>
        <v>5.4688844913691123E-3</v>
      </c>
      <c r="J247" s="87">
        <v>1</v>
      </c>
      <c r="K247" s="88">
        <f t="shared" si="25"/>
        <v>182.85264601550475</v>
      </c>
    </row>
    <row r="248" spans="1:11" hidden="1" x14ac:dyDescent="0.25">
      <c r="A248" t="str">
        <f t="shared" si="20"/>
        <v>VESCØ16</v>
      </c>
      <c r="B248" s="81" t="s">
        <v>210</v>
      </c>
      <c r="D248" s="86">
        <v>16</v>
      </c>
      <c r="E248" s="85">
        <f t="shared" si="27"/>
        <v>1.6E-2</v>
      </c>
      <c r="F248" s="85">
        <f t="shared" si="28"/>
        <v>8.0000000000000002E-3</v>
      </c>
      <c r="G248" s="85">
        <f t="shared" si="29"/>
        <v>2.1446605848506321E-6</v>
      </c>
      <c r="H248" s="85">
        <v>2500</v>
      </c>
      <c r="I248" s="85">
        <f t="shared" si="30"/>
        <v>5.3616514621265803E-3</v>
      </c>
      <c r="J248" s="87">
        <v>1</v>
      </c>
      <c r="K248" s="88">
        <f t="shared" si="25"/>
        <v>186.50969893581484</v>
      </c>
    </row>
    <row r="249" spans="1:11" hidden="1" x14ac:dyDescent="0.25">
      <c r="A249" t="str">
        <f t="shared" si="20"/>
        <v>PURØ5</v>
      </c>
      <c r="B249" s="81" t="s">
        <v>300</v>
      </c>
      <c r="D249" s="86">
        <v>5</v>
      </c>
      <c r="E249" s="85">
        <f t="shared" si="27"/>
        <v>5.0000000000000001E-3</v>
      </c>
      <c r="F249" s="85">
        <f t="shared" si="28"/>
        <v>2.5000000000000001E-3</v>
      </c>
      <c r="G249" s="85">
        <f t="shared" si="29"/>
        <v>6.5449846949787352E-8</v>
      </c>
      <c r="H249" s="85">
        <v>1140</v>
      </c>
      <c r="I249" s="85">
        <f t="shared" si="30"/>
        <v>7.4612825522757585E-5</v>
      </c>
      <c r="J249" s="87">
        <v>1</v>
      </c>
      <c r="K249" s="88">
        <f t="shared" si="25"/>
        <v>13402.521523528028</v>
      </c>
    </row>
    <row r="250" spans="1:11" hidden="1" x14ac:dyDescent="0.25">
      <c r="A250" t="str">
        <f t="shared" si="20"/>
        <v>PURØ6</v>
      </c>
      <c r="B250" s="81" t="s">
        <v>300</v>
      </c>
      <c r="D250" s="86">
        <v>6</v>
      </c>
      <c r="E250" s="85">
        <f t="shared" si="27"/>
        <v>6.0000000000000001E-3</v>
      </c>
      <c r="F250" s="85">
        <f t="shared" si="28"/>
        <v>3.0000000000000001E-3</v>
      </c>
      <c r="G250" s="85">
        <f t="shared" si="29"/>
        <v>1.1309733552923255E-7</v>
      </c>
      <c r="H250" s="85">
        <v>1140</v>
      </c>
      <c r="I250" s="85">
        <f t="shared" si="30"/>
        <v>1.2893096250332509E-4</v>
      </c>
      <c r="J250" s="87">
        <v>1</v>
      </c>
      <c r="K250" s="88">
        <f t="shared" si="25"/>
        <v>7756.0888446342769</v>
      </c>
    </row>
    <row r="251" spans="1:11" hidden="1" x14ac:dyDescent="0.25">
      <c r="A251" t="str">
        <f t="shared" si="20"/>
        <v>TantalioØ3,6</v>
      </c>
      <c r="B251" s="81" t="s">
        <v>301</v>
      </c>
      <c r="D251" s="86">
        <v>3.6</v>
      </c>
      <c r="E251" s="85">
        <f t="shared" si="27"/>
        <v>3.5999999999999999E-3</v>
      </c>
      <c r="F251" s="85">
        <f t="shared" si="28"/>
        <v>1.8E-3</v>
      </c>
      <c r="G251" s="85">
        <f t="shared" si="29"/>
        <v>2.4429024474314225E-8</v>
      </c>
      <c r="H251" s="85">
        <v>16650</v>
      </c>
      <c r="I251" s="85">
        <f t="shared" si="30"/>
        <v>4.0674325749733183E-4</v>
      </c>
      <c r="J251" s="87">
        <v>1</v>
      </c>
      <c r="K251" s="88">
        <f t="shared" si="25"/>
        <v>2458.5533541550099</v>
      </c>
    </row>
    <row r="252" spans="1:11" hidden="1" x14ac:dyDescent="0.25">
      <c r="A252" t="str">
        <f t="shared" si="20"/>
        <v>1010Ø7,14375</v>
      </c>
      <c r="B252" s="81">
        <v>1010</v>
      </c>
      <c r="C252" s="101" t="s">
        <v>250</v>
      </c>
      <c r="D252" s="86">
        <f>9/32*25.4</f>
        <v>7.1437499999999998</v>
      </c>
      <c r="E252" s="85">
        <f t="shared" si="27"/>
        <v>7.1437499999999999E-3</v>
      </c>
      <c r="F252" s="85">
        <f t="shared" si="28"/>
        <v>3.571875E-3</v>
      </c>
      <c r="G252" s="85">
        <f t="shared" si="29"/>
        <v>1.9088744522006684E-7</v>
      </c>
      <c r="H252" s="85">
        <v>7820</v>
      </c>
      <c r="I252" s="85">
        <f t="shared" si="30"/>
        <v>1.4927398216209226E-3</v>
      </c>
      <c r="J252" s="87">
        <v>1</v>
      </c>
      <c r="K252" s="88">
        <f t="shared" si="25"/>
        <v>669.90910640685468</v>
      </c>
    </row>
    <row r="253" spans="1:11" hidden="1" x14ac:dyDescent="0.25">
      <c r="A253" t="str">
        <f t="shared" si="20"/>
        <v>Si3N4Ø8,73125</v>
      </c>
      <c r="B253" s="81" t="s">
        <v>207</v>
      </c>
      <c r="C253" s="101" t="s">
        <v>253</v>
      </c>
      <c r="D253" s="86">
        <f>11/32*25.4</f>
        <v>8.7312499999999993</v>
      </c>
      <c r="E253" s="85">
        <f t="shared" si="27"/>
        <v>8.7312499999999994E-3</v>
      </c>
      <c r="F253" s="85">
        <f t="shared" si="28"/>
        <v>4.3656249999999997E-3</v>
      </c>
      <c r="G253" s="85">
        <f t="shared" si="29"/>
        <v>3.4852015032634969E-7</v>
      </c>
      <c r="H253" s="85">
        <v>3260</v>
      </c>
      <c r="I253" s="85">
        <f t="shared" si="30"/>
        <v>1.1361756900639E-3</v>
      </c>
      <c r="J253" s="87">
        <v>1</v>
      </c>
      <c r="K253" s="88">
        <f t="shared" si="25"/>
        <v>880.14556969068633</v>
      </c>
    </row>
    <row r="254" spans="1:11" hidden="1" x14ac:dyDescent="0.25">
      <c r="A254" t="str">
        <f t="shared" si="20"/>
        <v>316Ø2,5</v>
      </c>
      <c r="B254" s="81">
        <v>316</v>
      </c>
      <c r="D254" s="86">
        <v>2.5</v>
      </c>
      <c r="E254" s="85">
        <f t="shared" si="27"/>
        <v>2.5000000000000001E-3</v>
      </c>
      <c r="F254" s="85">
        <f t="shared" si="28"/>
        <v>1.25E-3</v>
      </c>
      <c r="G254" s="85">
        <f t="shared" si="29"/>
        <v>8.181230868723419E-9</v>
      </c>
      <c r="H254" s="85">
        <v>7950</v>
      </c>
      <c r="I254" s="85">
        <f t="shared" si="30"/>
        <v>6.5040785406351176E-5</v>
      </c>
      <c r="J254" s="87">
        <v>1</v>
      </c>
      <c r="K254" s="88">
        <f t="shared" si="25"/>
        <v>15374.968087368004</v>
      </c>
    </row>
    <row r="255" spans="1:11" hidden="1" x14ac:dyDescent="0.25">
      <c r="A255" t="str">
        <f t="shared" si="20"/>
        <v>316Ø3,5</v>
      </c>
      <c r="B255" s="81">
        <v>316</v>
      </c>
      <c r="D255" s="86">
        <v>3.5</v>
      </c>
      <c r="E255" s="85">
        <f t="shared" si="27"/>
        <v>3.5000000000000001E-3</v>
      </c>
      <c r="F255" s="85">
        <f t="shared" si="28"/>
        <v>1.75E-3</v>
      </c>
      <c r="G255" s="85">
        <f t="shared" si="29"/>
        <v>2.2449297503777064E-8</v>
      </c>
      <c r="H255" s="85">
        <v>7950</v>
      </c>
      <c r="I255" s="85">
        <f t="shared" si="30"/>
        <v>1.7847191515502767E-4</v>
      </c>
      <c r="J255" s="87">
        <v>1</v>
      </c>
      <c r="K255" s="88">
        <f t="shared" si="25"/>
        <v>5603.1224808192428</v>
      </c>
    </row>
    <row r="256" spans="1:11" hidden="1" x14ac:dyDescent="0.25">
      <c r="A256" t="str">
        <f t="shared" si="20"/>
        <v>316Ø4,5</v>
      </c>
      <c r="B256" s="81">
        <v>316</v>
      </c>
      <c r="D256" s="86">
        <v>4.5</v>
      </c>
      <c r="E256" s="85">
        <f t="shared" si="27"/>
        <v>4.4999999999999997E-3</v>
      </c>
      <c r="F256" s="85">
        <f t="shared" si="28"/>
        <v>2.2499999999999998E-3</v>
      </c>
      <c r="G256" s="85">
        <f t="shared" si="29"/>
        <v>4.7712938426394968E-8</v>
      </c>
      <c r="H256" s="85">
        <v>7950</v>
      </c>
      <c r="I256" s="85">
        <f t="shared" si="30"/>
        <v>3.7931786048983997E-4</v>
      </c>
      <c r="J256" s="87">
        <v>1</v>
      </c>
      <c r="K256" s="88">
        <f t="shared" si="25"/>
        <v>2636.3114004403305</v>
      </c>
    </row>
    <row r="257" spans="1:11" hidden="1" x14ac:dyDescent="0.25">
      <c r="A257" t="str">
        <f t="shared" si="20"/>
        <v>316Ø5</v>
      </c>
      <c r="B257" s="81">
        <v>316</v>
      </c>
      <c r="D257" s="86">
        <v>5</v>
      </c>
      <c r="E257" s="85">
        <f t="shared" si="27"/>
        <v>5.0000000000000001E-3</v>
      </c>
      <c r="F257" s="85">
        <f t="shared" si="28"/>
        <v>2.5000000000000001E-3</v>
      </c>
      <c r="G257" s="85">
        <f t="shared" si="29"/>
        <v>6.5449846949787352E-8</v>
      </c>
      <c r="H257" s="85">
        <v>7950</v>
      </c>
      <c r="I257" s="85">
        <f t="shared" si="30"/>
        <v>5.2032628325080941E-4</v>
      </c>
      <c r="J257" s="87">
        <v>1</v>
      </c>
      <c r="K257" s="88">
        <f t="shared" si="25"/>
        <v>1921.8710109210006</v>
      </c>
    </row>
    <row r="258" spans="1:11" hidden="1" x14ac:dyDescent="0.25">
      <c r="A258" t="str">
        <f t="shared" si="20"/>
        <v>316Ø2</v>
      </c>
      <c r="B258" s="81">
        <v>316</v>
      </c>
      <c r="D258" s="86">
        <v>2</v>
      </c>
      <c r="E258" s="85">
        <f t="shared" si="27"/>
        <v>2E-3</v>
      </c>
      <c r="F258" s="85">
        <f t="shared" si="28"/>
        <v>1E-3</v>
      </c>
      <c r="G258" s="85">
        <f t="shared" si="29"/>
        <v>4.1887902047863909E-9</v>
      </c>
      <c r="H258" s="85">
        <v>7950</v>
      </c>
      <c r="I258" s="85">
        <f t="shared" si="30"/>
        <v>3.3300882128051807E-5</v>
      </c>
      <c r="J258" s="87">
        <v>1</v>
      </c>
      <c r="K258" s="88">
        <f t="shared" si="25"/>
        <v>30029.234545640629</v>
      </c>
    </row>
    <row r="259" spans="1:11" hidden="1" x14ac:dyDescent="0.25">
      <c r="A259" t="str">
        <f t="shared" si="20"/>
        <v>1010Ø6</v>
      </c>
      <c r="B259" s="81">
        <v>1010</v>
      </c>
      <c r="D259" s="86">
        <v>6</v>
      </c>
      <c r="E259" s="85">
        <f t="shared" si="27"/>
        <v>6.0000000000000001E-3</v>
      </c>
      <c r="F259" s="85">
        <f t="shared" si="28"/>
        <v>3.0000000000000001E-3</v>
      </c>
      <c r="G259" s="85">
        <f t="shared" si="29"/>
        <v>1.1309733552923255E-7</v>
      </c>
      <c r="H259" s="85">
        <v>7820</v>
      </c>
      <c r="I259" s="85">
        <f t="shared" si="30"/>
        <v>8.8442116383859854E-4</v>
      </c>
      <c r="J259" s="87">
        <v>1</v>
      </c>
      <c r="K259" s="88">
        <f t="shared" si="25"/>
        <v>1130.683028501672</v>
      </c>
    </row>
    <row r="260" spans="1:11" hidden="1" x14ac:dyDescent="0.25">
      <c r="A260" t="str">
        <f t="shared" ref="A260:A323" si="31">CONCATENATE(B260,"Ø",D260)</f>
        <v>1010Ø8,73125</v>
      </c>
      <c r="B260" s="81">
        <v>1010</v>
      </c>
      <c r="C260" s="101" t="s">
        <v>253</v>
      </c>
      <c r="D260" s="86">
        <f>11/32*25.4</f>
        <v>8.7312499999999993</v>
      </c>
      <c r="E260" s="85">
        <f t="shared" si="27"/>
        <v>8.7312499999999994E-3</v>
      </c>
      <c r="F260" s="85">
        <f t="shared" si="28"/>
        <v>4.3656249999999997E-3</v>
      </c>
      <c r="G260" s="85">
        <f t="shared" si="29"/>
        <v>3.4852015032634969E-7</v>
      </c>
      <c r="H260" s="85">
        <v>7820</v>
      </c>
      <c r="I260" s="85">
        <f t="shared" si="30"/>
        <v>2.7254275755520547E-3</v>
      </c>
      <c r="J260" s="87">
        <v>1</v>
      </c>
      <c r="K260" s="88">
        <f t="shared" si="25"/>
        <v>366.91490501171836</v>
      </c>
    </row>
    <row r="261" spans="1:11" hidden="1" x14ac:dyDescent="0.25">
      <c r="A261" t="str">
        <f t="shared" si="31"/>
        <v>1010Ø9,525</v>
      </c>
      <c r="B261" s="81">
        <v>1010</v>
      </c>
      <c r="C261" s="101" t="s">
        <v>254</v>
      </c>
      <c r="D261" s="86">
        <f>3/8*25.4</f>
        <v>9.5249999999999986</v>
      </c>
      <c r="E261" s="85">
        <f t="shared" si="27"/>
        <v>9.5249999999999987E-3</v>
      </c>
      <c r="F261" s="85">
        <f t="shared" si="28"/>
        <v>4.7624999999999994E-3</v>
      </c>
      <c r="G261" s="85">
        <f t="shared" si="29"/>
        <v>4.5247394422534347E-7</v>
      </c>
      <c r="H261" s="85">
        <v>7820</v>
      </c>
      <c r="I261" s="85">
        <f t="shared" si="30"/>
        <v>3.538346243842186E-3</v>
      </c>
      <c r="J261" s="87">
        <v>1</v>
      </c>
      <c r="K261" s="88">
        <f t="shared" si="25"/>
        <v>282.61790426539193</v>
      </c>
    </row>
    <row r="262" spans="1:11" hidden="1" x14ac:dyDescent="0.25">
      <c r="A262" t="str">
        <f t="shared" si="31"/>
        <v>52100Ø0,3</v>
      </c>
      <c r="B262" s="81">
        <v>52100</v>
      </c>
      <c r="D262" s="86">
        <v>0.3</v>
      </c>
      <c r="E262" s="85">
        <f t="shared" si="27"/>
        <v>2.9999999999999997E-4</v>
      </c>
      <c r="F262" s="85">
        <f t="shared" si="28"/>
        <v>1.4999999999999999E-4</v>
      </c>
      <c r="G262" s="85">
        <f t="shared" si="29"/>
        <v>1.4137166941154065E-11</v>
      </c>
      <c r="H262" s="85">
        <v>7800</v>
      </c>
      <c r="I262" s="85">
        <f t="shared" si="30"/>
        <v>1.1026990214100171E-7</v>
      </c>
      <c r="J262" s="87">
        <v>1</v>
      </c>
      <c r="K262" s="88">
        <f t="shared" si="25"/>
        <v>9068657.726033926</v>
      </c>
    </row>
    <row r="263" spans="1:11" hidden="1" x14ac:dyDescent="0.25">
      <c r="A263" t="str">
        <f t="shared" si="31"/>
        <v>52100Ø0,7</v>
      </c>
      <c r="B263" s="81">
        <v>52100</v>
      </c>
      <c r="D263" s="86">
        <v>0.7</v>
      </c>
      <c r="E263" s="85">
        <f t="shared" si="27"/>
        <v>6.9999999999999999E-4</v>
      </c>
      <c r="F263" s="85">
        <f t="shared" si="28"/>
        <v>3.5E-4</v>
      </c>
      <c r="G263" s="85">
        <f t="shared" si="29"/>
        <v>1.7959438003021649E-10</v>
      </c>
      <c r="H263" s="85">
        <v>7800</v>
      </c>
      <c r="I263" s="85">
        <f t="shared" si="30"/>
        <v>1.4008361642356885E-6</v>
      </c>
      <c r="J263" s="87">
        <v>1</v>
      </c>
      <c r="K263" s="88">
        <f t="shared" si="25"/>
        <v>713859.3545274518</v>
      </c>
    </row>
    <row r="264" spans="1:11" hidden="1" x14ac:dyDescent="0.25">
      <c r="A264" t="str">
        <f t="shared" si="31"/>
        <v>52100Ø0,68</v>
      </c>
      <c r="B264" s="81">
        <v>52100</v>
      </c>
      <c r="D264" s="86">
        <v>0.68</v>
      </c>
      <c r="E264" s="85">
        <f t="shared" si="27"/>
        <v>6.8000000000000005E-4</v>
      </c>
      <c r="F264" s="85">
        <f t="shared" si="28"/>
        <v>3.4000000000000002E-4</v>
      </c>
      <c r="G264" s="85">
        <f t="shared" si="29"/>
        <v>1.6463621020892433E-10</v>
      </c>
      <c r="H264" s="85">
        <v>7800</v>
      </c>
      <c r="I264" s="85">
        <f t="shared" si="30"/>
        <v>1.2841624396296097E-6</v>
      </c>
      <c r="J264" s="87">
        <v>1</v>
      </c>
      <c r="K264" s="88">
        <f t="shared" si="25"/>
        <v>778717.68332394888</v>
      </c>
    </row>
    <row r="265" spans="1:11" hidden="1" x14ac:dyDescent="0.25">
      <c r="A265" t="str">
        <f t="shared" si="31"/>
        <v>PMMAØ15,875</v>
      </c>
      <c r="B265" s="81" t="s">
        <v>299</v>
      </c>
      <c r="C265" s="101" t="s">
        <v>266</v>
      </c>
      <c r="D265" s="86">
        <f>5/8*25.4</f>
        <v>15.875</v>
      </c>
      <c r="E265" s="85">
        <f t="shared" si="27"/>
        <v>1.5875E-2</v>
      </c>
      <c r="F265" s="85">
        <f t="shared" si="28"/>
        <v>7.9375000000000001E-3</v>
      </c>
      <c r="G265" s="85">
        <f t="shared" si="29"/>
        <v>2.0947867788210358E-6</v>
      </c>
      <c r="H265" s="85">
        <v>1180</v>
      </c>
      <c r="I265" s="85">
        <f t="shared" si="30"/>
        <v>2.4718483990088221E-3</v>
      </c>
      <c r="J265" s="87">
        <v>1</v>
      </c>
      <c r="K265" s="88">
        <f t="shared" si="25"/>
        <v>404.55555462098181</v>
      </c>
    </row>
    <row r="266" spans="1:11" hidden="1" x14ac:dyDescent="0.25">
      <c r="A266" t="str">
        <f t="shared" si="31"/>
        <v>Al2O3Ø3</v>
      </c>
      <c r="B266" s="81" t="s">
        <v>217</v>
      </c>
      <c r="D266" s="86">
        <v>3</v>
      </c>
      <c r="E266" s="85">
        <f t="shared" si="27"/>
        <v>3.0000000000000001E-3</v>
      </c>
      <c r="F266" s="85">
        <f t="shared" si="28"/>
        <v>1.5E-3</v>
      </c>
      <c r="G266" s="85">
        <f t="shared" si="29"/>
        <v>1.4137166941154068E-8</v>
      </c>
      <c r="H266" s="85">
        <v>3900</v>
      </c>
      <c r="I266" s="85">
        <f t="shared" si="30"/>
        <v>5.5134951070500869E-5</v>
      </c>
      <c r="J266" s="87">
        <v>1</v>
      </c>
      <c r="K266" s="88">
        <f t="shared" si="25"/>
        <v>18137.315452067844</v>
      </c>
    </row>
    <row r="267" spans="1:11" hidden="1" x14ac:dyDescent="0.25">
      <c r="A267" t="str">
        <f t="shared" si="31"/>
        <v>52100Ø9,525</v>
      </c>
      <c r="B267" s="81">
        <v>52100</v>
      </c>
      <c r="C267" s="101" t="s">
        <v>254</v>
      </c>
      <c r="D267" s="86">
        <f>3/8*25.4</f>
        <v>9.5249999999999986</v>
      </c>
      <c r="E267" s="85">
        <f t="shared" si="27"/>
        <v>9.5249999999999987E-3</v>
      </c>
      <c r="F267" s="85">
        <f t="shared" si="28"/>
        <v>4.7624999999999994E-3</v>
      </c>
      <c r="G267" s="85">
        <f t="shared" si="29"/>
        <v>4.5247394422534347E-7</v>
      </c>
      <c r="H267" s="85">
        <v>7800</v>
      </c>
      <c r="I267" s="85">
        <f t="shared" si="30"/>
        <v>3.5292967649576791E-3</v>
      </c>
      <c r="J267" s="87">
        <v>1</v>
      </c>
      <c r="K267" s="88">
        <f t="shared" si="25"/>
        <v>283.3425655583801</v>
      </c>
    </row>
    <row r="268" spans="1:11" hidden="1" x14ac:dyDescent="0.25">
      <c r="A268" t="str">
        <f t="shared" si="31"/>
        <v>304Ø0,5</v>
      </c>
      <c r="B268" s="81">
        <v>304</v>
      </c>
      <c r="D268" s="86">
        <v>0.5</v>
      </c>
      <c r="E268" s="85">
        <f t="shared" si="27"/>
        <v>5.0000000000000001E-4</v>
      </c>
      <c r="F268" s="85">
        <f t="shared" si="28"/>
        <v>2.5000000000000001E-4</v>
      </c>
      <c r="G268" s="85">
        <f t="shared" si="29"/>
        <v>6.5449846949787358E-11</v>
      </c>
      <c r="H268" s="85">
        <v>7950</v>
      </c>
      <c r="I268" s="85">
        <f t="shared" si="30"/>
        <v>5.2032628325080949E-7</v>
      </c>
      <c r="J268" s="87">
        <v>1</v>
      </c>
      <c r="K268" s="88">
        <f t="shared" si="25"/>
        <v>1921871.0109210003</v>
      </c>
    </row>
    <row r="269" spans="1:11" hidden="1" x14ac:dyDescent="0.25">
      <c r="A269" t="str">
        <f t="shared" si="31"/>
        <v>304Ø1</v>
      </c>
      <c r="B269" s="81">
        <v>304</v>
      </c>
      <c r="D269" s="86">
        <v>1</v>
      </c>
      <c r="E269" s="85">
        <f t="shared" si="27"/>
        <v>1E-3</v>
      </c>
      <c r="F269" s="85">
        <f t="shared" si="28"/>
        <v>5.0000000000000001E-4</v>
      </c>
      <c r="G269" s="85">
        <f t="shared" si="29"/>
        <v>5.2359877559829886E-10</v>
      </c>
      <c r="H269" s="85">
        <v>7950</v>
      </c>
      <c r="I269" s="85">
        <f t="shared" si="30"/>
        <v>4.1626102660064759E-6</v>
      </c>
      <c r="J269" s="87">
        <v>1</v>
      </c>
      <c r="K269" s="88">
        <f t="shared" si="25"/>
        <v>240233.87636512503</v>
      </c>
    </row>
    <row r="270" spans="1:11" hidden="1" x14ac:dyDescent="0.25">
      <c r="A270" t="str">
        <f t="shared" si="31"/>
        <v>304Ø1,5</v>
      </c>
      <c r="B270" s="81">
        <v>304</v>
      </c>
      <c r="D270" s="86">
        <v>1.5</v>
      </c>
      <c r="E270" s="85">
        <f t="shared" si="27"/>
        <v>1.5E-3</v>
      </c>
      <c r="F270" s="85">
        <f t="shared" si="28"/>
        <v>7.5000000000000002E-4</v>
      </c>
      <c r="G270" s="85">
        <f t="shared" si="29"/>
        <v>1.7671458676442585E-9</v>
      </c>
      <c r="H270" s="85">
        <v>7950</v>
      </c>
      <c r="I270" s="85">
        <f t="shared" si="30"/>
        <v>1.4048809647771855E-5</v>
      </c>
      <c r="J270" s="87">
        <v>1</v>
      </c>
      <c r="K270" s="88">
        <f t="shared" si="25"/>
        <v>71180.407811888916</v>
      </c>
    </row>
    <row r="271" spans="1:11" hidden="1" x14ac:dyDescent="0.25">
      <c r="A271" t="str">
        <f t="shared" si="31"/>
        <v>304Ø2</v>
      </c>
      <c r="B271" s="81">
        <v>304</v>
      </c>
      <c r="D271" s="86">
        <v>2</v>
      </c>
      <c r="E271" s="85">
        <f t="shared" si="27"/>
        <v>2E-3</v>
      </c>
      <c r="F271" s="85">
        <f t="shared" si="28"/>
        <v>1E-3</v>
      </c>
      <c r="G271" s="85">
        <f t="shared" si="29"/>
        <v>4.1887902047863909E-9</v>
      </c>
      <c r="H271" s="85">
        <v>7950</v>
      </c>
      <c r="I271" s="85">
        <f t="shared" si="30"/>
        <v>3.3300882128051807E-5</v>
      </c>
      <c r="J271" s="87">
        <v>1</v>
      </c>
      <c r="K271" s="88">
        <f t="shared" si="25"/>
        <v>30029.234545640629</v>
      </c>
    </row>
    <row r="272" spans="1:11" hidden="1" x14ac:dyDescent="0.25">
      <c r="A272" t="str">
        <f t="shared" si="31"/>
        <v>304Ø2,5</v>
      </c>
      <c r="B272" s="81">
        <v>304</v>
      </c>
      <c r="D272" s="86">
        <v>2.5</v>
      </c>
      <c r="E272" s="85">
        <f t="shared" si="27"/>
        <v>2.5000000000000001E-3</v>
      </c>
      <c r="F272" s="85">
        <f t="shared" si="28"/>
        <v>1.25E-3</v>
      </c>
      <c r="G272" s="85">
        <f t="shared" si="29"/>
        <v>8.181230868723419E-9</v>
      </c>
      <c r="H272" s="85">
        <v>7950</v>
      </c>
      <c r="I272" s="85">
        <f t="shared" si="30"/>
        <v>6.5040785406351176E-5</v>
      </c>
      <c r="J272" s="87">
        <v>1</v>
      </c>
      <c r="K272" s="88">
        <f t="shared" si="25"/>
        <v>15374.968087368004</v>
      </c>
    </row>
    <row r="273" spans="1:11" hidden="1" x14ac:dyDescent="0.25">
      <c r="A273" t="str">
        <f t="shared" si="31"/>
        <v>304Ø2,8</v>
      </c>
      <c r="B273" s="81">
        <v>304</v>
      </c>
      <c r="D273" s="86">
        <v>2.8</v>
      </c>
      <c r="E273" s="85">
        <f t="shared" si="27"/>
        <v>2.8E-3</v>
      </c>
      <c r="F273" s="85">
        <f t="shared" si="28"/>
        <v>1.4E-3</v>
      </c>
      <c r="G273" s="85">
        <f t="shared" si="29"/>
        <v>1.1494040321933855E-8</v>
      </c>
      <c r="H273" s="85">
        <v>7950</v>
      </c>
      <c r="I273" s="85">
        <f t="shared" si="30"/>
        <v>9.1377620559374154E-5</v>
      </c>
      <c r="J273" s="87">
        <v>1</v>
      </c>
      <c r="K273" s="88">
        <f t="shared" si="25"/>
        <v>10943.598595350084</v>
      </c>
    </row>
    <row r="274" spans="1:11" hidden="1" x14ac:dyDescent="0.25">
      <c r="A274" t="str">
        <f t="shared" si="31"/>
        <v>304Ø3</v>
      </c>
      <c r="B274" s="81">
        <v>304</v>
      </c>
      <c r="D274" s="86">
        <v>3</v>
      </c>
      <c r="E274" s="85">
        <f t="shared" si="27"/>
        <v>3.0000000000000001E-3</v>
      </c>
      <c r="F274" s="85">
        <f t="shared" si="28"/>
        <v>1.5E-3</v>
      </c>
      <c r="G274" s="85">
        <f t="shared" si="29"/>
        <v>1.4137166941154068E-8</v>
      </c>
      <c r="H274" s="85">
        <v>7950</v>
      </c>
      <c r="I274" s="85">
        <f t="shared" si="30"/>
        <v>1.1239047718217484E-4</v>
      </c>
      <c r="J274" s="87">
        <v>1</v>
      </c>
      <c r="K274" s="88">
        <f t="shared" si="25"/>
        <v>8897.5509764861145</v>
      </c>
    </row>
    <row r="275" spans="1:11" hidden="1" x14ac:dyDescent="0.25">
      <c r="A275" t="str">
        <f t="shared" si="31"/>
        <v>52100Ø37</v>
      </c>
      <c r="B275" s="81">
        <v>52100</v>
      </c>
      <c r="D275" s="86">
        <v>37</v>
      </c>
      <c r="E275" s="85">
        <f t="shared" si="27"/>
        <v>3.6999999999999998E-2</v>
      </c>
      <c r="F275" s="85">
        <f t="shared" si="28"/>
        <v>1.8499999999999999E-2</v>
      </c>
      <c r="G275" s="85">
        <f t="shared" si="29"/>
        <v>2.6521848780380628E-5</v>
      </c>
      <c r="H275" s="85">
        <v>7800</v>
      </c>
      <c r="I275" s="85">
        <f t="shared" si="30"/>
        <v>0.20687042048696891</v>
      </c>
      <c r="J275" s="87">
        <v>1</v>
      </c>
      <c r="K275" s="94">
        <f t="shared" si="25"/>
        <v>4.83394386517908</v>
      </c>
    </row>
    <row r="276" spans="1:11" hidden="1" x14ac:dyDescent="0.25">
      <c r="A276" t="str">
        <f t="shared" si="31"/>
        <v>52100Ø0,79375</v>
      </c>
      <c r="B276" s="81">
        <v>52100</v>
      </c>
      <c r="C276" s="101" t="s">
        <v>241</v>
      </c>
      <c r="D276" s="86">
        <f>1/32*25.4</f>
        <v>0.79374999999999996</v>
      </c>
      <c r="E276" s="85">
        <f t="shared" si="27"/>
        <v>7.9374999999999997E-4</v>
      </c>
      <c r="F276" s="85">
        <f t="shared" si="28"/>
        <v>3.9687499999999998E-4</v>
      </c>
      <c r="G276" s="85">
        <f t="shared" si="29"/>
        <v>2.6184834735262936E-10</v>
      </c>
      <c r="H276" s="85">
        <v>7800</v>
      </c>
      <c r="I276" s="85">
        <f t="shared" si="30"/>
        <v>2.0424171093505088E-6</v>
      </c>
      <c r="J276" s="87">
        <v>1</v>
      </c>
      <c r="K276" s="88">
        <f t="shared" si="25"/>
        <v>489615.95328488079</v>
      </c>
    </row>
    <row r="277" spans="1:11" hidden="1" x14ac:dyDescent="0.25">
      <c r="A277" t="str">
        <f t="shared" si="31"/>
        <v>52100Ø15,875</v>
      </c>
      <c r="B277" s="81">
        <v>52100</v>
      </c>
      <c r="C277" s="101" t="s">
        <v>266</v>
      </c>
      <c r="D277" s="86">
        <f>5/8*25.4</f>
        <v>15.875</v>
      </c>
      <c r="E277" s="85">
        <f t="shared" si="27"/>
        <v>1.5875E-2</v>
      </c>
      <c r="F277" s="85">
        <f t="shared" si="28"/>
        <v>7.9375000000000001E-3</v>
      </c>
      <c r="G277" s="85">
        <f t="shared" si="29"/>
        <v>2.0947867788210358E-6</v>
      </c>
      <c r="H277" s="85">
        <v>7800</v>
      </c>
      <c r="I277" s="85">
        <f t="shared" si="30"/>
        <v>1.6339336874804079E-2</v>
      </c>
      <c r="J277" s="87">
        <v>1</v>
      </c>
      <c r="K277" s="88">
        <f t="shared" si="25"/>
        <v>61.20199416061007</v>
      </c>
    </row>
    <row r="278" spans="1:11" hidden="1" x14ac:dyDescent="0.25">
      <c r="A278" t="str">
        <f t="shared" si="31"/>
        <v>52100Ø15,875</v>
      </c>
      <c r="B278" s="81">
        <v>52100</v>
      </c>
      <c r="C278" s="101" t="s">
        <v>266</v>
      </c>
      <c r="D278" s="86">
        <f>5/8*25.4</f>
        <v>15.875</v>
      </c>
      <c r="E278" s="85">
        <f t="shared" si="27"/>
        <v>1.5875E-2</v>
      </c>
      <c r="F278" s="85">
        <f t="shared" si="28"/>
        <v>7.9375000000000001E-3</v>
      </c>
      <c r="G278" s="85">
        <f t="shared" si="29"/>
        <v>2.0947867788210358E-6</v>
      </c>
      <c r="H278" s="85">
        <v>7800</v>
      </c>
      <c r="I278" s="85">
        <f t="shared" si="30"/>
        <v>1.6339336874804079E-2</v>
      </c>
      <c r="J278" s="87">
        <v>1</v>
      </c>
      <c r="K278" s="88">
        <f t="shared" si="25"/>
        <v>61.20199416061007</v>
      </c>
    </row>
    <row r="279" spans="1:11" hidden="1" x14ac:dyDescent="0.25">
      <c r="A279" t="str">
        <f t="shared" si="31"/>
        <v>52100Ø15,875</v>
      </c>
      <c r="B279" s="81">
        <v>52100</v>
      </c>
      <c r="C279" s="101" t="s">
        <v>266</v>
      </c>
      <c r="D279" s="86">
        <f>5/8*25.4</f>
        <v>15.875</v>
      </c>
      <c r="E279" s="85">
        <f t="shared" si="27"/>
        <v>1.5875E-2</v>
      </c>
      <c r="F279" s="85">
        <f t="shared" si="28"/>
        <v>7.9375000000000001E-3</v>
      </c>
      <c r="G279" s="85">
        <f t="shared" si="29"/>
        <v>2.0947867788210358E-6</v>
      </c>
      <c r="H279" s="85">
        <v>7800</v>
      </c>
      <c r="I279" s="85">
        <f t="shared" si="30"/>
        <v>1.6339336874804079E-2</v>
      </c>
      <c r="J279" s="87">
        <v>1</v>
      </c>
      <c r="K279" s="88">
        <f t="shared" ref="K279:K342" si="32">J279/I279</f>
        <v>61.20199416061007</v>
      </c>
    </row>
    <row r="280" spans="1:11" hidden="1" x14ac:dyDescent="0.25">
      <c r="A280" t="str">
        <f t="shared" si="31"/>
        <v>Al2O3Ø2,38125</v>
      </c>
      <c r="B280" s="81" t="s">
        <v>217</v>
      </c>
      <c r="C280" s="101" t="s">
        <v>213</v>
      </c>
      <c r="D280" s="86">
        <f>3/32*25.4</f>
        <v>2.3812499999999996</v>
      </c>
      <c r="E280" s="85">
        <f t="shared" si="27"/>
        <v>2.3812499999999997E-3</v>
      </c>
      <c r="F280" s="85">
        <f t="shared" si="28"/>
        <v>1.1906249999999998E-3</v>
      </c>
      <c r="G280" s="85">
        <f t="shared" si="29"/>
        <v>7.0699053785209917E-9</v>
      </c>
      <c r="H280" s="85">
        <v>3909</v>
      </c>
      <c r="I280" s="85">
        <f t="shared" si="30"/>
        <v>2.7636260124638556E-5</v>
      </c>
      <c r="J280" s="87">
        <v>1</v>
      </c>
      <c r="K280" s="88">
        <f t="shared" si="32"/>
        <v>36184.346054423986</v>
      </c>
    </row>
    <row r="281" spans="1:11" hidden="1" x14ac:dyDescent="0.25">
      <c r="A281" t="str">
        <f t="shared" si="31"/>
        <v>Al2O3Ø2,38125</v>
      </c>
      <c r="B281" s="81" t="s">
        <v>217</v>
      </c>
      <c r="C281" s="101" t="s">
        <v>213</v>
      </c>
      <c r="D281" s="86">
        <f>3/32*25.4</f>
        <v>2.3812499999999996</v>
      </c>
      <c r="E281" s="85">
        <f t="shared" si="27"/>
        <v>2.3812499999999997E-3</v>
      </c>
      <c r="F281" s="85">
        <f t="shared" si="28"/>
        <v>1.1906249999999998E-3</v>
      </c>
      <c r="G281" s="85">
        <f t="shared" si="29"/>
        <v>7.0699053785209917E-9</v>
      </c>
      <c r="H281" s="85">
        <v>3946</v>
      </c>
      <c r="I281" s="85">
        <f t="shared" si="30"/>
        <v>2.7897846623643832E-5</v>
      </c>
      <c r="J281" s="87">
        <v>1</v>
      </c>
      <c r="K281" s="88">
        <f t="shared" si="32"/>
        <v>35845.060498414437</v>
      </c>
    </row>
    <row r="282" spans="1:11" hidden="1" x14ac:dyDescent="0.25">
      <c r="A282" t="str">
        <f t="shared" si="31"/>
        <v>304Ø3</v>
      </c>
      <c r="B282" s="81">
        <v>304</v>
      </c>
      <c r="D282" s="86">
        <v>3</v>
      </c>
      <c r="E282" s="85">
        <f t="shared" si="27"/>
        <v>3.0000000000000001E-3</v>
      </c>
      <c r="F282" s="85">
        <f t="shared" si="28"/>
        <v>1.5E-3</v>
      </c>
      <c r="G282" s="85">
        <f t="shared" si="29"/>
        <v>1.4137166941154068E-8</v>
      </c>
      <c r="H282" s="85">
        <v>7950</v>
      </c>
      <c r="I282" s="85">
        <f t="shared" si="30"/>
        <v>1.1239047718217484E-4</v>
      </c>
      <c r="J282" s="87">
        <v>1</v>
      </c>
      <c r="K282" s="88">
        <f t="shared" si="32"/>
        <v>8897.5509764861145</v>
      </c>
    </row>
    <row r="283" spans="1:11" hidden="1" x14ac:dyDescent="0.25">
      <c r="A283" t="str">
        <f t="shared" si="31"/>
        <v>ZrO2Ø2</v>
      </c>
      <c r="B283" s="81" t="s">
        <v>205</v>
      </c>
      <c r="D283" s="86">
        <v>2</v>
      </c>
      <c r="E283" s="85">
        <f t="shared" si="27"/>
        <v>2E-3</v>
      </c>
      <c r="F283" s="85">
        <f t="shared" si="28"/>
        <v>1E-3</v>
      </c>
      <c r="G283" s="85">
        <f t="shared" si="29"/>
        <v>4.1887902047863909E-9</v>
      </c>
      <c r="H283" s="85">
        <v>6000</v>
      </c>
      <c r="I283" s="85">
        <f t="shared" si="30"/>
        <v>2.5132741228718347E-5</v>
      </c>
      <c r="J283" s="87">
        <v>1</v>
      </c>
      <c r="K283" s="88">
        <f t="shared" si="32"/>
        <v>39788.735772973836</v>
      </c>
    </row>
    <row r="284" spans="1:11" hidden="1" x14ac:dyDescent="0.25">
      <c r="A284" t="str">
        <f t="shared" si="31"/>
        <v>304Ø4</v>
      </c>
      <c r="B284" s="81">
        <v>304</v>
      </c>
      <c r="D284" s="86">
        <v>4</v>
      </c>
      <c r="E284" s="85">
        <f t="shared" si="27"/>
        <v>4.0000000000000001E-3</v>
      </c>
      <c r="F284" s="85">
        <f t="shared" si="28"/>
        <v>2E-3</v>
      </c>
      <c r="G284" s="85">
        <f t="shared" si="29"/>
        <v>3.3510321638291127E-8</v>
      </c>
      <c r="H284" s="85">
        <v>7950</v>
      </c>
      <c r="I284" s="85">
        <f t="shared" si="30"/>
        <v>2.6640705702441446E-4</v>
      </c>
      <c r="J284" s="87">
        <v>1</v>
      </c>
      <c r="K284" s="88">
        <f t="shared" si="32"/>
        <v>3753.6543182050787</v>
      </c>
    </row>
    <row r="285" spans="1:11" hidden="1" x14ac:dyDescent="0.25">
      <c r="A285" t="str">
        <f t="shared" si="31"/>
        <v>52100Ø15,895</v>
      </c>
      <c r="B285" s="81">
        <v>52100</v>
      </c>
      <c r="C285" s="101" t="s">
        <v>302</v>
      </c>
      <c r="D285" s="86">
        <f>5/8*25.4+0.02</f>
        <v>15.895</v>
      </c>
      <c r="E285" s="85">
        <f t="shared" si="27"/>
        <v>1.5894999999999999E-2</v>
      </c>
      <c r="F285" s="85">
        <f t="shared" si="28"/>
        <v>7.9474999999999997E-3</v>
      </c>
      <c r="G285" s="85">
        <f t="shared" si="29"/>
        <v>2.1027140619273989E-6</v>
      </c>
      <c r="H285" s="85">
        <v>7800</v>
      </c>
      <c r="I285" s="85">
        <f t="shared" si="30"/>
        <v>1.640116968303371E-2</v>
      </c>
      <c r="J285" s="87">
        <v>1</v>
      </c>
      <c r="K285" s="94">
        <f t="shared" si="32"/>
        <v>60.971261155505033</v>
      </c>
    </row>
    <row r="286" spans="1:11" hidden="1" x14ac:dyDescent="0.25">
      <c r="A286" t="str">
        <f t="shared" si="31"/>
        <v>52100Ø15,885</v>
      </c>
      <c r="B286" s="81">
        <v>52100</v>
      </c>
      <c r="C286" s="101" t="s">
        <v>303</v>
      </c>
      <c r="D286" s="86">
        <f>5/8*25.4+0.01</f>
        <v>15.885</v>
      </c>
      <c r="E286" s="85">
        <f t="shared" si="27"/>
        <v>1.5885E-2</v>
      </c>
      <c r="F286" s="85">
        <f t="shared" si="28"/>
        <v>7.9424999999999999E-3</v>
      </c>
      <c r="G286" s="85">
        <f t="shared" si="29"/>
        <v>2.098747925164252E-6</v>
      </c>
      <c r="H286" s="85">
        <v>7800</v>
      </c>
      <c r="I286" s="85">
        <f t="shared" si="30"/>
        <v>1.6370233816281166E-2</v>
      </c>
      <c r="J286" s="87">
        <v>1</v>
      </c>
      <c r="K286" s="94">
        <f t="shared" si="32"/>
        <v>61.086482405977662</v>
      </c>
    </row>
    <row r="287" spans="1:11" hidden="1" x14ac:dyDescent="0.25">
      <c r="A287" t="str">
        <f t="shared" si="31"/>
        <v>52100Ø15,865</v>
      </c>
      <c r="B287" s="81">
        <v>52100</v>
      </c>
      <c r="C287" s="101" t="s">
        <v>304</v>
      </c>
      <c r="D287" s="86">
        <f>5/8*25.4-0.01</f>
        <v>15.865</v>
      </c>
      <c r="E287" s="85">
        <f t="shared" si="27"/>
        <v>1.5865000000000001E-2</v>
      </c>
      <c r="F287" s="85">
        <f t="shared" si="28"/>
        <v>7.9325000000000003E-3</v>
      </c>
      <c r="G287" s="85">
        <f t="shared" si="29"/>
        <v>2.0908306197561562E-6</v>
      </c>
      <c r="H287" s="85">
        <v>7800</v>
      </c>
      <c r="I287" s="85">
        <f t="shared" si="30"/>
        <v>1.6308478834098018E-2</v>
      </c>
      <c r="J287" s="87">
        <v>1</v>
      </c>
      <c r="K287" s="94">
        <f t="shared" si="32"/>
        <v>61.317797335529825</v>
      </c>
    </row>
    <row r="288" spans="1:11" hidden="1" x14ac:dyDescent="0.25">
      <c r="A288" t="str">
        <f t="shared" si="31"/>
        <v>52100Ø15,95</v>
      </c>
      <c r="B288" s="81">
        <v>52100</v>
      </c>
      <c r="D288" s="86">
        <v>15.95</v>
      </c>
      <c r="E288" s="85">
        <f t="shared" si="27"/>
        <v>1.5949999999999999E-2</v>
      </c>
      <c r="F288" s="85">
        <f t="shared" si="28"/>
        <v>7.9749999999999995E-3</v>
      </c>
      <c r="G288" s="85">
        <f t="shared" si="29"/>
        <v>2.1246171582708813E-6</v>
      </c>
      <c r="H288" s="85">
        <v>7800</v>
      </c>
      <c r="I288" s="85">
        <f t="shared" si="30"/>
        <v>1.6572013834512875E-2</v>
      </c>
      <c r="J288" s="87">
        <v>1</v>
      </c>
      <c r="K288" s="94">
        <f t="shared" si="32"/>
        <v>60.342696426996703</v>
      </c>
    </row>
    <row r="289" spans="1:11" hidden="1" x14ac:dyDescent="0.25">
      <c r="A289" t="str">
        <f t="shared" si="31"/>
        <v>52100Ø15,96</v>
      </c>
      <c r="B289" s="81">
        <v>52100</v>
      </c>
      <c r="D289" s="86">
        <v>15.96</v>
      </c>
      <c r="E289" s="85">
        <f t="shared" si="27"/>
        <v>1.5960000000000002E-2</v>
      </c>
      <c r="F289" s="85">
        <f t="shared" si="28"/>
        <v>7.980000000000001E-3</v>
      </c>
      <c r="G289" s="85">
        <f t="shared" si="29"/>
        <v>2.1286158093398973E-6</v>
      </c>
      <c r="H289" s="85">
        <v>7800</v>
      </c>
      <c r="I289" s="85">
        <f t="shared" si="30"/>
        <v>1.66032033128512E-2</v>
      </c>
      <c r="J289" s="87">
        <v>1</v>
      </c>
      <c r="K289" s="94">
        <f t="shared" si="32"/>
        <v>60.229341360048316</v>
      </c>
    </row>
    <row r="290" spans="1:11" hidden="1" x14ac:dyDescent="0.25">
      <c r="A290" t="str">
        <f t="shared" si="31"/>
        <v>52100Ø15,875</v>
      </c>
      <c r="B290" s="81">
        <v>52100</v>
      </c>
      <c r="C290" s="101" t="s">
        <v>266</v>
      </c>
      <c r="D290" s="86">
        <f>5/8*25.4</f>
        <v>15.875</v>
      </c>
      <c r="E290" s="85">
        <f t="shared" si="27"/>
        <v>1.5875E-2</v>
      </c>
      <c r="F290" s="85">
        <f t="shared" si="28"/>
        <v>7.9375000000000001E-3</v>
      </c>
      <c r="G290" s="85">
        <f t="shared" si="29"/>
        <v>2.0947867788210358E-6</v>
      </c>
      <c r="H290" s="85">
        <v>7800</v>
      </c>
      <c r="I290" s="85">
        <f t="shared" si="30"/>
        <v>1.6339336874804079E-2</v>
      </c>
      <c r="J290" s="87">
        <v>1</v>
      </c>
      <c r="K290" s="88">
        <f t="shared" si="32"/>
        <v>61.20199416061007</v>
      </c>
    </row>
    <row r="291" spans="1:11" hidden="1" x14ac:dyDescent="0.25">
      <c r="A291" t="str">
        <f t="shared" si="31"/>
        <v>52100Ø16</v>
      </c>
      <c r="B291" s="81">
        <v>52100</v>
      </c>
      <c r="D291" s="86">
        <v>16</v>
      </c>
      <c r="E291" s="85">
        <f t="shared" si="27"/>
        <v>1.6E-2</v>
      </c>
      <c r="F291" s="85">
        <f t="shared" si="28"/>
        <v>8.0000000000000002E-3</v>
      </c>
      <c r="G291" s="85">
        <f t="shared" si="29"/>
        <v>2.1446605848506321E-6</v>
      </c>
      <c r="H291" s="85">
        <v>7800</v>
      </c>
      <c r="I291" s="85">
        <f t="shared" si="30"/>
        <v>1.6728352561834931E-2</v>
      </c>
      <c r="J291" s="87">
        <v>1</v>
      </c>
      <c r="K291" s="88">
        <f t="shared" si="32"/>
        <v>59.778749658915018</v>
      </c>
    </row>
    <row r="292" spans="1:11" hidden="1" x14ac:dyDescent="0.25">
      <c r="A292" t="str">
        <f t="shared" si="31"/>
        <v>52100Ø4</v>
      </c>
      <c r="B292" s="81">
        <v>52100</v>
      </c>
      <c r="D292" s="86">
        <v>4</v>
      </c>
      <c r="E292" s="85">
        <f t="shared" si="27"/>
        <v>4.0000000000000001E-3</v>
      </c>
      <c r="F292" s="85">
        <f t="shared" si="28"/>
        <v>2E-3</v>
      </c>
      <c r="G292" s="85">
        <f t="shared" si="29"/>
        <v>3.3510321638291127E-8</v>
      </c>
      <c r="H292" s="85">
        <v>7800</v>
      </c>
      <c r="I292" s="85">
        <f t="shared" si="30"/>
        <v>2.613805087786708E-4</v>
      </c>
      <c r="J292" s="87">
        <v>1</v>
      </c>
      <c r="K292" s="88">
        <f t="shared" si="32"/>
        <v>3825.8399781705612</v>
      </c>
    </row>
    <row r="293" spans="1:11" hidden="1" x14ac:dyDescent="0.25">
      <c r="A293" t="str">
        <f t="shared" si="31"/>
        <v>Wc-CoØ5,55625</v>
      </c>
      <c r="B293" s="81" t="s">
        <v>206</v>
      </c>
      <c r="C293" s="101" t="s">
        <v>249</v>
      </c>
      <c r="D293" s="86">
        <f>7/32*25.4</f>
        <v>5.5562499999999995</v>
      </c>
      <c r="E293" s="85">
        <f t="shared" si="27"/>
        <v>5.5562499999999996E-3</v>
      </c>
      <c r="F293" s="85">
        <f t="shared" si="28"/>
        <v>2.7781249999999998E-3</v>
      </c>
      <c r="G293" s="85">
        <f t="shared" si="29"/>
        <v>8.9813983141951873E-8</v>
      </c>
      <c r="H293" s="85">
        <v>14950</v>
      </c>
      <c r="I293" s="85">
        <f t="shared" si="30"/>
        <v>1.3427190479721805E-3</v>
      </c>
      <c r="J293" s="87">
        <v>1</v>
      </c>
      <c r="K293" s="88">
        <f t="shared" si="32"/>
        <v>744.757439398982</v>
      </c>
    </row>
    <row r="294" spans="1:11" hidden="1" x14ac:dyDescent="0.25">
      <c r="A294" t="str">
        <f t="shared" si="31"/>
        <v>Wc-CoØ4,7625</v>
      </c>
      <c r="B294" s="81" t="s">
        <v>206</v>
      </c>
      <c r="C294" s="101" t="s">
        <v>248</v>
      </c>
      <c r="D294" s="86">
        <f>3/16*25.4</f>
        <v>4.7624999999999993</v>
      </c>
      <c r="E294" s="85">
        <f t="shared" si="27"/>
        <v>4.7624999999999994E-3</v>
      </c>
      <c r="F294" s="85">
        <f t="shared" si="28"/>
        <v>2.3812499999999997E-3</v>
      </c>
      <c r="G294" s="85">
        <f t="shared" si="29"/>
        <v>5.6559243028167934E-8</v>
      </c>
      <c r="H294" s="85">
        <v>14950</v>
      </c>
      <c r="I294" s="85">
        <f t="shared" si="30"/>
        <v>8.4556068327111056E-4</v>
      </c>
      <c r="J294" s="87">
        <v>1</v>
      </c>
      <c r="K294" s="88">
        <f t="shared" si="32"/>
        <v>1182.6472301567171</v>
      </c>
    </row>
    <row r="295" spans="1:11" hidden="1" x14ac:dyDescent="0.25">
      <c r="A295" t="str">
        <f t="shared" si="31"/>
        <v>316LØ7</v>
      </c>
      <c r="B295" s="81" t="s">
        <v>298</v>
      </c>
      <c r="D295" s="86">
        <v>7</v>
      </c>
      <c r="E295" s="85">
        <f t="shared" si="27"/>
        <v>7.0000000000000001E-3</v>
      </c>
      <c r="F295" s="85">
        <f t="shared" si="28"/>
        <v>3.5000000000000001E-3</v>
      </c>
      <c r="G295" s="85">
        <f t="shared" si="29"/>
        <v>1.7959438003021651E-7</v>
      </c>
      <c r="H295" s="85">
        <v>7950</v>
      </c>
      <c r="I295" s="85">
        <f t="shared" si="30"/>
        <v>1.4277753212402213E-3</v>
      </c>
      <c r="J295" s="87">
        <v>1</v>
      </c>
      <c r="K295" s="88">
        <f t="shared" si="32"/>
        <v>700.39031010240535</v>
      </c>
    </row>
    <row r="296" spans="1:11" hidden="1" x14ac:dyDescent="0.25">
      <c r="A296" t="str">
        <f t="shared" si="31"/>
        <v>52100Ø3</v>
      </c>
      <c r="B296" s="81">
        <v>52100</v>
      </c>
      <c r="D296" s="86">
        <v>3</v>
      </c>
      <c r="E296" s="85">
        <f t="shared" si="27"/>
        <v>3.0000000000000001E-3</v>
      </c>
      <c r="F296" s="85">
        <f t="shared" si="28"/>
        <v>1.5E-3</v>
      </c>
      <c r="G296" s="85">
        <f t="shared" si="29"/>
        <v>1.4137166941154068E-8</v>
      </c>
      <c r="H296" s="85">
        <v>7800</v>
      </c>
      <c r="I296" s="85">
        <f t="shared" si="30"/>
        <v>1.1026990214100174E-4</v>
      </c>
      <c r="J296" s="87">
        <v>1</v>
      </c>
      <c r="K296" s="88">
        <f t="shared" si="32"/>
        <v>9068.6577260339218</v>
      </c>
    </row>
    <row r="297" spans="1:11" hidden="1" x14ac:dyDescent="0.25">
      <c r="A297" t="str">
        <f t="shared" si="31"/>
        <v>52100Ø3</v>
      </c>
      <c r="B297" s="81">
        <v>52100</v>
      </c>
      <c r="D297" s="86">
        <v>3</v>
      </c>
      <c r="E297" s="85">
        <f t="shared" si="27"/>
        <v>3.0000000000000001E-3</v>
      </c>
      <c r="F297" s="85">
        <f t="shared" si="28"/>
        <v>1.5E-3</v>
      </c>
      <c r="G297" s="85">
        <f t="shared" si="29"/>
        <v>1.4137166941154068E-8</v>
      </c>
      <c r="H297" s="85">
        <v>7800</v>
      </c>
      <c r="I297" s="85">
        <f t="shared" si="30"/>
        <v>1.1026990214100174E-4</v>
      </c>
      <c r="J297" s="87">
        <v>1</v>
      </c>
      <c r="K297" s="88">
        <f t="shared" si="32"/>
        <v>9068.6577260339218</v>
      </c>
    </row>
    <row r="298" spans="1:11" hidden="1" x14ac:dyDescent="0.25">
      <c r="A298" t="str">
        <f t="shared" si="31"/>
        <v>WC-CoØ2,778125</v>
      </c>
      <c r="B298" s="81" t="s">
        <v>297</v>
      </c>
      <c r="C298" s="101" t="s">
        <v>247</v>
      </c>
      <c r="D298" s="86">
        <f>7/64*25.4</f>
        <v>2.7781249999999997</v>
      </c>
      <c r="E298" s="85">
        <f t="shared" si="27"/>
        <v>2.7781249999999998E-3</v>
      </c>
      <c r="F298" s="85">
        <f t="shared" si="28"/>
        <v>1.3890624999999999E-3</v>
      </c>
      <c r="G298" s="85">
        <f t="shared" si="29"/>
        <v>1.1226747892743984E-8</v>
      </c>
      <c r="H298" s="85">
        <v>14950</v>
      </c>
      <c r="I298" s="85">
        <f t="shared" si="30"/>
        <v>1.6783988099652256E-4</v>
      </c>
      <c r="J298" s="87">
        <v>1</v>
      </c>
      <c r="K298" s="88">
        <f t="shared" si="32"/>
        <v>5958.059515191856</v>
      </c>
    </row>
    <row r="299" spans="1:11" hidden="1" x14ac:dyDescent="0.25">
      <c r="A299" t="str">
        <f t="shared" si="31"/>
        <v>316Ø3</v>
      </c>
      <c r="B299" s="81">
        <v>316</v>
      </c>
      <c r="D299" s="86">
        <v>3</v>
      </c>
      <c r="E299" s="85">
        <f t="shared" si="27"/>
        <v>3.0000000000000001E-3</v>
      </c>
      <c r="F299" s="85">
        <f t="shared" si="28"/>
        <v>1.5E-3</v>
      </c>
      <c r="G299" s="85">
        <f t="shared" si="29"/>
        <v>1.4137166941154068E-8</v>
      </c>
      <c r="H299" s="85">
        <v>7950</v>
      </c>
      <c r="I299" s="85">
        <f t="shared" si="30"/>
        <v>1.1239047718217484E-4</v>
      </c>
      <c r="J299" s="87">
        <v>1</v>
      </c>
      <c r="K299" s="88">
        <f t="shared" si="32"/>
        <v>8897.5509764861145</v>
      </c>
    </row>
    <row r="300" spans="1:11" hidden="1" x14ac:dyDescent="0.25">
      <c r="A300" t="str">
        <f t="shared" si="31"/>
        <v>52100Ø1,34</v>
      </c>
      <c r="B300" s="81">
        <v>52100</v>
      </c>
      <c r="D300" s="86">
        <v>1.34</v>
      </c>
      <c r="E300" s="85">
        <f t="shared" si="27"/>
        <v>1.34E-3</v>
      </c>
      <c r="F300" s="85">
        <f t="shared" si="28"/>
        <v>6.7000000000000002E-4</v>
      </c>
      <c r="G300" s="85">
        <f t="shared" si="29"/>
        <v>1.2598331083621693E-9</v>
      </c>
      <c r="H300" s="85">
        <v>7800</v>
      </c>
      <c r="I300" s="85">
        <f t="shared" si="30"/>
        <v>9.82669824522492E-6</v>
      </c>
      <c r="J300" s="87">
        <v>1</v>
      </c>
      <c r="K300" s="88">
        <f t="shared" si="32"/>
        <v>101763.58071094014</v>
      </c>
    </row>
    <row r="301" spans="1:11" hidden="1" x14ac:dyDescent="0.25">
      <c r="A301" t="str">
        <f t="shared" si="31"/>
        <v>WC-CoØ1</v>
      </c>
      <c r="B301" s="81" t="s">
        <v>297</v>
      </c>
      <c r="D301" s="86">
        <v>1</v>
      </c>
      <c r="E301" s="85">
        <f t="shared" si="27"/>
        <v>1E-3</v>
      </c>
      <c r="F301" s="85">
        <f t="shared" si="28"/>
        <v>5.0000000000000001E-4</v>
      </c>
      <c r="G301" s="85">
        <f t="shared" si="29"/>
        <v>5.2359877559829886E-10</v>
      </c>
      <c r="H301" s="85">
        <v>14950</v>
      </c>
      <c r="I301" s="85">
        <f t="shared" si="30"/>
        <v>7.8278016951945674E-6</v>
      </c>
      <c r="J301" s="87">
        <v>1</v>
      </c>
      <c r="K301" s="88">
        <f t="shared" si="32"/>
        <v>127749.78709717352</v>
      </c>
    </row>
    <row r="302" spans="1:11" hidden="1" x14ac:dyDescent="0.25">
      <c r="A302" t="str">
        <f t="shared" si="31"/>
        <v>WC-CoØ1,1</v>
      </c>
      <c r="B302" s="81" t="s">
        <v>297</v>
      </c>
      <c r="D302" s="86">
        <v>1.1000000000000001</v>
      </c>
      <c r="E302" s="85">
        <f t="shared" si="27"/>
        <v>1.1000000000000001E-3</v>
      </c>
      <c r="F302" s="85">
        <f t="shared" si="28"/>
        <v>5.5000000000000003E-4</v>
      </c>
      <c r="G302" s="85">
        <f t="shared" si="29"/>
        <v>6.9690997032133588E-10</v>
      </c>
      <c r="H302" s="85">
        <v>14950</v>
      </c>
      <c r="I302" s="85">
        <f t="shared" si="30"/>
        <v>1.0418804056303971E-5</v>
      </c>
      <c r="J302" s="87">
        <v>1</v>
      </c>
      <c r="K302" s="88">
        <f t="shared" si="32"/>
        <v>95980.305858131862</v>
      </c>
    </row>
    <row r="303" spans="1:11" hidden="1" x14ac:dyDescent="0.25">
      <c r="A303" t="str">
        <f t="shared" si="31"/>
        <v>WC-CoØ1,2</v>
      </c>
      <c r="B303" s="81" t="s">
        <v>297</v>
      </c>
      <c r="D303" s="86">
        <v>1.2</v>
      </c>
      <c r="E303" s="85">
        <f t="shared" si="27"/>
        <v>1.1999999999999999E-3</v>
      </c>
      <c r="F303" s="85">
        <f t="shared" si="28"/>
        <v>5.9999999999999995E-4</v>
      </c>
      <c r="G303" s="85">
        <f t="shared" si="29"/>
        <v>9.0477868423386013E-10</v>
      </c>
      <c r="H303" s="85">
        <v>14950</v>
      </c>
      <c r="I303" s="85">
        <f t="shared" si="30"/>
        <v>1.3526441329296208E-5</v>
      </c>
      <c r="J303" s="87">
        <v>1</v>
      </c>
      <c r="K303" s="88">
        <f t="shared" si="32"/>
        <v>73929.274940493968</v>
      </c>
    </row>
    <row r="304" spans="1:11" hidden="1" x14ac:dyDescent="0.25">
      <c r="A304" t="str">
        <f t="shared" si="31"/>
        <v>WC-CoØ2,778125</v>
      </c>
      <c r="B304" s="81" t="s">
        <v>297</v>
      </c>
      <c r="C304" s="101" t="s">
        <v>247</v>
      </c>
      <c r="D304" s="86">
        <f>7/64*25.4</f>
        <v>2.7781249999999997</v>
      </c>
      <c r="E304" s="85">
        <f t="shared" si="27"/>
        <v>2.7781249999999998E-3</v>
      </c>
      <c r="F304" s="85">
        <f t="shared" si="28"/>
        <v>1.3890624999999999E-3</v>
      </c>
      <c r="G304" s="85">
        <f t="shared" si="29"/>
        <v>1.1226747892743984E-8</v>
      </c>
      <c r="H304" s="85">
        <v>14893</v>
      </c>
      <c r="I304" s="85">
        <f t="shared" si="30"/>
        <v>1.6719995636663615E-4</v>
      </c>
      <c r="J304" s="87">
        <v>1</v>
      </c>
      <c r="K304" s="88">
        <f t="shared" si="32"/>
        <v>5980.8628048155679</v>
      </c>
    </row>
    <row r="305" spans="1:11" hidden="1" x14ac:dyDescent="0.25">
      <c r="A305" t="str">
        <f t="shared" si="31"/>
        <v>WC-CoØ10</v>
      </c>
      <c r="B305" s="81" t="s">
        <v>297</v>
      </c>
      <c r="D305" s="86">
        <v>10</v>
      </c>
      <c r="E305" s="85">
        <f t="shared" ref="E305:E368" si="33">D305/1000</f>
        <v>0.01</v>
      </c>
      <c r="F305" s="85">
        <f t="shared" ref="F305:F368" si="34">E305/2</f>
        <v>5.0000000000000001E-3</v>
      </c>
      <c r="G305" s="85">
        <f t="shared" ref="G305:G368" si="35">4/3*PI()*F305*F305*F305</f>
        <v>5.2359877559829882E-7</v>
      </c>
      <c r="H305" s="85">
        <v>14950</v>
      </c>
      <c r="I305" s="85">
        <f t="shared" ref="I305:I368" si="36">H305*G305</f>
        <v>7.8278016951945674E-3</v>
      </c>
      <c r="J305" s="87">
        <v>1</v>
      </c>
      <c r="K305" s="88">
        <f t="shared" si="32"/>
        <v>127.74978709717352</v>
      </c>
    </row>
    <row r="306" spans="1:11" hidden="1" x14ac:dyDescent="0.25">
      <c r="A306" t="str">
        <f t="shared" si="31"/>
        <v>Al2O3Ø2,38125</v>
      </c>
      <c r="B306" s="81" t="s">
        <v>217</v>
      </c>
      <c r="C306" s="101" t="s">
        <v>213</v>
      </c>
      <c r="D306" s="86">
        <f>3/32*25.4</f>
        <v>2.3812499999999996</v>
      </c>
      <c r="E306" s="85">
        <f t="shared" si="33"/>
        <v>2.3812499999999997E-3</v>
      </c>
      <c r="F306" s="85">
        <f t="shared" si="34"/>
        <v>1.1906249999999998E-3</v>
      </c>
      <c r="G306" s="85">
        <f t="shared" si="35"/>
        <v>7.0699053785209917E-9</v>
      </c>
      <c r="H306" s="85">
        <v>3946</v>
      </c>
      <c r="I306" s="85">
        <f t="shared" si="36"/>
        <v>2.7897846623643832E-5</v>
      </c>
      <c r="J306" s="87">
        <v>1</v>
      </c>
      <c r="K306" s="88">
        <f t="shared" si="32"/>
        <v>35845.060498414437</v>
      </c>
    </row>
    <row r="307" spans="1:11" hidden="1" x14ac:dyDescent="0.25">
      <c r="A307" t="str">
        <f t="shared" si="31"/>
        <v>Al2O3Ø2,38125</v>
      </c>
      <c r="B307" s="81" t="s">
        <v>217</v>
      </c>
      <c r="C307" s="101" t="s">
        <v>213</v>
      </c>
      <c r="D307" s="86">
        <f>3/32*25.4</f>
        <v>2.3812499999999996</v>
      </c>
      <c r="E307" s="85">
        <f t="shared" si="33"/>
        <v>2.3812499999999997E-3</v>
      </c>
      <c r="F307" s="85">
        <f t="shared" si="34"/>
        <v>1.1906249999999998E-3</v>
      </c>
      <c r="G307" s="85">
        <f t="shared" si="35"/>
        <v>7.0699053785209917E-9</v>
      </c>
      <c r="H307" s="85">
        <v>3932</v>
      </c>
      <c r="I307" s="85">
        <f t="shared" si="36"/>
        <v>2.7798867948344541E-5</v>
      </c>
      <c r="J307" s="87">
        <v>1</v>
      </c>
      <c r="K307" s="88">
        <f t="shared" si="32"/>
        <v>35972.687875570533</v>
      </c>
    </row>
    <row r="308" spans="1:11" hidden="1" x14ac:dyDescent="0.25">
      <c r="A308" t="str">
        <f t="shared" si="31"/>
        <v>Al2O3Ø2,38125</v>
      </c>
      <c r="B308" s="81" t="s">
        <v>217</v>
      </c>
      <c r="C308" s="101" t="s">
        <v>213</v>
      </c>
      <c r="D308" s="86">
        <f>3/32*25.4</f>
        <v>2.3812499999999996</v>
      </c>
      <c r="E308" s="85">
        <f t="shared" si="33"/>
        <v>2.3812499999999997E-3</v>
      </c>
      <c r="F308" s="85">
        <f t="shared" si="34"/>
        <v>1.1906249999999998E-3</v>
      </c>
      <c r="G308" s="85">
        <f t="shared" si="35"/>
        <v>7.0699053785209917E-9</v>
      </c>
      <c r="H308" s="85">
        <v>3918</v>
      </c>
      <c r="I308" s="85">
        <f t="shared" si="36"/>
        <v>2.7699889273045247E-5</v>
      </c>
      <c r="J308" s="87">
        <v>1</v>
      </c>
      <c r="K308" s="88">
        <f t="shared" si="32"/>
        <v>36101.227342200953</v>
      </c>
    </row>
    <row r="309" spans="1:11" hidden="1" x14ac:dyDescent="0.25">
      <c r="A309" t="str">
        <f t="shared" si="31"/>
        <v>52100Ø10,15</v>
      </c>
      <c r="B309" s="81">
        <v>52100</v>
      </c>
      <c r="D309" s="86">
        <v>10.15</v>
      </c>
      <c r="E309" s="85">
        <f t="shared" si="33"/>
        <v>1.0150000000000001E-2</v>
      </c>
      <c r="F309" s="85">
        <f t="shared" si="34"/>
        <v>5.0750000000000005E-3</v>
      </c>
      <c r="G309" s="85">
        <f t="shared" si="35"/>
        <v>5.4751591681961891E-7</v>
      </c>
      <c r="H309" s="85">
        <v>7800</v>
      </c>
      <c r="I309" s="85">
        <f t="shared" si="36"/>
        <v>4.2706241511930275E-3</v>
      </c>
      <c r="J309" s="87">
        <v>1</v>
      </c>
      <c r="K309" s="88">
        <f t="shared" si="32"/>
        <v>234.1578103333311</v>
      </c>
    </row>
    <row r="310" spans="1:11" hidden="1" x14ac:dyDescent="0.25">
      <c r="A310" t="str">
        <f t="shared" si="31"/>
        <v>52100Ø4,6</v>
      </c>
      <c r="B310" s="81">
        <v>52100</v>
      </c>
      <c r="D310" s="86">
        <v>4.5999999999999996</v>
      </c>
      <c r="E310" s="85">
        <f t="shared" si="33"/>
        <v>4.5999999999999999E-3</v>
      </c>
      <c r="F310" s="85">
        <f t="shared" si="34"/>
        <v>2.3E-3</v>
      </c>
      <c r="G310" s="85">
        <f t="shared" si="35"/>
        <v>5.0965010421636011E-8</v>
      </c>
      <c r="H310" s="85">
        <v>7800</v>
      </c>
      <c r="I310" s="85">
        <f t="shared" si="36"/>
        <v>3.9752708128876088E-4</v>
      </c>
      <c r="J310" s="87">
        <v>1</v>
      </c>
      <c r="K310" s="88">
        <f t="shared" si="32"/>
        <v>2515.5518883343875</v>
      </c>
    </row>
    <row r="311" spans="1:11" hidden="1" x14ac:dyDescent="0.25">
      <c r="A311" t="str">
        <f t="shared" si="31"/>
        <v>52100Ø4,8</v>
      </c>
      <c r="B311" s="81">
        <v>52100</v>
      </c>
      <c r="D311" s="86">
        <v>4.8</v>
      </c>
      <c r="E311" s="85">
        <f t="shared" si="33"/>
        <v>4.7999999999999996E-3</v>
      </c>
      <c r="F311" s="85">
        <f t="shared" si="34"/>
        <v>2.3999999999999998E-3</v>
      </c>
      <c r="G311" s="85">
        <f t="shared" si="35"/>
        <v>5.7905835790967049E-8</v>
      </c>
      <c r="H311" s="85">
        <v>7800</v>
      </c>
      <c r="I311" s="85">
        <f t="shared" si="36"/>
        <v>4.5166551916954299E-4</v>
      </c>
      <c r="J311" s="87">
        <v>1</v>
      </c>
      <c r="K311" s="88">
        <f t="shared" si="32"/>
        <v>2214.0277651450015</v>
      </c>
    </row>
    <row r="312" spans="1:11" hidden="1" x14ac:dyDescent="0.25">
      <c r="A312" t="str">
        <f t="shared" si="31"/>
        <v>52100Ø5,2</v>
      </c>
      <c r="B312" s="81">
        <v>52100</v>
      </c>
      <c r="D312" s="86">
        <v>5.2</v>
      </c>
      <c r="E312" s="85">
        <f t="shared" si="33"/>
        <v>5.1999999999999998E-3</v>
      </c>
      <c r="F312" s="85">
        <f t="shared" si="34"/>
        <v>2.5999999999999999E-3</v>
      </c>
      <c r="G312" s="85">
        <f t="shared" si="35"/>
        <v>7.3622176639325592E-8</v>
      </c>
      <c r="H312" s="85">
        <v>7800</v>
      </c>
      <c r="I312" s="85">
        <f t="shared" si="36"/>
        <v>5.7425297778673963E-4</v>
      </c>
      <c r="J312" s="87">
        <v>1</v>
      </c>
      <c r="K312" s="88">
        <f t="shared" si="32"/>
        <v>1741.3927984390359</v>
      </c>
    </row>
    <row r="313" spans="1:11" hidden="1" x14ac:dyDescent="0.25">
      <c r="A313" t="str">
        <f t="shared" si="31"/>
        <v>304Ø4</v>
      </c>
      <c r="B313" s="81">
        <v>304</v>
      </c>
      <c r="D313" s="86">
        <v>4</v>
      </c>
      <c r="E313" s="85">
        <f t="shared" si="33"/>
        <v>4.0000000000000001E-3</v>
      </c>
      <c r="F313" s="85">
        <f t="shared" si="34"/>
        <v>2E-3</v>
      </c>
      <c r="G313" s="85">
        <f t="shared" si="35"/>
        <v>3.3510321638291127E-8</v>
      </c>
      <c r="H313" s="85">
        <v>7950</v>
      </c>
      <c r="I313" s="85">
        <f t="shared" si="36"/>
        <v>2.6640705702441446E-4</v>
      </c>
      <c r="J313" s="87">
        <v>1</v>
      </c>
      <c r="K313" s="88">
        <f t="shared" si="32"/>
        <v>3753.6543182050787</v>
      </c>
    </row>
    <row r="314" spans="1:11" hidden="1" x14ac:dyDescent="0.25">
      <c r="A314" t="str">
        <f t="shared" si="31"/>
        <v>VESCØ10</v>
      </c>
      <c r="B314" s="81" t="s">
        <v>210</v>
      </c>
      <c r="D314" s="86">
        <v>10</v>
      </c>
      <c r="E314" s="85">
        <f t="shared" si="33"/>
        <v>0.01</v>
      </c>
      <c r="F314" s="85">
        <f t="shared" si="34"/>
        <v>5.0000000000000001E-3</v>
      </c>
      <c r="G314" s="85">
        <f t="shared" si="35"/>
        <v>5.2359877559829882E-7</v>
      </c>
      <c r="H314" s="85">
        <v>2500</v>
      </c>
      <c r="I314" s="85">
        <f t="shared" si="36"/>
        <v>1.308996938995747E-3</v>
      </c>
      <c r="J314" s="87">
        <v>1</v>
      </c>
      <c r="K314" s="88">
        <f t="shared" si="32"/>
        <v>763.94372684109771</v>
      </c>
    </row>
    <row r="315" spans="1:11" hidden="1" x14ac:dyDescent="0.25">
      <c r="A315" t="str">
        <f t="shared" si="31"/>
        <v>304Ø4,02</v>
      </c>
      <c r="B315" s="81">
        <v>304</v>
      </c>
      <c r="D315" s="86">
        <v>4.0199999999999996</v>
      </c>
      <c r="E315" s="85">
        <f t="shared" si="33"/>
        <v>4.0199999999999993E-3</v>
      </c>
      <c r="F315" s="85">
        <f t="shared" si="34"/>
        <v>2.0099999999999996E-3</v>
      </c>
      <c r="G315" s="85">
        <f t="shared" si="35"/>
        <v>3.4015493925778549E-8</v>
      </c>
      <c r="H315" s="85">
        <v>7950</v>
      </c>
      <c r="I315" s="85">
        <f t="shared" si="36"/>
        <v>2.7042317670993948E-4</v>
      </c>
      <c r="J315" s="87">
        <v>1</v>
      </c>
      <c r="K315" s="88">
        <f t="shared" si="32"/>
        <v>3697.9078944576449</v>
      </c>
    </row>
    <row r="316" spans="1:11" hidden="1" x14ac:dyDescent="0.25">
      <c r="A316" t="str">
        <f t="shared" si="31"/>
        <v>304Ø4,05</v>
      </c>
      <c r="B316" s="81">
        <v>304</v>
      </c>
      <c r="D316" s="86">
        <v>4.05</v>
      </c>
      <c r="E316" s="85">
        <f t="shared" si="33"/>
        <v>4.0499999999999998E-3</v>
      </c>
      <c r="F316" s="85">
        <f t="shared" si="34"/>
        <v>2.0249999999999999E-3</v>
      </c>
      <c r="G316" s="85">
        <f t="shared" si="35"/>
        <v>3.478273211284193E-8</v>
      </c>
      <c r="H316" s="85">
        <v>7950</v>
      </c>
      <c r="I316" s="85">
        <f t="shared" si="36"/>
        <v>2.7652272029709337E-4</v>
      </c>
      <c r="J316" s="87">
        <v>1</v>
      </c>
      <c r="K316" s="88">
        <f t="shared" si="32"/>
        <v>3616.3393696026483</v>
      </c>
    </row>
    <row r="317" spans="1:11" hidden="1" x14ac:dyDescent="0.25">
      <c r="A317" t="str">
        <f t="shared" si="31"/>
        <v>304Ø3,97</v>
      </c>
      <c r="B317" s="81">
        <v>304</v>
      </c>
      <c r="D317" s="86">
        <v>3.97</v>
      </c>
      <c r="E317" s="85">
        <f t="shared" si="33"/>
        <v>3.9700000000000004E-3</v>
      </c>
      <c r="F317" s="85">
        <f t="shared" si="34"/>
        <v>1.9850000000000002E-3</v>
      </c>
      <c r="G317" s="85">
        <f t="shared" si="35"/>
        <v>3.2761980131039107E-8</v>
      </c>
      <c r="H317" s="85">
        <v>7950</v>
      </c>
      <c r="I317" s="85">
        <f t="shared" si="36"/>
        <v>2.604577420417609E-4</v>
      </c>
      <c r="J317" s="87">
        <v>1</v>
      </c>
      <c r="K317" s="88">
        <f t="shared" si="32"/>
        <v>3839.3944144676775</v>
      </c>
    </row>
    <row r="318" spans="1:11" hidden="1" x14ac:dyDescent="0.25">
      <c r="A318" t="str">
        <f t="shared" si="31"/>
        <v>TiAl6V4 (G5)Ø0,5</v>
      </c>
      <c r="B318" s="81" t="s">
        <v>305</v>
      </c>
      <c r="D318" s="86">
        <v>0.5</v>
      </c>
      <c r="E318" s="85">
        <f t="shared" si="33"/>
        <v>5.0000000000000001E-4</v>
      </c>
      <c r="F318" s="85">
        <f t="shared" si="34"/>
        <v>2.5000000000000001E-4</v>
      </c>
      <c r="G318" s="85">
        <f t="shared" si="35"/>
        <v>6.5449846949787358E-11</v>
      </c>
      <c r="H318" s="85">
        <v>4450</v>
      </c>
      <c r="I318" s="85">
        <f t="shared" si="36"/>
        <v>2.9125181892655372E-7</v>
      </c>
      <c r="J318" s="87">
        <v>1</v>
      </c>
      <c r="K318" s="88">
        <f t="shared" si="32"/>
        <v>3433454.9520948213</v>
      </c>
    </row>
    <row r="319" spans="1:11" hidden="1" x14ac:dyDescent="0.25">
      <c r="A319" t="str">
        <f t="shared" si="31"/>
        <v>TiAl6V4 (G5)Ø1</v>
      </c>
      <c r="B319" s="81" t="s">
        <v>305</v>
      </c>
      <c r="D319" s="86">
        <v>1</v>
      </c>
      <c r="E319" s="85">
        <f t="shared" si="33"/>
        <v>1E-3</v>
      </c>
      <c r="F319" s="85">
        <f t="shared" si="34"/>
        <v>5.0000000000000001E-4</v>
      </c>
      <c r="G319" s="85">
        <f t="shared" si="35"/>
        <v>5.2359877559829886E-10</v>
      </c>
      <c r="H319" s="85">
        <v>4450</v>
      </c>
      <c r="I319" s="85">
        <f t="shared" si="36"/>
        <v>2.3300145514124297E-6</v>
      </c>
      <c r="J319" s="87">
        <v>1</v>
      </c>
      <c r="K319" s="88">
        <f t="shared" si="32"/>
        <v>429181.86901185266</v>
      </c>
    </row>
    <row r="320" spans="1:11" hidden="1" x14ac:dyDescent="0.25">
      <c r="A320" t="str">
        <f t="shared" si="31"/>
        <v>TiAl6V4 (G5)Ø1,5</v>
      </c>
      <c r="B320" s="81" t="s">
        <v>305</v>
      </c>
      <c r="D320" s="86">
        <v>1.5</v>
      </c>
      <c r="E320" s="85">
        <f t="shared" si="33"/>
        <v>1.5E-3</v>
      </c>
      <c r="F320" s="85">
        <f t="shared" si="34"/>
        <v>7.5000000000000002E-4</v>
      </c>
      <c r="G320" s="85">
        <f t="shared" si="35"/>
        <v>1.7671458676442585E-9</v>
      </c>
      <c r="H320" s="85">
        <v>4450</v>
      </c>
      <c r="I320" s="85">
        <f t="shared" si="36"/>
        <v>7.8637991110169507E-6</v>
      </c>
      <c r="J320" s="87">
        <v>1</v>
      </c>
      <c r="K320" s="88">
        <f t="shared" si="32"/>
        <v>127164.9982257341</v>
      </c>
    </row>
    <row r="321" spans="1:11" hidden="1" x14ac:dyDescent="0.25">
      <c r="A321" t="str">
        <f t="shared" si="31"/>
        <v>TiAl6V4 (G5)Ø2</v>
      </c>
      <c r="B321" s="81" t="s">
        <v>305</v>
      </c>
      <c r="D321" s="86">
        <v>2</v>
      </c>
      <c r="E321" s="85">
        <f t="shared" si="33"/>
        <v>2E-3</v>
      </c>
      <c r="F321" s="85">
        <f t="shared" si="34"/>
        <v>1E-3</v>
      </c>
      <c r="G321" s="85">
        <f t="shared" si="35"/>
        <v>4.1887902047863909E-9</v>
      </c>
      <c r="H321" s="85">
        <v>4450</v>
      </c>
      <c r="I321" s="85">
        <f t="shared" si="36"/>
        <v>1.8640116411299438E-5</v>
      </c>
      <c r="J321" s="87">
        <v>1</v>
      </c>
      <c r="K321" s="88">
        <f t="shared" si="32"/>
        <v>53647.733626481582</v>
      </c>
    </row>
    <row r="322" spans="1:11" hidden="1" x14ac:dyDescent="0.25">
      <c r="A322" t="str">
        <f t="shared" si="31"/>
        <v>316 LØ7</v>
      </c>
      <c r="B322" s="81" t="s">
        <v>306</v>
      </c>
      <c r="D322" s="86">
        <v>7</v>
      </c>
      <c r="E322" s="85">
        <f t="shared" si="33"/>
        <v>7.0000000000000001E-3</v>
      </c>
      <c r="F322" s="85">
        <f t="shared" si="34"/>
        <v>3.5000000000000001E-3</v>
      </c>
      <c r="G322" s="85">
        <f t="shared" si="35"/>
        <v>1.7959438003021651E-7</v>
      </c>
      <c r="H322" s="85">
        <v>7950</v>
      </c>
      <c r="I322" s="85">
        <f t="shared" si="36"/>
        <v>1.4277753212402213E-3</v>
      </c>
      <c r="J322" s="87">
        <v>1</v>
      </c>
      <c r="K322" s="88">
        <f t="shared" si="32"/>
        <v>700.39031010240535</v>
      </c>
    </row>
    <row r="323" spans="1:11" hidden="1" x14ac:dyDescent="0.25">
      <c r="A323" t="str">
        <f t="shared" si="31"/>
        <v>PTFEØ0,79375</v>
      </c>
      <c r="B323" s="81" t="s">
        <v>307</v>
      </c>
      <c r="C323" s="101" t="s">
        <v>241</v>
      </c>
      <c r="D323" s="86">
        <f>1/32*25.4</f>
        <v>0.79374999999999996</v>
      </c>
      <c r="E323" s="85">
        <f t="shared" si="33"/>
        <v>7.9374999999999997E-4</v>
      </c>
      <c r="F323" s="85">
        <f t="shared" si="34"/>
        <v>3.9687499999999998E-4</v>
      </c>
      <c r="G323" s="85">
        <f t="shared" si="35"/>
        <v>2.6184834735262936E-10</v>
      </c>
      <c r="H323" s="85">
        <v>2160</v>
      </c>
      <c r="I323" s="85">
        <f t="shared" si="36"/>
        <v>5.6559243028167943E-7</v>
      </c>
      <c r="J323" s="87">
        <v>1</v>
      </c>
      <c r="K323" s="88">
        <f t="shared" si="32"/>
        <v>1768057.6090842916</v>
      </c>
    </row>
    <row r="324" spans="1:11" hidden="1" x14ac:dyDescent="0.25">
      <c r="A324" t="str">
        <f t="shared" ref="A324:A387" si="37">CONCATENATE(B324,"Ø",D324)</f>
        <v>PTFEØ0,79375</v>
      </c>
      <c r="B324" s="81" t="s">
        <v>307</v>
      </c>
      <c r="C324" s="101" t="s">
        <v>241</v>
      </c>
      <c r="D324" s="86">
        <f>1/32*25.4</f>
        <v>0.79374999999999996</v>
      </c>
      <c r="E324" s="85">
        <f t="shared" si="33"/>
        <v>7.9374999999999997E-4</v>
      </c>
      <c r="F324" s="85">
        <f t="shared" si="34"/>
        <v>3.9687499999999998E-4</v>
      </c>
      <c r="G324" s="85">
        <f t="shared" si="35"/>
        <v>2.6184834735262936E-10</v>
      </c>
      <c r="H324" s="85">
        <v>2160</v>
      </c>
      <c r="I324" s="85">
        <f t="shared" si="36"/>
        <v>5.6559243028167943E-7</v>
      </c>
      <c r="J324" s="87">
        <v>1</v>
      </c>
      <c r="K324" s="88">
        <f t="shared" si="32"/>
        <v>1768057.6090842916</v>
      </c>
    </row>
    <row r="325" spans="1:11" hidden="1" x14ac:dyDescent="0.25">
      <c r="A325" t="str">
        <f t="shared" si="37"/>
        <v>PTFEØ0,79375</v>
      </c>
      <c r="B325" s="81" t="s">
        <v>307</v>
      </c>
      <c r="C325" s="101" t="s">
        <v>241</v>
      </c>
      <c r="D325" s="86">
        <f>1/32*25.4</f>
        <v>0.79374999999999996</v>
      </c>
      <c r="E325" s="85">
        <f t="shared" si="33"/>
        <v>7.9374999999999997E-4</v>
      </c>
      <c r="F325" s="85">
        <f t="shared" si="34"/>
        <v>3.9687499999999998E-4</v>
      </c>
      <c r="G325" s="85">
        <f t="shared" si="35"/>
        <v>2.6184834735262936E-10</v>
      </c>
      <c r="H325" s="85">
        <v>2160</v>
      </c>
      <c r="I325" s="85">
        <f t="shared" si="36"/>
        <v>5.6559243028167943E-7</v>
      </c>
      <c r="J325" s="87">
        <v>1</v>
      </c>
      <c r="K325" s="88">
        <f t="shared" si="32"/>
        <v>1768057.6090842916</v>
      </c>
    </row>
    <row r="326" spans="1:11" hidden="1" x14ac:dyDescent="0.25">
      <c r="A326" t="str">
        <f t="shared" si="37"/>
        <v>PPHØ2</v>
      </c>
      <c r="B326" s="81" t="s">
        <v>202</v>
      </c>
      <c r="D326" s="86">
        <v>2</v>
      </c>
      <c r="E326" s="85">
        <f t="shared" si="33"/>
        <v>2E-3</v>
      </c>
      <c r="F326" s="85">
        <f t="shared" si="34"/>
        <v>1E-3</v>
      </c>
      <c r="G326" s="85">
        <f t="shared" si="35"/>
        <v>4.1887902047863909E-9</v>
      </c>
      <c r="H326" s="85">
        <v>870</v>
      </c>
      <c r="I326" s="85">
        <f t="shared" si="36"/>
        <v>3.6442474781641599E-6</v>
      </c>
      <c r="J326" s="87">
        <v>1</v>
      </c>
      <c r="K326" s="88">
        <f t="shared" si="32"/>
        <v>274405.07429637131</v>
      </c>
    </row>
    <row r="327" spans="1:11" hidden="1" x14ac:dyDescent="0.25">
      <c r="A327" t="str">
        <f t="shared" si="37"/>
        <v>PPHØ2</v>
      </c>
      <c r="B327" s="81" t="s">
        <v>202</v>
      </c>
      <c r="D327" s="86">
        <v>2</v>
      </c>
      <c r="E327" s="85">
        <f t="shared" si="33"/>
        <v>2E-3</v>
      </c>
      <c r="F327" s="85">
        <f t="shared" si="34"/>
        <v>1E-3</v>
      </c>
      <c r="G327" s="85">
        <f t="shared" si="35"/>
        <v>4.1887902047863909E-9</v>
      </c>
      <c r="H327" s="85">
        <v>870</v>
      </c>
      <c r="I327" s="85">
        <f t="shared" si="36"/>
        <v>3.6442474781641599E-6</v>
      </c>
      <c r="J327" s="87">
        <v>1</v>
      </c>
      <c r="K327" s="88">
        <f t="shared" si="32"/>
        <v>274405.07429637131</v>
      </c>
    </row>
    <row r="328" spans="1:11" hidden="1" x14ac:dyDescent="0.25">
      <c r="A328" t="str">
        <f t="shared" si="37"/>
        <v>PPHØ2</v>
      </c>
      <c r="B328" s="81" t="s">
        <v>202</v>
      </c>
      <c r="D328" s="86">
        <v>2</v>
      </c>
      <c r="E328" s="85">
        <f t="shared" si="33"/>
        <v>2E-3</v>
      </c>
      <c r="F328" s="85">
        <f t="shared" si="34"/>
        <v>1E-3</v>
      </c>
      <c r="G328" s="85">
        <f t="shared" si="35"/>
        <v>4.1887902047863909E-9</v>
      </c>
      <c r="H328" s="85">
        <v>870</v>
      </c>
      <c r="I328" s="85">
        <f t="shared" si="36"/>
        <v>3.6442474781641599E-6</v>
      </c>
      <c r="J328" s="87">
        <v>1</v>
      </c>
      <c r="K328" s="88">
        <f t="shared" si="32"/>
        <v>274405.07429637131</v>
      </c>
    </row>
    <row r="329" spans="1:11" hidden="1" x14ac:dyDescent="0.25">
      <c r="A329" t="str">
        <f t="shared" si="37"/>
        <v>PTFEØ2</v>
      </c>
      <c r="B329" s="81" t="s">
        <v>307</v>
      </c>
      <c r="D329" s="86">
        <v>2</v>
      </c>
      <c r="E329" s="85">
        <f t="shared" si="33"/>
        <v>2E-3</v>
      </c>
      <c r="F329" s="85">
        <f t="shared" si="34"/>
        <v>1E-3</v>
      </c>
      <c r="G329" s="85">
        <f t="shared" si="35"/>
        <v>4.1887902047863909E-9</v>
      </c>
      <c r="H329" s="85">
        <v>2160</v>
      </c>
      <c r="I329" s="85">
        <f t="shared" si="36"/>
        <v>9.0477868423386043E-6</v>
      </c>
      <c r="J329" s="87">
        <v>1</v>
      </c>
      <c r="K329" s="88">
        <f t="shared" si="32"/>
        <v>110524.26603603843</v>
      </c>
    </row>
    <row r="330" spans="1:11" hidden="1" x14ac:dyDescent="0.25">
      <c r="A330" t="str">
        <f t="shared" si="37"/>
        <v>PTFEØ2</v>
      </c>
      <c r="B330" s="81" t="s">
        <v>307</v>
      </c>
      <c r="D330" s="86">
        <v>2</v>
      </c>
      <c r="E330" s="85">
        <f t="shared" si="33"/>
        <v>2E-3</v>
      </c>
      <c r="F330" s="85">
        <f t="shared" si="34"/>
        <v>1E-3</v>
      </c>
      <c r="G330" s="85">
        <f t="shared" si="35"/>
        <v>4.1887902047863909E-9</v>
      </c>
      <c r="H330" s="85">
        <v>2160</v>
      </c>
      <c r="I330" s="85">
        <f t="shared" si="36"/>
        <v>9.0477868423386043E-6</v>
      </c>
      <c r="J330" s="87">
        <v>1</v>
      </c>
      <c r="K330" s="88">
        <f t="shared" si="32"/>
        <v>110524.26603603843</v>
      </c>
    </row>
    <row r="331" spans="1:11" hidden="1" x14ac:dyDescent="0.25">
      <c r="A331" t="str">
        <f t="shared" si="37"/>
        <v>PTFEØ2</v>
      </c>
      <c r="B331" s="81" t="s">
        <v>307</v>
      </c>
      <c r="D331" s="86">
        <v>2</v>
      </c>
      <c r="E331" s="85">
        <f t="shared" si="33"/>
        <v>2E-3</v>
      </c>
      <c r="F331" s="85">
        <f t="shared" si="34"/>
        <v>1E-3</v>
      </c>
      <c r="G331" s="85">
        <f t="shared" si="35"/>
        <v>4.1887902047863909E-9</v>
      </c>
      <c r="H331" s="85">
        <v>2160</v>
      </c>
      <c r="I331" s="85">
        <f t="shared" si="36"/>
        <v>9.0477868423386043E-6</v>
      </c>
      <c r="J331" s="87">
        <v>1</v>
      </c>
      <c r="K331" s="88">
        <f t="shared" si="32"/>
        <v>110524.26603603843</v>
      </c>
    </row>
    <row r="332" spans="1:11" hidden="1" x14ac:dyDescent="0.25">
      <c r="A332" t="str">
        <f t="shared" si="37"/>
        <v>PPHØ3,175</v>
      </c>
      <c r="B332" s="81" t="s">
        <v>202</v>
      </c>
      <c r="C332" s="101" t="s">
        <v>214</v>
      </c>
      <c r="D332" s="86">
        <f t="shared" ref="D332:D337" si="38">1/8*25.4</f>
        <v>3.1749999999999998</v>
      </c>
      <c r="E332" s="85">
        <f t="shared" si="33"/>
        <v>3.1749999999999999E-3</v>
      </c>
      <c r="F332" s="85">
        <f t="shared" si="34"/>
        <v>1.5874999999999999E-3</v>
      </c>
      <c r="G332" s="85">
        <f t="shared" si="35"/>
        <v>1.6758294230568279E-8</v>
      </c>
      <c r="H332" s="85">
        <v>870</v>
      </c>
      <c r="I332" s="85">
        <f t="shared" si="36"/>
        <v>1.4579715980594403E-5</v>
      </c>
      <c r="J332" s="87">
        <v>1</v>
      </c>
      <c r="K332" s="88">
        <f t="shared" si="32"/>
        <v>68588.441731718209</v>
      </c>
    </row>
    <row r="333" spans="1:11" hidden="1" x14ac:dyDescent="0.25">
      <c r="A333" t="str">
        <f t="shared" si="37"/>
        <v>PPHØ3,175</v>
      </c>
      <c r="B333" s="81" t="s">
        <v>202</v>
      </c>
      <c r="C333" s="101" t="s">
        <v>214</v>
      </c>
      <c r="D333" s="86">
        <f t="shared" si="38"/>
        <v>3.1749999999999998</v>
      </c>
      <c r="E333" s="85">
        <f t="shared" si="33"/>
        <v>3.1749999999999999E-3</v>
      </c>
      <c r="F333" s="85">
        <f t="shared" si="34"/>
        <v>1.5874999999999999E-3</v>
      </c>
      <c r="G333" s="85">
        <f t="shared" si="35"/>
        <v>1.6758294230568279E-8</v>
      </c>
      <c r="H333" s="85">
        <v>870</v>
      </c>
      <c r="I333" s="85">
        <f t="shared" si="36"/>
        <v>1.4579715980594403E-5</v>
      </c>
      <c r="J333" s="87">
        <v>1</v>
      </c>
      <c r="K333" s="88">
        <f t="shared" si="32"/>
        <v>68588.441731718209</v>
      </c>
    </row>
    <row r="334" spans="1:11" hidden="1" x14ac:dyDescent="0.25">
      <c r="A334" t="str">
        <f t="shared" si="37"/>
        <v>PPHØ3,175</v>
      </c>
      <c r="B334" s="81" t="s">
        <v>202</v>
      </c>
      <c r="C334" s="101" t="s">
        <v>214</v>
      </c>
      <c r="D334" s="86">
        <f t="shared" si="38"/>
        <v>3.1749999999999998</v>
      </c>
      <c r="E334" s="85">
        <f t="shared" si="33"/>
        <v>3.1749999999999999E-3</v>
      </c>
      <c r="F334" s="85">
        <f t="shared" si="34"/>
        <v>1.5874999999999999E-3</v>
      </c>
      <c r="G334" s="85">
        <f t="shared" si="35"/>
        <v>1.6758294230568279E-8</v>
      </c>
      <c r="H334" s="85">
        <v>870</v>
      </c>
      <c r="I334" s="85">
        <f t="shared" si="36"/>
        <v>1.4579715980594403E-5</v>
      </c>
      <c r="J334" s="87">
        <v>1</v>
      </c>
      <c r="K334" s="88">
        <f t="shared" si="32"/>
        <v>68588.441731718209</v>
      </c>
    </row>
    <row r="335" spans="1:11" hidden="1" x14ac:dyDescent="0.25">
      <c r="A335" t="str">
        <f t="shared" si="37"/>
        <v>PTFEØ3,175</v>
      </c>
      <c r="B335" s="81" t="s">
        <v>307</v>
      </c>
      <c r="C335" s="101" t="s">
        <v>214</v>
      </c>
      <c r="D335" s="86">
        <f t="shared" si="38"/>
        <v>3.1749999999999998</v>
      </c>
      <c r="E335" s="85">
        <f t="shared" si="33"/>
        <v>3.1749999999999999E-3</v>
      </c>
      <c r="F335" s="85">
        <f t="shared" si="34"/>
        <v>1.5874999999999999E-3</v>
      </c>
      <c r="G335" s="85">
        <f t="shared" si="35"/>
        <v>1.6758294230568279E-8</v>
      </c>
      <c r="H335" s="85">
        <v>2160</v>
      </c>
      <c r="I335" s="85">
        <f t="shared" si="36"/>
        <v>3.6197915538027483E-5</v>
      </c>
      <c r="J335" s="87">
        <v>1</v>
      </c>
      <c r="K335" s="88">
        <f t="shared" si="32"/>
        <v>27625.900141942057</v>
      </c>
    </row>
    <row r="336" spans="1:11" hidden="1" x14ac:dyDescent="0.25">
      <c r="A336" t="str">
        <f t="shared" si="37"/>
        <v>PTFEØ3,175</v>
      </c>
      <c r="B336" s="81" t="s">
        <v>307</v>
      </c>
      <c r="C336" s="101" t="s">
        <v>214</v>
      </c>
      <c r="D336" s="86">
        <f t="shared" si="38"/>
        <v>3.1749999999999998</v>
      </c>
      <c r="E336" s="85">
        <f t="shared" si="33"/>
        <v>3.1749999999999999E-3</v>
      </c>
      <c r="F336" s="85">
        <f t="shared" si="34"/>
        <v>1.5874999999999999E-3</v>
      </c>
      <c r="G336" s="85">
        <f t="shared" si="35"/>
        <v>1.6758294230568279E-8</v>
      </c>
      <c r="H336" s="85">
        <v>2160</v>
      </c>
      <c r="I336" s="85">
        <f t="shared" si="36"/>
        <v>3.6197915538027483E-5</v>
      </c>
      <c r="J336" s="87">
        <v>1</v>
      </c>
      <c r="K336" s="88">
        <f t="shared" si="32"/>
        <v>27625.900141942057</v>
      </c>
    </row>
    <row r="337" spans="1:11" hidden="1" x14ac:dyDescent="0.25">
      <c r="A337" t="str">
        <f t="shared" si="37"/>
        <v>PTFEØ3,175</v>
      </c>
      <c r="B337" s="81" t="s">
        <v>307</v>
      </c>
      <c r="C337" s="101" t="s">
        <v>214</v>
      </c>
      <c r="D337" s="86">
        <f t="shared" si="38"/>
        <v>3.1749999999999998</v>
      </c>
      <c r="E337" s="85">
        <f t="shared" si="33"/>
        <v>3.1749999999999999E-3</v>
      </c>
      <c r="F337" s="85">
        <f t="shared" si="34"/>
        <v>1.5874999999999999E-3</v>
      </c>
      <c r="G337" s="85">
        <f t="shared" si="35"/>
        <v>1.6758294230568279E-8</v>
      </c>
      <c r="H337" s="85">
        <v>2160</v>
      </c>
      <c r="I337" s="85">
        <f t="shared" si="36"/>
        <v>3.6197915538027483E-5</v>
      </c>
      <c r="J337" s="87">
        <v>1</v>
      </c>
      <c r="K337" s="88">
        <f t="shared" si="32"/>
        <v>27625.900141942057</v>
      </c>
    </row>
    <row r="338" spans="1:11" hidden="1" x14ac:dyDescent="0.25">
      <c r="A338" t="str">
        <f t="shared" si="37"/>
        <v>PPHØ3,96875</v>
      </c>
      <c r="B338" s="81" t="s">
        <v>202</v>
      </c>
      <c r="C338" s="101" t="s">
        <v>215</v>
      </c>
      <c r="D338" s="86">
        <f t="shared" ref="D338:D343" si="39">5/32*25.4</f>
        <v>3.96875</v>
      </c>
      <c r="E338" s="85">
        <f t="shared" si="33"/>
        <v>3.9687500000000001E-3</v>
      </c>
      <c r="F338" s="85">
        <f t="shared" si="34"/>
        <v>1.984375E-3</v>
      </c>
      <c r="G338" s="85">
        <f t="shared" si="35"/>
        <v>3.2731043419078684E-8</v>
      </c>
      <c r="H338" s="85">
        <v>870</v>
      </c>
      <c r="I338" s="85">
        <f t="shared" si="36"/>
        <v>2.8476007774598456E-5</v>
      </c>
      <c r="J338" s="87">
        <v>1</v>
      </c>
      <c r="K338" s="88">
        <f t="shared" si="32"/>
        <v>35117.282166639707</v>
      </c>
    </row>
    <row r="339" spans="1:11" hidden="1" x14ac:dyDescent="0.25">
      <c r="A339" t="str">
        <f t="shared" si="37"/>
        <v>PPHØ3,96875</v>
      </c>
      <c r="B339" s="81" t="s">
        <v>202</v>
      </c>
      <c r="C339" s="101" t="s">
        <v>215</v>
      </c>
      <c r="D339" s="86">
        <f t="shared" si="39"/>
        <v>3.96875</v>
      </c>
      <c r="E339" s="85">
        <f t="shared" si="33"/>
        <v>3.9687500000000001E-3</v>
      </c>
      <c r="F339" s="85">
        <f t="shared" si="34"/>
        <v>1.984375E-3</v>
      </c>
      <c r="G339" s="85">
        <f t="shared" si="35"/>
        <v>3.2731043419078684E-8</v>
      </c>
      <c r="H339" s="85">
        <v>870</v>
      </c>
      <c r="I339" s="85">
        <f t="shared" si="36"/>
        <v>2.8476007774598456E-5</v>
      </c>
      <c r="J339" s="87">
        <v>1</v>
      </c>
      <c r="K339" s="88">
        <f t="shared" si="32"/>
        <v>35117.282166639707</v>
      </c>
    </row>
    <row r="340" spans="1:11" hidden="1" x14ac:dyDescent="0.25">
      <c r="A340" t="str">
        <f t="shared" si="37"/>
        <v>PPHØ3,96875</v>
      </c>
      <c r="B340" s="81" t="s">
        <v>202</v>
      </c>
      <c r="C340" s="101" t="s">
        <v>215</v>
      </c>
      <c r="D340" s="86">
        <f t="shared" si="39"/>
        <v>3.96875</v>
      </c>
      <c r="E340" s="85">
        <f t="shared" si="33"/>
        <v>3.9687500000000001E-3</v>
      </c>
      <c r="F340" s="85">
        <f t="shared" si="34"/>
        <v>1.984375E-3</v>
      </c>
      <c r="G340" s="85">
        <f t="shared" si="35"/>
        <v>3.2731043419078684E-8</v>
      </c>
      <c r="H340" s="85">
        <v>870</v>
      </c>
      <c r="I340" s="85">
        <f t="shared" si="36"/>
        <v>2.8476007774598456E-5</v>
      </c>
      <c r="J340" s="87">
        <v>1</v>
      </c>
      <c r="K340" s="88">
        <f t="shared" si="32"/>
        <v>35117.282166639707</v>
      </c>
    </row>
    <row r="341" spans="1:11" hidden="1" x14ac:dyDescent="0.25">
      <c r="A341" t="str">
        <f t="shared" si="37"/>
        <v>PTFEØ3,96875</v>
      </c>
      <c r="B341" s="81" t="s">
        <v>307</v>
      </c>
      <c r="C341" s="101" t="s">
        <v>215</v>
      </c>
      <c r="D341" s="86">
        <f t="shared" si="39"/>
        <v>3.96875</v>
      </c>
      <c r="E341" s="85">
        <f t="shared" si="33"/>
        <v>3.9687500000000001E-3</v>
      </c>
      <c r="F341" s="85">
        <f t="shared" si="34"/>
        <v>1.984375E-3</v>
      </c>
      <c r="G341" s="85">
        <f t="shared" si="35"/>
        <v>3.2731043419078684E-8</v>
      </c>
      <c r="H341" s="85">
        <v>2160</v>
      </c>
      <c r="I341" s="85">
        <f t="shared" si="36"/>
        <v>7.0699053785209951E-5</v>
      </c>
      <c r="J341" s="87">
        <v>1</v>
      </c>
      <c r="K341" s="88">
        <f t="shared" si="32"/>
        <v>14144.460872674328</v>
      </c>
    </row>
    <row r="342" spans="1:11" hidden="1" x14ac:dyDescent="0.25">
      <c r="A342" t="str">
        <f t="shared" si="37"/>
        <v>PTFEØ3,96875</v>
      </c>
      <c r="B342" s="81" t="s">
        <v>307</v>
      </c>
      <c r="C342" s="101" t="s">
        <v>215</v>
      </c>
      <c r="D342" s="86">
        <f t="shared" si="39"/>
        <v>3.96875</v>
      </c>
      <c r="E342" s="85">
        <f t="shared" si="33"/>
        <v>3.9687500000000001E-3</v>
      </c>
      <c r="F342" s="85">
        <f t="shared" si="34"/>
        <v>1.984375E-3</v>
      </c>
      <c r="G342" s="85">
        <f t="shared" si="35"/>
        <v>3.2731043419078684E-8</v>
      </c>
      <c r="H342" s="85">
        <v>2160</v>
      </c>
      <c r="I342" s="85">
        <f t="shared" si="36"/>
        <v>7.0699053785209951E-5</v>
      </c>
      <c r="J342" s="87">
        <v>1</v>
      </c>
      <c r="K342" s="88">
        <f t="shared" si="32"/>
        <v>14144.460872674328</v>
      </c>
    </row>
    <row r="343" spans="1:11" hidden="1" x14ac:dyDescent="0.25">
      <c r="A343" t="str">
        <f t="shared" si="37"/>
        <v>PTFEØ3,96875</v>
      </c>
      <c r="B343" s="81" t="s">
        <v>307</v>
      </c>
      <c r="C343" s="101" t="s">
        <v>215</v>
      </c>
      <c r="D343" s="86">
        <f t="shared" si="39"/>
        <v>3.96875</v>
      </c>
      <c r="E343" s="85">
        <f t="shared" si="33"/>
        <v>3.9687500000000001E-3</v>
      </c>
      <c r="F343" s="85">
        <f t="shared" si="34"/>
        <v>1.984375E-3</v>
      </c>
      <c r="G343" s="85">
        <f t="shared" si="35"/>
        <v>3.2731043419078684E-8</v>
      </c>
      <c r="H343" s="85">
        <v>2160</v>
      </c>
      <c r="I343" s="85">
        <f t="shared" si="36"/>
        <v>7.0699053785209951E-5</v>
      </c>
      <c r="J343" s="87">
        <v>1</v>
      </c>
      <c r="K343" s="88">
        <f t="shared" ref="K343:K387" si="40">J343/I343</f>
        <v>14144.460872674328</v>
      </c>
    </row>
    <row r="344" spans="1:11" hidden="1" x14ac:dyDescent="0.25">
      <c r="A344" t="str">
        <f t="shared" si="37"/>
        <v>PPHØ5,55625</v>
      </c>
      <c r="B344" s="81" t="s">
        <v>202</v>
      </c>
      <c r="C344" s="101" t="s">
        <v>249</v>
      </c>
      <c r="D344" s="86">
        <f t="shared" ref="D344:D349" si="41">7/32*25.4</f>
        <v>5.5562499999999995</v>
      </c>
      <c r="E344" s="85">
        <f t="shared" si="33"/>
        <v>5.5562499999999996E-3</v>
      </c>
      <c r="F344" s="85">
        <f t="shared" si="34"/>
        <v>2.7781249999999998E-3</v>
      </c>
      <c r="G344" s="85">
        <f t="shared" si="35"/>
        <v>8.9813983141951873E-8</v>
      </c>
      <c r="H344" s="85">
        <v>870</v>
      </c>
      <c r="I344" s="85">
        <f t="shared" si="36"/>
        <v>7.8138165333498129E-5</v>
      </c>
      <c r="J344" s="87">
        <v>1</v>
      </c>
      <c r="K344" s="88">
        <f t="shared" si="40"/>
        <v>12797.843355189403</v>
      </c>
    </row>
    <row r="345" spans="1:11" hidden="1" x14ac:dyDescent="0.25">
      <c r="A345" t="str">
        <f t="shared" si="37"/>
        <v>PPHØ5,55625</v>
      </c>
      <c r="B345" s="81" t="s">
        <v>202</v>
      </c>
      <c r="C345" s="101" t="s">
        <v>249</v>
      </c>
      <c r="D345" s="86">
        <f t="shared" si="41"/>
        <v>5.5562499999999995</v>
      </c>
      <c r="E345" s="85">
        <f t="shared" si="33"/>
        <v>5.5562499999999996E-3</v>
      </c>
      <c r="F345" s="85">
        <f t="shared" si="34"/>
        <v>2.7781249999999998E-3</v>
      </c>
      <c r="G345" s="85">
        <f t="shared" si="35"/>
        <v>8.9813983141951873E-8</v>
      </c>
      <c r="H345" s="85">
        <v>870</v>
      </c>
      <c r="I345" s="85">
        <f t="shared" si="36"/>
        <v>7.8138165333498129E-5</v>
      </c>
      <c r="J345" s="87">
        <v>1</v>
      </c>
      <c r="K345" s="88">
        <f t="shared" si="40"/>
        <v>12797.843355189403</v>
      </c>
    </row>
    <row r="346" spans="1:11" hidden="1" x14ac:dyDescent="0.25">
      <c r="A346" t="str">
        <f t="shared" si="37"/>
        <v>PPHØ5,55625</v>
      </c>
      <c r="B346" s="81" t="s">
        <v>202</v>
      </c>
      <c r="C346" s="101" t="s">
        <v>249</v>
      </c>
      <c r="D346" s="86">
        <f t="shared" si="41"/>
        <v>5.5562499999999995</v>
      </c>
      <c r="E346" s="85">
        <f t="shared" si="33"/>
        <v>5.5562499999999996E-3</v>
      </c>
      <c r="F346" s="85">
        <f t="shared" si="34"/>
        <v>2.7781249999999998E-3</v>
      </c>
      <c r="G346" s="85">
        <f t="shared" si="35"/>
        <v>8.9813983141951873E-8</v>
      </c>
      <c r="H346" s="85">
        <v>870</v>
      </c>
      <c r="I346" s="85">
        <f t="shared" si="36"/>
        <v>7.8138165333498129E-5</v>
      </c>
      <c r="J346" s="87">
        <v>1</v>
      </c>
      <c r="K346" s="88">
        <f t="shared" si="40"/>
        <v>12797.843355189403</v>
      </c>
    </row>
    <row r="347" spans="1:11" hidden="1" x14ac:dyDescent="0.25">
      <c r="A347" t="str">
        <f t="shared" si="37"/>
        <v>PTFEØ5,55625</v>
      </c>
      <c r="B347" s="81" t="s">
        <v>307</v>
      </c>
      <c r="C347" s="101" t="s">
        <v>249</v>
      </c>
      <c r="D347" s="86">
        <f t="shared" si="41"/>
        <v>5.5562499999999995</v>
      </c>
      <c r="E347" s="85">
        <f t="shared" si="33"/>
        <v>5.5562499999999996E-3</v>
      </c>
      <c r="F347" s="85">
        <f t="shared" si="34"/>
        <v>2.7781249999999998E-3</v>
      </c>
      <c r="G347" s="85">
        <f t="shared" si="35"/>
        <v>8.9813983141951873E-8</v>
      </c>
      <c r="H347" s="85">
        <v>2160</v>
      </c>
      <c r="I347" s="85">
        <f t="shared" si="36"/>
        <v>1.9399820358661604E-4</v>
      </c>
      <c r="J347" s="87">
        <v>1</v>
      </c>
      <c r="K347" s="88">
        <f t="shared" si="40"/>
        <v>5154.6869069512877</v>
      </c>
    </row>
    <row r="348" spans="1:11" hidden="1" x14ac:dyDescent="0.25">
      <c r="A348" t="str">
        <f t="shared" si="37"/>
        <v>PTFEØ5,55625</v>
      </c>
      <c r="B348" s="81" t="s">
        <v>307</v>
      </c>
      <c r="C348" s="101" t="s">
        <v>249</v>
      </c>
      <c r="D348" s="86">
        <f t="shared" si="41"/>
        <v>5.5562499999999995</v>
      </c>
      <c r="E348" s="85">
        <f t="shared" si="33"/>
        <v>5.5562499999999996E-3</v>
      </c>
      <c r="F348" s="85">
        <f t="shared" si="34"/>
        <v>2.7781249999999998E-3</v>
      </c>
      <c r="G348" s="85">
        <f t="shared" si="35"/>
        <v>8.9813983141951873E-8</v>
      </c>
      <c r="H348" s="85">
        <v>2160</v>
      </c>
      <c r="I348" s="85">
        <f t="shared" si="36"/>
        <v>1.9399820358661604E-4</v>
      </c>
      <c r="J348" s="87">
        <v>1</v>
      </c>
      <c r="K348" s="88">
        <f t="shared" si="40"/>
        <v>5154.6869069512877</v>
      </c>
    </row>
    <row r="349" spans="1:11" hidden="1" x14ac:dyDescent="0.25">
      <c r="A349" t="str">
        <f t="shared" si="37"/>
        <v>PTFEØ5,55625</v>
      </c>
      <c r="B349" s="81" t="s">
        <v>307</v>
      </c>
      <c r="C349" s="101" t="s">
        <v>249</v>
      </c>
      <c r="D349" s="86">
        <f t="shared" si="41"/>
        <v>5.5562499999999995</v>
      </c>
      <c r="E349" s="85">
        <f t="shared" si="33"/>
        <v>5.5562499999999996E-3</v>
      </c>
      <c r="F349" s="85">
        <f t="shared" si="34"/>
        <v>2.7781249999999998E-3</v>
      </c>
      <c r="G349" s="85">
        <f t="shared" si="35"/>
        <v>8.9813983141951873E-8</v>
      </c>
      <c r="H349" s="85">
        <v>2160</v>
      </c>
      <c r="I349" s="85">
        <f t="shared" si="36"/>
        <v>1.9399820358661604E-4</v>
      </c>
      <c r="J349" s="87">
        <v>1</v>
      </c>
      <c r="K349" s="88">
        <f t="shared" si="40"/>
        <v>5154.6869069512877</v>
      </c>
    </row>
    <row r="350" spans="1:11" hidden="1" x14ac:dyDescent="0.25">
      <c r="A350" t="str">
        <f t="shared" si="37"/>
        <v>PPHØ7,14375</v>
      </c>
      <c r="B350" s="81" t="s">
        <v>202</v>
      </c>
      <c r="C350" s="101" t="s">
        <v>250</v>
      </c>
      <c r="D350" s="86">
        <f t="shared" ref="D350:D355" si="42">9/32*25.4</f>
        <v>7.1437499999999998</v>
      </c>
      <c r="E350" s="85">
        <f t="shared" si="33"/>
        <v>7.1437499999999999E-3</v>
      </c>
      <c r="F350" s="85">
        <f t="shared" si="34"/>
        <v>3.571875E-3</v>
      </c>
      <c r="G350" s="85">
        <f t="shared" si="35"/>
        <v>1.9088744522006684E-7</v>
      </c>
      <c r="H350" s="85">
        <v>870</v>
      </c>
      <c r="I350" s="85">
        <f t="shared" si="36"/>
        <v>1.6607207734145815E-4</v>
      </c>
      <c r="J350" s="87">
        <v>1</v>
      </c>
      <c r="K350" s="88">
        <f t="shared" si="40"/>
        <v>6021.4818529903487</v>
      </c>
    </row>
    <row r="351" spans="1:11" hidden="1" x14ac:dyDescent="0.25">
      <c r="A351" t="str">
        <f t="shared" si="37"/>
        <v>PPHØ7,14375</v>
      </c>
      <c r="B351" s="81" t="s">
        <v>202</v>
      </c>
      <c r="C351" s="101" t="s">
        <v>250</v>
      </c>
      <c r="D351" s="86">
        <f t="shared" si="42"/>
        <v>7.1437499999999998</v>
      </c>
      <c r="E351" s="85">
        <f t="shared" si="33"/>
        <v>7.1437499999999999E-3</v>
      </c>
      <c r="F351" s="85">
        <f t="shared" si="34"/>
        <v>3.571875E-3</v>
      </c>
      <c r="G351" s="85">
        <f t="shared" si="35"/>
        <v>1.9088744522006684E-7</v>
      </c>
      <c r="H351" s="85">
        <v>870</v>
      </c>
      <c r="I351" s="85">
        <f t="shared" si="36"/>
        <v>1.6607207734145815E-4</v>
      </c>
      <c r="J351" s="87">
        <v>1</v>
      </c>
      <c r="K351" s="88">
        <f t="shared" si="40"/>
        <v>6021.4818529903487</v>
      </c>
    </row>
    <row r="352" spans="1:11" hidden="1" x14ac:dyDescent="0.25">
      <c r="A352" t="str">
        <f t="shared" si="37"/>
        <v>PPHØ7,14375</v>
      </c>
      <c r="B352" s="81" t="s">
        <v>202</v>
      </c>
      <c r="C352" s="101" t="s">
        <v>250</v>
      </c>
      <c r="D352" s="86">
        <f t="shared" si="42"/>
        <v>7.1437499999999998</v>
      </c>
      <c r="E352" s="85">
        <f t="shared" si="33"/>
        <v>7.1437499999999999E-3</v>
      </c>
      <c r="F352" s="85">
        <f t="shared" si="34"/>
        <v>3.571875E-3</v>
      </c>
      <c r="G352" s="85">
        <f t="shared" si="35"/>
        <v>1.9088744522006684E-7</v>
      </c>
      <c r="H352" s="85">
        <v>870</v>
      </c>
      <c r="I352" s="85">
        <f t="shared" si="36"/>
        <v>1.6607207734145815E-4</v>
      </c>
      <c r="J352" s="87">
        <v>1</v>
      </c>
      <c r="K352" s="88">
        <f t="shared" si="40"/>
        <v>6021.4818529903487</v>
      </c>
    </row>
    <row r="353" spans="1:11" hidden="1" x14ac:dyDescent="0.25">
      <c r="A353" t="str">
        <f t="shared" si="37"/>
        <v>PTFEØ7,14375</v>
      </c>
      <c r="B353" s="81" t="s">
        <v>307</v>
      </c>
      <c r="C353" s="101" t="s">
        <v>250</v>
      </c>
      <c r="D353" s="86">
        <f t="shared" si="42"/>
        <v>7.1437499999999998</v>
      </c>
      <c r="E353" s="85">
        <f t="shared" si="33"/>
        <v>7.1437499999999999E-3</v>
      </c>
      <c r="F353" s="85">
        <f t="shared" si="34"/>
        <v>3.571875E-3</v>
      </c>
      <c r="G353" s="85">
        <f t="shared" si="35"/>
        <v>1.9088744522006684E-7</v>
      </c>
      <c r="H353" s="85">
        <v>2160</v>
      </c>
      <c r="I353" s="85">
        <f t="shared" si="36"/>
        <v>4.1231688167534436E-4</v>
      </c>
      <c r="J353" s="87">
        <v>1</v>
      </c>
      <c r="K353" s="88">
        <f t="shared" si="40"/>
        <v>2425.3190796766685</v>
      </c>
    </row>
    <row r="354" spans="1:11" hidden="1" x14ac:dyDescent="0.25">
      <c r="A354" t="str">
        <f t="shared" si="37"/>
        <v>PTFEØ7,14375</v>
      </c>
      <c r="B354" s="81" t="s">
        <v>307</v>
      </c>
      <c r="C354" s="101" t="s">
        <v>250</v>
      </c>
      <c r="D354" s="86">
        <f t="shared" si="42"/>
        <v>7.1437499999999998</v>
      </c>
      <c r="E354" s="85">
        <f t="shared" si="33"/>
        <v>7.1437499999999999E-3</v>
      </c>
      <c r="F354" s="85">
        <f t="shared" si="34"/>
        <v>3.571875E-3</v>
      </c>
      <c r="G354" s="85">
        <f t="shared" si="35"/>
        <v>1.9088744522006684E-7</v>
      </c>
      <c r="H354" s="85">
        <v>2160</v>
      </c>
      <c r="I354" s="85">
        <f t="shared" si="36"/>
        <v>4.1231688167534436E-4</v>
      </c>
      <c r="J354" s="87">
        <v>1</v>
      </c>
      <c r="K354" s="88">
        <f t="shared" si="40"/>
        <v>2425.3190796766685</v>
      </c>
    </row>
    <row r="355" spans="1:11" hidden="1" x14ac:dyDescent="0.25">
      <c r="A355" t="str">
        <f t="shared" si="37"/>
        <v>PTFEØ7,14375</v>
      </c>
      <c r="B355" s="81" t="s">
        <v>307</v>
      </c>
      <c r="C355" s="101" t="s">
        <v>250</v>
      </c>
      <c r="D355" s="86">
        <f t="shared" si="42"/>
        <v>7.1437499999999998</v>
      </c>
      <c r="E355" s="85">
        <f t="shared" si="33"/>
        <v>7.1437499999999999E-3</v>
      </c>
      <c r="F355" s="85">
        <f t="shared" si="34"/>
        <v>3.571875E-3</v>
      </c>
      <c r="G355" s="85">
        <f t="shared" si="35"/>
        <v>1.9088744522006684E-7</v>
      </c>
      <c r="H355" s="85">
        <v>2160</v>
      </c>
      <c r="I355" s="85">
        <f t="shared" si="36"/>
        <v>4.1231688167534436E-4</v>
      </c>
      <c r="J355" s="87">
        <v>1</v>
      </c>
      <c r="K355" s="88">
        <f t="shared" si="40"/>
        <v>2425.3190796766685</v>
      </c>
    </row>
    <row r="356" spans="1:11" hidden="1" x14ac:dyDescent="0.25">
      <c r="A356" t="str">
        <f t="shared" si="37"/>
        <v>PPHØ11,1125</v>
      </c>
      <c r="B356" s="81" t="s">
        <v>202</v>
      </c>
      <c r="C356" s="101" t="s">
        <v>274</v>
      </c>
      <c r="D356" s="86">
        <f t="shared" ref="D356:D361" si="43">7/16*25.4</f>
        <v>11.112499999999999</v>
      </c>
      <c r="E356" s="85">
        <f t="shared" si="33"/>
        <v>1.1112499999999999E-2</v>
      </c>
      <c r="F356" s="85">
        <f t="shared" si="34"/>
        <v>5.5562499999999996E-3</v>
      </c>
      <c r="G356" s="85">
        <f t="shared" si="35"/>
        <v>7.1851186513561499E-7</v>
      </c>
      <c r="H356" s="85">
        <v>870</v>
      </c>
      <c r="I356" s="85">
        <f t="shared" si="36"/>
        <v>6.2510532266798504E-4</v>
      </c>
      <c r="J356" s="87">
        <v>1</v>
      </c>
      <c r="K356" s="88">
        <f t="shared" si="40"/>
        <v>1599.7304193986754</v>
      </c>
    </row>
    <row r="357" spans="1:11" hidden="1" x14ac:dyDescent="0.25">
      <c r="A357" t="str">
        <f t="shared" si="37"/>
        <v>PPHØ11,1125</v>
      </c>
      <c r="B357" s="81" t="s">
        <v>202</v>
      </c>
      <c r="C357" s="101" t="s">
        <v>274</v>
      </c>
      <c r="D357" s="86">
        <f t="shared" si="43"/>
        <v>11.112499999999999</v>
      </c>
      <c r="E357" s="85">
        <f t="shared" si="33"/>
        <v>1.1112499999999999E-2</v>
      </c>
      <c r="F357" s="85">
        <f t="shared" si="34"/>
        <v>5.5562499999999996E-3</v>
      </c>
      <c r="G357" s="85">
        <f t="shared" si="35"/>
        <v>7.1851186513561499E-7</v>
      </c>
      <c r="H357" s="85">
        <v>870</v>
      </c>
      <c r="I357" s="85">
        <f t="shared" si="36"/>
        <v>6.2510532266798504E-4</v>
      </c>
      <c r="J357" s="87">
        <v>1</v>
      </c>
      <c r="K357" s="88">
        <f t="shared" si="40"/>
        <v>1599.7304193986754</v>
      </c>
    </row>
    <row r="358" spans="1:11" hidden="1" x14ac:dyDescent="0.25">
      <c r="A358" t="str">
        <f t="shared" si="37"/>
        <v>PPHØ11,1125</v>
      </c>
      <c r="B358" s="81" t="s">
        <v>202</v>
      </c>
      <c r="C358" s="101" t="s">
        <v>274</v>
      </c>
      <c r="D358" s="86">
        <f t="shared" si="43"/>
        <v>11.112499999999999</v>
      </c>
      <c r="E358" s="85">
        <f t="shared" si="33"/>
        <v>1.1112499999999999E-2</v>
      </c>
      <c r="F358" s="85">
        <f t="shared" si="34"/>
        <v>5.5562499999999996E-3</v>
      </c>
      <c r="G358" s="85">
        <f t="shared" si="35"/>
        <v>7.1851186513561499E-7</v>
      </c>
      <c r="H358" s="85">
        <v>870</v>
      </c>
      <c r="I358" s="85">
        <f t="shared" si="36"/>
        <v>6.2510532266798504E-4</v>
      </c>
      <c r="J358" s="87">
        <v>1</v>
      </c>
      <c r="K358" s="88">
        <f t="shared" si="40"/>
        <v>1599.7304193986754</v>
      </c>
    </row>
    <row r="359" spans="1:11" hidden="1" x14ac:dyDescent="0.25">
      <c r="A359" t="str">
        <f t="shared" si="37"/>
        <v>PTFEØ11,1125</v>
      </c>
      <c r="B359" s="81" t="s">
        <v>307</v>
      </c>
      <c r="C359" s="101" t="s">
        <v>274</v>
      </c>
      <c r="D359" s="86">
        <f t="shared" si="43"/>
        <v>11.112499999999999</v>
      </c>
      <c r="E359" s="85">
        <f t="shared" si="33"/>
        <v>1.1112499999999999E-2</v>
      </c>
      <c r="F359" s="85">
        <f t="shared" si="34"/>
        <v>5.5562499999999996E-3</v>
      </c>
      <c r="G359" s="85">
        <f t="shared" si="35"/>
        <v>7.1851186513561499E-7</v>
      </c>
      <c r="H359" s="85">
        <v>2160</v>
      </c>
      <c r="I359" s="85">
        <f t="shared" si="36"/>
        <v>1.5519856286929283E-3</v>
      </c>
      <c r="J359" s="87">
        <v>1</v>
      </c>
      <c r="K359" s="88">
        <f t="shared" si="40"/>
        <v>644.33586336891096</v>
      </c>
    </row>
    <row r="360" spans="1:11" hidden="1" x14ac:dyDescent="0.25">
      <c r="A360" t="str">
        <f t="shared" si="37"/>
        <v>PTFEØ11,1125</v>
      </c>
      <c r="B360" s="81" t="s">
        <v>307</v>
      </c>
      <c r="C360" s="101" t="s">
        <v>274</v>
      </c>
      <c r="D360" s="86">
        <f t="shared" si="43"/>
        <v>11.112499999999999</v>
      </c>
      <c r="E360" s="85">
        <f t="shared" si="33"/>
        <v>1.1112499999999999E-2</v>
      </c>
      <c r="F360" s="85">
        <f t="shared" si="34"/>
        <v>5.5562499999999996E-3</v>
      </c>
      <c r="G360" s="85">
        <f t="shared" si="35"/>
        <v>7.1851186513561499E-7</v>
      </c>
      <c r="H360" s="85">
        <v>2160</v>
      </c>
      <c r="I360" s="85">
        <f t="shared" si="36"/>
        <v>1.5519856286929283E-3</v>
      </c>
      <c r="J360" s="87">
        <v>1</v>
      </c>
      <c r="K360" s="88">
        <f t="shared" si="40"/>
        <v>644.33586336891096</v>
      </c>
    </row>
    <row r="361" spans="1:11" hidden="1" x14ac:dyDescent="0.25">
      <c r="A361" t="str">
        <f t="shared" si="37"/>
        <v>PTFEØ11,1125</v>
      </c>
      <c r="B361" s="81" t="s">
        <v>307</v>
      </c>
      <c r="C361" s="101" t="s">
        <v>274</v>
      </c>
      <c r="D361" s="86">
        <f t="shared" si="43"/>
        <v>11.112499999999999</v>
      </c>
      <c r="E361" s="85">
        <f t="shared" si="33"/>
        <v>1.1112499999999999E-2</v>
      </c>
      <c r="F361" s="85">
        <f t="shared" si="34"/>
        <v>5.5562499999999996E-3</v>
      </c>
      <c r="G361" s="85">
        <f t="shared" si="35"/>
        <v>7.1851186513561499E-7</v>
      </c>
      <c r="H361" s="85">
        <v>2160</v>
      </c>
      <c r="I361" s="85">
        <f t="shared" si="36"/>
        <v>1.5519856286929283E-3</v>
      </c>
      <c r="J361" s="87">
        <v>1</v>
      </c>
      <c r="K361" s="88">
        <f t="shared" si="40"/>
        <v>644.33586336891096</v>
      </c>
    </row>
    <row r="362" spans="1:11" hidden="1" x14ac:dyDescent="0.25">
      <c r="A362" t="str">
        <f t="shared" si="37"/>
        <v>PPHØ15,875</v>
      </c>
      <c r="B362" s="81" t="s">
        <v>202</v>
      </c>
      <c r="C362" s="101" t="s">
        <v>266</v>
      </c>
      <c r="D362" s="86">
        <f>5/8*25.4</f>
        <v>15.875</v>
      </c>
      <c r="E362" s="85">
        <f t="shared" si="33"/>
        <v>1.5875E-2</v>
      </c>
      <c r="F362" s="85">
        <f t="shared" si="34"/>
        <v>7.9375000000000001E-3</v>
      </c>
      <c r="G362" s="85">
        <f t="shared" si="35"/>
        <v>2.0947867788210358E-6</v>
      </c>
      <c r="H362" s="85">
        <v>870</v>
      </c>
      <c r="I362" s="85">
        <f t="shared" si="36"/>
        <v>1.8224644975743012E-3</v>
      </c>
      <c r="J362" s="87">
        <v>1</v>
      </c>
      <c r="K362" s="88">
        <f t="shared" si="40"/>
        <v>548.70753385374542</v>
      </c>
    </row>
    <row r="363" spans="1:11" hidden="1" x14ac:dyDescent="0.25">
      <c r="A363" t="str">
        <f t="shared" si="37"/>
        <v>PPHØ15,875</v>
      </c>
      <c r="B363" s="81" t="s">
        <v>202</v>
      </c>
      <c r="C363" s="101" t="s">
        <v>266</v>
      </c>
      <c r="D363" s="86">
        <f>5/8*25.4</f>
        <v>15.875</v>
      </c>
      <c r="E363" s="85">
        <f t="shared" si="33"/>
        <v>1.5875E-2</v>
      </c>
      <c r="F363" s="85">
        <f t="shared" si="34"/>
        <v>7.9375000000000001E-3</v>
      </c>
      <c r="G363" s="85">
        <f t="shared" si="35"/>
        <v>2.0947867788210358E-6</v>
      </c>
      <c r="H363" s="85">
        <v>870</v>
      </c>
      <c r="I363" s="85">
        <f t="shared" si="36"/>
        <v>1.8224644975743012E-3</v>
      </c>
      <c r="J363" s="87">
        <v>1</v>
      </c>
      <c r="K363" s="88">
        <f t="shared" si="40"/>
        <v>548.70753385374542</v>
      </c>
    </row>
    <row r="364" spans="1:11" hidden="1" x14ac:dyDescent="0.25">
      <c r="A364" t="str">
        <f t="shared" si="37"/>
        <v>PPHØ15,875</v>
      </c>
      <c r="B364" s="81" t="s">
        <v>202</v>
      </c>
      <c r="C364" s="101" t="s">
        <v>266</v>
      </c>
      <c r="D364" s="86">
        <f>5/8*25.4</f>
        <v>15.875</v>
      </c>
      <c r="E364" s="85">
        <f t="shared" si="33"/>
        <v>1.5875E-2</v>
      </c>
      <c r="F364" s="85">
        <f t="shared" si="34"/>
        <v>7.9375000000000001E-3</v>
      </c>
      <c r="G364" s="85">
        <f t="shared" si="35"/>
        <v>2.0947867788210358E-6</v>
      </c>
      <c r="H364" s="85">
        <v>870</v>
      </c>
      <c r="I364" s="85">
        <f t="shared" si="36"/>
        <v>1.8224644975743012E-3</v>
      </c>
      <c r="J364" s="87">
        <v>1</v>
      </c>
      <c r="K364" s="88">
        <f t="shared" si="40"/>
        <v>548.70753385374542</v>
      </c>
    </row>
    <row r="365" spans="1:11" hidden="1" x14ac:dyDescent="0.25">
      <c r="A365" t="str">
        <f t="shared" si="37"/>
        <v>PTFEØ16</v>
      </c>
      <c r="B365" s="81" t="s">
        <v>307</v>
      </c>
      <c r="D365" s="86">
        <v>16</v>
      </c>
      <c r="E365" s="85">
        <f t="shared" si="33"/>
        <v>1.6E-2</v>
      </c>
      <c r="F365" s="85">
        <f t="shared" si="34"/>
        <v>8.0000000000000002E-3</v>
      </c>
      <c r="G365" s="85">
        <f t="shared" si="35"/>
        <v>2.1446605848506321E-6</v>
      </c>
      <c r="H365" s="85">
        <v>2160</v>
      </c>
      <c r="I365" s="85">
        <f t="shared" si="36"/>
        <v>4.6324668632773654E-3</v>
      </c>
      <c r="J365" s="87">
        <v>1</v>
      </c>
      <c r="K365" s="88">
        <f t="shared" si="40"/>
        <v>215.86770710163756</v>
      </c>
    </row>
    <row r="366" spans="1:11" hidden="1" x14ac:dyDescent="0.25">
      <c r="A366" t="str">
        <f t="shared" si="37"/>
        <v>PTFEØ16</v>
      </c>
      <c r="B366" s="81" t="s">
        <v>307</v>
      </c>
      <c r="D366" s="86">
        <v>16</v>
      </c>
      <c r="E366" s="85">
        <f t="shared" si="33"/>
        <v>1.6E-2</v>
      </c>
      <c r="F366" s="85">
        <f t="shared" si="34"/>
        <v>8.0000000000000002E-3</v>
      </c>
      <c r="G366" s="85">
        <f t="shared" si="35"/>
        <v>2.1446605848506321E-6</v>
      </c>
      <c r="H366" s="85">
        <v>2160</v>
      </c>
      <c r="I366" s="85">
        <f t="shared" si="36"/>
        <v>4.6324668632773654E-3</v>
      </c>
      <c r="J366" s="87">
        <v>1</v>
      </c>
      <c r="K366" s="88">
        <f t="shared" si="40"/>
        <v>215.86770710163756</v>
      </c>
    </row>
    <row r="367" spans="1:11" hidden="1" x14ac:dyDescent="0.25">
      <c r="A367" t="str">
        <f t="shared" si="37"/>
        <v>PTFEØ16</v>
      </c>
      <c r="B367" s="81" t="s">
        <v>307</v>
      </c>
      <c r="D367" s="86">
        <v>16</v>
      </c>
      <c r="E367" s="85">
        <f t="shared" si="33"/>
        <v>1.6E-2</v>
      </c>
      <c r="F367" s="85">
        <f t="shared" si="34"/>
        <v>8.0000000000000002E-3</v>
      </c>
      <c r="G367" s="85">
        <f t="shared" si="35"/>
        <v>2.1446605848506321E-6</v>
      </c>
      <c r="H367" s="85">
        <v>2160</v>
      </c>
      <c r="I367" s="85">
        <f t="shared" si="36"/>
        <v>4.6324668632773654E-3</v>
      </c>
      <c r="J367" s="87">
        <v>1</v>
      </c>
      <c r="K367" s="88">
        <f t="shared" si="40"/>
        <v>215.86770710163756</v>
      </c>
    </row>
    <row r="368" spans="1:11" hidden="1" x14ac:dyDescent="0.25">
      <c r="A368" t="str">
        <f t="shared" si="37"/>
        <v>PPHØ19,05</v>
      </c>
      <c r="B368" s="81" t="s">
        <v>202</v>
      </c>
      <c r="C368" s="101" t="s">
        <v>262</v>
      </c>
      <c r="D368" s="86">
        <f t="shared" ref="D368:D373" si="44">3/4*25.4</f>
        <v>19.049999999999997</v>
      </c>
      <c r="E368" s="85">
        <f t="shared" si="33"/>
        <v>1.9049999999999997E-2</v>
      </c>
      <c r="F368" s="85">
        <f t="shared" si="34"/>
        <v>9.5249999999999987E-3</v>
      </c>
      <c r="G368" s="85">
        <f t="shared" si="35"/>
        <v>3.6197915538027477E-6</v>
      </c>
      <c r="H368" s="85">
        <v>870</v>
      </c>
      <c r="I368" s="85">
        <f t="shared" si="36"/>
        <v>3.1492186518083908E-3</v>
      </c>
      <c r="J368" s="87">
        <v>1</v>
      </c>
      <c r="K368" s="88">
        <f t="shared" si="40"/>
        <v>317.53908209128804</v>
      </c>
    </row>
    <row r="369" spans="1:11" hidden="1" x14ac:dyDescent="0.25">
      <c r="A369" t="str">
        <f t="shared" si="37"/>
        <v>PPHØ19,05</v>
      </c>
      <c r="B369" s="81" t="s">
        <v>202</v>
      </c>
      <c r="C369" s="101" t="s">
        <v>262</v>
      </c>
      <c r="D369" s="86">
        <f t="shared" si="44"/>
        <v>19.049999999999997</v>
      </c>
      <c r="E369" s="85">
        <f t="shared" ref="E369:E432" si="45">D369/1000</f>
        <v>1.9049999999999997E-2</v>
      </c>
      <c r="F369" s="85">
        <f t="shared" ref="F369:F432" si="46">E369/2</f>
        <v>9.5249999999999987E-3</v>
      </c>
      <c r="G369" s="85">
        <f t="shared" ref="G369:G432" si="47">4/3*PI()*F369*F369*F369</f>
        <v>3.6197915538027477E-6</v>
      </c>
      <c r="H369" s="85">
        <v>870</v>
      </c>
      <c r="I369" s="85">
        <f t="shared" ref="I369:I432" si="48">H369*G369</f>
        <v>3.1492186518083908E-3</v>
      </c>
      <c r="J369" s="87">
        <v>1</v>
      </c>
      <c r="K369" s="88">
        <f t="shared" si="40"/>
        <v>317.53908209128804</v>
      </c>
    </row>
    <row r="370" spans="1:11" hidden="1" x14ac:dyDescent="0.25">
      <c r="A370" t="str">
        <f t="shared" si="37"/>
        <v>PPHØ19,05</v>
      </c>
      <c r="B370" s="81" t="s">
        <v>202</v>
      </c>
      <c r="C370" s="101" t="s">
        <v>262</v>
      </c>
      <c r="D370" s="86">
        <f t="shared" si="44"/>
        <v>19.049999999999997</v>
      </c>
      <c r="E370" s="85">
        <f t="shared" si="45"/>
        <v>1.9049999999999997E-2</v>
      </c>
      <c r="F370" s="85">
        <f t="shared" si="46"/>
        <v>9.5249999999999987E-3</v>
      </c>
      <c r="G370" s="85">
        <f t="shared" si="47"/>
        <v>3.6197915538027477E-6</v>
      </c>
      <c r="H370" s="85">
        <v>870</v>
      </c>
      <c r="I370" s="85">
        <f t="shared" si="48"/>
        <v>3.1492186518083908E-3</v>
      </c>
      <c r="J370" s="87">
        <v>1</v>
      </c>
      <c r="K370" s="88">
        <f t="shared" si="40"/>
        <v>317.53908209128804</v>
      </c>
    </row>
    <row r="371" spans="1:11" hidden="1" x14ac:dyDescent="0.25">
      <c r="A371" t="str">
        <f t="shared" si="37"/>
        <v>PTFEØ19,05</v>
      </c>
      <c r="B371" s="81" t="s">
        <v>307</v>
      </c>
      <c r="C371" s="101" t="s">
        <v>262</v>
      </c>
      <c r="D371" s="86">
        <f t="shared" si="44"/>
        <v>19.049999999999997</v>
      </c>
      <c r="E371" s="85">
        <f t="shared" si="45"/>
        <v>1.9049999999999997E-2</v>
      </c>
      <c r="F371" s="85">
        <f t="shared" si="46"/>
        <v>9.5249999999999987E-3</v>
      </c>
      <c r="G371" s="85">
        <f t="shared" si="47"/>
        <v>3.6197915538027477E-6</v>
      </c>
      <c r="H371" s="85">
        <v>2160</v>
      </c>
      <c r="I371" s="85">
        <f t="shared" si="48"/>
        <v>7.8187497562139351E-3</v>
      </c>
      <c r="J371" s="87">
        <v>1</v>
      </c>
      <c r="K371" s="88">
        <f t="shared" si="40"/>
        <v>127.89768584232435</v>
      </c>
    </row>
    <row r="372" spans="1:11" hidden="1" x14ac:dyDescent="0.25">
      <c r="A372" t="str">
        <f t="shared" si="37"/>
        <v>PTFEØ19,05</v>
      </c>
      <c r="B372" s="81" t="s">
        <v>307</v>
      </c>
      <c r="C372" s="101" t="s">
        <v>262</v>
      </c>
      <c r="D372" s="86">
        <f t="shared" si="44"/>
        <v>19.049999999999997</v>
      </c>
      <c r="E372" s="85">
        <f t="shared" si="45"/>
        <v>1.9049999999999997E-2</v>
      </c>
      <c r="F372" s="85">
        <f t="shared" si="46"/>
        <v>9.5249999999999987E-3</v>
      </c>
      <c r="G372" s="85">
        <f t="shared" si="47"/>
        <v>3.6197915538027477E-6</v>
      </c>
      <c r="H372" s="85">
        <v>2160</v>
      </c>
      <c r="I372" s="85">
        <f t="shared" si="48"/>
        <v>7.8187497562139351E-3</v>
      </c>
      <c r="J372" s="87">
        <v>1</v>
      </c>
      <c r="K372" s="88">
        <f t="shared" si="40"/>
        <v>127.89768584232435</v>
      </c>
    </row>
    <row r="373" spans="1:11" hidden="1" x14ac:dyDescent="0.25">
      <c r="A373" t="str">
        <f t="shared" si="37"/>
        <v>PTFEØ19,05</v>
      </c>
      <c r="B373" s="81" t="s">
        <v>307</v>
      </c>
      <c r="C373" s="101" t="s">
        <v>262</v>
      </c>
      <c r="D373" s="86">
        <f t="shared" si="44"/>
        <v>19.049999999999997</v>
      </c>
      <c r="E373" s="85">
        <f t="shared" si="45"/>
        <v>1.9049999999999997E-2</v>
      </c>
      <c r="F373" s="85">
        <f t="shared" si="46"/>
        <v>9.5249999999999987E-3</v>
      </c>
      <c r="G373" s="85">
        <f t="shared" si="47"/>
        <v>3.6197915538027477E-6</v>
      </c>
      <c r="H373" s="85">
        <v>2160</v>
      </c>
      <c r="I373" s="85">
        <f t="shared" si="48"/>
        <v>7.8187497562139351E-3</v>
      </c>
      <c r="J373" s="87">
        <v>1</v>
      </c>
      <c r="K373" s="88">
        <f t="shared" si="40"/>
        <v>127.89768584232435</v>
      </c>
    </row>
    <row r="374" spans="1:11" hidden="1" x14ac:dyDescent="0.25">
      <c r="A374" t="str">
        <f t="shared" si="37"/>
        <v>PPHØ31,75</v>
      </c>
      <c r="B374" s="81" t="s">
        <v>202</v>
      </c>
      <c r="C374" s="101" t="s">
        <v>279</v>
      </c>
      <c r="D374" s="86">
        <f t="shared" ref="D374:D379" si="49">25.4+1/4*25.4</f>
        <v>31.75</v>
      </c>
      <c r="E374" s="85">
        <f t="shared" si="45"/>
        <v>3.175E-2</v>
      </c>
      <c r="F374" s="85">
        <f t="shared" si="46"/>
        <v>1.5875E-2</v>
      </c>
      <c r="G374" s="85">
        <f t="shared" si="47"/>
        <v>1.6758294230568286E-5</v>
      </c>
      <c r="H374" s="85">
        <v>870</v>
      </c>
      <c r="I374" s="85">
        <f t="shared" si="48"/>
        <v>1.457971598059441E-2</v>
      </c>
      <c r="J374" s="87">
        <v>1</v>
      </c>
      <c r="K374" s="88">
        <f t="shared" si="40"/>
        <v>68.588441731718177</v>
      </c>
    </row>
    <row r="375" spans="1:11" hidden="1" x14ac:dyDescent="0.25">
      <c r="A375" t="str">
        <f t="shared" si="37"/>
        <v>PPHØ31,75</v>
      </c>
      <c r="B375" s="81" t="s">
        <v>202</v>
      </c>
      <c r="C375" s="101" t="s">
        <v>279</v>
      </c>
      <c r="D375" s="86">
        <f t="shared" si="49"/>
        <v>31.75</v>
      </c>
      <c r="E375" s="85">
        <f t="shared" si="45"/>
        <v>3.175E-2</v>
      </c>
      <c r="F375" s="85">
        <f t="shared" si="46"/>
        <v>1.5875E-2</v>
      </c>
      <c r="G375" s="85">
        <f t="shared" si="47"/>
        <v>1.6758294230568286E-5</v>
      </c>
      <c r="H375" s="85">
        <v>870</v>
      </c>
      <c r="I375" s="85">
        <f t="shared" si="48"/>
        <v>1.457971598059441E-2</v>
      </c>
      <c r="J375" s="87">
        <v>1</v>
      </c>
      <c r="K375" s="88">
        <f t="shared" si="40"/>
        <v>68.588441731718177</v>
      </c>
    </row>
    <row r="376" spans="1:11" hidden="1" x14ac:dyDescent="0.25">
      <c r="A376" t="str">
        <f t="shared" si="37"/>
        <v>PPHØ31,75</v>
      </c>
      <c r="B376" s="81" t="s">
        <v>202</v>
      </c>
      <c r="C376" s="101" t="s">
        <v>279</v>
      </c>
      <c r="D376" s="86">
        <f t="shared" si="49"/>
        <v>31.75</v>
      </c>
      <c r="E376" s="85">
        <f t="shared" si="45"/>
        <v>3.175E-2</v>
      </c>
      <c r="F376" s="85">
        <f t="shared" si="46"/>
        <v>1.5875E-2</v>
      </c>
      <c r="G376" s="85">
        <f t="shared" si="47"/>
        <v>1.6758294230568286E-5</v>
      </c>
      <c r="H376" s="85">
        <v>870</v>
      </c>
      <c r="I376" s="85">
        <f t="shared" si="48"/>
        <v>1.457971598059441E-2</v>
      </c>
      <c r="J376" s="87">
        <v>1</v>
      </c>
      <c r="K376" s="88">
        <f t="shared" si="40"/>
        <v>68.588441731718177</v>
      </c>
    </row>
    <row r="377" spans="1:11" hidden="1" x14ac:dyDescent="0.25">
      <c r="A377" t="str">
        <f t="shared" si="37"/>
        <v>PTFEØ31,75</v>
      </c>
      <c r="B377" s="81" t="s">
        <v>307</v>
      </c>
      <c r="C377" s="101" t="s">
        <v>279</v>
      </c>
      <c r="D377" s="86">
        <f t="shared" si="49"/>
        <v>31.75</v>
      </c>
      <c r="E377" s="85">
        <f t="shared" si="45"/>
        <v>3.175E-2</v>
      </c>
      <c r="F377" s="85">
        <f t="shared" si="46"/>
        <v>1.5875E-2</v>
      </c>
      <c r="G377" s="85">
        <f t="shared" si="47"/>
        <v>1.6758294230568286E-5</v>
      </c>
      <c r="H377" s="85">
        <v>2160</v>
      </c>
      <c r="I377" s="85">
        <f t="shared" si="48"/>
        <v>3.6197915538027495E-2</v>
      </c>
      <c r="J377" s="87">
        <v>1</v>
      </c>
      <c r="K377" s="88">
        <f t="shared" si="40"/>
        <v>27.625900141942047</v>
      </c>
    </row>
    <row r="378" spans="1:11" hidden="1" x14ac:dyDescent="0.25">
      <c r="A378" t="str">
        <f t="shared" si="37"/>
        <v>PTFEØ31,75</v>
      </c>
      <c r="B378" s="81" t="s">
        <v>307</v>
      </c>
      <c r="C378" s="101" t="s">
        <v>279</v>
      </c>
      <c r="D378" s="86">
        <f t="shared" si="49"/>
        <v>31.75</v>
      </c>
      <c r="E378" s="85">
        <f t="shared" si="45"/>
        <v>3.175E-2</v>
      </c>
      <c r="F378" s="85">
        <f t="shared" si="46"/>
        <v>1.5875E-2</v>
      </c>
      <c r="G378" s="85">
        <f t="shared" si="47"/>
        <v>1.6758294230568286E-5</v>
      </c>
      <c r="H378" s="85">
        <v>2160</v>
      </c>
      <c r="I378" s="85">
        <f t="shared" si="48"/>
        <v>3.6197915538027495E-2</v>
      </c>
      <c r="J378" s="87">
        <v>1</v>
      </c>
      <c r="K378" s="88">
        <f t="shared" si="40"/>
        <v>27.625900141942047</v>
      </c>
    </row>
    <row r="379" spans="1:11" hidden="1" x14ac:dyDescent="0.25">
      <c r="A379" t="str">
        <f t="shared" si="37"/>
        <v>PTFEØ31,75</v>
      </c>
      <c r="B379" s="81" t="s">
        <v>307</v>
      </c>
      <c r="C379" s="101" t="s">
        <v>279</v>
      </c>
      <c r="D379" s="86">
        <f t="shared" si="49"/>
        <v>31.75</v>
      </c>
      <c r="E379" s="85">
        <f t="shared" si="45"/>
        <v>3.175E-2</v>
      </c>
      <c r="F379" s="85">
        <f t="shared" si="46"/>
        <v>1.5875E-2</v>
      </c>
      <c r="G379" s="85">
        <f t="shared" si="47"/>
        <v>1.6758294230568286E-5</v>
      </c>
      <c r="H379" s="85">
        <v>2160</v>
      </c>
      <c r="I379" s="85">
        <f t="shared" si="48"/>
        <v>3.6197915538027495E-2</v>
      </c>
      <c r="J379" s="87">
        <v>1</v>
      </c>
      <c r="K379" s="88">
        <f t="shared" si="40"/>
        <v>27.625900141942047</v>
      </c>
    </row>
    <row r="380" spans="1:11" hidden="1" x14ac:dyDescent="0.25">
      <c r="A380" t="str">
        <f t="shared" si="37"/>
        <v>PPHØ50,8</v>
      </c>
      <c r="B380" s="81" t="s">
        <v>202</v>
      </c>
      <c r="C380" s="101" t="s">
        <v>291</v>
      </c>
      <c r="D380" s="86">
        <f t="shared" ref="D380:D385" si="50">2*25.4</f>
        <v>50.8</v>
      </c>
      <c r="E380" s="85">
        <f t="shared" si="45"/>
        <v>5.0799999999999998E-2</v>
      </c>
      <c r="F380" s="85">
        <f t="shared" si="46"/>
        <v>2.5399999999999999E-2</v>
      </c>
      <c r="G380" s="85">
        <f t="shared" si="47"/>
        <v>6.8641973168407671E-5</v>
      </c>
      <c r="H380" s="85">
        <v>870</v>
      </c>
      <c r="I380" s="85">
        <f t="shared" si="48"/>
        <v>5.9718516656514675E-2</v>
      </c>
      <c r="J380" s="87">
        <v>1</v>
      </c>
      <c r="K380" s="88">
        <f t="shared" si="40"/>
        <v>16.745225032157766</v>
      </c>
    </row>
    <row r="381" spans="1:11" hidden="1" x14ac:dyDescent="0.25">
      <c r="A381" t="str">
        <f t="shared" si="37"/>
        <v>PPHØ50,8</v>
      </c>
      <c r="B381" s="81" t="s">
        <v>202</v>
      </c>
      <c r="C381" s="101" t="s">
        <v>291</v>
      </c>
      <c r="D381" s="86">
        <f t="shared" si="50"/>
        <v>50.8</v>
      </c>
      <c r="E381" s="85">
        <f t="shared" si="45"/>
        <v>5.0799999999999998E-2</v>
      </c>
      <c r="F381" s="85">
        <f t="shared" si="46"/>
        <v>2.5399999999999999E-2</v>
      </c>
      <c r="G381" s="85">
        <f t="shared" si="47"/>
        <v>6.8641973168407671E-5</v>
      </c>
      <c r="H381" s="85">
        <v>870</v>
      </c>
      <c r="I381" s="85">
        <f t="shared" si="48"/>
        <v>5.9718516656514675E-2</v>
      </c>
      <c r="J381" s="87">
        <v>1</v>
      </c>
      <c r="K381" s="88">
        <f t="shared" si="40"/>
        <v>16.745225032157766</v>
      </c>
    </row>
    <row r="382" spans="1:11" hidden="1" x14ac:dyDescent="0.25">
      <c r="A382" t="str">
        <f t="shared" si="37"/>
        <v>PPHØ50,8</v>
      </c>
      <c r="B382" s="81" t="s">
        <v>202</v>
      </c>
      <c r="C382" s="101" t="s">
        <v>291</v>
      </c>
      <c r="D382" s="86">
        <f t="shared" si="50"/>
        <v>50.8</v>
      </c>
      <c r="E382" s="85">
        <f t="shared" si="45"/>
        <v>5.0799999999999998E-2</v>
      </c>
      <c r="F382" s="85">
        <f t="shared" si="46"/>
        <v>2.5399999999999999E-2</v>
      </c>
      <c r="G382" s="85">
        <f t="shared" si="47"/>
        <v>6.8641973168407671E-5</v>
      </c>
      <c r="H382" s="85">
        <v>870</v>
      </c>
      <c r="I382" s="85">
        <f t="shared" si="48"/>
        <v>5.9718516656514675E-2</v>
      </c>
      <c r="J382" s="87">
        <v>1</v>
      </c>
      <c r="K382" s="88">
        <f t="shared" si="40"/>
        <v>16.745225032157766</v>
      </c>
    </row>
    <row r="383" spans="1:11" hidden="1" x14ac:dyDescent="0.25">
      <c r="A383" t="str">
        <f t="shared" si="37"/>
        <v>PTFEØ50,8</v>
      </c>
      <c r="B383" s="81" t="s">
        <v>307</v>
      </c>
      <c r="C383" s="101" t="s">
        <v>291</v>
      </c>
      <c r="D383" s="86">
        <f t="shared" si="50"/>
        <v>50.8</v>
      </c>
      <c r="E383" s="85">
        <f t="shared" si="45"/>
        <v>5.0799999999999998E-2</v>
      </c>
      <c r="F383" s="85">
        <f t="shared" si="46"/>
        <v>2.5399999999999999E-2</v>
      </c>
      <c r="G383" s="85">
        <f t="shared" si="47"/>
        <v>6.8641973168407671E-5</v>
      </c>
      <c r="H383" s="85">
        <v>2160</v>
      </c>
      <c r="I383" s="85">
        <f t="shared" si="48"/>
        <v>0.14826666204376057</v>
      </c>
      <c r="J383" s="87">
        <v>1</v>
      </c>
      <c r="K383" s="88">
        <f t="shared" si="40"/>
        <v>6.7446045268413224</v>
      </c>
    </row>
    <row r="384" spans="1:11" hidden="1" x14ac:dyDescent="0.25">
      <c r="A384" t="str">
        <f t="shared" si="37"/>
        <v>PTFEØ50,8</v>
      </c>
      <c r="B384" s="81" t="s">
        <v>307</v>
      </c>
      <c r="C384" s="101" t="s">
        <v>291</v>
      </c>
      <c r="D384" s="86">
        <f t="shared" si="50"/>
        <v>50.8</v>
      </c>
      <c r="E384" s="85">
        <f t="shared" si="45"/>
        <v>5.0799999999999998E-2</v>
      </c>
      <c r="F384" s="85">
        <f t="shared" si="46"/>
        <v>2.5399999999999999E-2</v>
      </c>
      <c r="G384" s="85">
        <f t="shared" si="47"/>
        <v>6.8641973168407671E-5</v>
      </c>
      <c r="H384" s="85">
        <v>2160</v>
      </c>
      <c r="I384" s="85">
        <f t="shared" si="48"/>
        <v>0.14826666204376057</v>
      </c>
      <c r="J384" s="87">
        <v>1</v>
      </c>
      <c r="K384" s="88">
        <f t="shared" si="40"/>
        <v>6.7446045268413224</v>
      </c>
    </row>
    <row r="385" spans="1:11" hidden="1" x14ac:dyDescent="0.25">
      <c r="A385" t="str">
        <f t="shared" si="37"/>
        <v>PTFEØ50,8</v>
      </c>
      <c r="B385" s="81" t="s">
        <v>307</v>
      </c>
      <c r="C385" s="101" t="s">
        <v>291</v>
      </c>
      <c r="D385" s="86">
        <f t="shared" si="50"/>
        <v>50.8</v>
      </c>
      <c r="E385" s="85">
        <f t="shared" si="45"/>
        <v>5.0799999999999998E-2</v>
      </c>
      <c r="F385" s="85">
        <f t="shared" si="46"/>
        <v>2.5399999999999999E-2</v>
      </c>
      <c r="G385" s="85">
        <f t="shared" si="47"/>
        <v>6.8641973168407671E-5</v>
      </c>
      <c r="H385" s="85">
        <v>2160</v>
      </c>
      <c r="I385" s="85">
        <f t="shared" si="48"/>
        <v>0.14826666204376057</v>
      </c>
      <c r="J385" s="87">
        <v>1</v>
      </c>
      <c r="K385" s="88">
        <f t="shared" si="40"/>
        <v>6.7446045268413224</v>
      </c>
    </row>
    <row r="386" spans="1:11" hidden="1" x14ac:dyDescent="0.25">
      <c r="A386" t="str">
        <f t="shared" si="37"/>
        <v>POMØ1</v>
      </c>
      <c r="B386" s="81" t="s">
        <v>201</v>
      </c>
      <c r="D386" s="86">
        <v>1</v>
      </c>
      <c r="E386" s="85">
        <f t="shared" si="45"/>
        <v>1E-3</v>
      </c>
      <c r="F386" s="85">
        <f t="shared" si="46"/>
        <v>5.0000000000000001E-4</v>
      </c>
      <c r="G386" s="85">
        <f t="shared" si="47"/>
        <v>5.2359877559829886E-10</v>
      </c>
      <c r="H386" s="85">
        <v>1400</v>
      </c>
      <c r="I386" s="96">
        <f t="shared" si="48"/>
        <v>7.3303828583761837E-7</v>
      </c>
      <c r="J386" s="87">
        <v>1</v>
      </c>
      <c r="K386" s="88">
        <f t="shared" si="40"/>
        <v>1364185.2265019601</v>
      </c>
    </row>
    <row r="387" spans="1:11" hidden="1" x14ac:dyDescent="0.25">
      <c r="A387" t="str">
        <f t="shared" si="37"/>
        <v>304Ø5</v>
      </c>
      <c r="B387" s="81">
        <v>304</v>
      </c>
      <c r="D387" s="86">
        <v>5</v>
      </c>
      <c r="E387" s="85">
        <f t="shared" si="45"/>
        <v>5.0000000000000001E-3</v>
      </c>
      <c r="F387" s="85">
        <f t="shared" si="46"/>
        <v>2.5000000000000001E-3</v>
      </c>
      <c r="G387" s="85">
        <f t="shared" si="47"/>
        <v>6.5449846949787352E-8</v>
      </c>
      <c r="H387" s="85">
        <v>7950</v>
      </c>
      <c r="I387" s="85">
        <f t="shared" si="48"/>
        <v>5.2032628325080941E-4</v>
      </c>
      <c r="J387" s="87">
        <v>1</v>
      </c>
      <c r="K387" s="88">
        <f t="shared" si="40"/>
        <v>1921.8710109210006</v>
      </c>
    </row>
    <row r="388" spans="1:11" hidden="1" x14ac:dyDescent="0.25">
      <c r="A388" t="str">
        <f t="shared" ref="A388:A451" si="51">CONCATENATE(B388,"Ø",D388)</f>
        <v>304Ø7</v>
      </c>
      <c r="B388" s="81">
        <v>304</v>
      </c>
      <c r="D388" s="86">
        <v>7</v>
      </c>
      <c r="E388" s="85">
        <f t="shared" si="45"/>
        <v>7.0000000000000001E-3</v>
      </c>
      <c r="F388" s="85">
        <f t="shared" si="46"/>
        <v>3.5000000000000001E-3</v>
      </c>
      <c r="G388" s="85">
        <f t="shared" si="47"/>
        <v>1.7959438003021651E-7</v>
      </c>
      <c r="H388" s="85">
        <v>7950</v>
      </c>
      <c r="I388" s="85">
        <f t="shared" si="48"/>
        <v>1.4277753212402213E-3</v>
      </c>
      <c r="J388" s="87">
        <v>1</v>
      </c>
      <c r="K388" s="88">
        <f>J388/I388</f>
        <v>700.39031010240535</v>
      </c>
    </row>
    <row r="389" spans="1:11" hidden="1" x14ac:dyDescent="0.25">
      <c r="A389" t="str">
        <f t="shared" si="51"/>
        <v>52100Ø11,1155</v>
      </c>
      <c r="B389" s="81">
        <v>52100</v>
      </c>
      <c r="C389" s="101" t="s">
        <v>308</v>
      </c>
      <c r="D389" s="86">
        <f>7/16*25.4+0.003</f>
        <v>11.115499999999999</v>
      </c>
      <c r="E389" s="85">
        <f t="shared" si="45"/>
        <v>1.1115499999999999E-2</v>
      </c>
      <c r="F389" s="85">
        <f t="shared" si="46"/>
        <v>5.5577499999999993E-3</v>
      </c>
      <c r="G389" s="85">
        <f t="shared" si="47"/>
        <v>7.1909394411954565E-7</v>
      </c>
      <c r="H389" s="85">
        <v>7800</v>
      </c>
      <c r="I389" s="85">
        <f t="shared" si="48"/>
        <v>5.6089327641324557E-3</v>
      </c>
      <c r="J389" s="87">
        <v>1</v>
      </c>
      <c r="K389" s="88">
        <f>J389/I389</f>
        <v>178.28703642067492</v>
      </c>
    </row>
    <row r="390" spans="1:11" hidden="1" x14ac:dyDescent="0.25">
      <c r="A390" t="str">
        <f t="shared" si="51"/>
        <v>CQ15Ø18</v>
      </c>
      <c r="B390" s="81" t="s">
        <v>309</v>
      </c>
      <c r="D390" s="86">
        <v>18</v>
      </c>
      <c r="E390" s="85">
        <f t="shared" si="45"/>
        <v>1.7999999999999999E-2</v>
      </c>
      <c r="F390" s="85">
        <f t="shared" si="46"/>
        <v>8.9999999999999993E-3</v>
      </c>
      <c r="G390" s="85">
        <f t="shared" si="47"/>
        <v>3.053628059289278E-6</v>
      </c>
      <c r="H390" s="85">
        <v>7820</v>
      </c>
      <c r="I390" s="85">
        <f t="shared" si="48"/>
        <v>2.3879371423642153E-2</v>
      </c>
      <c r="J390" s="87">
        <v>1</v>
      </c>
      <c r="K390" s="88">
        <f>J390/I390</f>
        <v>41.87714920376564</v>
      </c>
    </row>
    <row r="391" spans="1:11" hidden="1" x14ac:dyDescent="0.25">
      <c r="A391" t="str">
        <f t="shared" si="51"/>
        <v>304Ø4,7625</v>
      </c>
      <c r="B391" s="81">
        <v>304</v>
      </c>
      <c r="C391" s="101" t="s">
        <v>248</v>
      </c>
      <c r="D391" s="86">
        <f>3/16*25.4</f>
        <v>4.7624999999999993</v>
      </c>
      <c r="E391" s="85">
        <f t="shared" si="45"/>
        <v>4.7624999999999994E-3</v>
      </c>
      <c r="F391" s="85">
        <f t="shared" si="46"/>
        <v>2.3812499999999997E-3</v>
      </c>
      <c r="G391" s="85">
        <f t="shared" si="47"/>
        <v>5.6559243028167934E-8</v>
      </c>
      <c r="H391" s="85">
        <v>7950</v>
      </c>
      <c r="I391" s="85">
        <f t="shared" si="48"/>
        <v>4.4964598207393507E-4</v>
      </c>
      <c r="J391" s="87">
        <v>1</v>
      </c>
      <c r="K391" s="88">
        <f t="shared" ref="K391:K454" si="52">J391/I391</f>
        <v>2223.9718353261533</v>
      </c>
    </row>
    <row r="392" spans="1:11" hidden="1" x14ac:dyDescent="0.25">
      <c r="A392" t="str">
        <f t="shared" si="51"/>
        <v>304Ø3</v>
      </c>
      <c r="B392" s="81">
        <v>304</v>
      </c>
      <c r="D392" s="86">
        <v>3</v>
      </c>
      <c r="E392" s="85">
        <f t="shared" si="45"/>
        <v>3.0000000000000001E-3</v>
      </c>
      <c r="F392" s="85">
        <f t="shared" si="46"/>
        <v>1.5E-3</v>
      </c>
      <c r="G392" s="85">
        <f t="shared" si="47"/>
        <v>1.4137166941154068E-8</v>
      </c>
      <c r="H392" s="85">
        <v>7950</v>
      </c>
      <c r="I392" s="85">
        <f t="shared" si="48"/>
        <v>1.1239047718217484E-4</v>
      </c>
      <c r="J392" s="87">
        <v>1</v>
      </c>
      <c r="K392" s="88">
        <f t="shared" si="52"/>
        <v>8897.5509764861145</v>
      </c>
    </row>
    <row r="393" spans="1:11" hidden="1" x14ac:dyDescent="0.25">
      <c r="A393" t="str">
        <f t="shared" si="51"/>
        <v>304Ø3,175</v>
      </c>
      <c r="B393" s="81">
        <v>304</v>
      </c>
      <c r="C393" s="101" t="s">
        <v>214</v>
      </c>
      <c r="D393" s="86">
        <f>1/8*25.4</f>
        <v>3.1749999999999998</v>
      </c>
      <c r="E393" s="85">
        <f t="shared" si="45"/>
        <v>3.1749999999999999E-3</v>
      </c>
      <c r="F393" s="85">
        <f t="shared" si="46"/>
        <v>1.5874999999999999E-3</v>
      </c>
      <c r="G393" s="85">
        <f t="shared" si="47"/>
        <v>1.6758294230568279E-8</v>
      </c>
      <c r="H393" s="85">
        <v>7950</v>
      </c>
      <c r="I393" s="85">
        <f t="shared" si="48"/>
        <v>1.3322843913301781E-4</v>
      </c>
      <c r="J393" s="87">
        <v>1</v>
      </c>
      <c r="K393" s="88">
        <f t="shared" si="52"/>
        <v>7505.9049442257665</v>
      </c>
    </row>
    <row r="394" spans="1:11" hidden="1" x14ac:dyDescent="0.25">
      <c r="A394" t="str">
        <f t="shared" si="51"/>
        <v>52100Ø3,275</v>
      </c>
      <c r="B394" s="81">
        <v>52100</v>
      </c>
      <c r="D394" s="86">
        <v>3.2749999999999999</v>
      </c>
      <c r="E394" s="85">
        <f t="shared" si="45"/>
        <v>3.2749999999999997E-3</v>
      </c>
      <c r="F394" s="85">
        <f t="shared" si="46"/>
        <v>1.6374999999999998E-3</v>
      </c>
      <c r="G394" s="85">
        <f t="shared" si="47"/>
        <v>1.8392151484899296E-8</v>
      </c>
      <c r="H394" s="85">
        <v>7775</v>
      </c>
      <c r="I394" s="85">
        <f t="shared" si="48"/>
        <v>1.4299897779509202E-4</v>
      </c>
      <c r="J394" s="87">
        <v>1</v>
      </c>
      <c r="K394" s="88">
        <f t="shared" si="52"/>
        <v>6993.0569813787979</v>
      </c>
    </row>
    <row r="395" spans="1:11" hidden="1" x14ac:dyDescent="0.25">
      <c r="A395" t="str">
        <f t="shared" si="51"/>
        <v>304Ø2</v>
      </c>
      <c r="B395" s="81">
        <v>304</v>
      </c>
      <c r="D395" s="86">
        <v>2</v>
      </c>
      <c r="E395" s="85">
        <f t="shared" si="45"/>
        <v>2E-3</v>
      </c>
      <c r="F395" s="85">
        <f t="shared" si="46"/>
        <v>1E-3</v>
      </c>
      <c r="G395" s="85">
        <f t="shared" si="47"/>
        <v>4.1887902047863909E-9</v>
      </c>
      <c r="H395" s="85">
        <v>7950</v>
      </c>
      <c r="I395" s="85">
        <f t="shared" si="48"/>
        <v>3.3300882128051807E-5</v>
      </c>
      <c r="J395" s="87">
        <v>1</v>
      </c>
      <c r="K395" s="88">
        <f t="shared" si="52"/>
        <v>30029.234545640629</v>
      </c>
    </row>
    <row r="396" spans="1:11" hidden="1" x14ac:dyDescent="0.25">
      <c r="A396" t="str">
        <f t="shared" si="51"/>
        <v>Si3N4Ø3</v>
      </c>
      <c r="B396" s="81" t="s">
        <v>207</v>
      </c>
      <c r="D396" s="86">
        <v>3</v>
      </c>
      <c r="E396" s="85">
        <f t="shared" si="45"/>
        <v>3.0000000000000001E-3</v>
      </c>
      <c r="F396" s="85">
        <f t="shared" si="46"/>
        <v>1.5E-3</v>
      </c>
      <c r="G396" s="85">
        <f t="shared" si="47"/>
        <v>1.4137166941154068E-8</v>
      </c>
      <c r="H396" s="85">
        <v>3260</v>
      </c>
      <c r="I396" s="85">
        <f t="shared" si="48"/>
        <v>4.6087164228162259E-5</v>
      </c>
      <c r="J396" s="87">
        <v>1</v>
      </c>
      <c r="K396" s="88">
        <f t="shared" si="52"/>
        <v>21698.015418117979</v>
      </c>
    </row>
    <row r="397" spans="1:11" hidden="1" x14ac:dyDescent="0.25">
      <c r="A397" t="str">
        <f t="shared" si="51"/>
        <v>Si3N4Ø4</v>
      </c>
      <c r="B397" s="81" t="s">
        <v>207</v>
      </c>
      <c r="D397" s="86">
        <v>4</v>
      </c>
      <c r="E397" s="85">
        <f t="shared" si="45"/>
        <v>4.0000000000000001E-3</v>
      </c>
      <c r="F397" s="85">
        <f t="shared" si="46"/>
        <v>2E-3</v>
      </c>
      <c r="G397" s="85">
        <f t="shared" si="47"/>
        <v>3.3510321638291127E-8</v>
      </c>
      <c r="H397" s="85">
        <v>3260</v>
      </c>
      <c r="I397" s="85">
        <f t="shared" si="48"/>
        <v>1.0924364854082907E-4</v>
      </c>
      <c r="J397" s="87">
        <v>1</v>
      </c>
      <c r="K397" s="88">
        <f t="shared" si="52"/>
        <v>9153.8502545185202</v>
      </c>
    </row>
    <row r="398" spans="1:11" hidden="1" x14ac:dyDescent="0.25">
      <c r="A398" t="str">
        <f t="shared" si="51"/>
        <v>Si3N4Ø3,5</v>
      </c>
      <c r="B398" s="81" t="s">
        <v>207</v>
      </c>
      <c r="D398" s="86">
        <v>3.5</v>
      </c>
      <c r="E398" s="85">
        <f t="shared" si="45"/>
        <v>3.5000000000000001E-3</v>
      </c>
      <c r="F398" s="85">
        <f t="shared" si="46"/>
        <v>1.75E-3</v>
      </c>
      <c r="G398" s="85">
        <f t="shared" si="47"/>
        <v>2.2449297503777064E-8</v>
      </c>
      <c r="H398" s="85">
        <v>3260</v>
      </c>
      <c r="I398" s="85">
        <f t="shared" si="48"/>
        <v>7.3184709862313227E-5</v>
      </c>
      <c r="J398" s="87">
        <v>1</v>
      </c>
      <c r="K398" s="88">
        <f t="shared" si="52"/>
        <v>13664.056356599074</v>
      </c>
    </row>
    <row r="399" spans="1:11" hidden="1" x14ac:dyDescent="0.25">
      <c r="A399" t="str">
        <f t="shared" si="51"/>
        <v>420CØ4,7625</v>
      </c>
      <c r="B399" s="81" t="s">
        <v>295</v>
      </c>
      <c r="C399" s="101" t="s">
        <v>248</v>
      </c>
      <c r="D399" s="86">
        <f>3/16*25.4</f>
        <v>4.7624999999999993</v>
      </c>
      <c r="E399" s="85">
        <f t="shared" si="45"/>
        <v>4.7624999999999994E-3</v>
      </c>
      <c r="F399" s="85">
        <f t="shared" si="46"/>
        <v>2.3812499999999997E-3</v>
      </c>
      <c r="G399" s="85">
        <f t="shared" si="47"/>
        <v>5.6559243028167934E-8</v>
      </c>
      <c r="H399" s="85">
        <v>7700</v>
      </c>
      <c r="I399" s="85">
        <f t="shared" si="48"/>
        <v>4.3550617131689307E-4</v>
      </c>
      <c r="J399" s="87">
        <v>1</v>
      </c>
      <c r="K399" s="88">
        <f t="shared" si="52"/>
        <v>2296.1787130964831</v>
      </c>
    </row>
    <row r="400" spans="1:11" hidden="1" x14ac:dyDescent="0.25">
      <c r="A400" t="str">
        <f t="shared" si="51"/>
        <v>AlluminioØ2</v>
      </c>
      <c r="B400" s="81" t="s">
        <v>296</v>
      </c>
      <c r="D400" s="86">
        <v>2</v>
      </c>
      <c r="E400" s="85">
        <f t="shared" si="45"/>
        <v>2E-3</v>
      </c>
      <c r="F400" s="85">
        <f t="shared" si="46"/>
        <v>1E-3</v>
      </c>
      <c r="G400" s="85">
        <f t="shared" si="47"/>
        <v>4.1887902047863909E-9</v>
      </c>
      <c r="H400" s="85">
        <v>2710</v>
      </c>
      <c r="I400" s="85">
        <f t="shared" si="48"/>
        <v>1.1351621454971119E-5</v>
      </c>
      <c r="J400" s="87">
        <v>1</v>
      </c>
      <c r="K400" s="88">
        <f t="shared" si="52"/>
        <v>88093.141932783401</v>
      </c>
    </row>
    <row r="401" spans="1:11" hidden="1" x14ac:dyDescent="0.25">
      <c r="A401" t="str">
        <f t="shared" si="51"/>
        <v>AlluminioØ3</v>
      </c>
      <c r="B401" s="81" t="s">
        <v>296</v>
      </c>
      <c r="D401" s="86">
        <v>3</v>
      </c>
      <c r="E401" s="85">
        <f t="shared" si="45"/>
        <v>3.0000000000000001E-3</v>
      </c>
      <c r="F401" s="85">
        <f t="shared" si="46"/>
        <v>1.5E-3</v>
      </c>
      <c r="G401" s="85">
        <f t="shared" si="47"/>
        <v>1.4137166941154068E-8</v>
      </c>
      <c r="H401" s="85">
        <v>2710</v>
      </c>
      <c r="I401" s="85">
        <f t="shared" si="48"/>
        <v>3.8311722410527523E-5</v>
      </c>
      <c r="J401" s="87">
        <v>1</v>
      </c>
      <c r="K401" s="88">
        <f t="shared" si="52"/>
        <v>26101.671683787677</v>
      </c>
    </row>
    <row r="402" spans="1:11" hidden="1" x14ac:dyDescent="0.25">
      <c r="A402" t="str">
        <f t="shared" si="51"/>
        <v>AlluminioØ4</v>
      </c>
      <c r="B402" s="81" t="s">
        <v>296</v>
      </c>
      <c r="D402" s="86">
        <v>4</v>
      </c>
      <c r="E402" s="85">
        <f t="shared" si="45"/>
        <v>4.0000000000000001E-3</v>
      </c>
      <c r="F402" s="85">
        <f t="shared" si="46"/>
        <v>2E-3</v>
      </c>
      <c r="G402" s="85">
        <f t="shared" si="47"/>
        <v>3.3510321638291127E-8</v>
      </c>
      <c r="H402" s="85">
        <v>2710</v>
      </c>
      <c r="I402" s="85">
        <f t="shared" si="48"/>
        <v>9.0812971639768952E-5</v>
      </c>
      <c r="J402" s="87">
        <v>1</v>
      </c>
      <c r="K402" s="88">
        <f t="shared" si="52"/>
        <v>11011.642741597925</v>
      </c>
    </row>
    <row r="403" spans="1:11" hidden="1" x14ac:dyDescent="0.25">
      <c r="A403" t="str">
        <f t="shared" si="51"/>
        <v>304Ø6,35</v>
      </c>
      <c r="B403" s="81">
        <v>304</v>
      </c>
      <c r="C403" s="101" t="s">
        <v>218</v>
      </c>
      <c r="D403" s="86">
        <f>1/4*25.4</f>
        <v>6.35</v>
      </c>
      <c r="E403" s="85">
        <f t="shared" si="45"/>
        <v>6.3499999999999997E-3</v>
      </c>
      <c r="F403" s="85">
        <f t="shared" si="46"/>
        <v>3.1749999999999999E-3</v>
      </c>
      <c r="G403" s="85">
        <f t="shared" si="47"/>
        <v>1.3406635384454623E-7</v>
      </c>
      <c r="H403" s="85">
        <v>7950</v>
      </c>
      <c r="I403" s="85">
        <f t="shared" si="48"/>
        <v>1.0658275130641425E-3</v>
      </c>
      <c r="J403" s="87">
        <v>1</v>
      </c>
      <c r="K403" s="88">
        <f t="shared" si="52"/>
        <v>938.23811802822081</v>
      </c>
    </row>
    <row r="404" spans="1:11" hidden="1" x14ac:dyDescent="0.25">
      <c r="A404" t="str">
        <f t="shared" si="51"/>
        <v>316Ø6,35</v>
      </c>
      <c r="B404" s="81">
        <v>316</v>
      </c>
      <c r="C404" s="101" t="s">
        <v>218</v>
      </c>
      <c r="D404" s="86">
        <f>1/4*25.4</f>
        <v>6.35</v>
      </c>
      <c r="E404" s="85">
        <f t="shared" si="45"/>
        <v>6.3499999999999997E-3</v>
      </c>
      <c r="F404" s="85">
        <f t="shared" si="46"/>
        <v>3.1749999999999999E-3</v>
      </c>
      <c r="G404" s="85">
        <f t="shared" si="47"/>
        <v>1.3406635384454623E-7</v>
      </c>
      <c r="H404" s="85">
        <v>7950</v>
      </c>
      <c r="I404" s="85">
        <f t="shared" si="48"/>
        <v>1.0658275130641425E-3</v>
      </c>
      <c r="J404" s="87">
        <v>1</v>
      </c>
      <c r="K404" s="88">
        <f t="shared" si="52"/>
        <v>938.23811802822081</v>
      </c>
    </row>
    <row r="405" spans="1:11" hidden="1" x14ac:dyDescent="0.25">
      <c r="A405" t="str">
        <f t="shared" si="51"/>
        <v>304Ø9,525</v>
      </c>
      <c r="B405" s="81">
        <v>304</v>
      </c>
      <c r="C405" s="101" t="s">
        <v>254</v>
      </c>
      <c r="D405" s="86">
        <f>3/8*25.4</f>
        <v>9.5249999999999986</v>
      </c>
      <c r="E405" s="85">
        <f t="shared" si="45"/>
        <v>9.5249999999999987E-3</v>
      </c>
      <c r="F405" s="85">
        <f t="shared" si="46"/>
        <v>4.7624999999999994E-3</v>
      </c>
      <c r="G405" s="85">
        <f t="shared" si="47"/>
        <v>4.5247394422534347E-7</v>
      </c>
      <c r="H405" s="85">
        <v>7950</v>
      </c>
      <c r="I405" s="85">
        <f t="shared" si="48"/>
        <v>3.5971678565914805E-3</v>
      </c>
      <c r="J405" s="87">
        <v>1</v>
      </c>
      <c r="K405" s="88">
        <f t="shared" si="52"/>
        <v>277.99647941576916</v>
      </c>
    </row>
    <row r="406" spans="1:11" hidden="1" x14ac:dyDescent="0.25">
      <c r="A406" t="str">
        <f t="shared" si="51"/>
        <v>AlluminioØ3,175</v>
      </c>
      <c r="B406" s="81" t="s">
        <v>296</v>
      </c>
      <c r="C406" s="101" t="s">
        <v>214</v>
      </c>
      <c r="D406" s="86">
        <f>1/8*25.4</f>
        <v>3.1749999999999998</v>
      </c>
      <c r="E406" s="85">
        <f t="shared" si="45"/>
        <v>3.1749999999999999E-3</v>
      </c>
      <c r="F406" s="85">
        <f t="shared" si="46"/>
        <v>1.5874999999999999E-3</v>
      </c>
      <c r="G406" s="85">
        <f t="shared" si="47"/>
        <v>1.6758294230568279E-8</v>
      </c>
      <c r="H406" s="85">
        <v>2710</v>
      </c>
      <c r="I406" s="85">
        <f t="shared" si="48"/>
        <v>4.5414977364840037E-5</v>
      </c>
      <c r="J406" s="87">
        <v>1</v>
      </c>
      <c r="K406" s="88">
        <f t="shared" si="52"/>
        <v>22019.167640809905</v>
      </c>
    </row>
    <row r="407" spans="1:11" hidden="1" x14ac:dyDescent="0.25">
      <c r="A407" t="str">
        <f t="shared" si="51"/>
        <v>WC-CoØ8</v>
      </c>
      <c r="B407" s="81" t="s">
        <v>297</v>
      </c>
      <c r="D407" s="86">
        <v>8</v>
      </c>
      <c r="E407" s="85">
        <f t="shared" si="45"/>
        <v>8.0000000000000002E-3</v>
      </c>
      <c r="F407" s="85">
        <f t="shared" si="46"/>
        <v>4.0000000000000001E-3</v>
      </c>
      <c r="G407" s="85">
        <f t="shared" si="47"/>
        <v>2.6808257310632902E-7</v>
      </c>
      <c r="H407" s="85">
        <v>14950</v>
      </c>
      <c r="I407" s="85">
        <f t="shared" si="48"/>
        <v>4.0078344679396185E-3</v>
      </c>
      <c r="J407" s="87">
        <v>1</v>
      </c>
      <c r="K407" s="88">
        <f t="shared" si="52"/>
        <v>249.51130292416704</v>
      </c>
    </row>
    <row r="408" spans="1:11" hidden="1" x14ac:dyDescent="0.25">
      <c r="A408" t="str">
        <f t="shared" si="51"/>
        <v>AlluminioØ5</v>
      </c>
      <c r="B408" s="81" t="s">
        <v>296</v>
      </c>
      <c r="D408" s="86">
        <v>5</v>
      </c>
      <c r="E408" s="85">
        <f t="shared" si="45"/>
        <v>5.0000000000000001E-3</v>
      </c>
      <c r="F408" s="85">
        <f t="shared" si="46"/>
        <v>2.5000000000000001E-3</v>
      </c>
      <c r="G408" s="85">
        <f t="shared" si="47"/>
        <v>6.5449846949787352E-8</v>
      </c>
      <c r="H408" s="85">
        <v>2710</v>
      </c>
      <c r="I408" s="85">
        <f t="shared" si="48"/>
        <v>1.7736908523392374E-4</v>
      </c>
      <c r="J408" s="87">
        <v>1</v>
      </c>
      <c r="K408" s="88">
        <f t="shared" si="52"/>
        <v>5637.9610836981374</v>
      </c>
    </row>
    <row r="409" spans="1:11" hidden="1" x14ac:dyDescent="0.25">
      <c r="A409" t="str">
        <f t="shared" si="51"/>
        <v>ZrO2Ø50</v>
      </c>
      <c r="B409" s="81" t="s">
        <v>205</v>
      </c>
      <c r="D409" s="86">
        <v>50</v>
      </c>
      <c r="E409" s="85">
        <f t="shared" si="45"/>
        <v>0.05</v>
      </c>
      <c r="F409" s="85">
        <f t="shared" si="46"/>
        <v>2.5000000000000001E-2</v>
      </c>
      <c r="G409" s="85">
        <f t="shared" si="47"/>
        <v>6.5449846949787365E-5</v>
      </c>
      <c r="H409" s="85">
        <v>6000</v>
      </c>
      <c r="I409" s="85">
        <f t="shared" si="48"/>
        <v>0.3926990816987242</v>
      </c>
      <c r="J409" s="87">
        <v>1</v>
      </c>
      <c r="K409" s="88">
        <f t="shared" si="52"/>
        <v>2.5464790894703251</v>
      </c>
    </row>
    <row r="410" spans="1:11" hidden="1" x14ac:dyDescent="0.25">
      <c r="A410" t="str">
        <f t="shared" si="51"/>
        <v>ZrO2Ø50</v>
      </c>
      <c r="B410" s="81" t="s">
        <v>205</v>
      </c>
      <c r="D410" s="86">
        <v>50</v>
      </c>
      <c r="E410" s="85">
        <f t="shared" si="45"/>
        <v>0.05</v>
      </c>
      <c r="F410" s="85">
        <f t="shared" si="46"/>
        <v>2.5000000000000001E-2</v>
      </c>
      <c r="G410" s="85">
        <f t="shared" si="47"/>
        <v>6.5449846949787365E-5</v>
      </c>
      <c r="H410" s="88">
        <v>6111.5498147287808</v>
      </c>
      <c r="I410" s="85">
        <f t="shared" si="48"/>
        <v>0.4</v>
      </c>
      <c r="J410" s="87">
        <v>1</v>
      </c>
      <c r="K410" s="88">
        <f t="shared" si="52"/>
        <v>2.5</v>
      </c>
    </row>
    <row r="411" spans="1:11" hidden="1" x14ac:dyDescent="0.25">
      <c r="A411" t="str">
        <f t="shared" si="51"/>
        <v>WC-CoØ6</v>
      </c>
      <c r="B411" s="81" t="s">
        <v>297</v>
      </c>
      <c r="D411" s="86">
        <v>6</v>
      </c>
      <c r="E411" s="85">
        <f t="shared" si="45"/>
        <v>6.0000000000000001E-3</v>
      </c>
      <c r="F411" s="85">
        <f t="shared" si="46"/>
        <v>3.0000000000000001E-3</v>
      </c>
      <c r="G411" s="85">
        <f t="shared" si="47"/>
        <v>1.1309733552923255E-7</v>
      </c>
      <c r="H411" s="85">
        <v>14950</v>
      </c>
      <c r="I411" s="85">
        <f t="shared" si="48"/>
        <v>1.6908051661620265E-3</v>
      </c>
      <c r="J411" s="87">
        <v>1</v>
      </c>
      <c r="K411" s="88">
        <f t="shared" si="52"/>
        <v>591.43419952395152</v>
      </c>
    </row>
    <row r="412" spans="1:11" hidden="1" x14ac:dyDescent="0.25">
      <c r="A412" t="str">
        <f t="shared" si="51"/>
        <v>WC-CoØ8</v>
      </c>
      <c r="B412" s="81" t="s">
        <v>297</v>
      </c>
      <c r="D412" s="86">
        <v>8</v>
      </c>
      <c r="E412" s="85">
        <f t="shared" si="45"/>
        <v>8.0000000000000002E-3</v>
      </c>
      <c r="F412" s="85">
        <f t="shared" si="46"/>
        <v>4.0000000000000001E-3</v>
      </c>
      <c r="G412" s="85">
        <f t="shared" si="47"/>
        <v>2.6808257310632902E-7</v>
      </c>
      <c r="H412" s="85">
        <v>14950</v>
      </c>
      <c r="I412" s="85">
        <f t="shared" si="48"/>
        <v>4.0078344679396185E-3</v>
      </c>
      <c r="J412" s="87">
        <v>1</v>
      </c>
      <c r="K412" s="88">
        <f t="shared" si="52"/>
        <v>249.51130292416704</v>
      </c>
    </row>
    <row r="413" spans="1:11" hidden="1" x14ac:dyDescent="0.25">
      <c r="A413" t="str">
        <f t="shared" si="51"/>
        <v>52100Ø1,598</v>
      </c>
      <c r="B413" s="81">
        <v>52100</v>
      </c>
      <c r="D413" s="86">
        <v>1.5980000000000001</v>
      </c>
      <c r="E413" s="85">
        <f t="shared" si="45"/>
        <v>1.598E-3</v>
      </c>
      <c r="F413" s="85">
        <f t="shared" si="46"/>
        <v>7.9900000000000001E-4</v>
      </c>
      <c r="G413" s="85">
        <f t="shared" si="47"/>
        <v>2.1366281565651432E-9</v>
      </c>
      <c r="H413" s="85">
        <v>7800</v>
      </c>
      <c r="I413" s="85">
        <f t="shared" si="48"/>
        <v>1.6665699621208118E-5</v>
      </c>
      <c r="J413" s="87">
        <v>1</v>
      </c>
      <c r="K413" s="88">
        <f t="shared" si="52"/>
        <v>60003.48156566071</v>
      </c>
    </row>
    <row r="414" spans="1:11" hidden="1" x14ac:dyDescent="0.25">
      <c r="A414" t="str">
        <f t="shared" si="51"/>
        <v>420CØ3,175</v>
      </c>
      <c r="B414" s="81" t="s">
        <v>295</v>
      </c>
      <c r="C414" s="101" t="s">
        <v>214</v>
      </c>
      <c r="D414" s="86">
        <f>1/8*25.4</f>
        <v>3.1749999999999998</v>
      </c>
      <c r="E414" s="85">
        <f t="shared" si="45"/>
        <v>3.1749999999999999E-3</v>
      </c>
      <c r="F414" s="85">
        <f t="shared" si="46"/>
        <v>1.5874999999999999E-3</v>
      </c>
      <c r="G414" s="85">
        <f t="shared" si="47"/>
        <v>1.6758294230568279E-8</v>
      </c>
      <c r="H414" s="85">
        <v>7700</v>
      </c>
      <c r="I414" s="85">
        <f t="shared" si="48"/>
        <v>1.2903886557537575E-4</v>
      </c>
      <c r="J414" s="87">
        <v>1</v>
      </c>
      <c r="K414" s="88">
        <f t="shared" si="52"/>
        <v>7749.6031567006294</v>
      </c>
    </row>
    <row r="415" spans="1:11" hidden="1" x14ac:dyDescent="0.25">
      <c r="A415" t="str">
        <f t="shared" si="51"/>
        <v>316Ø2</v>
      </c>
      <c r="B415" s="81">
        <v>316</v>
      </c>
      <c r="D415" s="86">
        <v>2</v>
      </c>
      <c r="E415" s="85">
        <f t="shared" si="45"/>
        <v>2E-3</v>
      </c>
      <c r="F415" s="85">
        <f t="shared" si="46"/>
        <v>1E-3</v>
      </c>
      <c r="G415" s="85">
        <f t="shared" si="47"/>
        <v>4.1887902047863909E-9</v>
      </c>
      <c r="H415" s="85">
        <v>7950</v>
      </c>
      <c r="I415" s="85">
        <f t="shared" si="48"/>
        <v>3.3300882128051807E-5</v>
      </c>
      <c r="J415" s="87">
        <v>1</v>
      </c>
      <c r="K415" s="88">
        <f t="shared" si="52"/>
        <v>30029.234545640629</v>
      </c>
    </row>
    <row r="416" spans="1:11" hidden="1" x14ac:dyDescent="0.25">
      <c r="A416" t="str">
        <f t="shared" si="51"/>
        <v>316Ø3</v>
      </c>
      <c r="B416" s="81">
        <v>316</v>
      </c>
      <c r="D416" s="86">
        <v>3</v>
      </c>
      <c r="E416" s="85">
        <f t="shared" si="45"/>
        <v>3.0000000000000001E-3</v>
      </c>
      <c r="F416" s="85">
        <f t="shared" si="46"/>
        <v>1.5E-3</v>
      </c>
      <c r="G416" s="85">
        <f t="shared" si="47"/>
        <v>1.4137166941154068E-8</v>
      </c>
      <c r="H416" s="85">
        <v>7950</v>
      </c>
      <c r="I416" s="85">
        <f t="shared" si="48"/>
        <v>1.1239047718217484E-4</v>
      </c>
      <c r="J416" s="87">
        <v>1</v>
      </c>
      <c r="K416" s="88">
        <f t="shared" si="52"/>
        <v>8897.5509764861145</v>
      </c>
    </row>
    <row r="417" spans="1:11" hidden="1" x14ac:dyDescent="0.25">
      <c r="A417" t="str">
        <f t="shared" si="51"/>
        <v>420CØ3,135</v>
      </c>
      <c r="B417" s="81" t="s">
        <v>295</v>
      </c>
      <c r="C417" s="101" t="s">
        <v>310</v>
      </c>
      <c r="D417" s="86">
        <f>1/8*25.4-0.04</f>
        <v>3.1349999999999998</v>
      </c>
      <c r="E417" s="85">
        <f t="shared" si="45"/>
        <v>3.1349999999999998E-3</v>
      </c>
      <c r="F417" s="85">
        <f t="shared" si="46"/>
        <v>1.5674999999999999E-3</v>
      </c>
      <c r="G417" s="85">
        <f t="shared" si="47"/>
        <v>1.6132856016714888E-8</v>
      </c>
      <c r="H417" s="85">
        <v>7700</v>
      </c>
      <c r="I417" s="85">
        <f t="shared" si="48"/>
        <v>1.2422299132870465E-4</v>
      </c>
      <c r="J417" s="87">
        <v>1</v>
      </c>
      <c r="K417" s="88">
        <f t="shared" si="52"/>
        <v>8050.0396046164642</v>
      </c>
    </row>
    <row r="418" spans="1:11" hidden="1" x14ac:dyDescent="0.25">
      <c r="A418" t="str">
        <f t="shared" si="51"/>
        <v>420CØ3,135</v>
      </c>
      <c r="B418" s="81" t="s">
        <v>295</v>
      </c>
      <c r="C418" s="101" t="s">
        <v>310</v>
      </c>
      <c r="D418" s="86">
        <f>1/8*25.4-0.04</f>
        <v>3.1349999999999998</v>
      </c>
      <c r="E418" s="85">
        <f t="shared" si="45"/>
        <v>3.1349999999999998E-3</v>
      </c>
      <c r="F418" s="85">
        <f t="shared" si="46"/>
        <v>1.5674999999999999E-3</v>
      </c>
      <c r="G418" s="85">
        <f t="shared" si="47"/>
        <v>1.6132856016714888E-8</v>
      </c>
      <c r="H418" s="85">
        <v>7700</v>
      </c>
      <c r="I418" s="85">
        <f t="shared" si="48"/>
        <v>1.2422299132870465E-4</v>
      </c>
      <c r="J418" s="87">
        <v>1</v>
      </c>
      <c r="K418" s="88">
        <f t="shared" si="52"/>
        <v>8050.0396046164642</v>
      </c>
    </row>
    <row r="419" spans="1:11" hidden="1" x14ac:dyDescent="0.25">
      <c r="A419" t="str">
        <f t="shared" si="51"/>
        <v>TiAl6V4 (G5)Ø2</v>
      </c>
      <c r="B419" s="81" t="s">
        <v>305</v>
      </c>
      <c r="D419" s="86">
        <v>2</v>
      </c>
      <c r="E419" s="85">
        <f t="shared" si="45"/>
        <v>2E-3</v>
      </c>
      <c r="F419" s="85">
        <f t="shared" si="46"/>
        <v>1E-3</v>
      </c>
      <c r="G419" s="85">
        <f t="shared" si="47"/>
        <v>4.1887902047863909E-9</v>
      </c>
      <c r="H419" s="85">
        <v>4450</v>
      </c>
      <c r="I419" s="85">
        <f t="shared" si="48"/>
        <v>1.8640116411299438E-5</v>
      </c>
      <c r="J419" s="87">
        <v>1</v>
      </c>
      <c r="K419" s="88">
        <f t="shared" si="52"/>
        <v>53647.733626481582</v>
      </c>
    </row>
    <row r="420" spans="1:11" hidden="1" x14ac:dyDescent="0.25">
      <c r="A420" t="str">
        <f t="shared" si="51"/>
        <v>TiAl6V4 (G5)Ø5</v>
      </c>
      <c r="B420" s="81" t="s">
        <v>305</v>
      </c>
      <c r="D420" s="86">
        <v>5</v>
      </c>
      <c r="E420" s="85">
        <f t="shared" si="45"/>
        <v>5.0000000000000001E-3</v>
      </c>
      <c r="F420" s="85">
        <f t="shared" si="46"/>
        <v>2.5000000000000001E-3</v>
      </c>
      <c r="G420" s="85">
        <f t="shared" si="47"/>
        <v>6.5449846949787352E-8</v>
      </c>
      <c r="H420" s="85">
        <v>4450</v>
      </c>
      <c r="I420" s="85">
        <f t="shared" si="48"/>
        <v>2.9125181892655371E-4</v>
      </c>
      <c r="J420" s="87">
        <v>1</v>
      </c>
      <c r="K420" s="88">
        <f t="shared" si="52"/>
        <v>3433.4549520948212</v>
      </c>
    </row>
    <row r="421" spans="1:11" hidden="1" x14ac:dyDescent="0.25">
      <c r="A421" t="str">
        <f t="shared" si="51"/>
        <v>OttoneØ2</v>
      </c>
      <c r="B421" s="81" t="s">
        <v>216</v>
      </c>
      <c r="D421" s="86">
        <v>2</v>
      </c>
      <c r="E421" s="85">
        <f t="shared" si="45"/>
        <v>2E-3</v>
      </c>
      <c r="F421" s="85">
        <f t="shared" si="46"/>
        <v>1E-3</v>
      </c>
      <c r="G421" s="85">
        <f t="shared" si="47"/>
        <v>4.1887902047863909E-9</v>
      </c>
      <c r="H421" s="85">
        <v>8490</v>
      </c>
      <c r="I421" s="85">
        <f t="shared" si="48"/>
        <v>3.556282883863646E-5</v>
      </c>
      <c r="J421" s="87">
        <v>1</v>
      </c>
      <c r="K421" s="88">
        <f t="shared" si="52"/>
        <v>28119.247896094581</v>
      </c>
    </row>
    <row r="422" spans="1:11" hidden="1" x14ac:dyDescent="0.25">
      <c r="A422" t="str">
        <f t="shared" si="51"/>
        <v>OttoneØ5</v>
      </c>
      <c r="B422" s="81" t="s">
        <v>216</v>
      </c>
      <c r="D422" s="86">
        <v>5</v>
      </c>
      <c r="E422" s="85">
        <f t="shared" si="45"/>
        <v>5.0000000000000001E-3</v>
      </c>
      <c r="F422" s="85">
        <f t="shared" si="46"/>
        <v>2.5000000000000001E-3</v>
      </c>
      <c r="G422" s="85">
        <f t="shared" si="47"/>
        <v>6.5449846949787352E-8</v>
      </c>
      <c r="H422" s="85">
        <v>8490</v>
      </c>
      <c r="I422" s="85">
        <f t="shared" si="48"/>
        <v>5.5566920060369463E-4</v>
      </c>
      <c r="J422" s="87">
        <v>1</v>
      </c>
      <c r="K422" s="88">
        <f t="shared" si="52"/>
        <v>1799.6318653500534</v>
      </c>
    </row>
    <row r="423" spans="1:11" hidden="1" x14ac:dyDescent="0.25">
      <c r="A423" t="str">
        <f t="shared" si="51"/>
        <v>304Ø4,5</v>
      </c>
      <c r="B423" s="81">
        <v>304</v>
      </c>
      <c r="D423" s="86">
        <v>4.5</v>
      </c>
      <c r="E423" s="85">
        <f t="shared" si="45"/>
        <v>4.4999999999999997E-3</v>
      </c>
      <c r="F423" s="85">
        <f t="shared" si="46"/>
        <v>2.2499999999999998E-3</v>
      </c>
      <c r="G423" s="85">
        <f t="shared" si="47"/>
        <v>4.7712938426394968E-8</v>
      </c>
      <c r="H423" s="85">
        <v>7950</v>
      </c>
      <c r="I423" s="85">
        <f t="shared" si="48"/>
        <v>3.7931786048983997E-4</v>
      </c>
      <c r="J423" s="87">
        <v>1</v>
      </c>
      <c r="K423" s="88">
        <f t="shared" si="52"/>
        <v>2636.3114004403305</v>
      </c>
    </row>
    <row r="424" spans="1:11" hidden="1" x14ac:dyDescent="0.25">
      <c r="A424" t="str">
        <f t="shared" si="51"/>
        <v>VESCØ2</v>
      </c>
      <c r="B424" s="81" t="s">
        <v>210</v>
      </c>
      <c r="D424" s="86">
        <v>2</v>
      </c>
      <c r="E424" s="85">
        <f t="shared" si="45"/>
        <v>2E-3</v>
      </c>
      <c r="F424" s="85">
        <f t="shared" si="46"/>
        <v>1E-3</v>
      </c>
      <c r="G424" s="85">
        <f t="shared" si="47"/>
        <v>4.1887902047863909E-9</v>
      </c>
      <c r="H424" s="85">
        <v>2500</v>
      </c>
      <c r="I424" s="85">
        <f t="shared" si="48"/>
        <v>1.0471975511965977E-5</v>
      </c>
      <c r="J424" s="87">
        <v>1</v>
      </c>
      <c r="K424" s="88">
        <f t="shared" si="52"/>
        <v>95492.965855137198</v>
      </c>
    </row>
    <row r="425" spans="1:11" hidden="1" x14ac:dyDescent="0.25">
      <c r="A425" t="str">
        <f t="shared" si="51"/>
        <v>VESCØ4</v>
      </c>
      <c r="B425" s="81" t="s">
        <v>210</v>
      </c>
      <c r="D425" s="86">
        <v>4</v>
      </c>
      <c r="E425" s="85">
        <f t="shared" si="45"/>
        <v>4.0000000000000001E-3</v>
      </c>
      <c r="F425" s="85">
        <f t="shared" si="46"/>
        <v>2E-3</v>
      </c>
      <c r="G425" s="85">
        <f t="shared" si="47"/>
        <v>3.3510321638291127E-8</v>
      </c>
      <c r="H425" s="85">
        <v>2500</v>
      </c>
      <c r="I425" s="85">
        <f t="shared" si="48"/>
        <v>8.3775804095727818E-5</v>
      </c>
      <c r="J425" s="87">
        <v>1</v>
      </c>
      <c r="K425" s="88">
        <f t="shared" si="52"/>
        <v>11936.62073189215</v>
      </c>
    </row>
    <row r="426" spans="1:11" hidden="1" x14ac:dyDescent="0.25">
      <c r="A426" t="str">
        <f t="shared" si="51"/>
        <v>VESCØ9,5</v>
      </c>
      <c r="B426" s="81" t="s">
        <v>210</v>
      </c>
      <c r="D426" s="86">
        <v>9.5</v>
      </c>
      <c r="E426" s="85">
        <f t="shared" si="45"/>
        <v>9.4999999999999998E-3</v>
      </c>
      <c r="F426" s="85">
        <f t="shared" si="46"/>
        <v>4.7499999999999999E-3</v>
      </c>
      <c r="G426" s="85">
        <f t="shared" si="47"/>
        <v>4.4892050022859141E-7</v>
      </c>
      <c r="H426" s="85">
        <v>2500</v>
      </c>
      <c r="I426" s="85">
        <f t="shared" si="48"/>
        <v>1.1223012505714785E-3</v>
      </c>
      <c r="J426" s="87">
        <v>1</v>
      </c>
      <c r="K426" s="88">
        <f t="shared" si="52"/>
        <v>891.02636167499372</v>
      </c>
    </row>
    <row r="427" spans="1:11" hidden="1" x14ac:dyDescent="0.25">
      <c r="A427" t="str">
        <f t="shared" si="51"/>
        <v>VESCØ10</v>
      </c>
      <c r="B427" s="81" t="s">
        <v>210</v>
      </c>
      <c r="D427" s="86">
        <v>10</v>
      </c>
      <c r="E427" s="85">
        <f t="shared" si="45"/>
        <v>0.01</v>
      </c>
      <c r="F427" s="85">
        <f t="shared" si="46"/>
        <v>5.0000000000000001E-3</v>
      </c>
      <c r="G427" s="85">
        <f t="shared" si="47"/>
        <v>5.2359877559829882E-7</v>
      </c>
      <c r="H427" s="85">
        <v>2500</v>
      </c>
      <c r="I427" s="85">
        <f t="shared" si="48"/>
        <v>1.308996938995747E-3</v>
      </c>
      <c r="J427" s="87">
        <v>1</v>
      </c>
      <c r="K427" s="88">
        <f t="shared" si="52"/>
        <v>763.94372684109771</v>
      </c>
    </row>
    <row r="428" spans="1:11" hidden="1" x14ac:dyDescent="0.25">
      <c r="A428" t="str">
        <f t="shared" si="51"/>
        <v>VESCØ1</v>
      </c>
      <c r="B428" s="81" t="s">
        <v>210</v>
      </c>
      <c r="D428" s="86">
        <v>1</v>
      </c>
      <c r="E428" s="85">
        <f t="shared" si="45"/>
        <v>1E-3</v>
      </c>
      <c r="F428" s="85">
        <f t="shared" si="46"/>
        <v>5.0000000000000001E-4</v>
      </c>
      <c r="G428" s="85">
        <f t="shared" si="47"/>
        <v>5.2359877559829886E-10</v>
      </c>
      <c r="H428" s="85">
        <v>2500</v>
      </c>
      <c r="I428" s="85">
        <f t="shared" si="48"/>
        <v>1.3089969389957471E-6</v>
      </c>
      <c r="J428" s="87">
        <v>1</v>
      </c>
      <c r="K428" s="88">
        <f t="shared" si="52"/>
        <v>763943.72684109758</v>
      </c>
    </row>
    <row r="429" spans="1:11" hidden="1" x14ac:dyDescent="0.25">
      <c r="A429" t="str">
        <f t="shared" si="51"/>
        <v>52100Ø0,6</v>
      </c>
      <c r="B429" s="81">
        <v>52100</v>
      </c>
      <c r="D429" s="86">
        <v>0.6</v>
      </c>
      <c r="E429" s="85">
        <f t="shared" si="45"/>
        <v>5.9999999999999995E-4</v>
      </c>
      <c r="F429" s="85">
        <f t="shared" si="46"/>
        <v>2.9999999999999997E-4</v>
      </c>
      <c r="G429" s="85">
        <f t="shared" si="47"/>
        <v>1.1309733552923252E-10</v>
      </c>
      <c r="H429" s="85">
        <v>7800</v>
      </c>
      <c r="I429" s="85">
        <f t="shared" si="48"/>
        <v>8.8215921712801365E-7</v>
      </c>
      <c r="J429" s="87">
        <v>1</v>
      </c>
      <c r="K429" s="88">
        <f t="shared" si="52"/>
        <v>1133582.2157542408</v>
      </c>
    </row>
    <row r="430" spans="1:11" hidden="1" x14ac:dyDescent="0.25">
      <c r="A430" t="str">
        <f t="shared" si="51"/>
        <v>Al2O3Ø3</v>
      </c>
      <c r="B430" s="81" t="s">
        <v>217</v>
      </c>
      <c r="D430" s="86">
        <v>3</v>
      </c>
      <c r="E430" s="85">
        <f t="shared" si="45"/>
        <v>3.0000000000000001E-3</v>
      </c>
      <c r="F430" s="85">
        <f t="shared" si="46"/>
        <v>1.5E-3</v>
      </c>
      <c r="G430" s="85">
        <f t="shared" si="47"/>
        <v>1.4137166941154068E-8</v>
      </c>
      <c r="H430" s="85">
        <v>3610</v>
      </c>
      <c r="I430" s="85">
        <f t="shared" si="48"/>
        <v>5.1035172657566184E-5</v>
      </c>
      <c r="J430" s="87">
        <v>1</v>
      </c>
      <c r="K430" s="88">
        <f t="shared" si="52"/>
        <v>19594.329712760278</v>
      </c>
    </row>
    <row r="431" spans="1:11" hidden="1" x14ac:dyDescent="0.25">
      <c r="A431" t="str">
        <f t="shared" si="51"/>
        <v>Al2O3Ø3</v>
      </c>
      <c r="B431" s="81" t="s">
        <v>217</v>
      </c>
      <c r="D431" s="86">
        <v>3</v>
      </c>
      <c r="E431" s="85">
        <f t="shared" si="45"/>
        <v>3.0000000000000001E-3</v>
      </c>
      <c r="F431" s="85">
        <f t="shared" si="46"/>
        <v>1.5E-3</v>
      </c>
      <c r="G431" s="85">
        <f t="shared" si="47"/>
        <v>1.4137166941154068E-8</v>
      </c>
      <c r="H431" s="85">
        <v>3900</v>
      </c>
      <c r="I431" s="85">
        <f t="shared" si="48"/>
        <v>5.5134951070500869E-5</v>
      </c>
      <c r="J431" s="87">
        <v>1</v>
      </c>
      <c r="K431" s="88">
        <f t="shared" si="52"/>
        <v>18137.315452067844</v>
      </c>
    </row>
    <row r="432" spans="1:11" hidden="1" x14ac:dyDescent="0.25">
      <c r="A432" t="str">
        <f t="shared" si="51"/>
        <v>304Ø3,175</v>
      </c>
      <c r="B432" s="81">
        <v>304</v>
      </c>
      <c r="C432" s="101" t="s">
        <v>214</v>
      </c>
      <c r="D432" s="86">
        <f>1/8*25.4</f>
        <v>3.1749999999999998</v>
      </c>
      <c r="E432" s="85">
        <f t="shared" si="45"/>
        <v>3.1749999999999999E-3</v>
      </c>
      <c r="F432" s="85">
        <f t="shared" si="46"/>
        <v>1.5874999999999999E-3</v>
      </c>
      <c r="G432" s="85">
        <f t="shared" si="47"/>
        <v>1.6758294230568279E-8</v>
      </c>
      <c r="H432" s="85">
        <v>7950</v>
      </c>
      <c r="I432" s="85">
        <f t="shared" si="48"/>
        <v>1.3322843913301781E-4</v>
      </c>
      <c r="J432" s="87">
        <v>1</v>
      </c>
      <c r="K432" s="88">
        <f t="shared" si="52"/>
        <v>7505.9049442257665</v>
      </c>
    </row>
    <row r="433" spans="1:11" hidden="1" x14ac:dyDescent="0.25">
      <c r="A433" t="str">
        <f t="shared" si="51"/>
        <v>52100Ø18,25625</v>
      </c>
      <c r="B433" s="81">
        <v>52100</v>
      </c>
      <c r="C433" s="101" t="s">
        <v>263</v>
      </c>
      <c r="D433" s="86">
        <f>23/32*25.4</f>
        <v>18.256249999999998</v>
      </c>
      <c r="E433" s="85">
        <f t="shared" ref="E433:E496" si="53">D433/1000</f>
        <v>1.8256249999999998E-2</v>
      </c>
      <c r="F433" s="85">
        <f t="shared" ref="F433:F496" si="54">E433/2</f>
        <v>9.1281249999999991E-3</v>
      </c>
      <c r="G433" s="85">
        <f t="shared" ref="G433:G496" si="55">4/3*PI()*F433*F433*F433</f>
        <v>3.1859088422394418E-6</v>
      </c>
      <c r="H433" s="85">
        <v>7800</v>
      </c>
      <c r="I433" s="85">
        <f t="shared" ref="I433:I449" si="56">H433*G433</f>
        <v>2.4850088969467644E-2</v>
      </c>
      <c r="J433" s="87">
        <v>1</v>
      </c>
      <c r="K433" s="88">
        <f t="shared" si="52"/>
        <v>40.241304617808886</v>
      </c>
    </row>
    <row r="434" spans="1:11" hidden="1" x14ac:dyDescent="0.25">
      <c r="A434" t="str">
        <f t="shared" si="51"/>
        <v>52100Ø25,4</v>
      </c>
      <c r="B434" s="81">
        <v>52100</v>
      </c>
      <c r="C434" s="101" t="s">
        <v>255</v>
      </c>
      <c r="D434" s="86">
        <f>1*25.4</f>
        <v>25.4</v>
      </c>
      <c r="E434" s="85">
        <f t="shared" si="53"/>
        <v>2.5399999999999999E-2</v>
      </c>
      <c r="F434" s="85">
        <f t="shared" si="54"/>
        <v>1.2699999999999999E-2</v>
      </c>
      <c r="G434" s="85">
        <f t="shared" si="55"/>
        <v>8.5802466460509588E-6</v>
      </c>
      <c r="H434" s="85">
        <v>7800</v>
      </c>
      <c r="I434" s="85">
        <f t="shared" si="56"/>
        <v>6.6925923839197474E-2</v>
      </c>
      <c r="J434" s="87">
        <v>1</v>
      </c>
      <c r="K434" s="88">
        <f t="shared" si="52"/>
        <v>14.9418931056177</v>
      </c>
    </row>
    <row r="435" spans="1:11" hidden="1" x14ac:dyDescent="0.25">
      <c r="A435" t="str">
        <f t="shared" si="51"/>
        <v>52100Ø25,392</v>
      </c>
      <c r="B435" s="81">
        <v>52100</v>
      </c>
      <c r="C435" s="101" t="s">
        <v>311</v>
      </c>
      <c r="D435" s="86">
        <f>1*25.4-0.008</f>
        <v>25.391999999999999</v>
      </c>
      <c r="E435" s="85">
        <f t="shared" si="53"/>
        <v>2.5391999999999998E-2</v>
      </c>
      <c r="F435" s="85">
        <f t="shared" si="54"/>
        <v>1.2695999999999999E-2</v>
      </c>
      <c r="G435" s="85">
        <f t="shared" si="55"/>
        <v>8.5721418796038248E-6</v>
      </c>
      <c r="H435" s="85">
        <v>7800</v>
      </c>
      <c r="I435" s="85">
        <f t="shared" si="56"/>
        <v>6.6862706660909835E-2</v>
      </c>
      <c r="J435" s="87">
        <v>1</v>
      </c>
      <c r="K435" s="88">
        <f t="shared" si="52"/>
        <v>14.956020327915223</v>
      </c>
    </row>
    <row r="436" spans="1:11" hidden="1" x14ac:dyDescent="0.25">
      <c r="A436" t="str">
        <f t="shared" si="51"/>
        <v>52100Ø34,925</v>
      </c>
      <c r="B436" s="81">
        <v>52100</v>
      </c>
      <c r="C436" s="101" t="s">
        <v>281</v>
      </c>
      <c r="D436" s="86">
        <f>25.4+3/8*25.4</f>
        <v>34.924999999999997</v>
      </c>
      <c r="E436" s="85">
        <f t="shared" si="53"/>
        <v>3.4924999999999998E-2</v>
      </c>
      <c r="F436" s="85">
        <f t="shared" si="54"/>
        <v>1.7462499999999999E-2</v>
      </c>
      <c r="G436" s="85">
        <f t="shared" si="55"/>
        <v>2.230528962088638E-5</v>
      </c>
      <c r="H436" s="85">
        <v>7800</v>
      </c>
      <c r="I436" s="85">
        <f t="shared" si="56"/>
        <v>0.17398125904291376</v>
      </c>
      <c r="J436" s="87">
        <v>1</v>
      </c>
      <c r="K436" s="88">
        <f t="shared" si="52"/>
        <v>5.7477455071947876</v>
      </c>
    </row>
    <row r="437" spans="1:11" hidden="1" x14ac:dyDescent="0.25">
      <c r="A437" t="str">
        <f t="shared" si="51"/>
        <v>52100Ø25,425</v>
      </c>
      <c r="B437" s="81">
        <v>52100</v>
      </c>
      <c r="D437" s="86">
        <v>25.425000000000001</v>
      </c>
      <c r="E437" s="85">
        <f t="shared" si="53"/>
        <v>2.5425E-2</v>
      </c>
      <c r="F437" s="85">
        <f t="shared" si="54"/>
        <v>1.27125E-2</v>
      </c>
      <c r="G437" s="85">
        <f t="shared" si="55"/>
        <v>8.6056069645787544E-6</v>
      </c>
      <c r="H437" s="85">
        <v>7800</v>
      </c>
      <c r="I437" s="85">
        <f t="shared" si="56"/>
        <v>6.7123734323714282E-2</v>
      </c>
      <c r="J437" s="87">
        <v>1</v>
      </c>
      <c r="K437" s="88">
        <f t="shared" si="52"/>
        <v>14.897860050177631</v>
      </c>
    </row>
    <row r="438" spans="1:11" hidden="1" x14ac:dyDescent="0.25">
      <c r="A438" t="str">
        <f t="shared" si="51"/>
        <v>304Ø15</v>
      </c>
      <c r="B438" s="81">
        <v>304</v>
      </c>
      <c r="D438" s="86">
        <v>15</v>
      </c>
      <c r="E438" s="85">
        <f t="shared" si="53"/>
        <v>1.4999999999999999E-2</v>
      </c>
      <c r="F438" s="85">
        <f t="shared" si="54"/>
        <v>7.4999999999999997E-3</v>
      </c>
      <c r="G438" s="85">
        <f t="shared" si="55"/>
        <v>1.7671458676442584E-6</v>
      </c>
      <c r="H438" s="85">
        <v>7950</v>
      </c>
      <c r="I438" s="85">
        <f t="shared" si="56"/>
        <v>1.4048809647771854E-2</v>
      </c>
      <c r="J438" s="87">
        <v>1</v>
      </c>
      <c r="K438" s="88">
        <f t="shared" si="52"/>
        <v>71.180407811888912</v>
      </c>
    </row>
    <row r="439" spans="1:11" hidden="1" x14ac:dyDescent="0.25">
      <c r="A439" t="str">
        <f t="shared" si="51"/>
        <v>52100Ø18,24625</v>
      </c>
      <c r="B439" s="81">
        <v>52100</v>
      </c>
      <c r="C439" s="101" t="s">
        <v>312</v>
      </c>
      <c r="D439" s="86">
        <f>23/32*25.4-0.01</f>
        <v>18.246249999999996</v>
      </c>
      <c r="E439" s="85">
        <f t="shared" si="53"/>
        <v>1.8246249999999995E-2</v>
      </c>
      <c r="F439" s="85">
        <f t="shared" si="54"/>
        <v>9.1231249999999976E-3</v>
      </c>
      <c r="G439" s="85">
        <f t="shared" si="55"/>
        <v>3.1806763918922407E-6</v>
      </c>
      <c r="H439" s="85">
        <v>7800</v>
      </c>
      <c r="I439" s="85">
        <f t="shared" si="56"/>
        <v>2.4809275856759478E-2</v>
      </c>
      <c r="J439" s="87">
        <v>1</v>
      </c>
      <c r="K439" s="88">
        <f t="shared" si="52"/>
        <v>40.307504571018839</v>
      </c>
    </row>
    <row r="440" spans="1:11" hidden="1" x14ac:dyDescent="0.25">
      <c r="A440" t="str">
        <f t="shared" si="51"/>
        <v>52100Ø18,26625</v>
      </c>
      <c r="B440" s="81">
        <v>52100</v>
      </c>
      <c r="C440" s="101" t="s">
        <v>313</v>
      </c>
      <c r="D440" s="86">
        <f>23/32*25.4+0.01</f>
        <v>18.266249999999999</v>
      </c>
      <c r="E440" s="85">
        <f t="shared" si="53"/>
        <v>1.8266249999999998E-2</v>
      </c>
      <c r="F440" s="85">
        <f t="shared" si="54"/>
        <v>9.1331249999999989E-3</v>
      </c>
      <c r="G440" s="85">
        <f t="shared" si="55"/>
        <v>3.1911470279567278E-6</v>
      </c>
      <c r="H440" s="85">
        <v>7800</v>
      </c>
      <c r="I440" s="85">
        <f t="shared" si="56"/>
        <v>2.4890946818062476E-2</v>
      </c>
      <c r="J440" s="87">
        <v>1</v>
      </c>
      <c r="K440" s="88">
        <f t="shared" si="52"/>
        <v>40.175249551950976</v>
      </c>
    </row>
    <row r="441" spans="1:11" hidden="1" x14ac:dyDescent="0.25">
      <c r="A441" t="str">
        <f t="shared" si="51"/>
        <v>52100Ø0,85</v>
      </c>
      <c r="B441" s="81">
        <v>52100</v>
      </c>
      <c r="D441" s="86">
        <v>0.85</v>
      </c>
      <c r="E441" s="85">
        <f t="shared" si="53"/>
        <v>8.4999999999999995E-4</v>
      </c>
      <c r="F441" s="85">
        <f t="shared" si="54"/>
        <v>4.2499999999999998E-4</v>
      </c>
      <c r="G441" s="85">
        <f t="shared" si="55"/>
        <v>3.215550980643052E-10</v>
      </c>
      <c r="H441" s="85">
        <v>7800</v>
      </c>
      <c r="I441" s="85">
        <f t="shared" si="56"/>
        <v>2.5081297649015807E-6</v>
      </c>
      <c r="J441" s="87">
        <v>1</v>
      </c>
      <c r="K441" s="88">
        <f t="shared" si="52"/>
        <v>398703.4538618619</v>
      </c>
    </row>
    <row r="442" spans="1:11" hidden="1" x14ac:dyDescent="0.25">
      <c r="A442" t="str">
        <f t="shared" si="51"/>
        <v>1010Ø4</v>
      </c>
      <c r="B442" s="81">
        <v>1010</v>
      </c>
      <c r="D442" s="86">
        <v>4</v>
      </c>
      <c r="E442" s="85">
        <f t="shared" si="53"/>
        <v>4.0000000000000001E-3</v>
      </c>
      <c r="F442" s="85">
        <f t="shared" si="54"/>
        <v>2E-3</v>
      </c>
      <c r="G442" s="85">
        <f t="shared" si="55"/>
        <v>3.3510321638291127E-8</v>
      </c>
      <c r="H442" s="85">
        <v>7820</v>
      </c>
      <c r="I442" s="85">
        <f t="shared" si="56"/>
        <v>2.6205071521143662E-4</v>
      </c>
      <c r="J442" s="87">
        <v>1</v>
      </c>
      <c r="K442" s="88">
        <f t="shared" si="52"/>
        <v>3816.0552211931426</v>
      </c>
    </row>
    <row r="443" spans="1:11" hidden="1" x14ac:dyDescent="0.25">
      <c r="A443" t="str">
        <f t="shared" si="51"/>
        <v>1010Ø3,96875</v>
      </c>
      <c r="B443" s="81">
        <v>1010</v>
      </c>
      <c r="C443" s="101" t="s">
        <v>215</v>
      </c>
      <c r="D443" s="86">
        <f>5/32*25.4</f>
        <v>3.96875</v>
      </c>
      <c r="E443" s="85">
        <f t="shared" si="53"/>
        <v>3.9687500000000001E-3</v>
      </c>
      <c r="F443" s="85">
        <f t="shared" si="54"/>
        <v>1.984375E-3</v>
      </c>
      <c r="G443" s="85">
        <f t="shared" si="55"/>
        <v>3.2731043419078684E-8</v>
      </c>
      <c r="H443" s="85">
        <v>7820</v>
      </c>
      <c r="I443" s="85">
        <f t="shared" si="56"/>
        <v>2.5595675953719529E-4</v>
      </c>
      <c r="J443" s="87">
        <v>1</v>
      </c>
      <c r="K443" s="88">
        <f t="shared" si="52"/>
        <v>3906.9099085647758</v>
      </c>
    </row>
    <row r="444" spans="1:11" hidden="1" x14ac:dyDescent="0.25">
      <c r="A444" t="str">
        <f t="shared" si="51"/>
        <v>Al2O3Ø6,35</v>
      </c>
      <c r="B444" s="81" t="s">
        <v>217</v>
      </c>
      <c r="C444" s="101" t="s">
        <v>218</v>
      </c>
      <c r="D444" s="86">
        <f>1/4*25.4</f>
        <v>6.35</v>
      </c>
      <c r="E444" s="85">
        <f t="shared" si="53"/>
        <v>6.3499999999999997E-3</v>
      </c>
      <c r="F444" s="85">
        <f t="shared" si="54"/>
        <v>3.1749999999999999E-3</v>
      </c>
      <c r="G444" s="85">
        <f t="shared" si="55"/>
        <v>1.3406635384454623E-7</v>
      </c>
      <c r="H444" s="85">
        <v>3900</v>
      </c>
      <c r="I444" s="85">
        <f t="shared" si="56"/>
        <v>5.2285877999373026E-4</v>
      </c>
      <c r="J444" s="87">
        <v>1</v>
      </c>
      <c r="K444" s="88">
        <f t="shared" si="52"/>
        <v>1912.5623175190656</v>
      </c>
    </row>
    <row r="445" spans="1:11" hidden="1" x14ac:dyDescent="0.25">
      <c r="A445" t="str">
        <f t="shared" si="51"/>
        <v>Al2O3Ø12,7</v>
      </c>
      <c r="B445" s="81" t="s">
        <v>217</v>
      </c>
      <c r="C445" s="101" t="s">
        <v>270</v>
      </c>
      <c r="D445" s="86">
        <f>1/2*25.4</f>
        <v>12.7</v>
      </c>
      <c r="E445" s="85">
        <f t="shared" si="53"/>
        <v>1.2699999999999999E-2</v>
      </c>
      <c r="F445" s="85">
        <f t="shared" si="54"/>
        <v>6.3499999999999997E-3</v>
      </c>
      <c r="G445" s="85">
        <f t="shared" si="55"/>
        <v>1.0725308307563699E-6</v>
      </c>
      <c r="H445" s="85">
        <v>3900</v>
      </c>
      <c r="I445" s="85">
        <f t="shared" si="56"/>
        <v>4.1828702399498421E-3</v>
      </c>
      <c r="J445" s="87">
        <v>1</v>
      </c>
      <c r="K445" s="88">
        <f t="shared" si="52"/>
        <v>239.0702896898832</v>
      </c>
    </row>
    <row r="446" spans="1:11" hidden="1" x14ac:dyDescent="0.25">
      <c r="A446" t="str">
        <f t="shared" si="51"/>
        <v>Al2O3Ø25,4</v>
      </c>
      <c r="B446" s="81" t="s">
        <v>217</v>
      </c>
      <c r="C446" s="101" t="s">
        <v>255</v>
      </c>
      <c r="D446" s="86">
        <f>1*25.4</f>
        <v>25.4</v>
      </c>
      <c r="E446" s="85">
        <f t="shared" si="53"/>
        <v>2.5399999999999999E-2</v>
      </c>
      <c r="F446" s="85">
        <f t="shared" si="54"/>
        <v>1.2699999999999999E-2</v>
      </c>
      <c r="G446" s="85">
        <f t="shared" si="55"/>
        <v>8.5802466460509588E-6</v>
      </c>
      <c r="H446" s="85">
        <v>3900</v>
      </c>
      <c r="I446" s="85">
        <f t="shared" si="56"/>
        <v>3.3462961919598737E-2</v>
      </c>
      <c r="J446" s="87">
        <v>1</v>
      </c>
      <c r="K446" s="88">
        <f t="shared" si="52"/>
        <v>29.8837862112354</v>
      </c>
    </row>
    <row r="447" spans="1:11" hidden="1" x14ac:dyDescent="0.25">
      <c r="A447" t="str">
        <f t="shared" si="51"/>
        <v>420CØ0,5</v>
      </c>
      <c r="B447" s="81" t="s">
        <v>295</v>
      </c>
      <c r="D447" s="86">
        <v>0.5</v>
      </c>
      <c r="E447" s="85">
        <f t="shared" si="53"/>
        <v>5.0000000000000001E-4</v>
      </c>
      <c r="F447" s="85">
        <f t="shared" si="54"/>
        <v>2.5000000000000001E-4</v>
      </c>
      <c r="G447" s="85">
        <f t="shared" si="55"/>
        <v>6.5449846949787358E-11</v>
      </c>
      <c r="H447" s="85">
        <v>7700</v>
      </c>
      <c r="I447" s="85">
        <f t="shared" si="56"/>
        <v>5.0396382151336265E-7</v>
      </c>
      <c r="J447" s="87">
        <v>1</v>
      </c>
      <c r="K447" s="88">
        <f t="shared" si="52"/>
        <v>1984269.4203664875</v>
      </c>
    </row>
    <row r="448" spans="1:11" hidden="1" x14ac:dyDescent="0.25">
      <c r="A448" t="str">
        <f t="shared" si="51"/>
        <v>420CØ9,525</v>
      </c>
      <c r="B448" s="81" t="s">
        <v>295</v>
      </c>
      <c r="C448" s="101" t="s">
        <v>254</v>
      </c>
      <c r="D448" s="86">
        <f>3/8*25.4</f>
        <v>9.5249999999999986</v>
      </c>
      <c r="E448" s="85">
        <f t="shared" si="53"/>
        <v>9.5249999999999987E-3</v>
      </c>
      <c r="F448" s="85">
        <f t="shared" si="54"/>
        <v>4.7624999999999994E-3</v>
      </c>
      <c r="G448" s="85">
        <f t="shared" si="55"/>
        <v>4.5247394422534347E-7</v>
      </c>
      <c r="H448" s="85">
        <v>7700</v>
      </c>
      <c r="I448" s="85">
        <f t="shared" si="56"/>
        <v>3.4840493705351446E-3</v>
      </c>
      <c r="J448" s="87">
        <v>1</v>
      </c>
      <c r="K448" s="88">
        <f t="shared" si="52"/>
        <v>287.02233913706038</v>
      </c>
    </row>
    <row r="449" spans="1:11" hidden="1" x14ac:dyDescent="0.25">
      <c r="A449" t="str">
        <f t="shared" si="51"/>
        <v>420CØ9,525</v>
      </c>
      <c r="B449" s="81" t="s">
        <v>295</v>
      </c>
      <c r="C449" s="101" t="s">
        <v>254</v>
      </c>
      <c r="D449" s="86">
        <f>3/8*25.4</f>
        <v>9.5249999999999986</v>
      </c>
      <c r="E449" s="85">
        <f t="shared" si="53"/>
        <v>9.5249999999999987E-3</v>
      </c>
      <c r="F449" s="85">
        <f t="shared" si="54"/>
        <v>4.7624999999999994E-3</v>
      </c>
      <c r="G449" s="85">
        <f t="shared" si="55"/>
        <v>4.5247394422534347E-7</v>
      </c>
      <c r="H449" s="85">
        <v>7700</v>
      </c>
      <c r="I449" s="85">
        <f t="shared" si="56"/>
        <v>3.4840493705351446E-3</v>
      </c>
      <c r="J449" s="87">
        <v>1</v>
      </c>
      <c r="K449" s="88">
        <f t="shared" si="52"/>
        <v>287.02233913706038</v>
      </c>
    </row>
    <row r="450" spans="1:11" hidden="1" x14ac:dyDescent="0.25">
      <c r="A450" t="str">
        <f t="shared" si="51"/>
        <v>420CØ0,5</v>
      </c>
      <c r="B450" s="81" t="s">
        <v>295</v>
      </c>
      <c r="D450" s="86">
        <v>0.5</v>
      </c>
      <c r="E450" s="85">
        <f t="shared" si="53"/>
        <v>5.0000000000000001E-4</v>
      </c>
      <c r="F450" s="85">
        <f t="shared" si="54"/>
        <v>2.5000000000000001E-4</v>
      </c>
      <c r="G450" s="85">
        <f t="shared" si="55"/>
        <v>6.5449846949787358E-11</v>
      </c>
      <c r="H450" s="85">
        <v>7700</v>
      </c>
      <c r="I450" s="85">
        <f>H450*G450</f>
        <v>5.0396382151336265E-7</v>
      </c>
      <c r="J450" s="87">
        <v>1</v>
      </c>
      <c r="K450" s="88">
        <f t="shared" si="52"/>
        <v>1984269.4203664875</v>
      </c>
    </row>
    <row r="451" spans="1:11" hidden="1" x14ac:dyDescent="0.25">
      <c r="A451" t="str">
        <f t="shared" si="51"/>
        <v>1010Ø10</v>
      </c>
      <c r="B451" s="81">
        <v>1010</v>
      </c>
      <c r="D451" s="86">
        <v>10</v>
      </c>
      <c r="E451" s="85">
        <f t="shared" si="53"/>
        <v>0.01</v>
      </c>
      <c r="F451" s="85">
        <f t="shared" si="54"/>
        <v>5.0000000000000001E-3</v>
      </c>
      <c r="G451" s="85">
        <f t="shared" si="55"/>
        <v>5.2359877559829882E-7</v>
      </c>
      <c r="H451" s="85">
        <v>7820</v>
      </c>
      <c r="I451" s="85">
        <f>H451*G451</f>
        <v>4.0945424251786966E-3</v>
      </c>
      <c r="J451" s="87">
        <v>1</v>
      </c>
      <c r="K451" s="88">
        <f t="shared" si="52"/>
        <v>244.22753415636117</v>
      </c>
    </row>
    <row r="452" spans="1:11" hidden="1" x14ac:dyDescent="0.25">
      <c r="A452" t="str">
        <f t="shared" ref="A452:A515" si="57">CONCATENATE(B452,"Ø",D452)</f>
        <v>1010Ø10</v>
      </c>
      <c r="B452" s="81">
        <v>1010</v>
      </c>
      <c r="D452" s="86">
        <v>10</v>
      </c>
      <c r="E452" s="85">
        <f t="shared" si="53"/>
        <v>0.01</v>
      </c>
      <c r="F452" s="85">
        <f t="shared" si="54"/>
        <v>5.0000000000000001E-3</v>
      </c>
      <c r="G452" s="85">
        <f t="shared" si="55"/>
        <v>5.2359877559829882E-7</v>
      </c>
      <c r="H452" s="85">
        <v>7820</v>
      </c>
      <c r="I452" s="85">
        <f t="shared" ref="I452:I515" si="58">H452*G452</f>
        <v>4.0945424251786966E-3</v>
      </c>
      <c r="J452" s="87">
        <v>1</v>
      </c>
      <c r="K452" s="88">
        <f t="shared" si="52"/>
        <v>244.22753415636117</v>
      </c>
    </row>
    <row r="453" spans="1:11" hidden="1" x14ac:dyDescent="0.25">
      <c r="A453" t="str">
        <f t="shared" si="57"/>
        <v>440CØ0,4</v>
      </c>
      <c r="B453" s="81" t="s">
        <v>314</v>
      </c>
      <c r="D453" s="86">
        <v>0.4</v>
      </c>
      <c r="E453" s="85">
        <f t="shared" si="53"/>
        <v>4.0000000000000002E-4</v>
      </c>
      <c r="F453" s="85">
        <f t="shared" si="54"/>
        <v>2.0000000000000001E-4</v>
      </c>
      <c r="G453" s="85">
        <f t="shared" si="55"/>
        <v>3.3510321638291128E-11</v>
      </c>
      <c r="H453" s="85">
        <v>7720</v>
      </c>
      <c r="I453" s="85">
        <f t="shared" si="58"/>
        <v>2.5869968304760751E-7</v>
      </c>
      <c r="J453" s="87">
        <v>1</v>
      </c>
      <c r="K453" s="88">
        <f t="shared" si="52"/>
        <v>3865485.9883070434</v>
      </c>
    </row>
    <row r="454" spans="1:11" hidden="1" x14ac:dyDescent="0.25">
      <c r="A454" t="str">
        <f t="shared" si="57"/>
        <v>420CØ0,5</v>
      </c>
      <c r="B454" s="81" t="s">
        <v>295</v>
      </c>
      <c r="D454" s="86">
        <v>0.5</v>
      </c>
      <c r="E454" s="85">
        <f t="shared" si="53"/>
        <v>5.0000000000000001E-4</v>
      </c>
      <c r="F454" s="85">
        <f t="shared" si="54"/>
        <v>2.5000000000000001E-4</v>
      </c>
      <c r="G454" s="85">
        <f t="shared" si="55"/>
        <v>6.5449846949787358E-11</v>
      </c>
      <c r="H454" s="85">
        <v>7700</v>
      </c>
      <c r="I454" s="85">
        <f t="shared" si="58"/>
        <v>5.0396382151336265E-7</v>
      </c>
      <c r="J454" s="87">
        <v>1</v>
      </c>
      <c r="K454" s="88">
        <f t="shared" si="52"/>
        <v>1984269.4203664875</v>
      </c>
    </row>
    <row r="455" spans="1:11" hidden="1" x14ac:dyDescent="0.25">
      <c r="A455" t="str">
        <f t="shared" si="57"/>
        <v>52100Ø0,25</v>
      </c>
      <c r="B455" s="81">
        <v>52100</v>
      </c>
      <c r="D455" s="86">
        <v>0.25</v>
      </c>
      <c r="E455" s="85">
        <f t="shared" si="53"/>
        <v>2.5000000000000001E-4</v>
      </c>
      <c r="F455" s="85">
        <f t="shared" si="54"/>
        <v>1.25E-4</v>
      </c>
      <c r="G455" s="85">
        <f t="shared" si="55"/>
        <v>8.1812308687234197E-12</v>
      </c>
      <c r="H455" s="85">
        <v>7800</v>
      </c>
      <c r="I455" s="85">
        <f t="shared" si="58"/>
        <v>6.3813600776042676E-8</v>
      </c>
      <c r="J455" s="87">
        <v>1</v>
      </c>
      <c r="K455" s="88">
        <f t="shared" ref="K455:K518" si="59">J455/I455</f>
        <v>15670640.550586618</v>
      </c>
    </row>
    <row r="456" spans="1:11" hidden="1" x14ac:dyDescent="0.25">
      <c r="A456" t="str">
        <f t="shared" si="57"/>
        <v>PMMAØ1,5875</v>
      </c>
      <c r="B456" s="81" t="s">
        <v>299</v>
      </c>
      <c r="C456" s="101" t="s">
        <v>246</v>
      </c>
      <c r="D456" s="86">
        <f>1/16*25.4</f>
        <v>1.5874999999999999</v>
      </c>
      <c r="E456" s="85">
        <f t="shared" si="53"/>
        <v>1.5874999999999999E-3</v>
      </c>
      <c r="F456" s="85">
        <f t="shared" si="54"/>
        <v>7.9374999999999997E-4</v>
      </c>
      <c r="G456" s="85">
        <f t="shared" si="55"/>
        <v>2.0947867788210349E-9</v>
      </c>
      <c r="H456" s="85">
        <v>1180</v>
      </c>
      <c r="I456" s="85">
        <f t="shared" si="58"/>
        <v>2.4718483990088211E-6</v>
      </c>
      <c r="J456" s="87">
        <v>1</v>
      </c>
      <c r="K456" s="88">
        <f t="shared" si="59"/>
        <v>404555.55462098197</v>
      </c>
    </row>
    <row r="457" spans="1:11" hidden="1" x14ac:dyDescent="0.25">
      <c r="A457" t="str">
        <f t="shared" si="57"/>
        <v>1010Ø9,525</v>
      </c>
      <c r="B457" s="81">
        <v>1010</v>
      </c>
      <c r="C457" s="101" t="s">
        <v>254</v>
      </c>
      <c r="D457" s="86">
        <f>3/8*25.4</f>
        <v>9.5249999999999986</v>
      </c>
      <c r="E457" s="85">
        <f t="shared" si="53"/>
        <v>9.5249999999999987E-3</v>
      </c>
      <c r="F457" s="85">
        <f t="shared" si="54"/>
        <v>4.7624999999999994E-3</v>
      </c>
      <c r="G457" s="85">
        <f t="shared" si="55"/>
        <v>4.5247394422534347E-7</v>
      </c>
      <c r="H457" s="85">
        <v>7820</v>
      </c>
      <c r="I457" s="85">
        <f t="shared" si="58"/>
        <v>3.538346243842186E-3</v>
      </c>
      <c r="J457" s="87">
        <v>1</v>
      </c>
      <c r="K457" s="88">
        <f t="shared" si="59"/>
        <v>282.61790426539193</v>
      </c>
    </row>
    <row r="458" spans="1:11" hidden="1" x14ac:dyDescent="0.25">
      <c r="A458" t="str">
        <f t="shared" si="57"/>
        <v>1010Ø9,525</v>
      </c>
      <c r="B458" s="81">
        <v>1010</v>
      </c>
      <c r="C458" s="101" t="s">
        <v>254</v>
      </c>
      <c r="D458" s="86">
        <f>3/8*25.4</f>
        <v>9.5249999999999986</v>
      </c>
      <c r="E458" s="85">
        <f t="shared" si="53"/>
        <v>9.5249999999999987E-3</v>
      </c>
      <c r="F458" s="85">
        <f t="shared" si="54"/>
        <v>4.7624999999999994E-3</v>
      </c>
      <c r="G458" s="85">
        <f t="shared" si="55"/>
        <v>4.5247394422534347E-7</v>
      </c>
      <c r="H458" s="85">
        <v>7820</v>
      </c>
      <c r="I458" s="85">
        <f t="shared" si="58"/>
        <v>3.538346243842186E-3</v>
      </c>
      <c r="J458" s="87">
        <v>1</v>
      </c>
      <c r="K458" s="88">
        <f t="shared" si="59"/>
        <v>282.61790426539193</v>
      </c>
    </row>
    <row r="459" spans="1:11" hidden="1" x14ac:dyDescent="0.25">
      <c r="A459" t="str">
        <f t="shared" si="57"/>
        <v>1010Ø9,525</v>
      </c>
      <c r="B459" s="81">
        <v>1010</v>
      </c>
      <c r="C459" s="101" t="s">
        <v>254</v>
      </c>
      <c r="D459" s="86">
        <f>3/8*25.4</f>
        <v>9.5249999999999986</v>
      </c>
      <c r="E459" s="85">
        <f t="shared" si="53"/>
        <v>9.5249999999999987E-3</v>
      </c>
      <c r="F459" s="85">
        <f t="shared" si="54"/>
        <v>4.7624999999999994E-3</v>
      </c>
      <c r="G459" s="85">
        <f t="shared" si="55"/>
        <v>4.5247394422534347E-7</v>
      </c>
      <c r="H459" s="85">
        <v>7820</v>
      </c>
      <c r="I459" s="85">
        <f t="shared" si="58"/>
        <v>3.538346243842186E-3</v>
      </c>
      <c r="J459" s="87">
        <v>1</v>
      </c>
      <c r="K459" s="88">
        <f t="shared" si="59"/>
        <v>282.61790426539193</v>
      </c>
    </row>
    <row r="460" spans="1:11" x14ac:dyDescent="0.25">
      <c r="A460" t="str">
        <f t="shared" si="57"/>
        <v>1085Ø4,2</v>
      </c>
      <c r="B460" s="81">
        <v>1085</v>
      </c>
      <c r="D460" s="86">
        <v>4.2</v>
      </c>
      <c r="E460" s="85">
        <f t="shared" si="53"/>
        <v>4.2000000000000006E-3</v>
      </c>
      <c r="F460" s="85">
        <f t="shared" si="54"/>
        <v>2.1000000000000003E-3</v>
      </c>
      <c r="G460" s="85">
        <f t="shared" si="55"/>
        <v>3.8792386086526783E-8</v>
      </c>
      <c r="H460" s="85">
        <v>7850</v>
      </c>
      <c r="I460" s="85">
        <f t="shared" si="58"/>
        <v>3.0452023077923526E-4</v>
      </c>
      <c r="J460" s="87">
        <v>1</v>
      </c>
      <c r="K460" s="88">
        <f t="shared" si="59"/>
        <v>3283.8540724900449</v>
      </c>
    </row>
    <row r="461" spans="1:11" hidden="1" x14ac:dyDescent="0.25">
      <c r="A461" t="str">
        <f t="shared" si="57"/>
        <v>WC-CoØ2</v>
      </c>
      <c r="B461" s="81" t="s">
        <v>297</v>
      </c>
      <c r="D461" s="86">
        <v>2</v>
      </c>
      <c r="E461" s="85">
        <f t="shared" si="53"/>
        <v>2E-3</v>
      </c>
      <c r="F461" s="85">
        <f t="shared" si="54"/>
        <v>1E-3</v>
      </c>
      <c r="G461" s="85">
        <f t="shared" si="55"/>
        <v>4.1887902047863909E-9</v>
      </c>
      <c r="H461" s="85">
        <v>14950</v>
      </c>
      <c r="I461" s="85">
        <f t="shared" si="58"/>
        <v>6.2622413561556539E-5</v>
      </c>
      <c r="J461" s="87">
        <v>1</v>
      </c>
      <c r="K461" s="88">
        <f t="shared" si="59"/>
        <v>15968.723387146691</v>
      </c>
    </row>
    <row r="462" spans="1:11" hidden="1" x14ac:dyDescent="0.25">
      <c r="A462" t="str">
        <f t="shared" si="57"/>
        <v>WC-CoØ2,38125</v>
      </c>
      <c r="B462" s="81" t="s">
        <v>297</v>
      </c>
      <c r="C462" s="101" t="s">
        <v>213</v>
      </c>
      <c r="D462" s="86">
        <f>3/32*25.4</f>
        <v>2.3812499999999996</v>
      </c>
      <c r="E462" s="85">
        <f t="shared" si="53"/>
        <v>2.3812499999999997E-3</v>
      </c>
      <c r="F462" s="85">
        <f t="shared" si="54"/>
        <v>1.1906249999999998E-3</v>
      </c>
      <c r="G462" s="85">
        <f t="shared" si="55"/>
        <v>7.0699053785209917E-9</v>
      </c>
      <c r="H462" s="85">
        <v>14950</v>
      </c>
      <c r="I462" s="85">
        <f t="shared" si="58"/>
        <v>1.0569508540888882E-4</v>
      </c>
      <c r="J462" s="87">
        <v>1</v>
      </c>
      <c r="K462" s="88">
        <f t="shared" si="59"/>
        <v>9461.1778412537369</v>
      </c>
    </row>
    <row r="463" spans="1:11" hidden="1" x14ac:dyDescent="0.25">
      <c r="A463" t="str">
        <f t="shared" si="57"/>
        <v>WC-CoØ2,5</v>
      </c>
      <c r="B463" s="81" t="s">
        <v>297</v>
      </c>
      <c r="D463" s="86">
        <v>2.5</v>
      </c>
      <c r="E463" s="85">
        <f t="shared" si="53"/>
        <v>2.5000000000000001E-3</v>
      </c>
      <c r="F463" s="85">
        <f t="shared" si="54"/>
        <v>1.25E-3</v>
      </c>
      <c r="G463" s="85">
        <f t="shared" si="55"/>
        <v>8.181230868723419E-9</v>
      </c>
      <c r="H463" s="85">
        <v>14950</v>
      </c>
      <c r="I463" s="85">
        <f t="shared" si="58"/>
        <v>1.2230940148741512E-4</v>
      </c>
      <c r="J463" s="87">
        <v>1</v>
      </c>
      <c r="K463" s="88">
        <f t="shared" si="59"/>
        <v>8175.9863742191055</v>
      </c>
    </row>
    <row r="464" spans="1:11" hidden="1" x14ac:dyDescent="0.25">
      <c r="A464" t="str">
        <f t="shared" si="57"/>
        <v>WC-CoØ2,778125</v>
      </c>
      <c r="B464" s="81" t="s">
        <v>297</v>
      </c>
      <c r="C464" s="101" t="s">
        <v>247</v>
      </c>
      <c r="D464" s="86">
        <f>7/64*25.4</f>
        <v>2.7781249999999997</v>
      </c>
      <c r="E464" s="85">
        <f t="shared" si="53"/>
        <v>2.7781249999999998E-3</v>
      </c>
      <c r="F464" s="85">
        <f t="shared" si="54"/>
        <v>1.3890624999999999E-3</v>
      </c>
      <c r="G464" s="85">
        <f t="shared" si="55"/>
        <v>1.1226747892743984E-8</v>
      </c>
      <c r="H464" s="85">
        <v>14950</v>
      </c>
      <c r="I464" s="85">
        <f t="shared" si="58"/>
        <v>1.6783988099652256E-4</v>
      </c>
      <c r="J464" s="87">
        <v>1</v>
      </c>
      <c r="K464" s="88">
        <f t="shared" si="59"/>
        <v>5958.059515191856</v>
      </c>
    </row>
    <row r="465" spans="1:11" hidden="1" x14ac:dyDescent="0.25">
      <c r="A465" t="str">
        <f t="shared" si="57"/>
        <v>WC-CoØ3</v>
      </c>
      <c r="B465" s="81" t="s">
        <v>297</v>
      </c>
      <c r="D465" s="86">
        <v>3</v>
      </c>
      <c r="E465" s="85">
        <f t="shared" si="53"/>
        <v>3.0000000000000001E-3</v>
      </c>
      <c r="F465" s="85">
        <f t="shared" si="54"/>
        <v>1.5E-3</v>
      </c>
      <c r="G465" s="85">
        <f t="shared" si="55"/>
        <v>1.4137166941154068E-8</v>
      </c>
      <c r="H465" s="85">
        <v>14950</v>
      </c>
      <c r="I465" s="85">
        <f t="shared" si="58"/>
        <v>2.1135064577025331E-4</v>
      </c>
      <c r="J465" s="87">
        <v>1</v>
      </c>
      <c r="K465" s="88">
        <f t="shared" si="59"/>
        <v>4731.4735961916122</v>
      </c>
    </row>
    <row r="466" spans="1:11" hidden="1" x14ac:dyDescent="0.25">
      <c r="A466" t="str">
        <f t="shared" si="57"/>
        <v>52100Ø3</v>
      </c>
      <c r="B466" s="81">
        <v>52100</v>
      </c>
      <c r="D466" s="86">
        <v>3</v>
      </c>
      <c r="E466" s="85">
        <f t="shared" si="53"/>
        <v>3.0000000000000001E-3</v>
      </c>
      <c r="F466" s="85">
        <f t="shared" si="54"/>
        <v>1.5E-3</v>
      </c>
      <c r="G466" s="85">
        <f t="shared" si="55"/>
        <v>1.4137166941154068E-8</v>
      </c>
      <c r="H466" s="85">
        <v>7800</v>
      </c>
      <c r="I466" s="85">
        <f t="shared" si="58"/>
        <v>1.1026990214100174E-4</v>
      </c>
      <c r="J466" s="87">
        <v>1</v>
      </c>
      <c r="K466" s="88">
        <f t="shared" si="59"/>
        <v>9068.6577260339218</v>
      </c>
    </row>
    <row r="467" spans="1:11" hidden="1" x14ac:dyDescent="0.25">
      <c r="A467" t="str">
        <f t="shared" si="57"/>
        <v>52100Ø3,5</v>
      </c>
      <c r="B467" s="81">
        <v>52100</v>
      </c>
      <c r="D467" s="86">
        <v>3.5</v>
      </c>
      <c r="E467" s="85">
        <f t="shared" si="53"/>
        <v>3.5000000000000001E-3</v>
      </c>
      <c r="F467" s="85">
        <f t="shared" si="54"/>
        <v>1.75E-3</v>
      </c>
      <c r="G467" s="85">
        <f t="shared" si="55"/>
        <v>2.2449297503777064E-8</v>
      </c>
      <c r="H467" s="85">
        <v>7800</v>
      </c>
      <c r="I467" s="85">
        <f t="shared" si="58"/>
        <v>1.751045205294611E-4</v>
      </c>
      <c r="J467" s="87">
        <v>1</v>
      </c>
      <c r="K467" s="88">
        <f t="shared" si="59"/>
        <v>5710.8748362196129</v>
      </c>
    </row>
    <row r="468" spans="1:11" hidden="1" x14ac:dyDescent="0.25">
      <c r="A468" t="str">
        <f t="shared" si="57"/>
        <v>52100Ø4</v>
      </c>
      <c r="B468" s="81">
        <v>52100</v>
      </c>
      <c r="D468" s="86">
        <v>4</v>
      </c>
      <c r="E468" s="85">
        <f t="shared" si="53"/>
        <v>4.0000000000000001E-3</v>
      </c>
      <c r="F468" s="85">
        <f t="shared" si="54"/>
        <v>2E-3</v>
      </c>
      <c r="G468" s="85">
        <f t="shared" si="55"/>
        <v>3.3510321638291127E-8</v>
      </c>
      <c r="H468" s="85">
        <v>7800</v>
      </c>
      <c r="I468" s="85">
        <f t="shared" si="58"/>
        <v>2.613805087786708E-4</v>
      </c>
      <c r="J468" s="87">
        <v>1</v>
      </c>
      <c r="K468" s="88">
        <f t="shared" si="59"/>
        <v>3825.8399781705612</v>
      </c>
    </row>
    <row r="469" spans="1:11" hidden="1" x14ac:dyDescent="0.25">
      <c r="A469" t="str">
        <f t="shared" si="57"/>
        <v>304Ø4,7625</v>
      </c>
      <c r="B469" s="81">
        <v>304</v>
      </c>
      <c r="C469" s="101" t="s">
        <v>248</v>
      </c>
      <c r="D469" s="86">
        <f>3/16*25.4</f>
        <v>4.7624999999999993</v>
      </c>
      <c r="E469" s="85">
        <f t="shared" si="53"/>
        <v>4.7624999999999994E-3</v>
      </c>
      <c r="F469" s="85">
        <f t="shared" si="54"/>
        <v>2.3812499999999997E-3</v>
      </c>
      <c r="G469" s="85">
        <f t="shared" si="55"/>
        <v>5.6559243028167934E-8</v>
      </c>
      <c r="H469" s="85">
        <v>7950</v>
      </c>
      <c r="I469" s="85">
        <f t="shared" si="58"/>
        <v>4.4964598207393507E-4</v>
      </c>
      <c r="J469" s="87">
        <v>1</v>
      </c>
      <c r="K469" s="88">
        <f t="shared" si="59"/>
        <v>2223.9718353261533</v>
      </c>
    </row>
    <row r="470" spans="1:11" hidden="1" x14ac:dyDescent="0.25">
      <c r="A470" t="str">
        <f t="shared" si="57"/>
        <v>304Ø4,7625</v>
      </c>
      <c r="B470" s="81">
        <v>304</v>
      </c>
      <c r="C470" s="101" t="s">
        <v>248</v>
      </c>
      <c r="D470" s="86">
        <f>3/16*25.4</f>
        <v>4.7624999999999993</v>
      </c>
      <c r="E470" s="85">
        <f t="shared" si="53"/>
        <v>4.7624999999999994E-3</v>
      </c>
      <c r="F470" s="85">
        <f t="shared" si="54"/>
        <v>2.3812499999999997E-3</v>
      </c>
      <c r="G470" s="85">
        <f t="shared" si="55"/>
        <v>5.6559243028167934E-8</v>
      </c>
      <c r="H470" s="85">
        <v>7950</v>
      </c>
      <c r="I470" s="85">
        <f t="shared" si="58"/>
        <v>4.4964598207393507E-4</v>
      </c>
      <c r="J470" s="87">
        <v>1</v>
      </c>
      <c r="K470" s="88">
        <f t="shared" si="59"/>
        <v>2223.9718353261533</v>
      </c>
    </row>
    <row r="471" spans="1:11" hidden="1" x14ac:dyDescent="0.25">
      <c r="A471" t="str">
        <f t="shared" si="57"/>
        <v>WC-CoØ4,318</v>
      </c>
      <c r="B471" s="81" t="s">
        <v>297</v>
      </c>
      <c r="D471" s="86">
        <v>4.3179999999999996</v>
      </c>
      <c r="E471" s="85">
        <f t="shared" si="53"/>
        <v>4.3179999999999998E-3</v>
      </c>
      <c r="F471" s="85">
        <f t="shared" si="54"/>
        <v>2.1589999999999999E-3</v>
      </c>
      <c r="G471" s="85">
        <f t="shared" si="55"/>
        <v>4.2154751772048362E-8</v>
      </c>
      <c r="H471" s="85">
        <v>14950</v>
      </c>
      <c r="I471" s="85">
        <f t="shared" si="58"/>
        <v>6.3021353899212298E-4</v>
      </c>
      <c r="J471" s="87">
        <v>1</v>
      </c>
      <c r="K471" s="88">
        <f t="shared" si="59"/>
        <v>1586.7637524881848</v>
      </c>
    </row>
    <row r="472" spans="1:11" hidden="1" x14ac:dyDescent="0.25">
      <c r="A472" t="str">
        <f t="shared" si="57"/>
        <v>WC-CoØ4,826</v>
      </c>
      <c r="B472" s="81" t="s">
        <v>297</v>
      </c>
      <c r="D472" s="86">
        <v>4.8259999999999996</v>
      </c>
      <c r="E472" s="85">
        <f t="shared" si="53"/>
        <v>4.8259999999999996E-3</v>
      </c>
      <c r="F472" s="85">
        <f t="shared" si="54"/>
        <v>2.4129999999999998E-3</v>
      </c>
      <c r="G472" s="85">
        <f t="shared" si="55"/>
        <v>5.8851911745263525E-8</v>
      </c>
      <c r="H472" s="85">
        <v>14950</v>
      </c>
      <c r="I472" s="85">
        <f t="shared" si="58"/>
        <v>8.7983608059168973E-4</v>
      </c>
      <c r="J472" s="87">
        <v>1</v>
      </c>
      <c r="K472" s="88">
        <f t="shared" si="59"/>
        <v>1136.5753485893645</v>
      </c>
    </row>
    <row r="473" spans="1:11" hidden="1" x14ac:dyDescent="0.25">
      <c r="A473" t="str">
        <f t="shared" si="57"/>
        <v>WC-CoØ5,9944</v>
      </c>
      <c r="B473" s="81" t="s">
        <v>297</v>
      </c>
      <c r="D473" s="86">
        <v>5.9943999999999997</v>
      </c>
      <c r="E473" s="85">
        <f t="shared" si="53"/>
        <v>5.9943999999999996E-3</v>
      </c>
      <c r="F473" s="85">
        <f t="shared" si="54"/>
        <v>2.9971999999999998E-3</v>
      </c>
      <c r="G473" s="85">
        <f t="shared" si="55"/>
        <v>1.127809584588352E-7</v>
      </c>
      <c r="H473" s="85">
        <v>14950</v>
      </c>
      <c r="I473" s="85">
        <f t="shared" si="58"/>
        <v>1.6860753289595861E-3</v>
      </c>
      <c r="J473" s="87">
        <v>1</v>
      </c>
      <c r="K473" s="88">
        <f t="shared" si="59"/>
        <v>593.09331132735485</v>
      </c>
    </row>
    <row r="474" spans="1:11" hidden="1" x14ac:dyDescent="0.25">
      <c r="A474" t="str">
        <f t="shared" si="57"/>
        <v>WC-CoØ8,001</v>
      </c>
      <c r="B474" s="81" t="s">
        <v>297</v>
      </c>
      <c r="D474" s="86">
        <v>8.0009999999999994</v>
      </c>
      <c r="E474" s="85">
        <f t="shared" si="53"/>
        <v>8.0009999999999994E-3</v>
      </c>
      <c r="F474" s="85">
        <f t="shared" si="54"/>
        <v>4.0004999999999997E-3</v>
      </c>
      <c r="G474" s="85">
        <f t="shared" si="55"/>
        <v>2.6818311663813804E-7</v>
      </c>
      <c r="H474" s="85">
        <v>14950</v>
      </c>
      <c r="I474" s="85">
        <f t="shared" si="58"/>
        <v>4.0093375937401638E-3</v>
      </c>
      <c r="J474" s="87">
        <v>1</v>
      </c>
      <c r="K474" s="88">
        <f t="shared" si="59"/>
        <v>249.41775957238281</v>
      </c>
    </row>
    <row r="475" spans="1:11" hidden="1" x14ac:dyDescent="0.25">
      <c r="A475" t="str">
        <f t="shared" si="57"/>
        <v>304Ø19</v>
      </c>
      <c r="B475" s="81">
        <v>304</v>
      </c>
      <c r="D475" s="86">
        <v>19</v>
      </c>
      <c r="E475" s="85">
        <f t="shared" si="53"/>
        <v>1.9E-2</v>
      </c>
      <c r="F475" s="85">
        <f t="shared" si="54"/>
        <v>9.4999999999999998E-3</v>
      </c>
      <c r="G475" s="85">
        <f t="shared" si="55"/>
        <v>3.5913640018287313E-6</v>
      </c>
      <c r="H475" s="85">
        <v>7950</v>
      </c>
      <c r="I475" s="85">
        <f t="shared" si="58"/>
        <v>2.8551343814538412E-2</v>
      </c>
      <c r="J475" s="87">
        <v>1</v>
      </c>
      <c r="K475" s="88">
        <f t="shared" si="59"/>
        <v>35.024621135023338</v>
      </c>
    </row>
    <row r="476" spans="1:11" hidden="1" x14ac:dyDescent="0.25">
      <c r="A476" t="str">
        <f t="shared" si="57"/>
        <v>PTFEØ6</v>
      </c>
      <c r="B476" s="81" t="s">
        <v>307</v>
      </c>
      <c r="D476" s="86">
        <v>6</v>
      </c>
      <c r="E476" s="85">
        <f t="shared" si="53"/>
        <v>6.0000000000000001E-3</v>
      </c>
      <c r="F476" s="85">
        <f t="shared" si="54"/>
        <v>3.0000000000000001E-3</v>
      </c>
      <c r="G476" s="85">
        <f t="shared" si="55"/>
        <v>1.1309733552923255E-7</v>
      </c>
      <c r="H476" s="85">
        <v>2160</v>
      </c>
      <c r="I476" s="85">
        <f t="shared" si="58"/>
        <v>2.4429024474314229E-4</v>
      </c>
      <c r="J476" s="87">
        <v>1</v>
      </c>
      <c r="K476" s="88">
        <f t="shared" si="59"/>
        <v>4093.4913346680905</v>
      </c>
    </row>
    <row r="477" spans="1:11" hidden="1" x14ac:dyDescent="0.25">
      <c r="A477" t="str">
        <f t="shared" si="57"/>
        <v>52100Ø14</v>
      </c>
      <c r="B477" s="81">
        <v>52100</v>
      </c>
      <c r="D477" s="86">
        <v>14</v>
      </c>
      <c r="E477" s="85">
        <f t="shared" si="53"/>
        <v>1.4E-2</v>
      </c>
      <c r="F477" s="85">
        <f t="shared" si="54"/>
        <v>7.0000000000000001E-3</v>
      </c>
      <c r="G477" s="85">
        <f t="shared" si="55"/>
        <v>1.4367550402417321E-6</v>
      </c>
      <c r="H477" s="85">
        <v>7800</v>
      </c>
      <c r="I477" s="85">
        <f t="shared" si="58"/>
        <v>1.120668931388551E-2</v>
      </c>
      <c r="J477" s="87">
        <v>1</v>
      </c>
      <c r="K477" s="88">
        <f t="shared" si="59"/>
        <v>89.232419315931452</v>
      </c>
    </row>
    <row r="478" spans="1:11" hidden="1" x14ac:dyDescent="0.25">
      <c r="A478" t="str">
        <f t="shared" si="57"/>
        <v>52100Ø14</v>
      </c>
      <c r="B478" s="81">
        <v>52100</v>
      </c>
      <c r="D478" s="86">
        <v>14</v>
      </c>
      <c r="E478" s="85">
        <f t="shared" si="53"/>
        <v>1.4E-2</v>
      </c>
      <c r="F478" s="85">
        <f t="shared" si="54"/>
        <v>7.0000000000000001E-3</v>
      </c>
      <c r="G478" s="85">
        <f t="shared" si="55"/>
        <v>1.4367550402417321E-6</v>
      </c>
      <c r="H478" s="85">
        <v>7800</v>
      </c>
      <c r="I478" s="85">
        <f t="shared" si="58"/>
        <v>1.120668931388551E-2</v>
      </c>
      <c r="J478" s="87">
        <v>1</v>
      </c>
      <c r="K478" s="88">
        <f t="shared" si="59"/>
        <v>89.232419315931452</v>
      </c>
    </row>
    <row r="479" spans="1:11" hidden="1" x14ac:dyDescent="0.25">
      <c r="A479" t="str">
        <f t="shared" si="57"/>
        <v>52100Ø20</v>
      </c>
      <c r="B479" s="81">
        <v>52100</v>
      </c>
      <c r="D479" s="86">
        <v>20</v>
      </c>
      <c r="E479" s="85">
        <f t="shared" si="53"/>
        <v>0.02</v>
      </c>
      <c r="F479" s="85">
        <f t="shared" si="54"/>
        <v>0.01</v>
      </c>
      <c r="G479" s="85">
        <f t="shared" si="55"/>
        <v>4.1887902047863905E-6</v>
      </c>
      <c r="H479" s="85">
        <v>7800</v>
      </c>
      <c r="I479" s="85">
        <f t="shared" si="58"/>
        <v>3.2672563597333844E-2</v>
      </c>
      <c r="J479" s="87">
        <v>1</v>
      </c>
      <c r="K479" s="88">
        <f t="shared" si="59"/>
        <v>30.606719825364493</v>
      </c>
    </row>
    <row r="480" spans="1:11" hidden="1" x14ac:dyDescent="0.25">
      <c r="A480" t="str">
        <f t="shared" si="57"/>
        <v>52100Ø20</v>
      </c>
      <c r="B480" s="81">
        <v>52100</v>
      </c>
      <c r="D480" s="86">
        <v>20</v>
      </c>
      <c r="E480" s="85">
        <f t="shared" si="53"/>
        <v>0.02</v>
      </c>
      <c r="F480" s="85">
        <f t="shared" si="54"/>
        <v>0.01</v>
      </c>
      <c r="G480" s="85">
        <f t="shared" si="55"/>
        <v>4.1887902047863905E-6</v>
      </c>
      <c r="H480" s="85">
        <v>7800</v>
      </c>
      <c r="I480" s="85">
        <f t="shared" si="58"/>
        <v>3.2672563597333844E-2</v>
      </c>
      <c r="J480" s="87">
        <v>1</v>
      </c>
      <c r="K480" s="88">
        <f t="shared" si="59"/>
        <v>30.606719825364493</v>
      </c>
    </row>
    <row r="481" spans="1:11" hidden="1" x14ac:dyDescent="0.25">
      <c r="A481" t="str">
        <f t="shared" si="57"/>
        <v>PPHØ20</v>
      </c>
      <c r="B481" s="81" t="s">
        <v>202</v>
      </c>
      <c r="D481" s="86">
        <v>20</v>
      </c>
      <c r="E481" s="85">
        <f t="shared" si="53"/>
        <v>0.02</v>
      </c>
      <c r="F481" s="85">
        <f t="shared" si="54"/>
        <v>0.01</v>
      </c>
      <c r="G481" s="85">
        <f t="shared" si="55"/>
        <v>4.1887902047863905E-6</v>
      </c>
      <c r="H481" s="85">
        <v>870</v>
      </c>
      <c r="I481" s="85">
        <f t="shared" si="58"/>
        <v>3.6442474781641599E-3</v>
      </c>
      <c r="J481" s="87">
        <v>1</v>
      </c>
      <c r="K481" s="88">
        <f t="shared" si="59"/>
        <v>274.40507429637131</v>
      </c>
    </row>
    <row r="482" spans="1:11" hidden="1" x14ac:dyDescent="0.25">
      <c r="A482" t="str">
        <f t="shared" si="57"/>
        <v>PPHØ30</v>
      </c>
      <c r="B482" s="81" t="s">
        <v>202</v>
      </c>
      <c r="D482" s="86">
        <v>30</v>
      </c>
      <c r="E482" s="85">
        <f t="shared" si="53"/>
        <v>0.03</v>
      </c>
      <c r="F482" s="85">
        <f t="shared" si="54"/>
        <v>1.4999999999999999E-2</v>
      </c>
      <c r="G482" s="85">
        <f t="shared" si="55"/>
        <v>1.4137166941154067E-5</v>
      </c>
      <c r="H482" s="85">
        <v>870</v>
      </c>
      <c r="I482" s="85">
        <f t="shared" si="58"/>
        <v>1.2299335238804039E-2</v>
      </c>
      <c r="J482" s="87">
        <v>1</v>
      </c>
      <c r="K482" s="88">
        <f t="shared" si="59"/>
        <v>81.305207198924833</v>
      </c>
    </row>
    <row r="483" spans="1:11" hidden="1" x14ac:dyDescent="0.25">
      <c r="A483" t="str">
        <f t="shared" si="57"/>
        <v>WC-CoØ10</v>
      </c>
      <c r="B483" s="81" t="s">
        <v>297</v>
      </c>
      <c r="D483" s="86">
        <v>10</v>
      </c>
      <c r="E483" s="85">
        <f t="shared" si="53"/>
        <v>0.01</v>
      </c>
      <c r="F483" s="85">
        <f t="shared" si="54"/>
        <v>5.0000000000000001E-3</v>
      </c>
      <c r="G483" s="85">
        <f t="shared" si="55"/>
        <v>5.2359877559829882E-7</v>
      </c>
      <c r="H483" s="85">
        <v>14950</v>
      </c>
      <c r="I483" s="85">
        <f t="shared" si="58"/>
        <v>7.8278016951945674E-3</v>
      </c>
      <c r="J483" s="87">
        <v>1</v>
      </c>
      <c r="K483" s="88">
        <f t="shared" si="59"/>
        <v>127.74978709717352</v>
      </c>
    </row>
    <row r="484" spans="1:11" hidden="1" x14ac:dyDescent="0.25">
      <c r="A484" t="str">
        <f t="shared" si="57"/>
        <v>1010Ø8,73125</v>
      </c>
      <c r="B484" s="81">
        <v>1010</v>
      </c>
      <c r="C484" s="101" t="s">
        <v>253</v>
      </c>
      <c r="D484" s="86">
        <f>11/32*25.4</f>
        <v>8.7312499999999993</v>
      </c>
      <c r="E484" s="85">
        <f t="shared" si="53"/>
        <v>8.7312499999999994E-3</v>
      </c>
      <c r="F484" s="85">
        <f t="shared" si="54"/>
        <v>4.3656249999999997E-3</v>
      </c>
      <c r="G484" s="85">
        <f t="shared" si="55"/>
        <v>3.4852015032634969E-7</v>
      </c>
      <c r="H484" s="85">
        <v>7820</v>
      </c>
      <c r="I484" s="85">
        <f t="shared" si="58"/>
        <v>2.7254275755520547E-3</v>
      </c>
      <c r="J484" s="87">
        <v>1</v>
      </c>
      <c r="K484" s="88">
        <f t="shared" si="59"/>
        <v>366.91490501171836</v>
      </c>
    </row>
    <row r="485" spans="1:11" hidden="1" x14ac:dyDescent="0.25">
      <c r="A485" t="str">
        <f t="shared" si="57"/>
        <v>52100Ø11,97</v>
      </c>
      <c r="B485" s="81">
        <v>52100</v>
      </c>
      <c r="D485" s="86">
        <v>11.97</v>
      </c>
      <c r="E485" s="85">
        <f t="shared" si="53"/>
        <v>1.1970000000000001E-2</v>
      </c>
      <c r="F485" s="85">
        <f t="shared" si="54"/>
        <v>5.9850000000000007E-3</v>
      </c>
      <c r="G485" s="85">
        <f t="shared" si="55"/>
        <v>8.9800979456526921E-7</v>
      </c>
      <c r="H485" s="85">
        <v>7800</v>
      </c>
      <c r="I485" s="85">
        <f t="shared" si="58"/>
        <v>7.0044763976091001E-3</v>
      </c>
      <c r="J485" s="87">
        <v>1</v>
      </c>
      <c r="K485" s="88">
        <f t="shared" si="59"/>
        <v>142.7658461867812</v>
      </c>
    </row>
    <row r="486" spans="1:11" hidden="1" x14ac:dyDescent="0.25">
      <c r="A486" t="str">
        <f t="shared" si="57"/>
        <v>52100Ø12,33</v>
      </c>
      <c r="B486" s="81">
        <v>52100</v>
      </c>
      <c r="D486" s="86">
        <v>12.33</v>
      </c>
      <c r="E486" s="85">
        <f t="shared" si="53"/>
        <v>1.2330000000000001E-2</v>
      </c>
      <c r="F486" s="85">
        <f t="shared" si="54"/>
        <v>6.1650000000000003E-3</v>
      </c>
      <c r="G486" s="85">
        <f t="shared" si="55"/>
        <v>9.8149445889220824E-7</v>
      </c>
      <c r="H486" s="85">
        <v>7800</v>
      </c>
      <c r="I486" s="85">
        <f t="shared" si="58"/>
        <v>7.6556567793592241E-3</v>
      </c>
      <c r="J486" s="87">
        <v>1</v>
      </c>
      <c r="K486" s="95">
        <f t="shared" si="59"/>
        <v>130.62236576437792</v>
      </c>
    </row>
    <row r="487" spans="1:11" x14ac:dyDescent="0.25">
      <c r="A487" t="str">
        <f t="shared" si="57"/>
        <v>1085Ø12,3</v>
      </c>
      <c r="B487" s="81">
        <v>1085</v>
      </c>
      <c r="D487" s="86">
        <v>12.3</v>
      </c>
      <c r="E487" s="85">
        <f t="shared" si="53"/>
        <v>1.23E-2</v>
      </c>
      <c r="F487" s="85">
        <f t="shared" si="54"/>
        <v>6.1500000000000001E-3</v>
      </c>
      <c r="G487" s="85">
        <f t="shared" si="55"/>
        <v>9.7434768275127957E-7</v>
      </c>
      <c r="H487" s="85">
        <v>7850</v>
      </c>
      <c r="I487" s="85">
        <f t="shared" si="58"/>
        <v>7.6486293095975443E-3</v>
      </c>
      <c r="J487" s="87">
        <v>1</v>
      </c>
      <c r="K487" s="95">
        <f t="shared" si="59"/>
        <v>130.74238004255145</v>
      </c>
    </row>
    <row r="488" spans="1:11" hidden="1" x14ac:dyDescent="0.25">
      <c r="A488" t="str">
        <f t="shared" si="57"/>
        <v>PPHØ1,5875</v>
      </c>
      <c r="B488" s="81" t="s">
        <v>202</v>
      </c>
      <c r="C488" s="101" t="s">
        <v>246</v>
      </c>
      <c r="D488" s="86">
        <f>1/16*25.4</f>
        <v>1.5874999999999999</v>
      </c>
      <c r="E488" s="85">
        <f t="shared" si="53"/>
        <v>1.5874999999999999E-3</v>
      </c>
      <c r="F488" s="85">
        <f t="shared" si="54"/>
        <v>7.9374999999999997E-4</v>
      </c>
      <c r="G488" s="85">
        <f t="shared" si="55"/>
        <v>2.0947867788210349E-9</v>
      </c>
      <c r="H488" s="85">
        <v>870</v>
      </c>
      <c r="I488" s="85">
        <f t="shared" si="58"/>
        <v>1.8224644975743004E-6</v>
      </c>
      <c r="J488" s="87">
        <v>1</v>
      </c>
      <c r="K488" s="88">
        <f t="shared" si="59"/>
        <v>548707.53385374567</v>
      </c>
    </row>
    <row r="489" spans="1:11" hidden="1" x14ac:dyDescent="0.25">
      <c r="A489" t="str">
        <f t="shared" si="57"/>
        <v>PPHØ3</v>
      </c>
      <c r="B489" s="81" t="s">
        <v>202</v>
      </c>
      <c r="D489" s="86">
        <v>3</v>
      </c>
      <c r="E489" s="85">
        <f t="shared" si="53"/>
        <v>3.0000000000000001E-3</v>
      </c>
      <c r="F489" s="85">
        <f t="shared" si="54"/>
        <v>1.5E-3</v>
      </c>
      <c r="G489" s="85">
        <f t="shared" si="55"/>
        <v>1.4137166941154068E-8</v>
      </c>
      <c r="H489" s="85">
        <v>870</v>
      </c>
      <c r="I489" s="85">
        <f t="shared" si="58"/>
        <v>1.229933523880404E-5</v>
      </c>
      <c r="J489" s="87">
        <v>1</v>
      </c>
      <c r="K489" s="88">
        <f t="shared" si="59"/>
        <v>81305.207198924822</v>
      </c>
    </row>
    <row r="490" spans="1:11" hidden="1" x14ac:dyDescent="0.25">
      <c r="A490" t="str">
        <f t="shared" si="57"/>
        <v>PPHØ4</v>
      </c>
      <c r="B490" s="81" t="s">
        <v>202</v>
      </c>
      <c r="D490" s="86">
        <v>4</v>
      </c>
      <c r="E490" s="85">
        <f t="shared" si="53"/>
        <v>4.0000000000000001E-3</v>
      </c>
      <c r="F490" s="85">
        <f t="shared" si="54"/>
        <v>2E-3</v>
      </c>
      <c r="G490" s="85">
        <f t="shared" si="55"/>
        <v>3.3510321638291127E-8</v>
      </c>
      <c r="H490" s="85">
        <v>870</v>
      </c>
      <c r="I490" s="85">
        <f t="shared" si="58"/>
        <v>2.9153979825313279E-5</v>
      </c>
      <c r="J490" s="87">
        <v>1</v>
      </c>
      <c r="K490" s="88">
        <f t="shared" si="59"/>
        <v>34300.634287046414</v>
      </c>
    </row>
    <row r="491" spans="1:11" hidden="1" x14ac:dyDescent="0.25">
      <c r="A491" t="str">
        <f t="shared" si="57"/>
        <v>PPHØ5</v>
      </c>
      <c r="B491" s="81" t="s">
        <v>202</v>
      </c>
      <c r="D491" s="86">
        <v>5</v>
      </c>
      <c r="E491" s="85">
        <f t="shared" si="53"/>
        <v>5.0000000000000001E-3</v>
      </c>
      <c r="F491" s="85">
        <f t="shared" si="54"/>
        <v>2.5000000000000001E-3</v>
      </c>
      <c r="G491" s="85">
        <f t="shared" si="55"/>
        <v>6.5449846949787352E-8</v>
      </c>
      <c r="H491" s="85">
        <v>870</v>
      </c>
      <c r="I491" s="85">
        <f t="shared" si="58"/>
        <v>5.6941366846314999E-5</v>
      </c>
      <c r="J491" s="87">
        <v>1</v>
      </c>
      <c r="K491" s="88">
        <f t="shared" si="59"/>
        <v>17561.924754967764</v>
      </c>
    </row>
    <row r="492" spans="1:11" hidden="1" x14ac:dyDescent="0.25">
      <c r="A492" t="str">
        <f t="shared" si="57"/>
        <v>PPHØ8</v>
      </c>
      <c r="B492" s="81" t="s">
        <v>202</v>
      </c>
      <c r="D492" s="86">
        <v>8</v>
      </c>
      <c r="E492" s="85">
        <f t="shared" si="53"/>
        <v>8.0000000000000002E-3</v>
      </c>
      <c r="F492" s="85">
        <f t="shared" si="54"/>
        <v>4.0000000000000001E-3</v>
      </c>
      <c r="G492" s="85">
        <f t="shared" si="55"/>
        <v>2.6808257310632902E-7</v>
      </c>
      <c r="H492" s="85">
        <v>870</v>
      </c>
      <c r="I492" s="85">
        <f t="shared" si="58"/>
        <v>2.3323183860250623E-4</v>
      </c>
      <c r="J492" s="87">
        <v>1</v>
      </c>
      <c r="K492" s="88">
        <f t="shared" si="59"/>
        <v>4287.5792858808018</v>
      </c>
    </row>
    <row r="493" spans="1:11" hidden="1" x14ac:dyDescent="0.25">
      <c r="A493" t="str">
        <f t="shared" si="57"/>
        <v>PPHØ2</v>
      </c>
      <c r="B493" s="81" t="s">
        <v>202</v>
      </c>
      <c r="D493" s="86">
        <v>2</v>
      </c>
      <c r="E493" s="85">
        <f t="shared" si="53"/>
        <v>2E-3</v>
      </c>
      <c r="F493" s="85">
        <f t="shared" si="54"/>
        <v>1E-3</v>
      </c>
      <c r="G493" s="85">
        <f t="shared" si="55"/>
        <v>4.1887902047863909E-9</v>
      </c>
      <c r="H493" s="85">
        <v>870</v>
      </c>
      <c r="I493" s="85">
        <f t="shared" si="58"/>
        <v>3.6442474781641599E-6</v>
      </c>
      <c r="J493" s="87">
        <v>1</v>
      </c>
      <c r="K493" s="88">
        <f t="shared" si="59"/>
        <v>274405.07429637131</v>
      </c>
    </row>
    <row r="494" spans="1:11" hidden="1" x14ac:dyDescent="0.25">
      <c r="A494" t="str">
        <f t="shared" si="57"/>
        <v>PPHØ2,38125</v>
      </c>
      <c r="B494" s="81" t="s">
        <v>202</v>
      </c>
      <c r="C494" s="101" t="s">
        <v>213</v>
      </c>
      <c r="D494" s="86">
        <f>3/32*25.4</f>
        <v>2.3812499999999996</v>
      </c>
      <c r="E494" s="85">
        <f t="shared" si="53"/>
        <v>2.3812499999999997E-3</v>
      </c>
      <c r="F494" s="85">
        <f t="shared" si="54"/>
        <v>1.1906249999999998E-3</v>
      </c>
      <c r="G494" s="85">
        <f t="shared" si="55"/>
        <v>7.0699053785209917E-9</v>
      </c>
      <c r="H494" s="85">
        <v>870</v>
      </c>
      <c r="I494" s="85">
        <f t="shared" si="58"/>
        <v>6.1508176793132632E-6</v>
      </c>
      <c r="J494" s="87">
        <v>1</v>
      </c>
      <c r="K494" s="88">
        <f t="shared" si="59"/>
        <v>162580.01003073948</v>
      </c>
    </row>
    <row r="495" spans="1:11" hidden="1" x14ac:dyDescent="0.25">
      <c r="A495" t="str">
        <f t="shared" si="57"/>
        <v>52100Ø9,9</v>
      </c>
      <c r="B495" s="81">
        <v>52100</v>
      </c>
      <c r="D495" s="86">
        <v>9.9</v>
      </c>
      <c r="E495" s="85">
        <f t="shared" si="53"/>
        <v>9.9000000000000008E-3</v>
      </c>
      <c r="F495" s="85">
        <f t="shared" si="54"/>
        <v>4.9500000000000004E-3</v>
      </c>
      <c r="G495" s="85">
        <f t="shared" si="55"/>
        <v>5.0804736836425385E-7</v>
      </c>
      <c r="H495" s="85">
        <v>7800</v>
      </c>
      <c r="I495" s="85">
        <f t="shared" si="58"/>
        <v>3.9627694732411803E-3</v>
      </c>
      <c r="J495" s="87">
        <v>1</v>
      </c>
      <c r="K495" s="88">
        <f t="shared" si="59"/>
        <v>252.34876940295297</v>
      </c>
    </row>
    <row r="496" spans="1:11" hidden="1" x14ac:dyDescent="0.25">
      <c r="A496" t="str">
        <f t="shared" si="57"/>
        <v>52100Ø10,075</v>
      </c>
      <c r="B496" s="81">
        <v>52100</v>
      </c>
      <c r="D496" s="86">
        <v>10.074999999999999</v>
      </c>
      <c r="E496" s="85">
        <f t="shared" si="53"/>
        <v>1.0074999999999999E-2</v>
      </c>
      <c r="F496" s="85">
        <f t="shared" si="54"/>
        <v>5.0374999999999994E-3</v>
      </c>
      <c r="G496" s="85">
        <f t="shared" si="55"/>
        <v>5.35468326235876E-7</v>
      </c>
      <c r="H496" s="85">
        <v>7800</v>
      </c>
      <c r="I496" s="85">
        <f t="shared" si="58"/>
        <v>4.1766529446398328E-3</v>
      </c>
      <c r="J496" s="87">
        <v>1</v>
      </c>
      <c r="K496" s="88">
        <f t="shared" si="59"/>
        <v>239.42616570126188</v>
      </c>
    </row>
    <row r="497" spans="1:11" hidden="1" x14ac:dyDescent="0.25">
      <c r="A497" t="str">
        <f t="shared" si="57"/>
        <v>52100Ø10,15</v>
      </c>
      <c r="B497" s="81">
        <v>52100</v>
      </c>
      <c r="D497" s="86">
        <v>10.15</v>
      </c>
      <c r="E497" s="85">
        <f t="shared" ref="E497:E560" si="60">D497/1000</f>
        <v>1.0150000000000001E-2</v>
      </c>
      <c r="F497" s="85">
        <f t="shared" ref="F497:F560" si="61">E497/2</f>
        <v>5.0750000000000005E-3</v>
      </c>
      <c r="G497" s="85">
        <f t="shared" ref="G497:G560" si="62">4/3*PI()*F497*F497*F497</f>
        <v>5.4751591681961891E-7</v>
      </c>
      <c r="H497" s="85">
        <v>7800</v>
      </c>
      <c r="I497" s="85">
        <f t="shared" si="58"/>
        <v>4.2706241511930275E-3</v>
      </c>
      <c r="J497" s="87">
        <v>1</v>
      </c>
      <c r="K497" s="88">
        <f t="shared" si="59"/>
        <v>234.1578103333311</v>
      </c>
    </row>
    <row r="498" spans="1:11" hidden="1" x14ac:dyDescent="0.25">
      <c r="A498" t="str">
        <f t="shared" si="57"/>
        <v>ZrO2Ø0,1</v>
      </c>
      <c r="B498" s="81" t="s">
        <v>205</v>
      </c>
      <c r="D498" s="86">
        <v>0.1</v>
      </c>
      <c r="E498" s="85">
        <f t="shared" si="60"/>
        <v>1E-4</v>
      </c>
      <c r="F498" s="85">
        <f t="shared" si="61"/>
        <v>5.0000000000000002E-5</v>
      </c>
      <c r="G498" s="85">
        <f t="shared" si="62"/>
        <v>5.2359877559829888E-13</v>
      </c>
      <c r="H498" s="85">
        <v>6000</v>
      </c>
      <c r="I498" s="85">
        <f t="shared" si="58"/>
        <v>3.1415926535897932E-9</v>
      </c>
      <c r="J498" s="87">
        <v>1</v>
      </c>
      <c r="K498" s="85">
        <f t="shared" si="59"/>
        <v>318309886.18379068</v>
      </c>
    </row>
    <row r="499" spans="1:11" hidden="1" x14ac:dyDescent="0.25">
      <c r="A499" t="str">
        <f t="shared" si="57"/>
        <v>ZrO2Ø0,3</v>
      </c>
      <c r="B499" s="81" t="s">
        <v>205</v>
      </c>
      <c r="D499" s="86">
        <v>0.3</v>
      </c>
      <c r="E499" s="85">
        <f t="shared" si="60"/>
        <v>2.9999999999999997E-4</v>
      </c>
      <c r="F499" s="85">
        <f t="shared" si="61"/>
        <v>1.4999999999999999E-4</v>
      </c>
      <c r="G499" s="85">
        <f t="shared" si="62"/>
        <v>1.4137166941154065E-11</v>
      </c>
      <c r="H499" s="85">
        <v>6000</v>
      </c>
      <c r="I499" s="85">
        <f t="shared" si="58"/>
        <v>8.4823001646924386E-8</v>
      </c>
      <c r="J499" s="87">
        <v>1</v>
      </c>
      <c r="K499" s="85">
        <f t="shared" si="59"/>
        <v>11789255.043844104</v>
      </c>
    </row>
    <row r="500" spans="1:11" hidden="1" x14ac:dyDescent="0.25">
      <c r="A500" t="str">
        <f t="shared" si="57"/>
        <v>WC-CoØ1,2</v>
      </c>
      <c r="B500" s="81" t="s">
        <v>297</v>
      </c>
      <c r="D500" s="86">
        <v>1.2</v>
      </c>
      <c r="E500" s="85">
        <f t="shared" si="60"/>
        <v>1.1999999999999999E-3</v>
      </c>
      <c r="F500" s="85">
        <f t="shared" si="61"/>
        <v>5.9999999999999995E-4</v>
      </c>
      <c r="G500" s="85">
        <f t="shared" si="62"/>
        <v>9.0477868423386013E-10</v>
      </c>
      <c r="H500" s="85">
        <v>14950</v>
      </c>
      <c r="I500" s="85">
        <f t="shared" si="58"/>
        <v>1.3526441329296208E-5</v>
      </c>
      <c r="J500" s="87">
        <v>1</v>
      </c>
      <c r="K500" s="88">
        <f t="shared" si="59"/>
        <v>73929.274940493968</v>
      </c>
    </row>
    <row r="501" spans="1:11" hidden="1" x14ac:dyDescent="0.25">
      <c r="A501" t="str">
        <f t="shared" si="57"/>
        <v>420CØ0,5</v>
      </c>
      <c r="B501" s="81" t="s">
        <v>295</v>
      </c>
      <c r="D501" s="86">
        <v>0.5</v>
      </c>
      <c r="E501" s="85">
        <f t="shared" si="60"/>
        <v>5.0000000000000001E-4</v>
      </c>
      <c r="F501" s="85">
        <f t="shared" si="61"/>
        <v>2.5000000000000001E-4</v>
      </c>
      <c r="G501" s="85">
        <f t="shared" si="62"/>
        <v>6.5449846949787358E-11</v>
      </c>
      <c r="H501" s="85">
        <v>7700</v>
      </c>
      <c r="I501" s="85">
        <f t="shared" si="58"/>
        <v>5.0396382151336265E-7</v>
      </c>
      <c r="J501" s="87">
        <v>1</v>
      </c>
      <c r="K501" s="88">
        <f t="shared" si="59"/>
        <v>1984269.4203664875</v>
      </c>
    </row>
    <row r="502" spans="1:11" hidden="1" x14ac:dyDescent="0.25">
      <c r="A502" t="str">
        <f t="shared" si="57"/>
        <v>440CØ3,175</v>
      </c>
      <c r="B502" s="81" t="s">
        <v>314</v>
      </c>
      <c r="C502" s="101" t="s">
        <v>214</v>
      </c>
      <c r="D502" s="86">
        <f>1/8*25.4</f>
        <v>3.1749999999999998</v>
      </c>
      <c r="E502" s="85">
        <f t="shared" si="60"/>
        <v>3.1749999999999999E-3</v>
      </c>
      <c r="F502" s="85">
        <f t="shared" si="61"/>
        <v>1.5874999999999999E-3</v>
      </c>
      <c r="G502" s="85">
        <f t="shared" si="62"/>
        <v>1.6758294230568279E-8</v>
      </c>
      <c r="H502" s="85">
        <v>7720</v>
      </c>
      <c r="I502" s="85">
        <f t="shared" si="58"/>
        <v>1.2937403145998712E-4</v>
      </c>
      <c r="J502" s="87">
        <v>1</v>
      </c>
      <c r="K502" s="88">
        <f t="shared" si="59"/>
        <v>7729.5264645848238</v>
      </c>
    </row>
    <row r="503" spans="1:11" hidden="1" x14ac:dyDescent="0.25">
      <c r="A503" t="str">
        <f t="shared" si="57"/>
        <v>440CØ6,35</v>
      </c>
      <c r="B503" s="81" t="s">
        <v>314</v>
      </c>
      <c r="C503" s="101" t="s">
        <v>218</v>
      </c>
      <c r="D503" s="86">
        <f>1/4*25.4</f>
        <v>6.35</v>
      </c>
      <c r="E503" s="85">
        <f t="shared" si="60"/>
        <v>6.3499999999999997E-3</v>
      </c>
      <c r="F503" s="85">
        <f t="shared" si="61"/>
        <v>3.1749999999999999E-3</v>
      </c>
      <c r="G503" s="85">
        <f t="shared" si="62"/>
        <v>1.3406635384454623E-7</v>
      </c>
      <c r="H503" s="85">
        <v>7720</v>
      </c>
      <c r="I503" s="85">
        <f t="shared" si="58"/>
        <v>1.034992251679897E-3</v>
      </c>
      <c r="J503" s="87">
        <v>1</v>
      </c>
      <c r="K503" s="88">
        <f t="shared" si="59"/>
        <v>966.19080807310297</v>
      </c>
    </row>
    <row r="504" spans="1:11" hidden="1" x14ac:dyDescent="0.25">
      <c r="A504" t="str">
        <f t="shared" si="57"/>
        <v>304Ø3</v>
      </c>
      <c r="B504" s="81">
        <v>304</v>
      </c>
      <c r="D504" s="86">
        <v>3</v>
      </c>
      <c r="E504" s="85">
        <f t="shared" si="60"/>
        <v>3.0000000000000001E-3</v>
      </c>
      <c r="F504" s="85">
        <f t="shared" si="61"/>
        <v>1.5E-3</v>
      </c>
      <c r="G504" s="85">
        <f t="shared" si="62"/>
        <v>1.4137166941154068E-8</v>
      </c>
      <c r="H504" s="85">
        <v>7950</v>
      </c>
      <c r="I504" s="85">
        <f t="shared" si="58"/>
        <v>1.1239047718217484E-4</v>
      </c>
      <c r="J504" s="87">
        <v>1</v>
      </c>
      <c r="K504" s="88">
        <f t="shared" si="59"/>
        <v>8897.5509764861145</v>
      </c>
    </row>
    <row r="505" spans="1:11" hidden="1" x14ac:dyDescent="0.25">
      <c r="A505" t="str">
        <f t="shared" si="57"/>
        <v>304Ø3</v>
      </c>
      <c r="B505" s="81">
        <v>304</v>
      </c>
      <c r="D505" s="86">
        <v>3</v>
      </c>
      <c r="E505" s="85">
        <f t="shared" si="60"/>
        <v>3.0000000000000001E-3</v>
      </c>
      <c r="F505" s="85">
        <f t="shared" si="61"/>
        <v>1.5E-3</v>
      </c>
      <c r="G505" s="85">
        <f t="shared" si="62"/>
        <v>1.4137166941154068E-8</v>
      </c>
      <c r="H505" s="85">
        <v>7950</v>
      </c>
      <c r="I505" s="85">
        <f t="shared" si="58"/>
        <v>1.1239047718217484E-4</v>
      </c>
      <c r="J505" s="87">
        <v>1</v>
      </c>
      <c r="K505" s="88">
        <f t="shared" si="59"/>
        <v>8897.5509764861145</v>
      </c>
    </row>
    <row r="506" spans="1:11" hidden="1" x14ac:dyDescent="0.25">
      <c r="A506" t="str">
        <f t="shared" si="57"/>
        <v>VESCØ5</v>
      </c>
      <c r="B506" s="81" t="s">
        <v>210</v>
      </c>
      <c r="D506" s="86">
        <v>5</v>
      </c>
      <c r="E506" s="85">
        <f t="shared" si="60"/>
        <v>5.0000000000000001E-3</v>
      </c>
      <c r="F506" s="85">
        <f t="shared" si="61"/>
        <v>2.5000000000000001E-3</v>
      </c>
      <c r="G506" s="85">
        <f t="shared" si="62"/>
        <v>6.5449846949787352E-8</v>
      </c>
      <c r="H506" s="85">
        <v>2500</v>
      </c>
      <c r="I506" s="85">
        <f t="shared" si="58"/>
        <v>1.6362461737446838E-4</v>
      </c>
      <c r="J506" s="87">
        <v>1</v>
      </c>
      <c r="K506" s="88">
        <f t="shared" si="59"/>
        <v>6111.5498147287817</v>
      </c>
    </row>
    <row r="507" spans="1:11" hidden="1" x14ac:dyDescent="0.25">
      <c r="A507" t="str">
        <f t="shared" si="57"/>
        <v>420CØ1,5</v>
      </c>
      <c r="B507" s="81" t="s">
        <v>295</v>
      </c>
      <c r="D507" s="86">
        <v>1.5</v>
      </c>
      <c r="E507" s="85">
        <f t="shared" si="60"/>
        <v>1.5E-3</v>
      </c>
      <c r="F507" s="85">
        <f t="shared" si="61"/>
        <v>7.5000000000000002E-4</v>
      </c>
      <c r="G507" s="85">
        <f t="shared" si="62"/>
        <v>1.7671458676442585E-9</v>
      </c>
      <c r="H507" s="85">
        <v>7700</v>
      </c>
      <c r="I507" s="85">
        <f t="shared" si="58"/>
        <v>1.3607023180860791E-5</v>
      </c>
      <c r="J507" s="87">
        <v>1</v>
      </c>
      <c r="K507" s="88">
        <f t="shared" si="59"/>
        <v>73491.460013573611</v>
      </c>
    </row>
    <row r="508" spans="1:11" hidden="1" x14ac:dyDescent="0.25">
      <c r="A508" t="str">
        <f t="shared" si="57"/>
        <v>316LØ3</v>
      </c>
      <c r="B508" s="81" t="s">
        <v>298</v>
      </c>
      <c r="D508" s="86">
        <v>3</v>
      </c>
      <c r="E508" s="85">
        <f t="shared" si="60"/>
        <v>3.0000000000000001E-3</v>
      </c>
      <c r="F508" s="85">
        <f t="shared" si="61"/>
        <v>1.5E-3</v>
      </c>
      <c r="G508" s="85">
        <f t="shared" si="62"/>
        <v>1.4137166941154068E-8</v>
      </c>
      <c r="H508" s="85">
        <v>7950</v>
      </c>
      <c r="I508" s="85">
        <f t="shared" si="58"/>
        <v>1.1239047718217484E-4</v>
      </c>
      <c r="J508" s="87">
        <v>1</v>
      </c>
      <c r="K508" s="88">
        <f t="shared" si="59"/>
        <v>8897.5509764861145</v>
      </c>
    </row>
    <row r="509" spans="1:11" hidden="1" x14ac:dyDescent="0.25">
      <c r="A509" t="str">
        <f t="shared" si="57"/>
        <v>52100Ø0,68</v>
      </c>
      <c r="B509" s="81">
        <v>52100</v>
      </c>
      <c r="D509" s="86">
        <v>0.68</v>
      </c>
      <c r="E509" s="85">
        <f t="shared" si="60"/>
        <v>6.8000000000000005E-4</v>
      </c>
      <c r="F509" s="85">
        <f t="shared" si="61"/>
        <v>3.4000000000000002E-4</v>
      </c>
      <c r="G509" s="85">
        <f t="shared" si="62"/>
        <v>1.6463621020892433E-10</v>
      </c>
      <c r="H509" s="85">
        <v>7800</v>
      </c>
      <c r="I509" s="85">
        <f t="shared" si="58"/>
        <v>1.2841624396296097E-6</v>
      </c>
      <c r="J509" s="87">
        <v>1</v>
      </c>
      <c r="K509" s="88">
        <f t="shared" si="59"/>
        <v>778717.68332394888</v>
      </c>
    </row>
    <row r="510" spans="1:11" hidden="1" x14ac:dyDescent="0.25">
      <c r="A510" t="str">
        <f t="shared" si="57"/>
        <v>1010Ø2,38125</v>
      </c>
      <c r="B510" s="81">
        <v>1010</v>
      </c>
      <c r="C510" s="101" t="s">
        <v>213</v>
      </c>
      <c r="D510" s="86">
        <f>3/32*25.4</f>
        <v>2.3812499999999996</v>
      </c>
      <c r="E510" s="85">
        <f t="shared" si="60"/>
        <v>2.3812499999999997E-3</v>
      </c>
      <c r="F510" s="85">
        <f t="shared" si="61"/>
        <v>1.1906249999999998E-3</v>
      </c>
      <c r="G510" s="85">
        <f t="shared" si="62"/>
        <v>7.0699053785209917E-9</v>
      </c>
      <c r="H510" s="85">
        <v>7820</v>
      </c>
      <c r="I510" s="85">
        <f t="shared" si="58"/>
        <v>5.5286660060034156E-5</v>
      </c>
      <c r="J510" s="87">
        <v>1</v>
      </c>
      <c r="K510" s="88">
        <f t="shared" si="59"/>
        <v>18087.545872985083</v>
      </c>
    </row>
    <row r="511" spans="1:11" hidden="1" x14ac:dyDescent="0.25">
      <c r="A511" t="str">
        <f t="shared" si="57"/>
        <v>440CØ1,5</v>
      </c>
      <c r="B511" s="81" t="s">
        <v>314</v>
      </c>
      <c r="D511" s="86">
        <v>1.5</v>
      </c>
      <c r="E511" s="85">
        <f t="shared" si="60"/>
        <v>1.5E-3</v>
      </c>
      <c r="F511" s="85">
        <f t="shared" si="61"/>
        <v>7.5000000000000002E-4</v>
      </c>
      <c r="G511" s="85">
        <f t="shared" si="62"/>
        <v>1.7671458676442585E-9</v>
      </c>
      <c r="H511" s="85">
        <v>7720</v>
      </c>
      <c r="I511" s="85">
        <f t="shared" si="58"/>
        <v>1.3642366098213676E-5</v>
      </c>
      <c r="J511" s="87">
        <v>1</v>
      </c>
      <c r="K511" s="88">
        <f t="shared" si="59"/>
        <v>73301.067630118763</v>
      </c>
    </row>
    <row r="512" spans="1:11" hidden="1" x14ac:dyDescent="0.25">
      <c r="A512" t="str">
        <f t="shared" si="57"/>
        <v>PPHØ10</v>
      </c>
      <c r="B512" s="81" t="s">
        <v>202</v>
      </c>
      <c r="D512" s="86">
        <v>10</v>
      </c>
      <c r="E512" s="85">
        <f t="shared" si="60"/>
        <v>0.01</v>
      </c>
      <c r="F512" s="85">
        <f t="shared" si="61"/>
        <v>5.0000000000000001E-3</v>
      </c>
      <c r="G512" s="85">
        <f t="shared" si="62"/>
        <v>5.2359877559829882E-7</v>
      </c>
      <c r="H512" s="85">
        <v>870</v>
      </c>
      <c r="I512" s="85">
        <f t="shared" si="58"/>
        <v>4.5553093477051999E-4</v>
      </c>
      <c r="J512" s="87">
        <v>1</v>
      </c>
      <c r="K512" s="88">
        <f t="shared" si="59"/>
        <v>2195.2405943709705</v>
      </c>
    </row>
    <row r="513" spans="1:11" hidden="1" x14ac:dyDescent="0.25">
      <c r="A513" t="str">
        <f t="shared" si="57"/>
        <v>VESCØ1,125</v>
      </c>
      <c r="B513" s="81" t="s">
        <v>210</v>
      </c>
      <c r="D513" s="86">
        <v>1.125</v>
      </c>
      <c r="E513" s="85">
        <f t="shared" si="60"/>
        <v>1.1249999999999999E-3</v>
      </c>
      <c r="F513" s="85">
        <f t="shared" si="61"/>
        <v>5.6249999999999996E-4</v>
      </c>
      <c r="G513" s="85">
        <f t="shared" si="62"/>
        <v>7.4551466291242138E-10</v>
      </c>
      <c r="H513" s="85">
        <v>2450</v>
      </c>
      <c r="I513" s="85">
        <f t="shared" si="58"/>
        <v>1.8265109241354323E-6</v>
      </c>
      <c r="J513" s="87">
        <v>1</v>
      </c>
      <c r="K513" s="88">
        <f t="shared" si="59"/>
        <v>547491.93491593481</v>
      </c>
    </row>
    <row r="514" spans="1:11" hidden="1" x14ac:dyDescent="0.25">
      <c r="A514" t="str">
        <f t="shared" si="57"/>
        <v>PPHØ2</v>
      </c>
      <c r="B514" s="81" t="s">
        <v>202</v>
      </c>
      <c r="D514" s="86">
        <v>2</v>
      </c>
      <c r="E514" s="85">
        <f t="shared" si="60"/>
        <v>2E-3</v>
      </c>
      <c r="F514" s="85">
        <f t="shared" si="61"/>
        <v>1E-3</v>
      </c>
      <c r="G514" s="85">
        <f t="shared" si="62"/>
        <v>4.1887902047863909E-9</v>
      </c>
      <c r="H514" s="85">
        <v>870</v>
      </c>
      <c r="I514" s="85">
        <f t="shared" si="58"/>
        <v>3.6442474781641599E-6</v>
      </c>
      <c r="J514" s="87">
        <v>1</v>
      </c>
      <c r="K514" s="88">
        <f t="shared" si="59"/>
        <v>274405.07429637131</v>
      </c>
    </row>
    <row r="515" spans="1:11" hidden="1" x14ac:dyDescent="0.25">
      <c r="A515" t="str">
        <f t="shared" si="57"/>
        <v>PPHØ6</v>
      </c>
      <c r="B515" s="81" t="s">
        <v>202</v>
      </c>
      <c r="D515" s="86">
        <v>6</v>
      </c>
      <c r="E515" s="85">
        <f t="shared" si="60"/>
        <v>6.0000000000000001E-3</v>
      </c>
      <c r="F515" s="85">
        <f t="shared" si="61"/>
        <v>3.0000000000000001E-3</v>
      </c>
      <c r="G515" s="85">
        <f t="shared" si="62"/>
        <v>1.1309733552923255E-7</v>
      </c>
      <c r="H515" s="85">
        <v>870</v>
      </c>
      <c r="I515" s="85">
        <f t="shared" si="58"/>
        <v>9.8394681910432316E-5</v>
      </c>
      <c r="J515" s="87">
        <v>1</v>
      </c>
      <c r="K515" s="88">
        <f t="shared" si="59"/>
        <v>10163.150899865603</v>
      </c>
    </row>
    <row r="516" spans="1:11" hidden="1" x14ac:dyDescent="0.25">
      <c r="A516" t="str">
        <f t="shared" ref="A516:A579" si="63">CONCATENATE(B516,"Ø",D516)</f>
        <v>PSØ5</v>
      </c>
      <c r="B516" s="81" t="s">
        <v>242</v>
      </c>
      <c r="D516" s="86">
        <v>5</v>
      </c>
      <c r="E516" s="85">
        <f t="shared" si="60"/>
        <v>5.0000000000000001E-3</v>
      </c>
      <c r="F516" s="85">
        <f t="shared" si="61"/>
        <v>2.5000000000000001E-3</v>
      </c>
      <c r="G516" s="85">
        <f t="shared" si="62"/>
        <v>6.5449846949787352E-8</v>
      </c>
      <c r="H516" s="85">
        <v>1050</v>
      </c>
      <c r="I516" s="85">
        <f t="shared" ref="I516:I548" si="64">H516*G516</f>
        <v>6.8722339297276714E-5</v>
      </c>
      <c r="J516" s="87">
        <v>1</v>
      </c>
      <c r="K516" s="88">
        <f t="shared" si="59"/>
        <v>14551.309082687576</v>
      </c>
    </row>
    <row r="517" spans="1:11" hidden="1" x14ac:dyDescent="0.25">
      <c r="A517" t="str">
        <f t="shared" si="63"/>
        <v>PSØ5</v>
      </c>
      <c r="B517" s="81" t="s">
        <v>242</v>
      </c>
      <c r="D517" s="86">
        <v>5</v>
      </c>
      <c r="E517" s="85">
        <f t="shared" si="60"/>
        <v>5.0000000000000001E-3</v>
      </c>
      <c r="F517" s="85">
        <f t="shared" si="61"/>
        <v>2.5000000000000001E-3</v>
      </c>
      <c r="G517" s="85">
        <f t="shared" si="62"/>
        <v>6.5449846949787352E-8</v>
      </c>
      <c r="H517" s="85">
        <v>1050</v>
      </c>
      <c r="I517" s="85">
        <f t="shared" si="64"/>
        <v>6.8722339297276714E-5</v>
      </c>
      <c r="J517" s="87">
        <v>1</v>
      </c>
      <c r="K517" s="88">
        <f t="shared" si="59"/>
        <v>14551.309082687576</v>
      </c>
    </row>
    <row r="518" spans="1:11" hidden="1" x14ac:dyDescent="0.25">
      <c r="A518" t="str">
        <f t="shared" si="63"/>
        <v>PSØ6</v>
      </c>
      <c r="B518" s="81" t="s">
        <v>242</v>
      </c>
      <c r="D518" s="86">
        <v>6</v>
      </c>
      <c r="E518" s="85">
        <f t="shared" si="60"/>
        <v>6.0000000000000001E-3</v>
      </c>
      <c r="F518" s="85">
        <f t="shared" si="61"/>
        <v>3.0000000000000001E-3</v>
      </c>
      <c r="G518" s="85">
        <f t="shared" si="62"/>
        <v>1.1309733552923255E-7</v>
      </c>
      <c r="H518" s="85">
        <v>1050</v>
      </c>
      <c r="I518" s="85">
        <f t="shared" si="64"/>
        <v>1.1875220230569417E-4</v>
      </c>
      <c r="J518" s="87">
        <v>1</v>
      </c>
      <c r="K518" s="88">
        <f t="shared" si="59"/>
        <v>8420.8964598886432</v>
      </c>
    </row>
    <row r="519" spans="1:11" hidden="1" x14ac:dyDescent="0.25">
      <c r="A519" t="str">
        <f t="shared" si="63"/>
        <v>PSØ6</v>
      </c>
      <c r="B519" s="81" t="s">
        <v>242</v>
      </c>
      <c r="D519" s="86">
        <v>6</v>
      </c>
      <c r="E519" s="85">
        <f t="shared" si="60"/>
        <v>6.0000000000000001E-3</v>
      </c>
      <c r="F519" s="85">
        <f t="shared" si="61"/>
        <v>3.0000000000000001E-3</v>
      </c>
      <c r="G519" s="85">
        <f t="shared" si="62"/>
        <v>1.1309733552923255E-7</v>
      </c>
      <c r="H519" s="85">
        <v>1050</v>
      </c>
      <c r="I519" s="85">
        <f t="shared" si="64"/>
        <v>1.1875220230569417E-4</v>
      </c>
      <c r="J519" s="87">
        <v>1</v>
      </c>
      <c r="K519" s="88">
        <f t="shared" ref="K519:K548" si="65">J519/I519</f>
        <v>8420.8964598886432</v>
      </c>
    </row>
    <row r="520" spans="1:11" hidden="1" x14ac:dyDescent="0.25">
      <c r="A520" t="str">
        <f t="shared" si="63"/>
        <v>PSØ5</v>
      </c>
      <c r="B520" s="81" t="s">
        <v>242</v>
      </c>
      <c r="D520" s="86">
        <v>5</v>
      </c>
      <c r="E520" s="85">
        <f t="shared" si="60"/>
        <v>5.0000000000000001E-3</v>
      </c>
      <c r="F520" s="85">
        <f t="shared" si="61"/>
        <v>2.5000000000000001E-3</v>
      </c>
      <c r="G520" s="85">
        <f t="shared" si="62"/>
        <v>6.5449846949787352E-8</v>
      </c>
      <c r="H520" s="85">
        <v>1100</v>
      </c>
      <c r="I520" s="85">
        <f t="shared" si="64"/>
        <v>7.1994831644766089E-5</v>
      </c>
      <c r="J520" s="87">
        <v>1</v>
      </c>
      <c r="K520" s="88">
        <f t="shared" si="65"/>
        <v>13889.885942565412</v>
      </c>
    </row>
    <row r="521" spans="1:11" hidden="1" x14ac:dyDescent="0.25">
      <c r="A521" t="str">
        <f t="shared" si="63"/>
        <v>PSØ5</v>
      </c>
      <c r="B521" s="81" t="s">
        <v>242</v>
      </c>
      <c r="D521" s="86">
        <v>5</v>
      </c>
      <c r="E521" s="85">
        <f t="shared" si="60"/>
        <v>5.0000000000000001E-3</v>
      </c>
      <c r="F521" s="85">
        <f t="shared" si="61"/>
        <v>2.5000000000000001E-3</v>
      </c>
      <c r="G521" s="85">
        <f t="shared" si="62"/>
        <v>6.5449846949787352E-8</v>
      </c>
      <c r="H521" s="85">
        <v>1100</v>
      </c>
      <c r="I521" s="85">
        <f t="shared" si="64"/>
        <v>7.1994831644766089E-5</v>
      </c>
      <c r="J521" s="87">
        <v>1</v>
      </c>
      <c r="K521" s="88">
        <f t="shared" si="65"/>
        <v>13889.885942565412</v>
      </c>
    </row>
    <row r="522" spans="1:11" hidden="1" x14ac:dyDescent="0.25">
      <c r="A522" t="str">
        <f t="shared" si="63"/>
        <v>PSØ6</v>
      </c>
      <c r="B522" s="81" t="s">
        <v>242</v>
      </c>
      <c r="D522" s="86">
        <v>6</v>
      </c>
      <c r="E522" s="85">
        <f t="shared" si="60"/>
        <v>6.0000000000000001E-3</v>
      </c>
      <c r="F522" s="85">
        <f t="shared" si="61"/>
        <v>3.0000000000000001E-3</v>
      </c>
      <c r="G522" s="85">
        <f t="shared" si="62"/>
        <v>1.1309733552923255E-7</v>
      </c>
      <c r="H522" s="85">
        <v>1100</v>
      </c>
      <c r="I522" s="85">
        <f t="shared" si="64"/>
        <v>1.2440706908215581E-4</v>
      </c>
      <c r="J522" s="87">
        <v>1</v>
      </c>
      <c r="K522" s="88">
        <f t="shared" si="65"/>
        <v>8038.1284389846132</v>
      </c>
    </row>
    <row r="523" spans="1:11" hidden="1" x14ac:dyDescent="0.25">
      <c r="A523" t="str">
        <f t="shared" si="63"/>
        <v>PSØ6</v>
      </c>
      <c r="B523" s="81" t="s">
        <v>242</v>
      </c>
      <c r="D523" s="86">
        <v>6</v>
      </c>
      <c r="E523" s="85">
        <f t="shared" si="60"/>
        <v>6.0000000000000001E-3</v>
      </c>
      <c r="F523" s="85">
        <f t="shared" si="61"/>
        <v>3.0000000000000001E-3</v>
      </c>
      <c r="G523" s="85">
        <f t="shared" si="62"/>
        <v>1.1309733552923255E-7</v>
      </c>
      <c r="H523" s="85">
        <v>1100</v>
      </c>
      <c r="I523" s="85">
        <f t="shared" si="64"/>
        <v>1.2440706908215581E-4</v>
      </c>
      <c r="J523" s="87">
        <v>1</v>
      </c>
      <c r="K523" s="88">
        <f t="shared" si="65"/>
        <v>8038.1284389846132</v>
      </c>
    </row>
    <row r="524" spans="1:11" hidden="1" x14ac:dyDescent="0.25">
      <c r="A524" t="str">
        <f t="shared" si="63"/>
        <v>52100Ø0,7</v>
      </c>
      <c r="B524" s="81">
        <v>52100</v>
      </c>
      <c r="D524" s="86">
        <v>0.7</v>
      </c>
      <c r="E524" s="85">
        <f t="shared" si="60"/>
        <v>6.9999999999999999E-4</v>
      </c>
      <c r="F524" s="85">
        <f t="shared" si="61"/>
        <v>3.5E-4</v>
      </c>
      <c r="G524" s="85">
        <f t="shared" si="62"/>
        <v>1.7959438003021649E-10</v>
      </c>
      <c r="H524" s="85">
        <v>7800</v>
      </c>
      <c r="I524" s="85">
        <f t="shared" si="64"/>
        <v>1.4008361642356885E-6</v>
      </c>
      <c r="J524" s="87">
        <v>1</v>
      </c>
      <c r="K524" s="88">
        <f t="shared" si="65"/>
        <v>713859.3545274518</v>
      </c>
    </row>
    <row r="525" spans="1:11" hidden="1" x14ac:dyDescent="0.25">
      <c r="A525" t="str">
        <f t="shared" si="63"/>
        <v>SiliconeØ5</v>
      </c>
      <c r="B525" s="81" t="s">
        <v>315</v>
      </c>
      <c r="D525" s="86">
        <v>5</v>
      </c>
      <c r="E525" s="85">
        <f t="shared" si="60"/>
        <v>5.0000000000000001E-3</v>
      </c>
      <c r="F525" s="85">
        <f t="shared" si="61"/>
        <v>2.5000000000000001E-3</v>
      </c>
      <c r="G525" s="85">
        <f t="shared" si="62"/>
        <v>6.5449846949787352E-8</v>
      </c>
      <c r="H525" s="85">
        <v>1260</v>
      </c>
      <c r="I525" s="85">
        <f t="shared" si="64"/>
        <v>8.246680715673207E-5</v>
      </c>
      <c r="J525" s="87">
        <v>1</v>
      </c>
      <c r="K525" s="88">
        <f t="shared" si="65"/>
        <v>12126.090902239644</v>
      </c>
    </row>
    <row r="526" spans="1:11" hidden="1" x14ac:dyDescent="0.25">
      <c r="A526" t="str">
        <f t="shared" si="63"/>
        <v>SiliconeØ5</v>
      </c>
      <c r="B526" s="81" t="s">
        <v>315</v>
      </c>
      <c r="D526" s="86">
        <v>5</v>
      </c>
      <c r="E526" s="85">
        <f t="shared" si="60"/>
        <v>5.0000000000000001E-3</v>
      </c>
      <c r="F526" s="85">
        <f t="shared" si="61"/>
        <v>2.5000000000000001E-3</v>
      </c>
      <c r="G526" s="85">
        <f t="shared" si="62"/>
        <v>6.5449846949787352E-8</v>
      </c>
      <c r="H526" s="85">
        <v>1146</v>
      </c>
      <c r="I526" s="85">
        <f t="shared" si="64"/>
        <v>7.5005524604456302E-5</v>
      </c>
      <c r="J526" s="87">
        <v>1</v>
      </c>
      <c r="K526" s="88">
        <f t="shared" si="65"/>
        <v>13332.35125377134</v>
      </c>
    </row>
    <row r="527" spans="1:11" hidden="1" x14ac:dyDescent="0.25">
      <c r="A527" t="str">
        <f t="shared" si="63"/>
        <v>ZrO2Ø3,175</v>
      </c>
      <c r="B527" s="81" t="s">
        <v>205</v>
      </c>
      <c r="C527" s="101" t="s">
        <v>214</v>
      </c>
      <c r="D527" s="86">
        <f>1/8*25.4</f>
        <v>3.1749999999999998</v>
      </c>
      <c r="E527" s="85">
        <f t="shared" si="60"/>
        <v>3.1749999999999999E-3</v>
      </c>
      <c r="F527" s="85">
        <f t="shared" si="61"/>
        <v>1.5874999999999999E-3</v>
      </c>
      <c r="G527" s="85">
        <f t="shared" si="62"/>
        <v>1.6758294230568279E-8</v>
      </c>
      <c r="H527" s="85">
        <v>6000</v>
      </c>
      <c r="I527" s="85">
        <f t="shared" si="64"/>
        <v>1.0054976538340968E-4</v>
      </c>
      <c r="J527" s="87">
        <v>1</v>
      </c>
      <c r="K527" s="88">
        <f t="shared" si="65"/>
        <v>9945.32405109914</v>
      </c>
    </row>
    <row r="528" spans="1:11" hidden="1" x14ac:dyDescent="0.25">
      <c r="A528" t="str">
        <f t="shared" si="63"/>
        <v>ZrO2Ø3,96875</v>
      </c>
      <c r="B528" s="81" t="s">
        <v>205</v>
      </c>
      <c r="C528" s="101" t="s">
        <v>215</v>
      </c>
      <c r="D528" s="86">
        <f>5/32*25.4</f>
        <v>3.96875</v>
      </c>
      <c r="E528" s="85">
        <f t="shared" si="60"/>
        <v>3.9687500000000001E-3</v>
      </c>
      <c r="F528" s="85">
        <f t="shared" si="61"/>
        <v>1.984375E-3</v>
      </c>
      <c r="G528" s="85">
        <f t="shared" si="62"/>
        <v>3.2731043419078684E-8</v>
      </c>
      <c r="H528" s="85">
        <v>6000</v>
      </c>
      <c r="I528" s="85">
        <f t="shared" si="64"/>
        <v>1.9638626051447211E-4</v>
      </c>
      <c r="J528" s="87">
        <v>1</v>
      </c>
      <c r="K528" s="88">
        <f t="shared" si="65"/>
        <v>5092.0059141627571</v>
      </c>
    </row>
    <row r="529" spans="1:11" hidden="1" x14ac:dyDescent="0.25">
      <c r="A529" t="str">
        <f t="shared" si="63"/>
        <v>ZrO2Ø5</v>
      </c>
      <c r="B529" s="81" t="s">
        <v>205</v>
      </c>
      <c r="D529" s="86">
        <v>5</v>
      </c>
      <c r="E529" s="85">
        <f t="shared" si="60"/>
        <v>5.0000000000000001E-3</v>
      </c>
      <c r="F529" s="85">
        <f t="shared" si="61"/>
        <v>2.5000000000000001E-3</v>
      </c>
      <c r="G529" s="85">
        <f t="shared" si="62"/>
        <v>6.5449846949787352E-8</v>
      </c>
      <c r="H529" s="85">
        <v>6000</v>
      </c>
      <c r="I529" s="85">
        <f t="shared" si="64"/>
        <v>3.9269908169872411E-4</v>
      </c>
      <c r="J529" s="87">
        <v>1</v>
      </c>
      <c r="K529" s="88">
        <f t="shared" si="65"/>
        <v>2546.4790894703256</v>
      </c>
    </row>
    <row r="530" spans="1:11" hidden="1" x14ac:dyDescent="0.25">
      <c r="A530" t="str">
        <f t="shared" si="63"/>
        <v>100CrMn6Ø45,125</v>
      </c>
      <c r="B530" s="81" t="s">
        <v>316</v>
      </c>
      <c r="D530" s="86">
        <v>45.125</v>
      </c>
      <c r="E530" s="85">
        <f t="shared" si="60"/>
        <v>4.5124999999999998E-2</v>
      </c>
      <c r="F530" s="85">
        <f t="shared" si="61"/>
        <v>2.2562499999999999E-2</v>
      </c>
      <c r="G530" s="85">
        <f t="shared" si="62"/>
        <v>4.8111651735436067E-5</v>
      </c>
      <c r="H530" s="85">
        <v>7850</v>
      </c>
      <c r="I530" s="85">
        <f t="shared" si="64"/>
        <v>0.37767646612317313</v>
      </c>
      <c r="J530" s="87">
        <v>1</v>
      </c>
      <c r="K530" s="95">
        <f t="shared" si="65"/>
        <v>2.647768896656288</v>
      </c>
    </row>
    <row r="531" spans="1:11" hidden="1" x14ac:dyDescent="0.25">
      <c r="A531" t="str">
        <f t="shared" si="63"/>
        <v>100CrMn6Ø45,125</v>
      </c>
      <c r="B531" s="81" t="s">
        <v>316</v>
      </c>
      <c r="D531" s="86">
        <v>45.125</v>
      </c>
      <c r="E531" s="85">
        <f t="shared" si="60"/>
        <v>4.5124999999999998E-2</v>
      </c>
      <c r="F531" s="85">
        <f t="shared" si="61"/>
        <v>2.2562499999999999E-2</v>
      </c>
      <c r="G531" s="85">
        <f t="shared" si="62"/>
        <v>4.8111651735436067E-5</v>
      </c>
      <c r="H531" s="85">
        <v>7850</v>
      </c>
      <c r="I531" s="85">
        <f t="shared" si="64"/>
        <v>0.37767646612317313</v>
      </c>
      <c r="J531" s="87">
        <v>1</v>
      </c>
      <c r="K531" s="88">
        <f t="shared" si="65"/>
        <v>2.647768896656288</v>
      </c>
    </row>
    <row r="532" spans="1:11" hidden="1" x14ac:dyDescent="0.25">
      <c r="A532" t="str">
        <f t="shared" si="63"/>
        <v>ZrO2Ø0,5</v>
      </c>
      <c r="B532" s="81" t="s">
        <v>205</v>
      </c>
      <c r="D532" s="86">
        <v>0.5</v>
      </c>
      <c r="E532" s="85">
        <f t="shared" si="60"/>
        <v>5.0000000000000001E-4</v>
      </c>
      <c r="F532" s="85">
        <f t="shared" si="61"/>
        <v>2.5000000000000001E-4</v>
      </c>
      <c r="G532" s="85">
        <f t="shared" si="62"/>
        <v>6.5449846949787358E-11</v>
      </c>
      <c r="H532" s="85">
        <v>6000</v>
      </c>
      <c r="I532" s="85">
        <f t="shared" si="64"/>
        <v>3.9269908169872417E-7</v>
      </c>
      <c r="J532" s="87">
        <v>1</v>
      </c>
      <c r="K532" s="88">
        <f t="shared" si="65"/>
        <v>2546479.0894703255</v>
      </c>
    </row>
    <row r="533" spans="1:11" hidden="1" x14ac:dyDescent="0.25">
      <c r="A533" t="str">
        <f t="shared" si="63"/>
        <v>ZrO2Ø0,5</v>
      </c>
      <c r="B533" s="81" t="s">
        <v>205</v>
      </c>
      <c r="D533" s="86">
        <v>0.5</v>
      </c>
      <c r="E533" s="85">
        <f t="shared" si="60"/>
        <v>5.0000000000000001E-4</v>
      </c>
      <c r="F533" s="85">
        <f t="shared" si="61"/>
        <v>2.5000000000000001E-4</v>
      </c>
      <c r="G533" s="85">
        <f t="shared" si="62"/>
        <v>6.5449846949787358E-11</v>
      </c>
      <c r="H533" s="85">
        <v>6000</v>
      </c>
      <c r="I533" s="85">
        <f t="shared" si="64"/>
        <v>3.9269908169872417E-7</v>
      </c>
      <c r="J533" s="87">
        <v>1</v>
      </c>
      <c r="K533" s="88">
        <f t="shared" si="65"/>
        <v>2546479.0894703255</v>
      </c>
    </row>
    <row r="534" spans="1:11" hidden="1" x14ac:dyDescent="0.25">
      <c r="A534" t="str">
        <f t="shared" si="63"/>
        <v>ZrO2Ø1</v>
      </c>
      <c r="B534" s="81" t="s">
        <v>205</v>
      </c>
      <c r="D534" s="86">
        <v>1</v>
      </c>
      <c r="E534" s="85">
        <f t="shared" si="60"/>
        <v>1E-3</v>
      </c>
      <c r="F534" s="85">
        <f t="shared" si="61"/>
        <v>5.0000000000000001E-4</v>
      </c>
      <c r="G534" s="85">
        <f t="shared" si="62"/>
        <v>5.2359877559829886E-10</v>
      </c>
      <c r="H534" s="85">
        <v>6000</v>
      </c>
      <c r="I534" s="85">
        <f t="shared" si="64"/>
        <v>3.1415926535897933E-6</v>
      </c>
      <c r="J534" s="87">
        <v>1</v>
      </c>
      <c r="K534" s="88">
        <f t="shared" si="65"/>
        <v>318309.88618379069</v>
      </c>
    </row>
    <row r="535" spans="1:11" hidden="1" x14ac:dyDescent="0.25">
      <c r="A535" t="str">
        <f t="shared" si="63"/>
        <v>ZrO2Ø1</v>
      </c>
      <c r="B535" s="81" t="s">
        <v>205</v>
      </c>
      <c r="D535" s="86">
        <v>1</v>
      </c>
      <c r="E535" s="85">
        <f t="shared" si="60"/>
        <v>1E-3</v>
      </c>
      <c r="F535" s="85">
        <f t="shared" si="61"/>
        <v>5.0000000000000001E-4</v>
      </c>
      <c r="G535" s="85">
        <f t="shared" si="62"/>
        <v>5.2359877559829886E-10</v>
      </c>
      <c r="H535" s="85">
        <v>6000</v>
      </c>
      <c r="I535" s="85">
        <f t="shared" si="64"/>
        <v>3.1415926535897933E-6</v>
      </c>
      <c r="J535" s="87">
        <v>1</v>
      </c>
      <c r="K535" s="88">
        <f t="shared" si="65"/>
        <v>318309.88618379069</v>
      </c>
    </row>
    <row r="536" spans="1:11" hidden="1" x14ac:dyDescent="0.25">
      <c r="A536" t="str">
        <f t="shared" si="63"/>
        <v>ZrO2Ø1,5</v>
      </c>
      <c r="B536" s="81" t="s">
        <v>205</v>
      </c>
      <c r="D536" s="86">
        <v>1.5</v>
      </c>
      <c r="E536" s="85">
        <f t="shared" si="60"/>
        <v>1.5E-3</v>
      </c>
      <c r="F536" s="85">
        <f t="shared" si="61"/>
        <v>7.5000000000000002E-4</v>
      </c>
      <c r="G536" s="85">
        <f t="shared" si="62"/>
        <v>1.7671458676442585E-9</v>
      </c>
      <c r="H536" s="85">
        <v>6000</v>
      </c>
      <c r="I536" s="85">
        <f t="shared" si="64"/>
        <v>1.0602875205865552E-5</v>
      </c>
      <c r="J536" s="87">
        <v>1</v>
      </c>
      <c r="K536" s="88">
        <f t="shared" si="65"/>
        <v>94314.040350752795</v>
      </c>
    </row>
    <row r="537" spans="1:11" hidden="1" x14ac:dyDescent="0.25">
      <c r="A537" t="str">
        <f t="shared" si="63"/>
        <v>ZrO2Ø1,5</v>
      </c>
      <c r="B537" s="81" t="s">
        <v>205</v>
      </c>
      <c r="D537" s="86">
        <v>1.5</v>
      </c>
      <c r="E537" s="85">
        <f t="shared" si="60"/>
        <v>1.5E-3</v>
      </c>
      <c r="F537" s="85">
        <f t="shared" si="61"/>
        <v>7.5000000000000002E-4</v>
      </c>
      <c r="G537" s="85">
        <f t="shared" si="62"/>
        <v>1.7671458676442585E-9</v>
      </c>
      <c r="H537" s="85">
        <v>6000</v>
      </c>
      <c r="I537" s="85">
        <f t="shared" si="64"/>
        <v>1.0602875205865552E-5</v>
      </c>
      <c r="J537" s="87">
        <v>1</v>
      </c>
      <c r="K537" s="88">
        <f t="shared" si="65"/>
        <v>94314.040350752795</v>
      </c>
    </row>
    <row r="538" spans="1:11" hidden="1" x14ac:dyDescent="0.25">
      <c r="A538" t="str">
        <f t="shared" si="63"/>
        <v>ZrO2Ø2</v>
      </c>
      <c r="B538" s="81" t="s">
        <v>205</v>
      </c>
      <c r="D538" s="86">
        <v>2</v>
      </c>
      <c r="E538" s="85">
        <f t="shared" si="60"/>
        <v>2E-3</v>
      </c>
      <c r="F538" s="85">
        <f t="shared" si="61"/>
        <v>1E-3</v>
      </c>
      <c r="G538" s="85">
        <f t="shared" si="62"/>
        <v>4.1887902047863909E-9</v>
      </c>
      <c r="H538" s="85">
        <v>6000</v>
      </c>
      <c r="I538" s="85">
        <f t="shared" si="64"/>
        <v>2.5132741228718347E-5</v>
      </c>
      <c r="J538" s="87">
        <v>1</v>
      </c>
      <c r="K538" s="88">
        <f t="shared" si="65"/>
        <v>39788.735772973836</v>
      </c>
    </row>
    <row r="539" spans="1:11" hidden="1" x14ac:dyDescent="0.25">
      <c r="A539" t="str">
        <f t="shared" si="63"/>
        <v>ZrO2Ø2</v>
      </c>
      <c r="B539" s="81" t="s">
        <v>205</v>
      </c>
      <c r="D539" s="86">
        <v>2</v>
      </c>
      <c r="E539" s="85">
        <f t="shared" si="60"/>
        <v>2E-3</v>
      </c>
      <c r="F539" s="85">
        <f t="shared" si="61"/>
        <v>1E-3</v>
      </c>
      <c r="G539" s="85">
        <f t="shared" si="62"/>
        <v>4.1887902047863909E-9</v>
      </c>
      <c r="H539" s="85">
        <v>6000</v>
      </c>
      <c r="I539" s="85">
        <f t="shared" si="64"/>
        <v>2.5132741228718347E-5</v>
      </c>
      <c r="J539" s="87">
        <v>1</v>
      </c>
      <c r="K539" s="88">
        <f t="shared" si="65"/>
        <v>39788.735772973836</v>
      </c>
    </row>
    <row r="540" spans="1:11" hidden="1" x14ac:dyDescent="0.25">
      <c r="A540" t="str">
        <f t="shared" si="63"/>
        <v>ZrO2Ø2,5</v>
      </c>
      <c r="B540" s="81" t="s">
        <v>205</v>
      </c>
      <c r="D540" s="86">
        <v>2.5</v>
      </c>
      <c r="E540" s="85">
        <f t="shared" si="60"/>
        <v>2.5000000000000001E-3</v>
      </c>
      <c r="F540" s="85">
        <f t="shared" si="61"/>
        <v>1.25E-3</v>
      </c>
      <c r="G540" s="85">
        <f t="shared" si="62"/>
        <v>8.181230868723419E-9</v>
      </c>
      <c r="H540" s="85">
        <v>6000</v>
      </c>
      <c r="I540" s="85">
        <f t="shared" si="64"/>
        <v>4.9087385212340514E-5</v>
      </c>
      <c r="J540" s="87">
        <v>1</v>
      </c>
      <c r="K540" s="88">
        <f t="shared" si="65"/>
        <v>20371.832715762604</v>
      </c>
    </row>
    <row r="541" spans="1:11" hidden="1" x14ac:dyDescent="0.25">
      <c r="A541" t="str">
        <f t="shared" si="63"/>
        <v>ZrO2Ø2,5</v>
      </c>
      <c r="B541" s="81" t="s">
        <v>205</v>
      </c>
      <c r="D541" s="86">
        <v>2.5</v>
      </c>
      <c r="E541" s="85">
        <f t="shared" si="60"/>
        <v>2.5000000000000001E-3</v>
      </c>
      <c r="F541" s="85">
        <f t="shared" si="61"/>
        <v>1.25E-3</v>
      </c>
      <c r="G541" s="85">
        <f t="shared" si="62"/>
        <v>8.181230868723419E-9</v>
      </c>
      <c r="H541" s="85">
        <v>6000</v>
      </c>
      <c r="I541" s="85">
        <f t="shared" si="64"/>
        <v>4.9087385212340514E-5</v>
      </c>
      <c r="J541" s="87">
        <v>1</v>
      </c>
      <c r="K541" s="88">
        <f t="shared" si="65"/>
        <v>20371.832715762604</v>
      </c>
    </row>
    <row r="542" spans="1:11" hidden="1" x14ac:dyDescent="0.25">
      <c r="A542" t="str">
        <f t="shared" si="63"/>
        <v>ZrO2Ø3</v>
      </c>
      <c r="B542" s="81" t="s">
        <v>205</v>
      </c>
      <c r="D542" s="86">
        <v>3</v>
      </c>
      <c r="E542" s="85">
        <f t="shared" si="60"/>
        <v>3.0000000000000001E-3</v>
      </c>
      <c r="F542" s="85">
        <f t="shared" si="61"/>
        <v>1.5E-3</v>
      </c>
      <c r="G542" s="85">
        <f t="shared" si="62"/>
        <v>1.4137166941154068E-8</v>
      </c>
      <c r="H542" s="85">
        <v>6000</v>
      </c>
      <c r="I542" s="85">
        <f t="shared" si="64"/>
        <v>8.4823001646924416E-5</v>
      </c>
      <c r="J542" s="87">
        <v>1</v>
      </c>
      <c r="K542" s="88">
        <f t="shared" si="65"/>
        <v>11789.255043844099</v>
      </c>
    </row>
    <row r="543" spans="1:11" hidden="1" x14ac:dyDescent="0.25">
      <c r="A543" t="str">
        <f t="shared" si="63"/>
        <v>ZrO2Ø3</v>
      </c>
      <c r="B543" s="81" t="s">
        <v>205</v>
      </c>
      <c r="D543" s="86">
        <v>3</v>
      </c>
      <c r="E543" s="85">
        <f t="shared" si="60"/>
        <v>3.0000000000000001E-3</v>
      </c>
      <c r="F543" s="85">
        <f t="shared" si="61"/>
        <v>1.5E-3</v>
      </c>
      <c r="G543" s="85">
        <f t="shared" si="62"/>
        <v>1.4137166941154068E-8</v>
      </c>
      <c r="H543" s="85">
        <v>6000</v>
      </c>
      <c r="I543" s="85">
        <f t="shared" si="64"/>
        <v>8.4823001646924416E-5</v>
      </c>
      <c r="J543" s="87">
        <v>1</v>
      </c>
      <c r="K543" s="88">
        <f t="shared" si="65"/>
        <v>11789.255043844099</v>
      </c>
    </row>
    <row r="544" spans="1:11" hidden="1" x14ac:dyDescent="0.25">
      <c r="A544" t="str">
        <f t="shared" si="63"/>
        <v>POMØ14,2875</v>
      </c>
      <c r="B544" s="81" t="s">
        <v>201</v>
      </c>
      <c r="C544" s="101" t="s">
        <v>268</v>
      </c>
      <c r="D544" s="86">
        <f>9/16*25.4</f>
        <v>14.2875</v>
      </c>
      <c r="E544" s="85">
        <f t="shared" si="60"/>
        <v>1.42875E-2</v>
      </c>
      <c r="F544" s="85">
        <f t="shared" si="61"/>
        <v>7.1437499999999999E-3</v>
      </c>
      <c r="G544" s="85">
        <f t="shared" si="62"/>
        <v>1.5270995617605347E-6</v>
      </c>
      <c r="H544" s="85">
        <v>1400</v>
      </c>
      <c r="I544" s="85">
        <f t="shared" si="64"/>
        <v>2.1379393864647488E-3</v>
      </c>
      <c r="J544" s="87">
        <v>1</v>
      </c>
      <c r="K544" s="88">
        <f t="shared" si="65"/>
        <v>467.74010822335742</v>
      </c>
    </row>
    <row r="545" spans="1:11" hidden="1" x14ac:dyDescent="0.25">
      <c r="A545" t="str">
        <f t="shared" si="63"/>
        <v>OttoneØ3,5</v>
      </c>
      <c r="B545" s="81" t="s">
        <v>216</v>
      </c>
      <c r="D545" s="86">
        <v>3.5</v>
      </c>
      <c r="E545" s="85">
        <f t="shared" si="60"/>
        <v>3.5000000000000001E-3</v>
      </c>
      <c r="F545" s="85">
        <f t="shared" si="61"/>
        <v>1.75E-3</v>
      </c>
      <c r="G545" s="85">
        <f t="shared" si="62"/>
        <v>2.2449297503777064E-8</v>
      </c>
      <c r="H545" s="85">
        <v>8470</v>
      </c>
      <c r="I545" s="85">
        <f t="shared" si="64"/>
        <v>1.9014554985699174E-4</v>
      </c>
      <c r="J545" s="87">
        <v>1</v>
      </c>
      <c r="K545" s="88">
        <f t="shared" si="65"/>
        <v>5259.1291289861838</v>
      </c>
    </row>
    <row r="546" spans="1:11" hidden="1" x14ac:dyDescent="0.25">
      <c r="A546" t="str">
        <f t="shared" si="63"/>
        <v>420CØ1,8</v>
      </c>
      <c r="B546" s="81" t="s">
        <v>295</v>
      </c>
      <c r="D546" s="86">
        <v>1.8</v>
      </c>
      <c r="E546" s="85">
        <f t="shared" si="60"/>
        <v>1.8E-3</v>
      </c>
      <c r="F546" s="85">
        <f t="shared" si="61"/>
        <v>8.9999999999999998E-4</v>
      </c>
      <c r="G546" s="85">
        <f t="shared" si="62"/>
        <v>3.0536280592892781E-9</v>
      </c>
      <c r="H546" s="85">
        <v>7700</v>
      </c>
      <c r="I546" s="85">
        <f t="shared" si="64"/>
        <v>2.351293605652744E-5</v>
      </c>
      <c r="J546" s="87">
        <v>1</v>
      </c>
      <c r="K546" s="88">
        <f t="shared" si="65"/>
        <v>42529.780100447701</v>
      </c>
    </row>
    <row r="547" spans="1:11" hidden="1" x14ac:dyDescent="0.25">
      <c r="A547" t="str">
        <f t="shared" si="63"/>
        <v>VESCØ3</v>
      </c>
      <c r="B547" s="81" t="s">
        <v>210</v>
      </c>
      <c r="D547" s="86">
        <v>3</v>
      </c>
      <c r="E547" s="85">
        <f t="shared" si="60"/>
        <v>3.0000000000000001E-3</v>
      </c>
      <c r="F547" s="85">
        <f t="shared" si="61"/>
        <v>1.5E-3</v>
      </c>
      <c r="G547" s="85">
        <f t="shared" si="62"/>
        <v>1.4137166941154068E-8</v>
      </c>
      <c r="H547" s="85">
        <v>2500</v>
      </c>
      <c r="I547" s="85">
        <f t="shared" si="64"/>
        <v>3.5342917352885171E-5</v>
      </c>
      <c r="J547" s="87">
        <v>1</v>
      </c>
      <c r="K547" s="88">
        <f t="shared" si="65"/>
        <v>28294.212105225841</v>
      </c>
    </row>
    <row r="548" spans="1:11" hidden="1" x14ac:dyDescent="0.25">
      <c r="A548" t="str">
        <f t="shared" si="63"/>
        <v>52100Ø14,59</v>
      </c>
      <c r="B548" s="81">
        <v>52100</v>
      </c>
      <c r="D548" s="86">
        <v>14.59</v>
      </c>
      <c r="E548" s="85">
        <f t="shared" si="60"/>
        <v>1.4590000000000001E-2</v>
      </c>
      <c r="F548" s="85">
        <f t="shared" si="61"/>
        <v>7.2950000000000003E-3</v>
      </c>
      <c r="G548" s="85">
        <f t="shared" si="62"/>
        <v>1.6261645824842299E-6</v>
      </c>
      <c r="H548" s="85">
        <v>7800</v>
      </c>
      <c r="I548" s="85">
        <f t="shared" si="64"/>
        <v>1.2684083743376994E-2</v>
      </c>
      <c r="J548" s="87">
        <v>1</v>
      </c>
      <c r="K548" s="94">
        <f t="shared" si="65"/>
        <v>78.83896229573152</v>
      </c>
    </row>
    <row r="549" spans="1:11" hidden="1" x14ac:dyDescent="0.25">
      <c r="A549" t="str">
        <f t="shared" si="63"/>
        <v>52100Ø14,6</v>
      </c>
      <c r="B549" s="81">
        <v>52100</v>
      </c>
      <c r="D549" s="86">
        <v>14.6</v>
      </c>
      <c r="E549" s="85">
        <f t="shared" si="60"/>
        <v>1.46E-2</v>
      </c>
      <c r="F549" s="85">
        <f t="shared" si="61"/>
        <v>7.3000000000000001E-3</v>
      </c>
      <c r="G549" s="85">
        <f t="shared" si="62"/>
        <v>1.6295105990953872E-6</v>
      </c>
      <c r="H549" s="85">
        <v>7800</v>
      </c>
      <c r="I549" s="85">
        <f>H549*G549</f>
        <v>1.271018267294402E-2</v>
      </c>
      <c r="J549" s="87">
        <v>1</v>
      </c>
      <c r="K549" s="94">
        <f>J549/I549</f>
        <v>78.677075360111488</v>
      </c>
    </row>
    <row r="550" spans="1:11" hidden="1" x14ac:dyDescent="0.25">
      <c r="A550" t="str">
        <f t="shared" si="63"/>
        <v>52100Ø14,61</v>
      </c>
      <c r="B550" s="81">
        <v>52100</v>
      </c>
      <c r="D550" s="86">
        <v>14.61</v>
      </c>
      <c r="E550" s="85">
        <f t="shared" si="60"/>
        <v>1.461E-2</v>
      </c>
      <c r="F550" s="85">
        <f t="shared" si="61"/>
        <v>7.3049999999999999E-3</v>
      </c>
      <c r="G550" s="85">
        <f t="shared" si="62"/>
        <v>1.632861202431819E-6</v>
      </c>
      <c r="H550" s="85">
        <v>7800</v>
      </c>
      <c r="I550" s="85">
        <f t="shared" ref="I550:I613" si="66">H550*G550</f>
        <v>1.2736317378968189E-2</v>
      </c>
      <c r="J550" s="87">
        <v>1</v>
      </c>
      <c r="K550" s="94">
        <f t="shared" ref="K550:K613" si="67">J550/I550</f>
        <v>78.515631343431025</v>
      </c>
    </row>
    <row r="551" spans="1:11" hidden="1" x14ac:dyDescent="0.25">
      <c r="A551" t="str">
        <f t="shared" si="63"/>
        <v>304Ø22</v>
      </c>
      <c r="B551" s="81">
        <v>304</v>
      </c>
      <c r="D551" s="86">
        <v>22</v>
      </c>
      <c r="E551" s="85">
        <f t="shared" si="60"/>
        <v>2.1999999999999999E-2</v>
      </c>
      <c r="F551" s="85">
        <f t="shared" si="61"/>
        <v>1.0999999999999999E-2</v>
      </c>
      <c r="G551" s="85">
        <f t="shared" si="62"/>
        <v>5.5752797625706841E-6</v>
      </c>
      <c r="H551" s="85">
        <v>7950</v>
      </c>
      <c r="I551" s="85">
        <f t="shared" si="66"/>
        <v>4.4323474112436936E-2</v>
      </c>
      <c r="J551" s="87">
        <v>1</v>
      </c>
      <c r="K551" s="88">
        <f t="shared" si="67"/>
        <v>22.561408373884781</v>
      </c>
    </row>
    <row r="552" spans="1:11" hidden="1" x14ac:dyDescent="0.25">
      <c r="A552" t="str">
        <f t="shared" si="63"/>
        <v>52100Ø18,24625</v>
      </c>
      <c r="B552" s="81">
        <v>52100</v>
      </c>
      <c r="C552" s="101" t="s">
        <v>317</v>
      </c>
      <c r="D552" s="86">
        <f>23/32*25.4-0.01</f>
        <v>18.246249999999996</v>
      </c>
      <c r="E552" s="85">
        <f t="shared" si="60"/>
        <v>1.8246249999999995E-2</v>
      </c>
      <c r="F552" s="85">
        <f t="shared" si="61"/>
        <v>9.1231249999999976E-3</v>
      </c>
      <c r="G552" s="85">
        <f t="shared" si="62"/>
        <v>3.1806763918922407E-6</v>
      </c>
      <c r="H552" s="85">
        <v>7800</v>
      </c>
      <c r="I552" s="85">
        <f t="shared" si="66"/>
        <v>2.4809275856759478E-2</v>
      </c>
      <c r="J552" s="87">
        <v>1</v>
      </c>
      <c r="K552" s="94">
        <f t="shared" si="67"/>
        <v>40.307504571018839</v>
      </c>
    </row>
    <row r="553" spans="1:11" hidden="1" x14ac:dyDescent="0.25">
      <c r="A553" t="str">
        <f t="shared" si="63"/>
        <v>52100Ø18,26625</v>
      </c>
      <c r="B553" s="81">
        <v>52100</v>
      </c>
      <c r="C553" s="101" t="s">
        <v>318</v>
      </c>
      <c r="D553" s="86">
        <f>23/32*25.4+0.01</f>
        <v>18.266249999999999</v>
      </c>
      <c r="E553" s="85">
        <f t="shared" si="60"/>
        <v>1.8266249999999998E-2</v>
      </c>
      <c r="F553" s="85">
        <f t="shared" si="61"/>
        <v>9.1331249999999989E-3</v>
      </c>
      <c r="G553" s="85">
        <f t="shared" si="62"/>
        <v>3.1911470279567278E-6</v>
      </c>
      <c r="H553" s="85">
        <v>7800</v>
      </c>
      <c r="I553" s="85">
        <f t="shared" si="66"/>
        <v>2.4890946818062476E-2</v>
      </c>
      <c r="J553" s="87">
        <v>1</v>
      </c>
      <c r="K553" s="94">
        <f t="shared" si="67"/>
        <v>40.175249551950976</v>
      </c>
    </row>
    <row r="554" spans="1:11" hidden="1" x14ac:dyDescent="0.25">
      <c r="A554" t="str">
        <f t="shared" si="63"/>
        <v>52100Ø17,4525</v>
      </c>
      <c r="B554" s="81">
        <v>52100</v>
      </c>
      <c r="C554" s="101" t="s">
        <v>319</v>
      </c>
      <c r="D554" s="86">
        <f>11/16*25.4-0.01</f>
        <v>17.452499999999997</v>
      </c>
      <c r="E554" s="85">
        <f t="shared" si="60"/>
        <v>1.7452499999999996E-2</v>
      </c>
      <c r="F554" s="85">
        <f t="shared" si="61"/>
        <v>8.7262499999999979E-3</v>
      </c>
      <c r="G554" s="85">
        <f t="shared" si="62"/>
        <v>2.7833739759519393E-6</v>
      </c>
      <c r="H554" s="85">
        <v>7800</v>
      </c>
      <c r="I554" s="85">
        <f t="shared" si="66"/>
        <v>2.1710317012425127E-2</v>
      </c>
      <c r="J554" s="87">
        <v>1</v>
      </c>
      <c r="K554" s="94">
        <f t="shared" si="67"/>
        <v>46.061050118599631</v>
      </c>
    </row>
    <row r="555" spans="1:11" hidden="1" x14ac:dyDescent="0.25">
      <c r="A555" t="str">
        <f t="shared" si="63"/>
        <v>52100Ø17,4725</v>
      </c>
      <c r="B555" s="81">
        <v>52100</v>
      </c>
      <c r="C555" s="101" t="s">
        <v>320</v>
      </c>
      <c r="D555" s="86">
        <f>11/16*25.4+0.01</f>
        <v>17.4725</v>
      </c>
      <c r="E555" s="85">
        <f t="shared" si="60"/>
        <v>1.7472499999999998E-2</v>
      </c>
      <c r="F555" s="85">
        <f t="shared" si="61"/>
        <v>8.7362499999999992E-3</v>
      </c>
      <c r="G555" s="85">
        <f t="shared" si="62"/>
        <v>2.7929539152758253E-6</v>
      </c>
      <c r="H555" s="85">
        <v>7800</v>
      </c>
      <c r="I555" s="85">
        <f t="shared" si="66"/>
        <v>2.1785040539151437E-2</v>
      </c>
      <c r="J555" s="87">
        <v>1</v>
      </c>
      <c r="K555" s="94">
        <f t="shared" si="67"/>
        <v>45.903058945556204</v>
      </c>
    </row>
    <row r="556" spans="1:11" hidden="1" x14ac:dyDescent="0.25">
      <c r="A556" t="str">
        <f t="shared" si="63"/>
        <v>316Ø0,5</v>
      </c>
      <c r="B556" s="81">
        <v>316</v>
      </c>
      <c r="D556" s="86">
        <v>0.5</v>
      </c>
      <c r="E556" s="85">
        <f t="shared" si="60"/>
        <v>5.0000000000000001E-4</v>
      </c>
      <c r="F556" s="85">
        <f t="shared" si="61"/>
        <v>2.5000000000000001E-4</v>
      </c>
      <c r="G556" s="85">
        <f t="shared" si="62"/>
        <v>6.5449846949787358E-11</v>
      </c>
      <c r="H556" s="85">
        <v>7950</v>
      </c>
      <c r="I556" s="85">
        <f t="shared" si="66"/>
        <v>5.2032628325080949E-7</v>
      </c>
      <c r="J556" s="87">
        <v>1</v>
      </c>
      <c r="K556" s="88">
        <f t="shared" si="67"/>
        <v>1921871.0109210003</v>
      </c>
    </row>
    <row r="557" spans="1:11" hidden="1" x14ac:dyDescent="0.25">
      <c r="A557" t="str">
        <f t="shared" si="63"/>
        <v>316Ø1</v>
      </c>
      <c r="B557" s="81">
        <v>316</v>
      </c>
      <c r="D557" s="86">
        <v>1</v>
      </c>
      <c r="E557" s="85">
        <f t="shared" si="60"/>
        <v>1E-3</v>
      </c>
      <c r="F557" s="85">
        <f t="shared" si="61"/>
        <v>5.0000000000000001E-4</v>
      </c>
      <c r="G557" s="85">
        <f t="shared" si="62"/>
        <v>5.2359877559829886E-10</v>
      </c>
      <c r="H557" s="85">
        <v>7950</v>
      </c>
      <c r="I557" s="85">
        <f t="shared" si="66"/>
        <v>4.1626102660064759E-6</v>
      </c>
      <c r="J557" s="87">
        <v>1</v>
      </c>
      <c r="K557" s="88">
        <f t="shared" si="67"/>
        <v>240233.87636512503</v>
      </c>
    </row>
    <row r="558" spans="1:11" hidden="1" x14ac:dyDescent="0.25">
      <c r="A558" t="str">
        <f t="shared" si="63"/>
        <v>316Ø1,5</v>
      </c>
      <c r="B558" s="81">
        <v>316</v>
      </c>
      <c r="D558" s="86">
        <v>1.5</v>
      </c>
      <c r="E558" s="85">
        <f t="shared" si="60"/>
        <v>1.5E-3</v>
      </c>
      <c r="F558" s="85">
        <f t="shared" si="61"/>
        <v>7.5000000000000002E-4</v>
      </c>
      <c r="G558" s="85">
        <f t="shared" si="62"/>
        <v>1.7671458676442585E-9</v>
      </c>
      <c r="H558" s="85">
        <v>7950</v>
      </c>
      <c r="I558" s="85">
        <f t="shared" si="66"/>
        <v>1.4048809647771855E-5</v>
      </c>
      <c r="J558" s="87">
        <v>1</v>
      </c>
      <c r="K558" s="88">
        <f t="shared" si="67"/>
        <v>71180.407811888916</v>
      </c>
    </row>
    <row r="559" spans="1:11" hidden="1" x14ac:dyDescent="0.25">
      <c r="A559" t="str">
        <f t="shared" si="63"/>
        <v>440CØ1</v>
      </c>
      <c r="B559" s="81" t="s">
        <v>314</v>
      </c>
      <c r="D559" s="86">
        <v>1</v>
      </c>
      <c r="E559" s="85">
        <f t="shared" si="60"/>
        <v>1E-3</v>
      </c>
      <c r="F559" s="85">
        <f t="shared" si="61"/>
        <v>5.0000000000000001E-4</v>
      </c>
      <c r="G559" s="85">
        <f t="shared" si="62"/>
        <v>5.2359877559829886E-10</v>
      </c>
      <c r="H559" s="85">
        <v>7750</v>
      </c>
      <c r="I559" s="85">
        <f t="shared" si="66"/>
        <v>4.0578905108868158E-6</v>
      </c>
      <c r="J559" s="87">
        <v>1</v>
      </c>
      <c r="K559" s="88">
        <f t="shared" si="67"/>
        <v>246433.46027132185</v>
      </c>
    </row>
    <row r="560" spans="1:11" hidden="1" x14ac:dyDescent="0.25">
      <c r="A560" t="str">
        <f t="shared" si="63"/>
        <v>440CØ1</v>
      </c>
      <c r="B560" s="81" t="s">
        <v>314</v>
      </c>
      <c r="D560" s="86">
        <v>1</v>
      </c>
      <c r="E560" s="85">
        <f t="shared" si="60"/>
        <v>1E-3</v>
      </c>
      <c r="F560" s="85">
        <f t="shared" si="61"/>
        <v>5.0000000000000001E-4</v>
      </c>
      <c r="G560" s="85">
        <f t="shared" si="62"/>
        <v>5.2359877559829886E-10</v>
      </c>
      <c r="H560" s="88">
        <v>7544.4130674269145</v>
      </c>
      <c r="I560" s="85">
        <f t="shared" si="66"/>
        <v>3.9502454447125385E-6</v>
      </c>
      <c r="J560" s="87">
        <v>1</v>
      </c>
      <c r="K560" s="88">
        <f t="shared" si="67"/>
        <v>253148.82682505582</v>
      </c>
    </row>
    <row r="561" spans="1:11" hidden="1" x14ac:dyDescent="0.25">
      <c r="A561" t="str">
        <f t="shared" si="63"/>
        <v>440CØ1</v>
      </c>
      <c r="B561" s="81" t="s">
        <v>314</v>
      </c>
      <c r="D561" s="86">
        <v>1</v>
      </c>
      <c r="E561" s="85">
        <f t="shared" ref="E561:E624" si="68">D561/1000</f>
        <v>1E-3</v>
      </c>
      <c r="F561" s="85">
        <f t="shared" ref="F561:F624" si="69">E561/2</f>
        <v>5.0000000000000001E-4</v>
      </c>
      <c r="G561" s="85">
        <f t="shared" ref="G561:G624" si="70">4/3*PI()*F561*F561*F561</f>
        <v>5.2359877559829886E-10</v>
      </c>
      <c r="H561" s="85">
        <v>7750</v>
      </c>
      <c r="I561" s="85">
        <f t="shared" si="66"/>
        <v>4.0578905108868158E-6</v>
      </c>
      <c r="J561" s="87">
        <v>1</v>
      </c>
      <c r="K561" s="88">
        <f t="shared" si="67"/>
        <v>246433.46027132185</v>
      </c>
    </row>
    <row r="562" spans="1:11" hidden="1" x14ac:dyDescent="0.25">
      <c r="A562" t="str">
        <f t="shared" si="63"/>
        <v>440CØ1</v>
      </c>
      <c r="B562" s="81" t="s">
        <v>314</v>
      </c>
      <c r="D562" s="86">
        <v>1</v>
      </c>
      <c r="E562" s="85">
        <f t="shared" si="68"/>
        <v>1E-3</v>
      </c>
      <c r="F562" s="85">
        <f t="shared" si="69"/>
        <v>5.0000000000000001E-4</v>
      </c>
      <c r="G562" s="85">
        <f t="shared" si="70"/>
        <v>5.2359877559829886E-10</v>
      </c>
      <c r="H562" s="85">
        <v>7750</v>
      </c>
      <c r="I562" s="85">
        <f t="shared" si="66"/>
        <v>4.0578905108868158E-6</v>
      </c>
      <c r="J562" s="87">
        <v>1</v>
      </c>
      <c r="K562" s="88">
        <f t="shared" si="67"/>
        <v>246433.46027132185</v>
      </c>
    </row>
    <row r="563" spans="1:11" hidden="1" x14ac:dyDescent="0.25">
      <c r="A563" t="str">
        <f t="shared" si="63"/>
        <v>420CØ3,275</v>
      </c>
      <c r="B563" s="81" t="s">
        <v>295</v>
      </c>
      <c r="D563" s="86">
        <v>3.2749999999999999</v>
      </c>
      <c r="E563" s="85">
        <f t="shared" si="68"/>
        <v>3.2749999999999997E-3</v>
      </c>
      <c r="F563" s="85">
        <f t="shared" si="69"/>
        <v>1.6374999999999998E-3</v>
      </c>
      <c r="G563" s="85">
        <f t="shared" si="70"/>
        <v>1.8392151484899296E-8</v>
      </c>
      <c r="H563" s="85">
        <v>7700</v>
      </c>
      <c r="I563" s="85">
        <f t="shared" si="66"/>
        <v>1.4161956643372458E-4</v>
      </c>
      <c r="J563" s="87">
        <v>1</v>
      </c>
      <c r="K563" s="88">
        <f t="shared" si="67"/>
        <v>7061.1711727558641</v>
      </c>
    </row>
    <row r="564" spans="1:11" hidden="1" x14ac:dyDescent="0.25">
      <c r="A564" t="str">
        <f t="shared" si="63"/>
        <v>420CØ3,85</v>
      </c>
      <c r="B564" s="81" t="s">
        <v>295</v>
      </c>
      <c r="D564" s="86">
        <v>3.85</v>
      </c>
      <c r="E564" s="85">
        <f t="shared" si="68"/>
        <v>3.8500000000000001E-3</v>
      </c>
      <c r="F564" s="85">
        <f t="shared" si="69"/>
        <v>1.9250000000000001E-3</v>
      </c>
      <c r="G564" s="85">
        <f t="shared" si="70"/>
        <v>2.9880014977527271E-8</v>
      </c>
      <c r="H564" s="85">
        <v>7700</v>
      </c>
      <c r="I564" s="85">
        <f t="shared" si="66"/>
        <v>2.3007611532695999E-4</v>
      </c>
      <c r="J564" s="87">
        <v>1</v>
      </c>
      <c r="K564" s="88">
        <f t="shared" si="67"/>
        <v>4346.3877099059373</v>
      </c>
    </row>
    <row r="565" spans="1:11" hidden="1" x14ac:dyDescent="0.25">
      <c r="A565" t="str">
        <f t="shared" si="63"/>
        <v>420CØ3,9</v>
      </c>
      <c r="B565" s="81" t="s">
        <v>295</v>
      </c>
      <c r="D565" s="86">
        <v>3.9</v>
      </c>
      <c r="E565" s="85">
        <f t="shared" si="68"/>
        <v>3.8999999999999998E-3</v>
      </c>
      <c r="F565" s="85">
        <f t="shared" si="69"/>
        <v>1.9499999999999999E-3</v>
      </c>
      <c r="G565" s="85">
        <f t="shared" si="70"/>
        <v>3.1059355769715486E-8</v>
      </c>
      <c r="H565" s="85">
        <v>7700</v>
      </c>
      <c r="I565" s="85">
        <f t="shared" si="66"/>
        <v>2.3915703942680924E-4</v>
      </c>
      <c r="J565" s="87">
        <v>1</v>
      </c>
      <c r="K565" s="88">
        <f t="shared" si="67"/>
        <v>4181.3529821104694</v>
      </c>
    </row>
    <row r="566" spans="1:11" hidden="1" x14ac:dyDescent="0.25">
      <c r="A566" t="str">
        <f t="shared" si="63"/>
        <v>420CØ4,2</v>
      </c>
      <c r="B566" s="81" t="s">
        <v>295</v>
      </c>
      <c r="D566" s="86">
        <v>4.2</v>
      </c>
      <c r="E566" s="85">
        <f t="shared" si="68"/>
        <v>4.2000000000000006E-3</v>
      </c>
      <c r="F566" s="85">
        <f t="shared" si="69"/>
        <v>2.1000000000000003E-3</v>
      </c>
      <c r="G566" s="85">
        <f t="shared" si="70"/>
        <v>3.8792386086526783E-8</v>
      </c>
      <c r="H566" s="85">
        <v>7700</v>
      </c>
      <c r="I566" s="85">
        <f t="shared" si="66"/>
        <v>2.9870137286625622E-4</v>
      </c>
      <c r="J566" s="87">
        <v>1</v>
      </c>
      <c r="K566" s="88">
        <f t="shared" si="67"/>
        <v>3347.8252557203705</v>
      </c>
    </row>
    <row r="567" spans="1:11" hidden="1" x14ac:dyDescent="0.25">
      <c r="A567" t="str">
        <f t="shared" si="63"/>
        <v>VESCØ1</v>
      </c>
      <c r="B567" s="81" t="s">
        <v>210</v>
      </c>
      <c r="D567" s="86">
        <v>1</v>
      </c>
      <c r="E567" s="85">
        <f t="shared" si="68"/>
        <v>1E-3</v>
      </c>
      <c r="F567" s="85">
        <f t="shared" si="69"/>
        <v>5.0000000000000001E-4</v>
      </c>
      <c r="G567" s="85">
        <f t="shared" si="70"/>
        <v>5.2359877559829886E-10</v>
      </c>
      <c r="H567" s="85">
        <v>2500</v>
      </c>
      <c r="I567" s="85">
        <f t="shared" si="66"/>
        <v>1.3089969389957471E-6</v>
      </c>
      <c r="J567" s="87">
        <v>1</v>
      </c>
      <c r="K567" s="88">
        <f t="shared" si="67"/>
        <v>763943.72684109758</v>
      </c>
    </row>
    <row r="568" spans="1:11" hidden="1" x14ac:dyDescent="0.25">
      <c r="A568" t="str">
        <f t="shared" si="63"/>
        <v>52100Ø0,25</v>
      </c>
      <c r="B568" s="81">
        <v>52100</v>
      </c>
      <c r="D568" s="86">
        <v>0.25</v>
      </c>
      <c r="E568" s="85">
        <f t="shared" si="68"/>
        <v>2.5000000000000001E-4</v>
      </c>
      <c r="F568" s="85">
        <f t="shared" si="69"/>
        <v>1.25E-4</v>
      </c>
      <c r="G568" s="85">
        <f t="shared" si="70"/>
        <v>8.1812308687234197E-12</v>
      </c>
      <c r="H568" s="85">
        <v>7800</v>
      </c>
      <c r="I568" s="85">
        <f t="shared" si="66"/>
        <v>6.3813600776042676E-8</v>
      </c>
      <c r="J568" s="87">
        <v>1</v>
      </c>
      <c r="K568" s="88">
        <f t="shared" si="67"/>
        <v>15670640.550586618</v>
      </c>
    </row>
    <row r="569" spans="1:11" hidden="1" x14ac:dyDescent="0.25">
      <c r="A569" t="str">
        <f t="shared" si="63"/>
        <v>52100Ø0,25</v>
      </c>
      <c r="B569" s="81">
        <v>52100</v>
      </c>
      <c r="D569" s="86">
        <v>0.25</v>
      </c>
      <c r="E569" s="85">
        <f t="shared" si="68"/>
        <v>2.5000000000000001E-4</v>
      </c>
      <c r="F569" s="85">
        <f t="shared" si="69"/>
        <v>1.25E-4</v>
      </c>
      <c r="G569" s="85">
        <f t="shared" si="70"/>
        <v>8.1812308687234197E-12</v>
      </c>
      <c r="H569" s="85">
        <v>7800</v>
      </c>
      <c r="I569" s="85">
        <f t="shared" si="66"/>
        <v>6.3813600776042676E-8</v>
      </c>
      <c r="J569" s="87">
        <v>1</v>
      </c>
      <c r="K569" s="88">
        <f t="shared" si="67"/>
        <v>15670640.550586618</v>
      </c>
    </row>
    <row r="570" spans="1:11" hidden="1" x14ac:dyDescent="0.25">
      <c r="A570" t="str">
        <f t="shared" si="63"/>
        <v>52100Ø0,25</v>
      </c>
      <c r="B570" s="81">
        <v>52100</v>
      </c>
      <c r="D570" s="86">
        <v>0.25</v>
      </c>
      <c r="E570" s="85">
        <f t="shared" si="68"/>
        <v>2.5000000000000001E-4</v>
      </c>
      <c r="F570" s="85">
        <f t="shared" si="69"/>
        <v>1.25E-4</v>
      </c>
      <c r="G570" s="85">
        <f t="shared" si="70"/>
        <v>8.1812308687234197E-12</v>
      </c>
      <c r="H570" s="85">
        <v>7800</v>
      </c>
      <c r="I570" s="85">
        <f t="shared" si="66"/>
        <v>6.3813600776042676E-8</v>
      </c>
      <c r="J570" s="87">
        <v>1</v>
      </c>
      <c r="K570" s="88">
        <f t="shared" si="67"/>
        <v>15670640.550586618</v>
      </c>
    </row>
    <row r="571" spans="1:11" hidden="1" x14ac:dyDescent="0.25">
      <c r="A571" t="str">
        <f t="shared" si="63"/>
        <v>LDPEØ3</v>
      </c>
      <c r="B571" s="81" t="s">
        <v>321</v>
      </c>
      <c r="D571" s="86">
        <v>3</v>
      </c>
      <c r="E571" s="85">
        <f t="shared" si="68"/>
        <v>3.0000000000000001E-3</v>
      </c>
      <c r="F571" s="85">
        <f t="shared" si="69"/>
        <v>1.5E-3</v>
      </c>
      <c r="G571" s="85">
        <f t="shared" si="70"/>
        <v>1.4137166941154068E-8</v>
      </c>
      <c r="H571" s="85">
        <v>920</v>
      </c>
      <c r="I571" s="85">
        <f t="shared" si="66"/>
        <v>1.3006193585861743E-5</v>
      </c>
      <c r="J571" s="87">
        <v>1</v>
      </c>
      <c r="K571" s="88">
        <f t="shared" si="67"/>
        <v>76886.445938113699</v>
      </c>
    </row>
    <row r="572" spans="1:11" hidden="1" x14ac:dyDescent="0.25">
      <c r="A572" t="str">
        <f t="shared" si="63"/>
        <v>LDPEØ3,5</v>
      </c>
      <c r="B572" s="81" t="s">
        <v>321</v>
      </c>
      <c r="D572" s="86">
        <v>3.5</v>
      </c>
      <c r="E572" s="85">
        <f t="shared" si="68"/>
        <v>3.5000000000000001E-3</v>
      </c>
      <c r="F572" s="85">
        <f t="shared" si="69"/>
        <v>1.75E-3</v>
      </c>
      <c r="G572" s="85">
        <f t="shared" si="70"/>
        <v>2.2449297503777064E-8</v>
      </c>
      <c r="H572" s="85">
        <v>920</v>
      </c>
      <c r="I572" s="85">
        <f t="shared" si="66"/>
        <v>2.0653353703474899E-5</v>
      </c>
      <c r="J572" s="87">
        <v>1</v>
      </c>
      <c r="K572" s="88">
        <f t="shared" si="67"/>
        <v>48418.286654905416</v>
      </c>
    </row>
    <row r="573" spans="1:11" hidden="1" x14ac:dyDescent="0.25">
      <c r="A573" t="str">
        <f t="shared" si="63"/>
        <v>LDPEØ4</v>
      </c>
      <c r="B573" s="81" t="s">
        <v>321</v>
      </c>
      <c r="D573" s="86">
        <v>4</v>
      </c>
      <c r="E573" s="85">
        <f t="shared" si="68"/>
        <v>4.0000000000000001E-3</v>
      </c>
      <c r="F573" s="85">
        <f t="shared" si="69"/>
        <v>2E-3</v>
      </c>
      <c r="G573" s="85">
        <f t="shared" si="70"/>
        <v>3.3510321638291127E-8</v>
      </c>
      <c r="H573" s="85">
        <v>920</v>
      </c>
      <c r="I573" s="85">
        <f t="shared" si="66"/>
        <v>3.0829495907227838E-5</v>
      </c>
      <c r="J573" s="87">
        <v>1</v>
      </c>
      <c r="K573" s="88">
        <f t="shared" si="67"/>
        <v>32436.469380141712</v>
      </c>
    </row>
    <row r="574" spans="1:11" hidden="1" x14ac:dyDescent="0.25">
      <c r="A574" t="str">
        <f t="shared" si="63"/>
        <v>HDPEØ3</v>
      </c>
      <c r="B574" s="81" t="s">
        <v>322</v>
      </c>
      <c r="D574" s="86">
        <v>3</v>
      </c>
      <c r="E574" s="85">
        <f t="shared" si="68"/>
        <v>3.0000000000000001E-3</v>
      </c>
      <c r="F574" s="85">
        <f t="shared" si="69"/>
        <v>1.5E-3</v>
      </c>
      <c r="G574" s="85">
        <f t="shared" si="70"/>
        <v>1.4137166941154068E-8</v>
      </c>
      <c r="H574" s="85">
        <v>970</v>
      </c>
      <c r="I574" s="85">
        <f t="shared" si="66"/>
        <v>1.3713051932919446E-5</v>
      </c>
      <c r="J574" s="87">
        <v>1</v>
      </c>
      <c r="K574" s="88">
        <f t="shared" si="67"/>
        <v>72923.227075324336</v>
      </c>
    </row>
    <row r="575" spans="1:11" hidden="1" x14ac:dyDescent="0.25">
      <c r="A575" t="str">
        <f t="shared" si="63"/>
        <v>HDPEØ3,5</v>
      </c>
      <c r="B575" s="81" t="s">
        <v>322</v>
      </c>
      <c r="D575" s="86">
        <v>3.5</v>
      </c>
      <c r="E575" s="85">
        <f t="shared" si="68"/>
        <v>3.5000000000000001E-3</v>
      </c>
      <c r="F575" s="85">
        <f t="shared" si="69"/>
        <v>1.75E-3</v>
      </c>
      <c r="G575" s="85">
        <f t="shared" si="70"/>
        <v>2.2449297503777064E-8</v>
      </c>
      <c r="H575" s="85">
        <v>970</v>
      </c>
      <c r="I575" s="85">
        <f t="shared" si="66"/>
        <v>2.1775818578663753E-5</v>
      </c>
      <c r="J575" s="87">
        <v>1</v>
      </c>
      <c r="K575" s="88">
        <f t="shared" si="67"/>
        <v>45922.498683003068</v>
      </c>
    </row>
    <row r="576" spans="1:11" hidden="1" x14ac:dyDescent="0.25">
      <c r="A576" t="str">
        <f t="shared" si="63"/>
        <v>HDPEØ4</v>
      </c>
      <c r="B576" s="81" t="s">
        <v>322</v>
      </c>
      <c r="D576" s="86">
        <v>4</v>
      </c>
      <c r="E576" s="85">
        <f t="shared" si="68"/>
        <v>4.0000000000000001E-3</v>
      </c>
      <c r="F576" s="85">
        <f t="shared" si="69"/>
        <v>2E-3</v>
      </c>
      <c r="G576" s="85">
        <f t="shared" si="70"/>
        <v>3.3510321638291127E-8</v>
      </c>
      <c r="H576" s="85">
        <v>970</v>
      </c>
      <c r="I576" s="85">
        <f t="shared" si="66"/>
        <v>3.2505011989142394E-5</v>
      </c>
      <c r="J576" s="87">
        <v>1</v>
      </c>
      <c r="K576" s="88">
        <f t="shared" si="67"/>
        <v>30764.48642240245</v>
      </c>
    </row>
    <row r="577" spans="1:11" hidden="1" x14ac:dyDescent="0.25">
      <c r="A577" t="str">
        <f t="shared" si="63"/>
        <v>52100Ø14,6</v>
      </c>
      <c r="B577" s="81">
        <v>52100</v>
      </c>
      <c r="D577" s="86">
        <v>14.6</v>
      </c>
      <c r="E577" s="85">
        <f t="shared" si="68"/>
        <v>1.46E-2</v>
      </c>
      <c r="F577" s="85">
        <f t="shared" si="69"/>
        <v>7.3000000000000001E-3</v>
      </c>
      <c r="G577" s="85">
        <f t="shared" si="70"/>
        <v>1.6295105990953872E-6</v>
      </c>
      <c r="H577" s="85">
        <v>7800</v>
      </c>
      <c r="I577" s="85">
        <f t="shared" si="66"/>
        <v>1.271018267294402E-2</v>
      </c>
      <c r="J577" s="87">
        <v>1</v>
      </c>
      <c r="K577" s="88">
        <f t="shared" si="67"/>
        <v>78.677075360111488</v>
      </c>
    </row>
    <row r="578" spans="1:11" hidden="1" x14ac:dyDescent="0.25">
      <c r="A578" t="str">
        <f t="shared" si="63"/>
        <v>52100Ø25,37</v>
      </c>
      <c r="B578" s="81">
        <v>52100</v>
      </c>
      <c r="D578" s="86">
        <v>25.37</v>
      </c>
      <c r="E578" s="85">
        <f t="shared" si="68"/>
        <v>2.537E-2</v>
      </c>
      <c r="F578" s="85">
        <f t="shared" si="69"/>
        <v>1.2685E-2</v>
      </c>
      <c r="G578" s="85">
        <f t="shared" si="70"/>
        <v>8.5498800915719742E-6</v>
      </c>
      <c r="H578" s="85">
        <v>7800</v>
      </c>
      <c r="I578" s="85">
        <f t="shared" si="66"/>
        <v>6.6689064714261392E-2</v>
      </c>
      <c r="J578" s="87">
        <v>1</v>
      </c>
      <c r="K578" s="88">
        <f t="shared" si="67"/>
        <v>14.994962131867339</v>
      </c>
    </row>
    <row r="579" spans="1:11" hidden="1" x14ac:dyDescent="0.25">
      <c r="A579" t="str">
        <f t="shared" si="63"/>
        <v>430Ø5</v>
      </c>
      <c r="B579" s="81">
        <v>430</v>
      </c>
      <c r="D579" s="86">
        <v>5</v>
      </c>
      <c r="E579" s="85">
        <f t="shared" si="68"/>
        <v>5.0000000000000001E-3</v>
      </c>
      <c r="F579" s="85">
        <f t="shared" si="69"/>
        <v>2.5000000000000001E-3</v>
      </c>
      <c r="G579" s="85">
        <f t="shared" si="70"/>
        <v>6.5449846949787352E-8</v>
      </c>
      <c r="H579" s="85">
        <v>7730</v>
      </c>
      <c r="I579" s="85">
        <f t="shared" si="66"/>
        <v>5.0592731692185625E-4</v>
      </c>
      <c r="J579" s="87">
        <v>1</v>
      </c>
      <c r="K579" s="88">
        <f t="shared" si="67"/>
        <v>1976.5685041166821</v>
      </c>
    </row>
    <row r="580" spans="1:11" hidden="1" x14ac:dyDescent="0.25">
      <c r="A580" t="str">
        <f t="shared" ref="A580:A643" si="71">CONCATENATE(B580,"Ø",D580)</f>
        <v>420CØ3,275</v>
      </c>
      <c r="B580" s="81" t="s">
        <v>295</v>
      </c>
      <c r="D580" s="86">
        <v>3.2749999999999999</v>
      </c>
      <c r="E580" s="85">
        <f t="shared" si="68"/>
        <v>3.2749999999999997E-3</v>
      </c>
      <c r="F580" s="85">
        <f t="shared" si="69"/>
        <v>1.6374999999999998E-3</v>
      </c>
      <c r="G580" s="85">
        <f t="shared" si="70"/>
        <v>1.8392151484899296E-8</v>
      </c>
      <c r="H580" s="85">
        <v>7700</v>
      </c>
      <c r="I580" s="85">
        <f t="shared" si="66"/>
        <v>1.4161956643372458E-4</v>
      </c>
      <c r="J580" s="87">
        <v>1</v>
      </c>
      <c r="K580" s="88">
        <f t="shared" si="67"/>
        <v>7061.1711727558641</v>
      </c>
    </row>
    <row r="581" spans="1:11" hidden="1" x14ac:dyDescent="0.25">
      <c r="A581" t="str">
        <f t="shared" si="71"/>
        <v>VESCØ1</v>
      </c>
      <c r="B581" s="81" t="s">
        <v>210</v>
      </c>
      <c r="D581" s="86">
        <v>1</v>
      </c>
      <c r="E581" s="85">
        <f t="shared" si="68"/>
        <v>1E-3</v>
      </c>
      <c r="F581" s="85">
        <f t="shared" si="69"/>
        <v>5.0000000000000001E-4</v>
      </c>
      <c r="G581" s="85">
        <f t="shared" si="70"/>
        <v>5.2359877559829886E-10</v>
      </c>
      <c r="H581" s="85">
        <v>2500</v>
      </c>
      <c r="I581" s="85">
        <f t="shared" si="66"/>
        <v>1.3089969389957471E-6</v>
      </c>
      <c r="J581" s="87">
        <v>1</v>
      </c>
      <c r="K581" s="88">
        <f t="shared" si="67"/>
        <v>763943.72684109758</v>
      </c>
    </row>
    <row r="582" spans="1:11" hidden="1" x14ac:dyDescent="0.25">
      <c r="A582" t="str">
        <f t="shared" si="71"/>
        <v>VESCØ2</v>
      </c>
      <c r="B582" s="81" t="s">
        <v>210</v>
      </c>
      <c r="D582" s="86">
        <v>2</v>
      </c>
      <c r="E582" s="85">
        <f t="shared" si="68"/>
        <v>2E-3</v>
      </c>
      <c r="F582" s="85">
        <f t="shared" si="69"/>
        <v>1E-3</v>
      </c>
      <c r="G582" s="85">
        <f t="shared" si="70"/>
        <v>4.1887902047863909E-9</v>
      </c>
      <c r="H582" s="85">
        <v>2500</v>
      </c>
      <c r="I582" s="85">
        <f t="shared" si="66"/>
        <v>1.0471975511965977E-5</v>
      </c>
      <c r="J582" s="87">
        <v>1</v>
      </c>
      <c r="K582" s="88">
        <f t="shared" si="67"/>
        <v>95492.965855137198</v>
      </c>
    </row>
    <row r="583" spans="1:11" hidden="1" x14ac:dyDescent="0.25">
      <c r="A583" t="str">
        <f t="shared" si="71"/>
        <v>VESCØ3</v>
      </c>
      <c r="B583" s="81" t="s">
        <v>210</v>
      </c>
      <c r="D583" s="86">
        <v>3</v>
      </c>
      <c r="E583" s="85">
        <f t="shared" si="68"/>
        <v>3.0000000000000001E-3</v>
      </c>
      <c r="F583" s="85">
        <f t="shared" si="69"/>
        <v>1.5E-3</v>
      </c>
      <c r="G583" s="85">
        <f t="shared" si="70"/>
        <v>1.4137166941154068E-8</v>
      </c>
      <c r="H583" s="85">
        <v>2500</v>
      </c>
      <c r="I583" s="85">
        <f t="shared" si="66"/>
        <v>3.5342917352885171E-5</v>
      </c>
      <c r="J583" s="87">
        <v>1</v>
      </c>
      <c r="K583" s="88">
        <f t="shared" si="67"/>
        <v>28294.212105225841</v>
      </c>
    </row>
    <row r="584" spans="1:11" hidden="1" x14ac:dyDescent="0.25">
      <c r="A584" t="str">
        <f t="shared" si="71"/>
        <v>VESCØ4</v>
      </c>
      <c r="B584" s="81" t="s">
        <v>210</v>
      </c>
      <c r="D584" s="86">
        <v>4</v>
      </c>
      <c r="E584" s="85">
        <f t="shared" si="68"/>
        <v>4.0000000000000001E-3</v>
      </c>
      <c r="F584" s="85">
        <f t="shared" si="69"/>
        <v>2E-3</v>
      </c>
      <c r="G584" s="85">
        <f t="shared" si="70"/>
        <v>3.3510321638291127E-8</v>
      </c>
      <c r="H584" s="85">
        <v>2500</v>
      </c>
      <c r="I584" s="85">
        <f t="shared" si="66"/>
        <v>8.3775804095727818E-5</v>
      </c>
      <c r="J584" s="87">
        <v>1</v>
      </c>
      <c r="K584" s="88">
        <f t="shared" si="67"/>
        <v>11936.62073189215</v>
      </c>
    </row>
    <row r="585" spans="1:11" hidden="1" x14ac:dyDescent="0.25">
      <c r="A585" t="str">
        <f t="shared" si="71"/>
        <v>VESCØ5</v>
      </c>
      <c r="B585" s="81" t="s">
        <v>210</v>
      </c>
      <c r="D585" s="86">
        <v>5</v>
      </c>
      <c r="E585" s="85">
        <f t="shared" si="68"/>
        <v>5.0000000000000001E-3</v>
      </c>
      <c r="F585" s="85">
        <f t="shared" si="69"/>
        <v>2.5000000000000001E-3</v>
      </c>
      <c r="G585" s="85">
        <f t="shared" si="70"/>
        <v>6.5449846949787352E-8</v>
      </c>
      <c r="H585" s="85">
        <v>2500</v>
      </c>
      <c r="I585" s="85">
        <f t="shared" si="66"/>
        <v>1.6362461737446838E-4</v>
      </c>
      <c r="J585" s="87">
        <v>1</v>
      </c>
      <c r="K585" s="88">
        <f t="shared" si="67"/>
        <v>6111.5498147287817</v>
      </c>
    </row>
    <row r="586" spans="1:11" hidden="1" x14ac:dyDescent="0.25">
      <c r="A586" t="str">
        <f t="shared" si="71"/>
        <v>VESCØ10</v>
      </c>
      <c r="B586" s="81" t="s">
        <v>210</v>
      </c>
      <c r="D586" s="86">
        <v>10</v>
      </c>
      <c r="E586" s="85">
        <f t="shared" si="68"/>
        <v>0.01</v>
      </c>
      <c r="F586" s="85">
        <f t="shared" si="69"/>
        <v>5.0000000000000001E-3</v>
      </c>
      <c r="G586" s="85">
        <f t="shared" si="70"/>
        <v>5.2359877559829882E-7</v>
      </c>
      <c r="H586" s="85">
        <v>2500</v>
      </c>
      <c r="I586" s="85">
        <f t="shared" si="66"/>
        <v>1.308996938995747E-3</v>
      </c>
      <c r="J586" s="87">
        <v>1</v>
      </c>
      <c r="K586" s="88">
        <f t="shared" si="67"/>
        <v>763.94372684109771</v>
      </c>
    </row>
    <row r="587" spans="1:11" hidden="1" x14ac:dyDescent="0.25">
      <c r="A587" t="str">
        <f t="shared" si="71"/>
        <v>VESCØ20</v>
      </c>
      <c r="B587" s="81" t="s">
        <v>210</v>
      </c>
      <c r="D587" s="86">
        <v>20</v>
      </c>
      <c r="E587" s="85">
        <f t="shared" si="68"/>
        <v>0.02</v>
      </c>
      <c r="F587" s="85">
        <f t="shared" si="69"/>
        <v>0.01</v>
      </c>
      <c r="G587" s="85">
        <f t="shared" si="70"/>
        <v>4.1887902047863905E-6</v>
      </c>
      <c r="H587" s="85">
        <v>2500</v>
      </c>
      <c r="I587" s="85">
        <f t="shared" si="66"/>
        <v>1.0471975511965976E-2</v>
      </c>
      <c r="J587" s="87">
        <v>1</v>
      </c>
      <c r="K587" s="88">
        <f t="shared" si="67"/>
        <v>95.492965855137214</v>
      </c>
    </row>
    <row r="588" spans="1:11" hidden="1" x14ac:dyDescent="0.25">
      <c r="A588" t="str">
        <f t="shared" si="71"/>
        <v>VESCØ30</v>
      </c>
      <c r="B588" s="81" t="s">
        <v>210</v>
      </c>
      <c r="D588" s="86">
        <v>30</v>
      </c>
      <c r="E588" s="85">
        <f t="shared" si="68"/>
        <v>0.03</v>
      </c>
      <c r="F588" s="85">
        <f t="shared" si="69"/>
        <v>1.4999999999999999E-2</v>
      </c>
      <c r="G588" s="85">
        <f t="shared" si="70"/>
        <v>1.4137166941154067E-5</v>
      </c>
      <c r="H588" s="85">
        <v>2500</v>
      </c>
      <c r="I588" s="85">
        <f t="shared" si="66"/>
        <v>3.5342917352885167E-2</v>
      </c>
      <c r="J588" s="87">
        <v>1</v>
      </c>
      <c r="K588" s="88">
        <f t="shared" si="67"/>
        <v>28.294212105225842</v>
      </c>
    </row>
    <row r="589" spans="1:11" hidden="1" x14ac:dyDescent="0.25">
      <c r="A589" t="str">
        <f t="shared" si="71"/>
        <v>VESCØ40</v>
      </c>
      <c r="B589" s="81" t="s">
        <v>210</v>
      </c>
      <c r="D589" s="86">
        <v>40</v>
      </c>
      <c r="E589" s="85">
        <f t="shared" si="68"/>
        <v>0.04</v>
      </c>
      <c r="F589" s="85">
        <f t="shared" si="69"/>
        <v>0.02</v>
      </c>
      <c r="G589" s="85">
        <f t="shared" si="70"/>
        <v>3.3510321638291124E-5</v>
      </c>
      <c r="H589" s="85">
        <v>2500</v>
      </c>
      <c r="I589" s="85">
        <f t="shared" si="66"/>
        <v>8.377580409572781E-2</v>
      </c>
      <c r="J589" s="87">
        <v>1</v>
      </c>
      <c r="K589" s="88">
        <f t="shared" si="67"/>
        <v>11.936620731892152</v>
      </c>
    </row>
    <row r="590" spans="1:11" hidden="1" x14ac:dyDescent="0.25">
      <c r="A590" t="str">
        <f t="shared" si="71"/>
        <v>VESCØ50</v>
      </c>
      <c r="B590" s="81" t="s">
        <v>210</v>
      </c>
      <c r="D590" s="86">
        <v>50</v>
      </c>
      <c r="E590" s="85">
        <f t="shared" si="68"/>
        <v>0.05</v>
      </c>
      <c r="F590" s="85">
        <f t="shared" si="69"/>
        <v>2.5000000000000001E-2</v>
      </c>
      <c r="G590" s="85">
        <f t="shared" si="70"/>
        <v>6.5449846949787365E-5</v>
      </c>
      <c r="H590" s="85">
        <v>2500</v>
      </c>
      <c r="I590" s="85">
        <f t="shared" si="66"/>
        <v>0.1636246173744684</v>
      </c>
      <c r="J590" s="87">
        <v>1</v>
      </c>
      <c r="K590" s="88">
        <f t="shared" si="67"/>
        <v>6.1115498147287806</v>
      </c>
    </row>
    <row r="591" spans="1:11" hidden="1" x14ac:dyDescent="0.25">
      <c r="A591" t="str">
        <f t="shared" si="71"/>
        <v>Alluminio serie 2Ø1</v>
      </c>
      <c r="B591" s="81" t="s">
        <v>323</v>
      </c>
      <c r="D591" s="86">
        <v>1</v>
      </c>
      <c r="E591" s="85">
        <f t="shared" si="68"/>
        <v>1E-3</v>
      </c>
      <c r="F591" s="85">
        <f t="shared" si="69"/>
        <v>5.0000000000000001E-4</v>
      </c>
      <c r="G591" s="85">
        <f t="shared" si="70"/>
        <v>5.2359877559829886E-10</v>
      </c>
      <c r="H591" s="85">
        <v>2780</v>
      </c>
      <c r="I591" s="85">
        <f t="shared" si="66"/>
        <v>1.4556045961632709E-6</v>
      </c>
      <c r="J591" s="87">
        <v>1</v>
      </c>
      <c r="K591" s="88">
        <f t="shared" si="67"/>
        <v>686999.75435350498</v>
      </c>
    </row>
    <row r="592" spans="1:11" hidden="1" x14ac:dyDescent="0.25">
      <c r="A592" t="str">
        <f t="shared" si="71"/>
        <v>52100Ø0,8</v>
      </c>
      <c r="B592" s="81">
        <v>52100</v>
      </c>
      <c r="D592" s="86">
        <v>0.8</v>
      </c>
      <c r="E592" s="85">
        <f t="shared" si="68"/>
        <v>8.0000000000000004E-4</v>
      </c>
      <c r="F592" s="85">
        <f t="shared" si="69"/>
        <v>4.0000000000000002E-4</v>
      </c>
      <c r="G592" s="85">
        <f t="shared" si="70"/>
        <v>2.6808257310632903E-10</v>
      </c>
      <c r="H592" s="85">
        <v>7800</v>
      </c>
      <c r="I592" s="85">
        <f t="shared" si="66"/>
        <v>2.0910440702293663E-6</v>
      </c>
      <c r="J592" s="87">
        <v>1</v>
      </c>
      <c r="K592" s="88">
        <f t="shared" si="67"/>
        <v>478229.99727132014</v>
      </c>
    </row>
    <row r="593" spans="1:11" hidden="1" x14ac:dyDescent="0.25">
      <c r="A593" t="str">
        <f t="shared" si="71"/>
        <v>304Ø0,8</v>
      </c>
      <c r="B593" s="81">
        <v>304</v>
      </c>
      <c r="D593" s="86">
        <v>0.8</v>
      </c>
      <c r="E593" s="85">
        <f t="shared" si="68"/>
        <v>8.0000000000000004E-4</v>
      </c>
      <c r="F593" s="85">
        <f t="shared" si="69"/>
        <v>4.0000000000000002E-4</v>
      </c>
      <c r="G593" s="85">
        <f t="shared" si="70"/>
        <v>2.6808257310632903E-10</v>
      </c>
      <c r="H593" s="85">
        <v>7950</v>
      </c>
      <c r="I593" s="85">
        <f t="shared" si="66"/>
        <v>2.1312564561953159E-6</v>
      </c>
      <c r="J593" s="87">
        <v>1</v>
      </c>
      <c r="K593" s="88">
        <f t="shared" si="67"/>
        <v>469206.78977563482</v>
      </c>
    </row>
    <row r="594" spans="1:11" hidden="1" x14ac:dyDescent="0.25">
      <c r="A594" t="str">
        <f t="shared" si="71"/>
        <v>PA6.6Ø4</v>
      </c>
      <c r="B594" s="81" t="s">
        <v>244</v>
      </c>
      <c r="D594" s="86">
        <v>4</v>
      </c>
      <c r="E594" s="85">
        <f t="shared" si="68"/>
        <v>4.0000000000000001E-3</v>
      </c>
      <c r="F594" s="85">
        <f t="shared" si="69"/>
        <v>2E-3</v>
      </c>
      <c r="G594" s="85">
        <f t="shared" si="70"/>
        <v>3.3510321638291127E-8</v>
      </c>
      <c r="H594" s="85">
        <v>1110</v>
      </c>
      <c r="I594" s="85">
        <f t="shared" si="66"/>
        <v>3.7196457018503148E-5</v>
      </c>
      <c r="J594" s="87">
        <v>1</v>
      </c>
      <c r="K594" s="88">
        <f t="shared" si="67"/>
        <v>26884.280927685028</v>
      </c>
    </row>
    <row r="595" spans="1:11" hidden="1" x14ac:dyDescent="0.25">
      <c r="A595" t="str">
        <f t="shared" si="71"/>
        <v>TorlonØ2,38125</v>
      </c>
      <c r="B595" s="81" t="s">
        <v>324</v>
      </c>
      <c r="C595" s="101" t="s">
        <v>213</v>
      </c>
      <c r="D595" s="86">
        <f>3/32*25.4</f>
        <v>2.3812499999999996</v>
      </c>
      <c r="E595" s="85">
        <f t="shared" si="68"/>
        <v>2.3812499999999997E-3</v>
      </c>
      <c r="F595" s="85">
        <f t="shared" si="69"/>
        <v>1.1906249999999998E-3</v>
      </c>
      <c r="G595" s="85">
        <f t="shared" si="70"/>
        <v>7.0699053785209917E-9</v>
      </c>
      <c r="H595" s="85">
        <v>1420</v>
      </c>
      <c r="I595" s="85">
        <f t="shared" si="66"/>
        <v>1.0039265637499808E-5</v>
      </c>
      <c r="J595" s="87">
        <v>1</v>
      </c>
      <c r="K595" s="88">
        <f t="shared" si="67"/>
        <v>99608.879385030523</v>
      </c>
    </row>
    <row r="596" spans="1:11" hidden="1" x14ac:dyDescent="0.25">
      <c r="A596" t="str">
        <f t="shared" si="71"/>
        <v>VESCØ2</v>
      </c>
      <c r="B596" s="81" t="s">
        <v>210</v>
      </c>
      <c r="D596" s="86">
        <v>2</v>
      </c>
      <c r="E596" s="85">
        <f t="shared" si="68"/>
        <v>2E-3</v>
      </c>
      <c r="F596" s="85">
        <f t="shared" si="69"/>
        <v>1E-3</v>
      </c>
      <c r="G596" s="85">
        <f t="shared" si="70"/>
        <v>4.1887902047863909E-9</v>
      </c>
      <c r="H596" s="85">
        <v>2500</v>
      </c>
      <c r="I596" s="85">
        <f t="shared" si="66"/>
        <v>1.0471975511965977E-5</v>
      </c>
      <c r="J596" s="87">
        <v>1</v>
      </c>
      <c r="K596" s="88">
        <f t="shared" si="67"/>
        <v>95492.965855137198</v>
      </c>
    </row>
    <row r="597" spans="1:11" hidden="1" x14ac:dyDescent="0.25">
      <c r="A597" t="str">
        <f t="shared" si="71"/>
        <v>VESCØ3</v>
      </c>
      <c r="B597" s="81" t="s">
        <v>210</v>
      </c>
      <c r="D597" s="86">
        <v>3</v>
      </c>
      <c r="E597" s="85">
        <f t="shared" si="68"/>
        <v>3.0000000000000001E-3</v>
      </c>
      <c r="F597" s="85">
        <f t="shared" si="69"/>
        <v>1.5E-3</v>
      </c>
      <c r="G597" s="85">
        <f t="shared" si="70"/>
        <v>1.4137166941154068E-8</v>
      </c>
      <c r="H597" s="85">
        <v>2500</v>
      </c>
      <c r="I597" s="85">
        <f t="shared" si="66"/>
        <v>3.5342917352885171E-5</v>
      </c>
      <c r="J597" s="87">
        <v>1</v>
      </c>
      <c r="K597" s="88">
        <f t="shared" si="67"/>
        <v>28294.212105225841</v>
      </c>
    </row>
    <row r="598" spans="1:11" hidden="1" x14ac:dyDescent="0.25">
      <c r="A598" t="str">
        <f t="shared" si="71"/>
        <v>420CØ3,9</v>
      </c>
      <c r="B598" s="81" t="s">
        <v>295</v>
      </c>
      <c r="D598" s="86">
        <v>3.9</v>
      </c>
      <c r="E598" s="85">
        <f t="shared" si="68"/>
        <v>3.8999999999999998E-3</v>
      </c>
      <c r="F598" s="85">
        <f t="shared" si="69"/>
        <v>1.9499999999999999E-3</v>
      </c>
      <c r="G598" s="85">
        <f t="shared" si="70"/>
        <v>3.1059355769715486E-8</v>
      </c>
      <c r="H598" s="85">
        <v>7700</v>
      </c>
      <c r="I598" s="85">
        <f t="shared" si="66"/>
        <v>2.3915703942680924E-4</v>
      </c>
      <c r="J598" s="87">
        <v>1</v>
      </c>
      <c r="K598" s="88">
        <f t="shared" si="67"/>
        <v>4181.3529821104694</v>
      </c>
    </row>
    <row r="599" spans="1:11" hidden="1" x14ac:dyDescent="0.25">
      <c r="A599" t="str">
        <f t="shared" si="71"/>
        <v>420CØ3,92</v>
      </c>
      <c r="B599" s="81" t="s">
        <v>295</v>
      </c>
      <c r="D599" s="86">
        <v>3.92</v>
      </c>
      <c r="E599" s="85">
        <f t="shared" si="68"/>
        <v>3.9199999999999999E-3</v>
      </c>
      <c r="F599" s="85">
        <f t="shared" si="69"/>
        <v>1.9599999999999999E-3</v>
      </c>
      <c r="G599" s="85">
        <f t="shared" si="70"/>
        <v>3.1539646643386496E-8</v>
      </c>
      <c r="H599" s="85">
        <v>7700</v>
      </c>
      <c r="I599" s="85">
        <f t="shared" si="66"/>
        <v>2.4285527915407601E-4</v>
      </c>
      <c r="J599" s="87">
        <v>1</v>
      </c>
      <c r="K599" s="88">
        <f t="shared" si="67"/>
        <v>4117.6786581837678</v>
      </c>
    </row>
    <row r="600" spans="1:11" hidden="1" x14ac:dyDescent="0.25">
      <c r="A600" t="str">
        <f t="shared" si="71"/>
        <v>420CØ5,05</v>
      </c>
      <c r="B600" s="81" t="s">
        <v>295</v>
      </c>
      <c r="D600" s="86">
        <v>5.05</v>
      </c>
      <c r="E600" s="85">
        <f t="shared" si="68"/>
        <v>5.0499999999999998E-3</v>
      </c>
      <c r="F600" s="85">
        <f t="shared" si="69"/>
        <v>2.5249999999999999E-3</v>
      </c>
      <c r="G600" s="85">
        <f t="shared" si="70"/>
        <v>6.7433042762212854E-8</v>
      </c>
      <c r="H600" s="85">
        <v>7700</v>
      </c>
      <c r="I600" s="85">
        <f t="shared" si="66"/>
        <v>5.1923442926903897E-4</v>
      </c>
      <c r="J600" s="87">
        <v>1</v>
      </c>
      <c r="K600" s="88">
        <f t="shared" si="67"/>
        <v>1925.9123502418106</v>
      </c>
    </row>
    <row r="601" spans="1:11" hidden="1" x14ac:dyDescent="0.25">
      <c r="A601" t="str">
        <f t="shared" si="71"/>
        <v>420CØ5,1</v>
      </c>
      <c r="B601" s="81" t="s">
        <v>295</v>
      </c>
      <c r="D601" s="86">
        <v>5.0999999999999996</v>
      </c>
      <c r="E601" s="85">
        <f t="shared" si="68"/>
        <v>5.0999999999999995E-3</v>
      </c>
      <c r="F601" s="85">
        <f t="shared" si="69"/>
        <v>2.5499999999999997E-3</v>
      </c>
      <c r="G601" s="85">
        <f t="shared" si="70"/>
        <v>6.9455901181889918E-8</v>
      </c>
      <c r="H601" s="85">
        <v>7700</v>
      </c>
      <c r="I601" s="85">
        <f t="shared" si="66"/>
        <v>5.348104391005524E-4</v>
      </c>
      <c r="J601" s="87">
        <v>1</v>
      </c>
      <c r="K601" s="88">
        <f t="shared" si="67"/>
        <v>1869.8213925700597</v>
      </c>
    </row>
    <row r="602" spans="1:11" x14ac:dyDescent="0.25">
      <c r="A602" t="str">
        <f t="shared" si="71"/>
        <v>1085Ø6,15</v>
      </c>
      <c r="B602" s="81">
        <v>1085</v>
      </c>
      <c r="D602" s="86">
        <v>6.15</v>
      </c>
      <c r="E602" s="85">
        <f t="shared" si="68"/>
        <v>6.1500000000000001E-3</v>
      </c>
      <c r="F602" s="85">
        <f t="shared" si="69"/>
        <v>3.075E-3</v>
      </c>
      <c r="G602" s="85">
        <f t="shared" si="70"/>
        <v>1.2179346034390995E-7</v>
      </c>
      <c r="H602" s="85">
        <v>7850</v>
      </c>
      <c r="I602" s="85">
        <f t="shared" si="66"/>
        <v>9.5607866369969304E-4</v>
      </c>
      <c r="J602" s="87">
        <v>1</v>
      </c>
      <c r="K602" s="88">
        <f t="shared" si="67"/>
        <v>1045.9390403404116</v>
      </c>
    </row>
    <row r="603" spans="1:11" hidden="1" x14ac:dyDescent="0.25">
      <c r="A603" t="str">
        <f t="shared" si="71"/>
        <v>52100Ø5,54</v>
      </c>
      <c r="B603" s="81">
        <v>52100</v>
      </c>
      <c r="D603" s="86">
        <v>5.54</v>
      </c>
      <c r="E603" s="85">
        <f t="shared" si="68"/>
        <v>5.5399999999999998E-3</v>
      </c>
      <c r="F603" s="85">
        <f t="shared" si="69"/>
        <v>2.7699999999999999E-3</v>
      </c>
      <c r="G603" s="85">
        <f t="shared" si="70"/>
        <v>8.9028266363586213E-8</v>
      </c>
      <c r="H603" s="85">
        <v>7800</v>
      </c>
      <c r="I603" s="85">
        <f t="shared" si="66"/>
        <v>6.944204776359725E-4</v>
      </c>
      <c r="J603" s="87">
        <v>1</v>
      </c>
      <c r="K603" s="88">
        <f t="shared" si="67"/>
        <v>1440.0496992892795</v>
      </c>
    </row>
    <row r="604" spans="1:11" hidden="1" x14ac:dyDescent="0.25">
      <c r="A604" t="str">
        <f t="shared" si="71"/>
        <v>420CØ14,2875</v>
      </c>
      <c r="B604" s="81" t="s">
        <v>295</v>
      </c>
      <c r="C604" s="101" t="s">
        <v>268</v>
      </c>
      <c r="D604" s="86">
        <f>9/16*25.4</f>
        <v>14.2875</v>
      </c>
      <c r="E604" s="85">
        <f t="shared" si="68"/>
        <v>1.42875E-2</v>
      </c>
      <c r="F604" s="85">
        <f t="shared" si="69"/>
        <v>7.1437499999999999E-3</v>
      </c>
      <c r="G604" s="85">
        <f t="shared" si="70"/>
        <v>1.5270995617605347E-6</v>
      </c>
      <c r="H604" s="85">
        <v>7700</v>
      </c>
      <c r="I604" s="85">
        <f t="shared" si="66"/>
        <v>1.1758666625556118E-2</v>
      </c>
      <c r="J604" s="87">
        <v>1</v>
      </c>
      <c r="K604" s="88">
        <f t="shared" si="67"/>
        <v>85.043656040610443</v>
      </c>
    </row>
    <row r="605" spans="1:11" hidden="1" x14ac:dyDescent="0.25">
      <c r="A605" t="str">
        <f t="shared" si="71"/>
        <v>304Ø4,7625</v>
      </c>
      <c r="B605" s="81">
        <v>304</v>
      </c>
      <c r="C605" s="101" t="s">
        <v>248</v>
      </c>
      <c r="D605" s="86">
        <f>3/16*25.4</f>
        <v>4.7624999999999993</v>
      </c>
      <c r="E605" s="85">
        <f t="shared" si="68"/>
        <v>4.7624999999999994E-3</v>
      </c>
      <c r="F605" s="85">
        <f t="shared" si="69"/>
        <v>2.3812499999999997E-3</v>
      </c>
      <c r="G605" s="85">
        <f t="shared" si="70"/>
        <v>5.6559243028167934E-8</v>
      </c>
      <c r="H605" s="85">
        <v>7950</v>
      </c>
      <c r="I605" s="85">
        <f t="shared" si="66"/>
        <v>4.4964598207393507E-4</v>
      </c>
      <c r="J605" s="87">
        <v>1</v>
      </c>
      <c r="K605" s="88">
        <f t="shared" si="67"/>
        <v>2223.9718353261533</v>
      </c>
    </row>
    <row r="606" spans="1:11" hidden="1" x14ac:dyDescent="0.25">
      <c r="A606" t="str">
        <f t="shared" si="71"/>
        <v>52100Ø30,04</v>
      </c>
      <c r="B606" s="81">
        <v>52100</v>
      </c>
      <c r="D606" s="86">
        <v>30.04</v>
      </c>
      <c r="E606" s="85">
        <f t="shared" si="68"/>
        <v>3.0040000000000001E-2</v>
      </c>
      <c r="F606" s="85">
        <f t="shared" si="69"/>
        <v>1.502E-2</v>
      </c>
      <c r="G606" s="85">
        <f t="shared" si="70"/>
        <v>1.4193791040652692E-5</v>
      </c>
      <c r="H606" s="85">
        <v>7800</v>
      </c>
      <c r="I606" s="85">
        <f t="shared" si="66"/>
        <v>0.110711570117091</v>
      </c>
      <c r="J606" s="87">
        <v>1</v>
      </c>
      <c r="K606" s="94">
        <f t="shared" si="67"/>
        <v>9.0324796129472098</v>
      </c>
    </row>
    <row r="607" spans="1:11" hidden="1" x14ac:dyDescent="0.25">
      <c r="A607" t="str">
        <f t="shared" si="71"/>
        <v>52100Ø29,96</v>
      </c>
      <c r="B607" s="81">
        <v>52100</v>
      </c>
      <c r="D607" s="86">
        <v>29.96</v>
      </c>
      <c r="E607" s="85">
        <f t="shared" si="68"/>
        <v>2.9960000000000001E-2</v>
      </c>
      <c r="F607" s="85">
        <f t="shared" si="69"/>
        <v>1.498E-2</v>
      </c>
      <c r="G607" s="85">
        <f t="shared" si="70"/>
        <v>1.4080693638102814E-5</v>
      </c>
      <c r="H607" s="85">
        <v>7800</v>
      </c>
      <c r="I607" s="85">
        <f t="shared" si="66"/>
        <v>0.10982941037720195</v>
      </c>
      <c r="J607" s="87">
        <v>1</v>
      </c>
      <c r="K607" s="94">
        <f t="shared" si="67"/>
        <v>9.1050293046786397</v>
      </c>
    </row>
    <row r="608" spans="1:11" hidden="1" x14ac:dyDescent="0.25">
      <c r="A608" t="str">
        <f t="shared" si="71"/>
        <v>ZrO2Ø1</v>
      </c>
      <c r="B608" s="81" t="s">
        <v>205</v>
      </c>
      <c r="D608" s="86">
        <v>1</v>
      </c>
      <c r="E608" s="85">
        <f t="shared" si="68"/>
        <v>1E-3</v>
      </c>
      <c r="F608" s="85">
        <f t="shared" si="69"/>
        <v>5.0000000000000001E-4</v>
      </c>
      <c r="G608" s="85">
        <f t="shared" si="70"/>
        <v>5.2359877559829886E-10</v>
      </c>
      <c r="H608" s="85">
        <v>6000</v>
      </c>
      <c r="I608" s="85">
        <f t="shared" si="66"/>
        <v>3.1415926535897933E-6</v>
      </c>
      <c r="J608" s="87">
        <v>1</v>
      </c>
      <c r="K608" s="88">
        <f t="shared" si="67"/>
        <v>318309.88618379069</v>
      </c>
    </row>
    <row r="609" spans="1:11" hidden="1" x14ac:dyDescent="0.25">
      <c r="A609" t="str">
        <f t="shared" si="71"/>
        <v>ZrO2Ø2</v>
      </c>
      <c r="B609" s="81" t="s">
        <v>205</v>
      </c>
      <c r="D609" s="86">
        <v>2</v>
      </c>
      <c r="E609" s="85">
        <f t="shared" si="68"/>
        <v>2E-3</v>
      </c>
      <c r="F609" s="85">
        <f t="shared" si="69"/>
        <v>1E-3</v>
      </c>
      <c r="G609" s="85">
        <f t="shared" si="70"/>
        <v>4.1887902047863909E-9</v>
      </c>
      <c r="H609" s="85">
        <v>6000</v>
      </c>
      <c r="I609" s="85">
        <f t="shared" si="66"/>
        <v>2.5132741228718347E-5</v>
      </c>
      <c r="J609" s="87">
        <v>1</v>
      </c>
      <c r="K609" s="88">
        <f t="shared" si="67"/>
        <v>39788.735772973836</v>
      </c>
    </row>
    <row r="610" spans="1:11" hidden="1" x14ac:dyDescent="0.25">
      <c r="A610" t="str">
        <f t="shared" si="71"/>
        <v>304Ø5,2</v>
      </c>
      <c r="B610" s="81">
        <v>304</v>
      </c>
      <c r="D610" s="86">
        <v>5.2</v>
      </c>
      <c r="E610" s="85">
        <f t="shared" si="68"/>
        <v>5.1999999999999998E-3</v>
      </c>
      <c r="F610" s="85">
        <f t="shared" si="69"/>
        <v>2.5999999999999999E-3</v>
      </c>
      <c r="G610" s="85">
        <f t="shared" si="70"/>
        <v>7.3622176639325592E-8</v>
      </c>
      <c r="H610" s="85">
        <v>7950</v>
      </c>
      <c r="I610" s="85">
        <f t="shared" si="66"/>
        <v>5.8529630428263849E-4</v>
      </c>
      <c r="J610" s="87">
        <v>1</v>
      </c>
      <c r="K610" s="88">
        <f t="shared" si="67"/>
        <v>1708.5363305439596</v>
      </c>
    </row>
    <row r="611" spans="1:11" hidden="1" x14ac:dyDescent="0.25">
      <c r="A611" t="str">
        <f t="shared" si="71"/>
        <v>304Ø5,15</v>
      </c>
      <c r="B611" s="81">
        <v>304</v>
      </c>
      <c r="D611" s="86">
        <v>5.15</v>
      </c>
      <c r="E611" s="85">
        <f t="shared" si="68"/>
        <v>5.1500000000000001E-3</v>
      </c>
      <c r="F611" s="85">
        <f t="shared" si="69"/>
        <v>2.575E-3</v>
      </c>
      <c r="G611" s="85">
        <f t="shared" si="70"/>
        <v>7.1518814907900292E-8</v>
      </c>
      <c r="H611" s="85">
        <v>7950</v>
      </c>
      <c r="I611" s="85">
        <f t="shared" si="66"/>
        <v>5.685745785178073E-4</v>
      </c>
      <c r="J611" s="87">
        <v>1</v>
      </c>
      <c r="K611" s="88">
        <f t="shared" si="67"/>
        <v>1758.7842259969784</v>
      </c>
    </row>
    <row r="612" spans="1:11" hidden="1" x14ac:dyDescent="0.25">
      <c r="A612" t="str">
        <f t="shared" si="71"/>
        <v>52100Ø29,95</v>
      </c>
      <c r="B612" s="81">
        <v>52100</v>
      </c>
      <c r="D612" s="86">
        <v>29.95</v>
      </c>
      <c r="E612" s="85">
        <f t="shared" si="68"/>
        <v>2.9950000000000001E-2</v>
      </c>
      <c r="F612" s="85">
        <f t="shared" si="69"/>
        <v>1.4975E-2</v>
      </c>
      <c r="G612" s="85">
        <f t="shared" si="70"/>
        <v>1.4066598850722963E-5</v>
      </c>
      <c r="H612" s="85">
        <v>7800</v>
      </c>
      <c r="I612" s="85">
        <f t="shared" si="66"/>
        <v>0.10971947103563912</v>
      </c>
      <c r="J612" s="87">
        <v>1</v>
      </c>
      <c r="K612" s="94">
        <f t="shared" si="67"/>
        <v>9.1141525798568583</v>
      </c>
    </row>
    <row r="613" spans="1:11" hidden="1" x14ac:dyDescent="0.25">
      <c r="A613" t="str">
        <f t="shared" si="71"/>
        <v>52100Ø5,2</v>
      </c>
      <c r="B613" s="81">
        <v>52100</v>
      </c>
      <c r="D613" s="86">
        <v>5.2</v>
      </c>
      <c r="E613" s="85">
        <f t="shared" si="68"/>
        <v>5.1999999999999998E-3</v>
      </c>
      <c r="F613" s="85">
        <f t="shared" si="69"/>
        <v>2.5999999999999999E-3</v>
      </c>
      <c r="G613" s="85">
        <f t="shared" si="70"/>
        <v>7.3622176639325592E-8</v>
      </c>
      <c r="H613" s="85">
        <v>7800</v>
      </c>
      <c r="I613" s="85">
        <f t="shared" si="66"/>
        <v>5.7425297778673963E-4</v>
      </c>
      <c r="J613" s="87">
        <v>1</v>
      </c>
      <c r="K613" s="88">
        <f t="shared" si="67"/>
        <v>1741.3927984390359</v>
      </c>
    </row>
    <row r="614" spans="1:11" hidden="1" x14ac:dyDescent="0.25">
      <c r="A614" t="str">
        <f t="shared" si="71"/>
        <v>52100Ø13,424</v>
      </c>
      <c r="B614" s="81">
        <v>52100</v>
      </c>
      <c r="D614" s="86">
        <f>13.494-0.07</f>
        <v>13.423999999999999</v>
      </c>
      <c r="E614" s="85">
        <f t="shared" si="68"/>
        <v>1.3424E-2</v>
      </c>
      <c r="F614" s="85">
        <f t="shared" si="69"/>
        <v>6.7120000000000001E-3</v>
      </c>
      <c r="G614" s="85">
        <f t="shared" si="70"/>
        <v>1.2666144921573105E-6</v>
      </c>
      <c r="H614" s="85">
        <v>7800</v>
      </c>
      <c r="I614" s="85">
        <f t="shared" ref="I614:I677" si="72">H614*G614</f>
        <v>9.8795930388270222E-3</v>
      </c>
      <c r="J614" s="87">
        <v>1</v>
      </c>
      <c r="K614" s="88">
        <f t="shared" ref="K614:K677" si="73">J614/I614</f>
        <v>101.21874413955895</v>
      </c>
    </row>
    <row r="615" spans="1:11" hidden="1" x14ac:dyDescent="0.25">
      <c r="A615" t="str">
        <f t="shared" si="71"/>
        <v>52100Ø15</v>
      </c>
      <c r="B615" s="81">
        <v>52100</v>
      </c>
      <c r="D615" s="86">
        <v>15</v>
      </c>
      <c r="E615" s="85">
        <f t="shared" si="68"/>
        <v>1.4999999999999999E-2</v>
      </c>
      <c r="F615" s="85">
        <f t="shared" si="69"/>
        <v>7.4999999999999997E-3</v>
      </c>
      <c r="G615" s="85">
        <f t="shared" si="70"/>
        <v>1.7671458676442584E-6</v>
      </c>
      <c r="H615" s="85">
        <v>7800</v>
      </c>
      <c r="I615" s="85">
        <f t="shared" si="72"/>
        <v>1.3783737767625216E-2</v>
      </c>
      <c r="J615" s="87">
        <v>1</v>
      </c>
      <c r="K615" s="88">
        <f t="shared" si="73"/>
        <v>72.549261808271382</v>
      </c>
    </row>
    <row r="616" spans="1:11" hidden="1" x14ac:dyDescent="0.25">
      <c r="A616" t="str">
        <f t="shared" si="71"/>
        <v>52100Ø25,37</v>
      </c>
      <c r="B616" s="81">
        <v>52100</v>
      </c>
      <c r="D616" s="86">
        <v>25.37</v>
      </c>
      <c r="E616" s="85">
        <f t="shared" si="68"/>
        <v>2.537E-2</v>
      </c>
      <c r="F616" s="85">
        <f t="shared" si="69"/>
        <v>1.2685E-2</v>
      </c>
      <c r="G616" s="85">
        <f t="shared" si="70"/>
        <v>8.5498800915719742E-6</v>
      </c>
      <c r="H616" s="85">
        <v>7800</v>
      </c>
      <c r="I616" s="85">
        <f t="shared" si="72"/>
        <v>6.6689064714261392E-2</v>
      </c>
      <c r="J616" s="87">
        <v>1</v>
      </c>
      <c r="K616" s="88">
        <f t="shared" si="73"/>
        <v>14.994962131867339</v>
      </c>
    </row>
    <row r="617" spans="1:11" hidden="1" x14ac:dyDescent="0.25">
      <c r="A617" t="str">
        <f t="shared" si="71"/>
        <v>52100Ø19,99</v>
      </c>
      <c r="B617" s="81">
        <v>52100</v>
      </c>
      <c r="D617" s="86">
        <f>20-0.01</f>
        <v>19.989999999999998</v>
      </c>
      <c r="E617" s="85">
        <f t="shared" si="68"/>
        <v>1.9989999999999997E-2</v>
      </c>
      <c r="F617" s="85">
        <f t="shared" si="69"/>
        <v>9.9949999999999987E-3</v>
      </c>
      <c r="G617" s="85">
        <f t="shared" si="70"/>
        <v>4.1825101605482647E-6</v>
      </c>
      <c r="H617" s="85">
        <v>7800</v>
      </c>
      <c r="I617" s="85">
        <f t="shared" si="72"/>
        <v>3.2623579252276463E-2</v>
      </c>
      <c r="J617" s="87">
        <v>1</v>
      </c>
      <c r="K617" s="88">
        <f t="shared" si="73"/>
        <v>30.652675853469397</v>
      </c>
    </row>
    <row r="618" spans="1:11" hidden="1" x14ac:dyDescent="0.25">
      <c r="A618" t="str">
        <f t="shared" si="71"/>
        <v>420CØ3,9</v>
      </c>
      <c r="B618" s="81" t="s">
        <v>295</v>
      </c>
      <c r="D618" s="86">
        <v>3.9</v>
      </c>
      <c r="E618" s="85">
        <f t="shared" si="68"/>
        <v>3.8999999999999998E-3</v>
      </c>
      <c r="F618" s="85">
        <f t="shared" si="69"/>
        <v>1.9499999999999999E-3</v>
      </c>
      <c r="G618" s="85">
        <f t="shared" si="70"/>
        <v>3.1059355769715486E-8</v>
      </c>
      <c r="H618" s="85">
        <v>7700</v>
      </c>
      <c r="I618" s="85">
        <f t="shared" si="72"/>
        <v>2.3915703942680924E-4</v>
      </c>
      <c r="J618" s="87">
        <v>1</v>
      </c>
      <c r="K618" s="88">
        <f t="shared" si="73"/>
        <v>4181.3529821104694</v>
      </c>
    </row>
    <row r="619" spans="1:11" hidden="1" x14ac:dyDescent="0.25">
      <c r="A619" t="str">
        <f t="shared" si="71"/>
        <v>52100Ø3,1</v>
      </c>
      <c r="B619" s="81">
        <v>52100</v>
      </c>
      <c r="D619" s="86">
        <v>3.1</v>
      </c>
      <c r="E619" s="85">
        <f t="shared" si="68"/>
        <v>3.0999999999999999E-3</v>
      </c>
      <c r="F619" s="85">
        <f t="shared" si="69"/>
        <v>1.5499999999999999E-3</v>
      </c>
      <c r="G619" s="85">
        <f t="shared" si="70"/>
        <v>1.5598531123848918E-8</v>
      </c>
      <c r="H619" s="85">
        <v>7800</v>
      </c>
      <c r="I619" s="85">
        <f t="shared" si="72"/>
        <v>1.2166854276602155E-4</v>
      </c>
      <c r="J619" s="87">
        <v>1</v>
      </c>
      <c r="K619" s="88">
        <f t="shared" si="73"/>
        <v>8219.051344463629</v>
      </c>
    </row>
    <row r="620" spans="1:11" hidden="1" x14ac:dyDescent="0.25">
      <c r="A620" t="str">
        <f t="shared" si="71"/>
        <v>Al2O3Ø1,5</v>
      </c>
      <c r="B620" s="81" t="s">
        <v>217</v>
      </c>
      <c r="D620" s="86">
        <v>1.5</v>
      </c>
      <c r="E620" s="85">
        <f t="shared" si="68"/>
        <v>1.5E-3</v>
      </c>
      <c r="F620" s="85">
        <f t="shared" si="69"/>
        <v>7.5000000000000002E-4</v>
      </c>
      <c r="G620" s="85">
        <f t="shared" si="70"/>
        <v>1.7671458676442585E-9</v>
      </c>
      <c r="H620" s="88">
        <v>3979.9620336983139</v>
      </c>
      <c r="I620" s="85">
        <f t="shared" si="72"/>
        <v>7.0331734612310147E-6</v>
      </c>
      <c r="J620" s="87">
        <v>1</v>
      </c>
      <c r="K620" s="88">
        <f t="shared" si="73"/>
        <v>142183.32670341537</v>
      </c>
    </row>
    <row r="621" spans="1:11" hidden="1" x14ac:dyDescent="0.25">
      <c r="A621" t="str">
        <f t="shared" si="71"/>
        <v>Al2O3Ø1,5</v>
      </c>
      <c r="B621" s="81" t="s">
        <v>217</v>
      </c>
      <c r="D621" s="86">
        <v>1.5</v>
      </c>
      <c r="E621" s="85">
        <f t="shared" si="68"/>
        <v>1.5E-3</v>
      </c>
      <c r="F621" s="85">
        <f t="shared" si="69"/>
        <v>7.5000000000000002E-4</v>
      </c>
      <c r="G621" s="85">
        <f t="shared" si="70"/>
        <v>1.7671458676442585E-9</v>
      </c>
      <c r="H621" s="88">
        <v>3921.5777977843013</v>
      </c>
      <c r="I621" s="85">
        <f t="shared" si="72"/>
        <v>6.9299999999999997E-6</v>
      </c>
      <c r="J621" s="87">
        <v>1</v>
      </c>
      <c r="K621" s="88">
        <f t="shared" si="73"/>
        <v>144300.14430014431</v>
      </c>
    </row>
    <row r="622" spans="1:11" hidden="1" x14ac:dyDescent="0.25">
      <c r="A622" t="str">
        <f t="shared" si="71"/>
        <v>PA6.6Ø4</v>
      </c>
      <c r="B622" s="81" t="s">
        <v>244</v>
      </c>
      <c r="D622" s="86">
        <v>4</v>
      </c>
      <c r="E622" s="85">
        <f t="shared" si="68"/>
        <v>4.0000000000000001E-3</v>
      </c>
      <c r="F622" s="85">
        <f t="shared" si="69"/>
        <v>2E-3</v>
      </c>
      <c r="G622" s="85">
        <f t="shared" si="70"/>
        <v>3.3510321638291127E-8</v>
      </c>
      <c r="H622" s="85">
        <v>1110</v>
      </c>
      <c r="I622" s="85">
        <f t="shared" si="72"/>
        <v>3.7196457018503148E-5</v>
      </c>
      <c r="J622" s="87">
        <v>1</v>
      </c>
      <c r="K622" s="88">
        <f t="shared" si="73"/>
        <v>26884.280927685028</v>
      </c>
    </row>
    <row r="623" spans="1:11" hidden="1" x14ac:dyDescent="0.25">
      <c r="A623" t="str">
        <f t="shared" si="71"/>
        <v>PSØ4</v>
      </c>
      <c r="B623" s="81" t="s">
        <v>242</v>
      </c>
      <c r="D623" s="86">
        <v>4</v>
      </c>
      <c r="E623" s="85">
        <f t="shared" si="68"/>
        <v>4.0000000000000001E-3</v>
      </c>
      <c r="F623" s="85">
        <f t="shared" si="69"/>
        <v>2E-3</v>
      </c>
      <c r="G623" s="85">
        <f t="shared" si="70"/>
        <v>3.3510321638291127E-8</v>
      </c>
      <c r="H623" s="85">
        <v>1050</v>
      </c>
      <c r="I623" s="85">
        <f t="shared" si="72"/>
        <v>3.5185837720205687E-5</v>
      </c>
      <c r="J623" s="87">
        <v>1</v>
      </c>
      <c r="K623" s="88">
        <f t="shared" si="73"/>
        <v>28420.525552124167</v>
      </c>
    </row>
    <row r="624" spans="1:11" hidden="1" x14ac:dyDescent="0.25">
      <c r="A624" t="str">
        <f t="shared" si="71"/>
        <v>VESCØ4</v>
      </c>
      <c r="B624" s="81" t="s">
        <v>210</v>
      </c>
      <c r="D624" s="86">
        <v>4</v>
      </c>
      <c r="E624" s="85">
        <f t="shared" si="68"/>
        <v>4.0000000000000001E-3</v>
      </c>
      <c r="F624" s="85">
        <f t="shared" si="69"/>
        <v>2E-3</v>
      </c>
      <c r="G624" s="85">
        <f t="shared" si="70"/>
        <v>3.3510321638291127E-8</v>
      </c>
      <c r="H624" s="85">
        <v>2500</v>
      </c>
      <c r="I624" s="85">
        <f t="shared" si="72"/>
        <v>8.3775804095727818E-5</v>
      </c>
      <c r="J624" s="87">
        <v>1</v>
      </c>
      <c r="K624" s="88">
        <f t="shared" si="73"/>
        <v>11936.62073189215</v>
      </c>
    </row>
    <row r="625" spans="1:11" hidden="1" x14ac:dyDescent="0.25">
      <c r="A625" t="str">
        <f t="shared" si="71"/>
        <v>PA6.6Ø6,35</v>
      </c>
      <c r="B625" s="81" t="s">
        <v>244</v>
      </c>
      <c r="C625" s="101" t="s">
        <v>218</v>
      </c>
      <c r="D625" s="86">
        <f t="shared" ref="D625:D630" si="74">1/4*25.4</f>
        <v>6.35</v>
      </c>
      <c r="E625" s="85">
        <f t="shared" ref="E625:E655" si="75">D625/1000</f>
        <v>6.3499999999999997E-3</v>
      </c>
      <c r="F625" s="85">
        <f t="shared" ref="F625:F655" si="76">E625/2</f>
        <v>3.1749999999999999E-3</v>
      </c>
      <c r="G625" s="85">
        <f t="shared" ref="G625:G655" si="77">4/3*PI()*F625*F625*F625</f>
        <v>1.3406635384454623E-7</v>
      </c>
      <c r="H625" s="85">
        <v>1110</v>
      </c>
      <c r="I625" s="85">
        <f t="shared" si="72"/>
        <v>1.4881365276744632E-4</v>
      </c>
      <c r="J625" s="87">
        <v>1</v>
      </c>
      <c r="K625" s="88">
        <f t="shared" si="73"/>
        <v>6719.8135480399596</v>
      </c>
    </row>
    <row r="626" spans="1:11" hidden="1" x14ac:dyDescent="0.25">
      <c r="A626" t="str">
        <f t="shared" si="71"/>
        <v>PA6.6Ø6,35</v>
      </c>
      <c r="B626" s="81" t="s">
        <v>244</v>
      </c>
      <c r="C626" s="101" t="s">
        <v>218</v>
      </c>
      <c r="D626" s="86">
        <f t="shared" si="74"/>
        <v>6.35</v>
      </c>
      <c r="E626" s="85">
        <f t="shared" si="75"/>
        <v>6.3499999999999997E-3</v>
      </c>
      <c r="F626" s="85">
        <f t="shared" si="76"/>
        <v>3.1749999999999999E-3</v>
      </c>
      <c r="G626" s="85">
        <f t="shared" si="77"/>
        <v>1.3406635384454623E-7</v>
      </c>
      <c r="H626" s="85">
        <v>1110</v>
      </c>
      <c r="I626" s="85">
        <f t="shared" si="72"/>
        <v>1.4881365276744632E-4</v>
      </c>
      <c r="J626" s="87">
        <v>1</v>
      </c>
      <c r="K626" s="88">
        <f t="shared" si="73"/>
        <v>6719.8135480399596</v>
      </c>
    </row>
    <row r="627" spans="1:11" hidden="1" x14ac:dyDescent="0.25">
      <c r="A627" t="str">
        <f t="shared" si="71"/>
        <v>POMØ6,35</v>
      </c>
      <c r="B627" s="81" t="s">
        <v>201</v>
      </c>
      <c r="C627" s="101" t="s">
        <v>218</v>
      </c>
      <c r="D627" s="86">
        <f t="shared" si="74"/>
        <v>6.35</v>
      </c>
      <c r="E627" s="85">
        <f t="shared" si="75"/>
        <v>6.3499999999999997E-3</v>
      </c>
      <c r="F627" s="85">
        <f t="shared" si="76"/>
        <v>3.1749999999999999E-3</v>
      </c>
      <c r="G627" s="85">
        <f t="shared" si="77"/>
        <v>1.3406635384454623E-7</v>
      </c>
      <c r="H627" s="85">
        <v>1400</v>
      </c>
      <c r="I627" s="85">
        <f t="shared" si="72"/>
        <v>1.8769289538236473E-4</v>
      </c>
      <c r="J627" s="87">
        <v>1</v>
      </c>
      <c r="K627" s="88">
        <f t="shared" si="73"/>
        <v>5327.8521702316821</v>
      </c>
    </row>
    <row r="628" spans="1:11" hidden="1" x14ac:dyDescent="0.25">
      <c r="A628" t="str">
        <f t="shared" si="71"/>
        <v>POMØ6,35</v>
      </c>
      <c r="B628" s="81" t="s">
        <v>201</v>
      </c>
      <c r="C628" s="101" t="s">
        <v>218</v>
      </c>
      <c r="D628" s="86">
        <f t="shared" si="74"/>
        <v>6.35</v>
      </c>
      <c r="E628" s="85">
        <f t="shared" si="75"/>
        <v>6.3499999999999997E-3</v>
      </c>
      <c r="F628" s="85">
        <f t="shared" si="76"/>
        <v>3.1749999999999999E-3</v>
      </c>
      <c r="G628" s="85">
        <f t="shared" si="77"/>
        <v>1.3406635384454623E-7</v>
      </c>
      <c r="H628" s="85">
        <v>1400</v>
      </c>
      <c r="I628" s="85">
        <f t="shared" si="72"/>
        <v>1.8769289538236473E-4</v>
      </c>
      <c r="J628" s="87">
        <v>1</v>
      </c>
      <c r="K628" s="88">
        <f t="shared" si="73"/>
        <v>5327.8521702316821</v>
      </c>
    </row>
    <row r="629" spans="1:11" hidden="1" x14ac:dyDescent="0.25">
      <c r="A629" t="str">
        <f t="shared" si="71"/>
        <v>PPHØ6,35</v>
      </c>
      <c r="B629" s="81" t="s">
        <v>202</v>
      </c>
      <c r="C629" s="101" t="s">
        <v>218</v>
      </c>
      <c r="D629" s="86">
        <f t="shared" si="74"/>
        <v>6.35</v>
      </c>
      <c r="E629" s="85">
        <f t="shared" si="75"/>
        <v>6.3499999999999997E-3</v>
      </c>
      <c r="F629" s="85">
        <f t="shared" si="76"/>
        <v>3.1749999999999999E-3</v>
      </c>
      <c r="G629" s="85">
        <f t="shared" si="77"/>
        <v>1.3406635384454623E-7</v>
      </c>
      <c r="H629" s="85">
        <v>870</v>
      </c>
      <c r="I629" s="85">
        <f t="shared" si="72"/>
        <v>1.1663772784475523E-4</v>
      </c>
      <c r="J629" s="87">
        <v>1</v>
      </c>
      <c r="K629" s="88">
        <f t="shared" si="73"/>
        <v>8573.5552164647761</v>
      </c>
    </row>
    <row r="630" spans="1:11" hidden="1" x14ac:dyDescent="0.25">
      <c r="A630" t="str">
        <f t="shared" si="71"/>
        <v>PPHØ6,35</v>
      </c>
      <c r="B630" s="81" t="s">
        <v>202</v>
      </c>
      <c r="C630" s="101" t="s">
        <v>218</v>
      </c>
      <c r="D630" s="86">
        <f t="shared" si="74"/>
        <v>6.35</v>
      </c>
      <c r="E630" s="85">
        <f t="shared" si="75"/>
        <v>6.3499999999999997E-3</v>
      </c>
      <c r="F630" s="85">
        <f t="shared" si="76"/>
        <v>3.1749999999999999E-3</v>
      </c>
      <c r="G630" s="85">
        <f t="shared" si="77"/>
        <v>1.3406635384454623E-7</v>
      </c>
      <c r="H630" s="85">
        <v>870</v>
      </c>
      <c r="I630" s="85">
        <f t="shared" si="72"/>
        <v>1.1663772784475523E-4</v>
      </c>
      <c r="J630" s="87">
        <v>1</v>
      </c>
      <c r="K630" s="88">
        <f t="shared" si="73"/>
        <v>8573.5552164647761</v>
      </c>
    </row>
    <row r="631" spans="1:11" hidden="1" x14ac:dyDescent="0.25">
      <c r="A631" t="str">
        <f t="shared" si="71"/>
        <v>420CØ3,275</v>
      </c>
      <c r="B631" s="81" t="s">
        <v>295</v>
      </c>
      <c r="D631" s="86">
        <v>3.2749999999999999</v>
      </c>
      <c r="E631" s="85">
        <f t="shared" si="75"/>
        <v>3.2749999999999997E-3</v>
      </c>
      <c r="F631" s="85">
        <f t="shared" si="76"/>
        <v>1.6374999999999998E-3</v>
      </c>
      <c r="G631" s="85">
        <f t="shared" si="77"/>
        <v>1.8392151484899296E-8</v>
      </c>
      <c r="H631" s="85">
        <v>7700</v>
      </c>
      <c r="I631" s="85">
        <f t="shared" si="72"/>
        <v>1.4161956643372458E-4</v>
      </c>
      <c r="J631" s="87">
        <v>1</v>
      </c>
      <c r="K631" s="88">
        <f t="shared" si="73"/>
        <v>7061.1711727558641</v>
      </c>
    </row>
    <row r="632" spans="1:11" hidden="1" x14ac:dyDescent="0.25">
      <c r="A632" t="str">
        <f t="shared" si="71"/>
        <v>52100Ø19</v>
      </c>
      <c r="B632" s="81">
        <v>52100</v>
      </c>
      <c r="D632" s="86">
        <v>19</v>
      </c>
      <c r="E632" s="85">
        <f t="shared" si="75"/>
        <v>1.9E-2</v>
      </c>
      <c r="F632" s="85">
        <f t="shared" si="76"/>
        <v>9.4999999999999998E-3</v>
      </c>
      <c r="G632" s="85">
        <f t="shared" si="77"/>
        <v>3.5913640018287313E-6</v>
      </c>
      <c r="H632" s="85">
        <v>7800</v>
      </c>
      <c r="I632" s="85">
        <f t="shared" si="72"/>
        <v>2.8012639214264105E-2</v>
      </c>
      <c r="J632" s="87">
        <v>1</v>
      </c>
      <c r="K632" s="94">
        <f t="shared" si="73"/>
        <v>35.698171541466095</v>
      </c>
    </row>
    <row r="633" spans="1:11" hidden="1" x14ac:dyDescent="0.25">
      <c r="A633" t="str">
        <f t="shared" si="71"/>
        <v>Al2O3Ø10</v>
      </c>
      <c r="B633" s="81" t="s">
        <v>217</v>
      </c>
      <c r="D633" s="86">
        <v>10</v>
      </c>
      <c r="E633" s="85">
        <f t="shared" si="75"/>
        <v>0.01</v>
      </c>
      <c r="F633" s="85">
        <f t="shared" si="76"/>
        <v>5.0000000000000001E-3</v>
      </c>
      <c r="G633" s="85">
        <f t="shared" si="77"/>
        <v>5.2359877559829882E-7</v>
      </c>
      <c r="H633" s="85">
        <v>3900</v>
      </c>
      <c r="I633" s="85">
        <f t="shared" si="72"/>
        <v>2.0420352248333652E-3</v>
      </c>
      <c r="J633" s="87">
        <v>1</v>
      </c>
      <c r="K633" s="88">
        <f t="shared" si="73"/>
        <v>489.70751720583189</v>
      </c>
    </row>
    <row r="634" spans="1:11" hidden="1" x14ac:dyDescent="0.25">
      <c r="A634" t="str">
        <f t="shared" si="71"/>
        <v>52100Ø11,1</v>
      </c>
      <c r="B634" s="81">
        <v>52100</v>
      </c>
      <c r="D634" s="86">
        <v>11.1</v>
      </c>
      <c r="E634" s="85">
        <f t="shared" si="75"/>
        <v>1.11E-2</v>
      </c>
      <c r="F634" s="85">
        <f t="shared" si="76"/>
        <v>5.5500000000000002E-3</v>
      </c>
      <c r="G634" s="85">
        <f t="shared" si="77"/>
        <v>7.1608991707027712E-7</v>
      </c>
      <c r="H634" s="85">
        <v>7800</v>
      </c>
      <c r="I634" s="85">
        <f t="shared" si="72"/>
        <v>5.5855013531481614E-3</v>
      </c>
      <c r="J634" s="87">
        <v>1</v>
      </c>
      <c r="K634" s="88">
        <f t="shared" si="73"/>
        <v>179.03495796959552</v>
      </c>
    </row>
    <row r="635" spans="1:11" hidden="1" x14ac:dyDescent="0.25">
      <c r="A635" t="str">
        <f t="shared" si="71"/>
        <v>420CØ5</v>
      </c>
      <c r="B635" s="81" t="s">
        <v>295</v>
      </c>
      <c r="D635" s="86">
        <v>5</v>
      </c>
      <c r="E635" s="85">
        <f t="shared" si="75"/>
        <v>5.0000000000000001E-3</v>
      </c>
      <c r="F635" s="85">
        <f t="shared" si="76"/>
        <v>2.5000000000000001E-3</v>
      </c>
      <c r="G635" s="85">
        <f t="shared" si="77"/>
        <v>6.5449846949787352E-8</v>
      </c>
      <c r="H635" s="85">
        <v>7700</v>
      </c>
      <c r="I635" s="85">
        <f t="shared" si="72"/>
        <v>5.0396382151336261E-4</v>
      </c>
      <c r="J635" s="87">
        <v>1</v>
      </c>
      <c r="K635" s="88">
        <f t="shared" si="73"/>
        <v>1984.2694203664876</v>
      </c>
    </row>
    <row r="636" spans="1:11" hidden="1" x14ac:dyDescent="0.25">
      <c r="A636" t="str">
        <f t="shared" si="71"/>
        <v>316Ø6,746875</v>
      </c>
      <c r="B636" s="81">
        <v>316</v>
      </c>
      <c r="C636" s="101" t="s">
        <v>325</v>
      </c>
      <c r="D636" s="86">
        <f>17/64*25.4</f>
        <v>6.7468749999999993</v>
      </c>
      <c r="E636" s="85">
        <f t="shared" si="75"/>
        <v>6.7468749999999994E-3</v>
      </c>
      <c r="F636" s="85">
        <f t="shared" si="76"/>
        <v>3.3734374999999997E-3</v>
      </c>
      <c r="G636" s="85">
        <f t="shared" si="77"/>
        <v>1.6080761631793353E-7</v>
      </c>
      <c r="H636" s="85">
        <v>7950</v>
      </c>
      <c r="I636" s="85">
        <f t="shared" si="72"/>
        <v>1.2784205497275716E-3</v>
      </c>
      <c r="J636" s="87">
        <v>1</v>
      </c>
      <c r="K636" s="88">
        <f t="shared" si="73"/>
        <v>782.21521095941216</v>
      </c>
    </row>
    <row r="637" spans="1:11" hidden="1" x14ac:dyDescent="0.25">
      <c r="A637" t="str">
        <f t="shared" si="71"/>
        <v>POMØ3</v>
      </c>
      <c r="B637" s="81" t="s">
        <v>201</v>
      </c>
      <c r="D637" s="86">
        <v>3</v>
      </c>
      <c r="E637" s="85">
        <f t="shared" si="75"/>
        <v>3.0000000000000001E-3</v>
      </c>
      <c r="F637" s="85">
        <f t="shared" si="76"/>
        <v>1.5E-3</v>
      </c>
      <c r="G637" s="85">
        <f t="shared" si="77"/>
        <v>1.4137166941154068E-8</v>
      </c>
      <c r="H637" s="85">
        <v>1400</v>
      </c>
      <c r="I637" s="85">
        <f t="shared" si="72"/>
        <v>1.9792033717615694E-5</v>
      </c>
      <c r="J637" s="87">
        <v>1</v>
      </c>
      <c r="K637" s="88">
        <f t="shared" si="73"/>
        <v>50525.378759331863</v>
      </c>
    </row>
    <row r="638" spans="1:11" hidden="1" x14ac:dyDescent="0.25">
      <c r="A638" t="str">
        <f t="shared" si="71"/>
        <v>52100Ø1,5</v>
      </c>
      <c r="B638" s="81">
        <v>52100</v>
      </c>
      <c r="D638" s="86">
        <v>1.5</v>
      </c>
      <c r="E638" s="85">
        <f t="shared" si="75"/>
        <v>1.5E-3</v>
      </c>
      <c r="F638" s="85">
        <f t="shared" si="76"/>
        <v>7.5000000000000002E-4</v>
      </c>
      <c r="G638" s="85">
        <f t="shared" si="77"/>
        <v>1.7671458676442585E-9</v>
      </c>
      <c r="H638" s="88">
        <v>7800</v>
      </c>
      <c r="I638" s="85">
        <f t="shared" si="72"/>
        <v>1.3783737767625217E-5</v>
      </c>
      <c r="J638" s="87">
        <v>1</v>
      </c>
      <c r="K638" s="88">
        <f t="shared" si="73"/>
        <v>72549.261808271374</v>
      </c>
    </row>
    <row r="639" spans="1:11" hidden="1" x14ac:dyDescent="0.25">
      <c r="A639" t="str">
        <f t="shared" si="71"/>
        <v>316LØ8</v>
      </c>
      <c r="B639" s="81" t="s">
        <v>298</v>
      </c>
      <c r="D639" s="86">
        <v>8</v>
      </c>
      <c r="E639" s="85">
        <f t="shared" si="75"/>
        <v>8.0000000000000002E-3</v>
      </c>
      <c r="F639" s="85">
        <f t="shared" si="76"/>
        <v>4.0000000000000001E-3</v>
      </c>
      <c r="G639" s="85">
        <f t="shared" si="77"/>
        <v>2.6808257310632902E-7</v>
      </c>
      <c r="H639" s="85">
        <v>7950</v>
      </c>
      <c r="I639" s="85">
        <f t="shared" si="72"/>
        <v>2.1312564561953157E-3</v>
      </c>
      <c r="J639" s="87">
        <v>1</v>
      </c>
      <c r="K639" s="88">
        <f t="shared" si="73"/>
        <v>469.20678977563483</v>
      </c>
    </row>
    <row r="640" spans="1:11" hidden="1" x14ac:dyDescent="0.25">
      <c r="A640" t="str">
        <f t="shared" si="71"/>
        <v>316Ø3,96875</v>
      </c>
      <c r="B640" s="81">
        <v>316</v>
      </c>
      <c r="C640" s="101" t="s">
        <v>215</v>
      </c>
      <c r="D640" s="86">
        <f>5/32*25.4</f>
        <v>3.96875</v>
      </c>
      <c r="E640" s="85">
        <f t="shared" si="75"/>
        <v>3.9687500000000001E-3</v>
      </c>
      <c r="F640" s="85">
        <f t="shared" si="76"/>
        <v>1.984375E-3</v>
      </c>
      <c r="G640" s="85">
        <f t="shared" si="77"/>
        <v>3.2731043419078684E-8</v>
      </c>
      <c r="H640" s="85">
        <v>7950</v>
      </c>
      <c r="I640" s="85">
        <f t="shared" si="72"/>
        <v>2.6021179518167554E-4</v>
      </c>
      <c r="J640" s="87">
        <v>1</v>
      </c>
      <c r="K640" s="88">
        <f t="shared" si="73"/>
        <v>3843.0233314435905</v>
      </c>
    </row>
    <row r="641" spans="1:11" hidden="1" x14ac:dyDescent="0.25">
      <c r="A641" t="str">
        <f t="shared" si="71"/>
        <v>Si3N4Ø1,5875</v>
      </c>
      <c r="B641" s="81" t="s">
        <v>207</v>
      </c>
      <c r="C641" s="101" t="s">
        <v>246</v>
      </c>
      <c r="D641" s="86">
        <f>1/16*25.4</f>
        <v>1.5874999999999999</v>
      </c>
      <c r="E641" s="85">
        <f t="shared" si="75"/>
        <v>1.5874999999999999E-3</v>
      </c>
      <c r="F641" s="85">
        <f t="shared" si="76"/>
        <v>7.9374999999999997E-4</v>
      </c>
      <c r="G641" s="85">
        <f t="shared" si="77"/>
        <v>2.0947867788210349E-9</v>
      </c>
      <c r="H641" s="88">
        <v>3246.9293401306199</v>
      </c>
      <c r="I641" s="85">
        <f t="shared" si="72"/>
        <v>6.8016246534717294E-6</v>
      </c>
      <c r="J641" s="87">
        <v>1</v>
      </c>
      <c r="K641" s="85">
        <f t="shared" si="73"/>
        <v>147023.69668246448</v>
      </c>
    </row>
    <row r="642" spans="1:11" hidden="1" x14ac:dyDescent="0.25">
      <c r="A642" t="str">
        <f t="shared" si="71"/>
        <v>Si3N4Ø1,5875</v>
      </c>
      <c r="B642" s="81" t="s">
        <v>207</v>
      </c>
      <c r="C642" s="101" t="s">
        <v>246</v>
      </c>
      <c r="D642" s="86">
        <f>1/16*25.4</f>
        <v>1.5874999999999999</v>
      </c>
      <c r="E642" s="85">
        <f t="shared" si="75"/>
        <v>1.5874999999999999E-3</v>
      </c>
      <c r="F642" s="85">
        <f t="shared" si="76"/>
        <v>7.9374999999999997E-4</v>
      </c>
      <c r="G642" s="85">
        <f t="shared" si="77"/>
        <v>2.0947867788210349E-9</v>
      </c>
      <c r="H642" s="88">
        <v>3260</v>
      </c>
      <c r="I642" s="85">
        <f t="shared" si="72"/>
        <v>6.8290048989565737E-6</v>
      </c>
      <c r="J642" s="87">
        <v>1</v>
      </c>
      <c r="K642" s="88">
        <f t="shared" si="73"/>
        <v>146434.21915728797</v>
      </c>
    </row>
    <row r="643" spans="1:11" hidden="1" x14ac:dyDescent="0.25">
      <c r="A643" t="str">
        <f t="shared" si="71"/>
        <v>Si3N4Ø1,5875</v>
      </c>
      <c r="B643" s="81" t="s">
        <v>207</v>
      </c>
      <c r="C643" s="101" t="s">
        <v>246</v>
      </c>
      <c r="D643" s="86">
        <f>1/16*25.4</f>
        <v>1.5874999999999999</v>
      </c>
      <c r="E643" s="85">
        <f t="shared" si="75"/>
        <v>1.5874999999999999E-3</v>
      </c>
      <c r="F643" s="85">
        <f t="shared" si="76"/>
        <v>7.9374999999999997E-4</v>
      </c>
      <c r="G643" s="85">
        <f t="shared" si="77"/>
        <v>2.0947867788210349E-9</v>
      </c>
      <c r="H643" s="88">
        <v>3231.832503645177</v>
      </c>
      <c r="I643" s="85">
        <f t="shared" si="72"/>
        <v>6.7700000000000004E-6</v>
      </c>
      <c r="J643" s="87">
        <v>1</v>
      </c>
      <c r="K643" s="88">
        <f t="shared" si="73"/>
        <v>147710.48744460856</v>
      </c>
    </row>
    <row r="644" spans="1:11" hidden="1" x14ac:dyDescent="0.25">
      <c r="A644" t="str">
        <f t="shared" ref="A644:A707" si="78">CONCATENATE(B644,"Ø",D644)</f>
        <v>Al2O3Ø7</v>
      </c>
      <c r="B644" s="81" t="s">
        <v>217</v>
      </c>
      <c r="D644" s="86">
        <v>7</v>
      </c>
      <c r="E644" s="85">
        <f t="shared" si="75"/>
        <v>7.0000000000000001E-3</v>
      </c>
      <c r="F644" s="85">
        <f t="shared" si="76"/>
        <v>3.5000000000000001E-3</v>
      </c>
      <c r="G644" s="85">
        <f t="shared" si="77"/>
        <v>1.7959438003021651E-7</v>
      </c>
      <c r="H644" s="85">
        <v>3900</v>
      </c>
      <c r="I644" s="85">
        <f t="shared" si="72"/>
        <v>7.0041808211784439E-4</v>
      </c>
      <c r="J644" s="87">
        <v>1</v>
      </c>
      <c r="K644" s="88">
        <f t="shared" si="73"/>
        <v>1427.7187090549032</v>
      </c>
    </row>
    <row r="645" spans="1:11" hidden="1" x14ac:dyDescent="0.25">
      <c r="A645" t="str">
        <f t="shared" si="78"/>
        <v>Al2O3Ø7</v>
      </c>
      <c r="B645" s="81" t="s">
        <v>217</v>
      </c>
      <c r="D645" s="86">
        <v>7</v>
      </c>
      <c r="E645" s="85">
        <f t="shared" si="75"/>
        <v>7.0000000000000001E-3</v>
      </c>
      <c r="F645" s="85">
        <f t="shared" si="76"/>
        <v>3.5000000000000001E-3</v>
      </c>
      <c r="G645" s="85">
        <f t="shared" si="77"/>
        <v>1.7959438003021651E-7</v>
      </c>
      <c r="H645" s="88">
        <v>3624.2219183581851</v>
      </c>
      <c r="I645" s="85">
        <f t="shared" si="72"/>
        <v>6.5088988851946025E-4</v>
      </c>
      <c r="J645" s="87">
        <v>1</v>
      </c>
      <c r="K645" s="88">
        <f t="shared" si="73"/>
        <v>1536.3581730769229</v>
      </c>
    </row>
    <row r="646" spans="1:11" hidden="1" x14ac:dyDescent="0.25">
      <c r="A646" t="str">
        <f t="shared" si="78"/>
        <v>Al2O3Ø7</v>
      </c>
      <c r="B646" s="81" t="s">
        <v>217</v>
      </c>
      <c r="D646" s="86">
        <v>7</v>
      </c>
      <c r="E646" s="85">
        <f t="shared" si="75"/>
        <v>7.0000000000000001E-3</v>
      </c>
      <c r="F646" s="85">
        <f t="shared" si="76"/>
        <v>3.5000000000000001E-3</v>
      </c>
      <c r="G646" s="85">
        <f t="shared" si="77"/>
        <v>1.7959438003021651E-7</v>
      </c>
      <c r="H646" s="88">
        <v>3705.0157131200172</v>
      </c>
      <c r="I646" s="85">
        <f t="shared" si="72"/>
        <v>6.6540000000000002E-4</v>
      </c>
      <c r="J646" s="87">
        <v>1</v>
      </c>
      <c r="K646" s="88">
        <f t="shared" si="73"/>
        <v>1502.8554253080854</v>
      </c>
    </row>
    <row r="647" spans="1:11" hidden="1" x14ac:dyDescent="0.25">
      <c r="A647" t="str">
        <f t="shared" si="78"/>
        <v>VESCØ9</v>
      </c>
      <c r="B647" s="81" t="s">
        <v>210</v>
      </c>
      <c r="D647" s="86">
        <v>9</v>
      </c>
      <c r="E647" s="85">
        <f t="shared" si="75"/>
        <v>8.9999999999999993E-3</v>
      </c>
      <c r="F647" s="85">
        <f t="shared" si="76"/>
        <v>4.4999999999999997E-3</v>
      </c>
      <c r="G647" s="85">
        <f t="shared" si="77"/>
        <v>3.8170350741115974E-7</v>
      </c>
      <c r="H647" s="85">
        <v>2500</v>
      </c>
      <c r="I647" s="85">
        <f t="shared" si="72"/>
        <v>9.5425876852789934E-4</v>
      </c>
      <c r="J647" s="87">
        <v>1</v>
      </c>
      <c r="K647" s="88">
        <f t="shared" si="73"/>
        <v>1047.9337816750315</v>
      </c>
    </row>
    <row r="648" spans="1:11" hidden="1" x14ac:dyDescent="0.25">
      <c r="A648" t="str">
        <f t="shared" si="78"/>
        <v>304Ø4,01</v>
      </c>
      <c r="B648" s="81">
        <v>304</v>
      </c>
      <c r="D648" s="86">
        <v>4.01</v>
      </c>
      <c r="E648" s="85">
        <f t="shared" si="75"/>
        <v>4.0099999999999997E-3</v>
      </c>
      <c r="F648" s="85">
        <f t="shared" si="76"/>
        <v>2.0049999999999998E-3</v>
      </c>
      <c r="G648" s="85">
        <f t="shared" si="77"/>
        <v>3.3762277892707796E-8</v>
      </c>
      <c r="H648" s="85">
        <v>7950</v>
      </c>
      <c r="I648" s="85">
        <f t="shared" si="72"/>
        <v>2.6841010924702697E-4</v>
      </c>
      <c r="J648" s="87">
        <v>1</v>
      </c>
      <c r="K648" s="88">
        <f t="shared" si="73"/>
        <v>3725.6420885387215</v>
      </c>
    </row>
    <row r="649" spans="1:11" hidden="1" x14ac:dyDescent="0.25">
      <c r="A649" t="str">
        <f t="shared" si="78"/>
        <v>304Ø4,05</v>
      </c>
      <c r="B649" s="81">
        <v>304</v>
      </c>
      <c r="D649" s="86">
        <v>4.05</v>
      </c>
      <c r="E649" s="85">
        <f t="shared" si="75"/>
        <v>4.0499999999999998E-3</v>
      </c>
      <c r="F649" s="85">
        <f t="shared" si="76"/>
        <v>2.0249999999999999E-3</v>
      </c>
      <c r="G649" s="85">
        <f t="shared" si="77"/>
        <v>3.478273211284193E-8</v>
      </c>
      <c r="H649" s="85">
        <v>7950</v>
      </c>
      <c r="I649" s="85">
        <f t="shared" si="72"/>
        <v>2.7652272029709337E-4</v>
      </c>
      <c r="J649" s="87">
        <v>1</v>
      </c>
      <c r="K649" s="88">
        <f t="shared" si="73"/>
        <v>3616.3393696026483</v>
      </c>
    </row>
    <row r="650" spans="1:11" hidden="1" x14ac:dyDescent="0.25">
      <c r="A650" t="str">
        <f t="shared" si="78"/>
        <v>52100Ø3,1</v>
      </c>
      <c r="B650" s="81">
        <v>52100</v>
      </c>
      <c r="D650" s="86">
        <v>3.1</v>
      </c>
      <c r="E650" s="85">
        <f t="shared" si="75"/>
        <v>3.0999999999999999E-3</v>
      </c>
      <c r="F650" s="85">
        <f t="shared" si="76"/>
        <v>1.5499999999999999E-3</v>
      </c>
      <c r="G650" s="85">
        <f t="shared" si="77"/>
        <v>1.5598531123848918E-8</v>
      </c>
      <c r="H650" s="88">
        <v>7800</v>
      </c>
      <c r="I650" s="85">
        <f t="shared" si="72"/>
        <v>1.2166854276602155E-4</v>
      </c>
      <c r="J650" s="87">
        <v>1</v>
      </c>
      <c r="K650" s="88">
        <f t="shared" si="73"/>
        <v>8219.051344463629</v>
      </c>
    </row>
    <row r="651" spans="1:11" hidden="1" x14ac:dyDescent="0.25">
      <c r="A651" t="str">
        <f t="shared" si="78"/>
        <v>PTFEØ4</v>
      </c>
      <c r="B651" s="81" t="s">
        <v>307</v>
      </c>
      <c r="D651" s="86">
        <v>4</v>
      </c>
      <c r="E651" s="85">
        <f t="shared" si="75"/>
        <v>4.0000000000000001E-3</v>
      </c>
      <c r="F651" s="85">
        <f t="shared" si="76"/>
        <v>2E-3</v>
      </c>
      <c r="G651" s="85">
        <f t="shared" si="77"/>
        <v>3.3510321638291127E-8</v>
      </c>
      <c r="H651" s="85">
        <v>2160</v>
      </c>
      <c r="I651" s="85">
        <f t="shared" si="72"/>
        <v>7.2382294738708834E-5</v>
      </c>
      <c r="J651" s="87">
        <v>1</v>
      </c>
      <c r="K651" s="88">
        <f t="shared" si="73"/>
        <v>13815.533254504804</v>
      </c>
    </row>
    <row r="652" spans="1:11" hidden="1" x14ac:dyDescent="0.25">
      <c r="A652" t="str">
        <f t="shared" si="78"/>
        <v>PA6.6Ø4</v>
      </c>
      <c r="B652" s="81" t="s">
        <v>244</v>
      </c>
      <c r="D652" s="86">
        <v>4</v>
      </c>
      <c r="E652" s="85">
        <f t="shared" si="75"/>
        <v>4.0000000000000001E-3</v>
      </c>
      <c r="F652" s="85">
        <f t="shared" si="76"/>
        <v>2E-3</v>
      </c>
      <c r="G652" s="85">
        <f t="shared" si="77"/>
        <v>3.3510321638291127E-8</v>
      </c>
      <c r="H652" s="85">
        <v>1110</v>
      </c>
      <c r="I652" s="85">
        <f t="shared" si="72"/>
        <v>3.7196457018503148E-5</v>
      </c>
      <c r="J652" s="87">
        <v>1</v>
      </c>
      <c r="K652" s="88">
        <f t="shared" si="73"/>
        <v>26884.280927685028</v>
      </c>
    </row>
    <row r="653" spans="1:11" hidden="1" x14ac:dyDescent="0.25">
      <c r="A653" t="str">
        <f t="shared" si="78"/>
        <v>VESCØ4</v>
      </c>
      <c r="B653" s="81" t="s">
        <v>210</v>
      </c>
      <c r="D653" s="86">
        <v>4</v>
      </c>
      <c r="E653" s="85">
        <f t="shared" si="75"/>
        <v>4.0000000000000001E-3</v>
      </c>
      <c r="F653" s="85">
        <f t="shared" si="76"/>
        <v>2E-3</v>
      </c>
      <c r="G653" s="85">
        <f t="shared" si="77"/>
        <v>3.3510321638291127E-8</v>
      </c>
      <c r="H653" s="85">
        <v>2500</v>
      </c>
      <c r="I653" s="85">
        <f t="shared" si="72"/>
        <v>8.3775804095727818E-5</v>
      </c>
      <c r="J653" s="87">
        <v>1</v>
      </c>
      <c r="K653" s="88">
        <f t="shared" si="73"/>
        <v>11936.62073189215</v>
      </c>
    </row>
    <row r="654" spans="1:11" hidden="1" x14ac:dyDescent="0.25">
      <c r="A654" t="str">
        <f t="shared" si="78"/>
        <v>WC-CoØ2,778125</v>
      </c>
      <c r="B654" s="81" t="s">
        <v>297</v>
      </c>
      <c r="C654" s="101" t="s">
        <v>247</v>
      </c>
      <c r="D654" s="86">
        <f>7/64*25.4</f>
        <v>2.7781249999999997</v>
      </c>
      <c r="E654" s="85">
        <f t="shared" si="75"/>
        <v>2.7781249999999998E-3</v>
      </c>
      <c r="F654" s="85">
        <f t="shared" si="76"/>
        <v>1.3890624999999999E-3</v>
      </c>
      <c r="G654" s="85">
        <f t="shared" si="77"/>
        <v>1.1226747892743984E-8</v>
      </c>
      <c r="H654" s="85">
        <v>14950</v>
      </c>
      <c r="I654" s="85">
        <f t="shared" si="72"/>
        <v>1.6783988099652256E-4</v>
      </c>
      <c r="J654" s="87">
        <v>1</v>
      </c>
      <c r="K654" s="88">
        <f t="shared" si="73"/>
        <v>5958.059515191856</v>
      </c>
    </row>
    <row r="655" spans="1:11" hidden="1" x14ac:dyDescent="0.25">
      <c r="A655" t="str">
        <f t="shared" si="78"/>
        <v>WC-CoØ2,778125</v>
      </c>
      <c r="B655" s="81" t="s">
        <v>297</v>
      </c>
      <c r="C655" s="101" t="s">
        <v>247</v>
      </c>
      <c r="D655" s="86">
        <f>7/64*25.4</f>
        <v>2.7781249999999997</v>
      </c>
      <c r="E655" s="85">
        <f t="shared" si="75"/>
        <v>2.7781249999999998E-3</v>
      </c>
      <c r="F655" s="85">
        <f t="shared" si="76"/>
        <v>1.3890624999999999E-3</v>
      </c>
      <c r="G655" s="85">
        <f t="shared" si="77"/>
        <v>1.1226747892743984E-8</v>
      </c>
      <c r="H655" s="88">
        <v>14876.446128853338</v>
      </c>
      <c r="I655" s="85">
        <f t="shared" si="72"/>
        <v>1.6701411022862362E-4</v>
      </c>
      <c r="J655" s="87">
        <v>1</v>
      </c>
      <c r="K655" s="88">
        <f t="shared" si="73"/>
        <v>5987.5180524035486</v>
      </c>
    </row>
    <row r="656" spans="1:11" hidden="1" x14ac:dyDescent="0.25">
      <c r="A656" t="str">
        <f t="shared" si="78"/>
        <v>WC-CoØ2,778125</v>
      </c>
      <c r="B656" s="81" t="s">
        <v>297</v>
      </c>
      <c r="C656" s="101" t="s">
        <v>247</v>
      </c>
      <c r="D656" s="86">
        <v>2.7781249999999997</v>
      </c>
      <c r="E656" s="85">
        <v>2.7781249999999998E-3</v>
      </c>
      <c r="F656" s="85">
        <v>1.3890624999999999E-3</v>
      </c>
      <c r="G656" s="85">
        <v>1.1226747892743984E-8</v>
      </c>
      <c r="H656" s="85">
        <v>14980</v>
      </c>
      <c r="I656" s="85">
        <f t="shared" si="72"/>
        <v>1.6817668343330487E-4</v>
      </c>
      <c r="J656" s="87">
        <v>1</v>
      </c>
      <c r="K656" s="88">
        <f t="shared" si="73"/>
        <v>5946.1274867902703</v>
      </c>
    </row>
    <row r="657" spans="1:11" hidden="1" x14ac:dyDescent="0.25">
      <c r="A657" t="str">
        <f t="shared" si="78"/>
        <v>PTFEØ6,35</v>
      </c>
      <c r="B657" s="81" t="s">
        <v>307</v>
      </c>
      <c r="C657" s="101" t="s">
        <v>218</v>
      </c>
      <c r="D657" s="86">
        <f>1/4*25.4</f>
        <v>6.35</v>
      </c>
      <c r="E657" s="85">
        <f t="shared" ref="E657:E694" si="79">D657/1000</f>
        <v>6.3499999999999997E-3</v>
      </c>
      <c r="F657" s="85">
        <f t="shared" ref="F657:F694" si="80">E657/2</f>
        <v>3.1749999999999999E-3</v>
      </c>
      <c r="G657" s="85">
        <f t="shared" ref="G657:G694" si="81">4/3*PI()*F657*F657*F657</f>
        <v>1.3406635384454623E-7</v>
      </c>
      <c r="H657" s="85">
        <v>2160</v>
      </c>
      <c r="I657" s="85">
        <f t="shared" si="72"/>
        <v>2.8958332430421987E-4</v>
      </c>
      <c r="J657" s="87">
        <v>1</v>
      </c>
      <c r="K657" s="88">
        <f t="shared" si="73"/>
        <v>3453.2375177427571</v>
      </c>
    </row>
    <row r="658" spans="1:11" hidden="1" x14ac:dyDescent="0.25">
      <c r="A658" t="str">
        <f t="shared" si="78"/>
        <v>SiCØ13</v>
      </c>
      <c r="B658" s="81" t="s">
        <v>326</v>
      </c>
      <c r="D658" s="86">
        <v>13</v>
      </c>
      <c r="E658" s="85">
        <f t="shared" si="79"/>
        <v>1.2999999999999999E-2</v>
      </c>
      <c r="F658" s="85">
        <f t="shared" si="80"/>
        <v>6.4999999999999997E-3</v>
      </c>
      <c r="G658" s="85">
        <f t="shared" si="81"/>
        <v>1.1503465099894625E-6</v>
      </c>
      <c r="H658" s="85">
        <v>3150</v>
      </c>
      <c r="I658" s="85">
        <f t="shared" si="72"/>
        <v>3.6235915064668067E-3</v>
      </c>
      <c r="J658" s="87">
        <v>1</v>
      </c>
      <c r="K658" s="94">
        <f t="shared" si="73"/>
        <v>275.969296819291</v>
      </c>
    </row>
    <row r="659" spans="1:11" hidden="1" x14ac:dyDescent="0.25">
      <c r="A659" t="str">
        <f t="shared" si="78"/>
        <v>304Ø1,5875</v>
      </c>
      <c r="B659" s="81">
        <v>304</v>
      </c>
      <c r="C659" s="101" t="s">
        <v>246</v>
      </c>
      <c r="D659" s="86">
        <f>1/16*25.4</f>
        <v>1.5874999999999999</v>
      </c>
      <c r="E659" s="85">
        <f t="shared" si="79"/>
        <v>1.5874999999999999E-3</v>
      </c>
      <c r="F659" s="85">
        <f t="shared" si="80"/>
        <v>7.9374999999999997E-4</v>
      </c>
      <c r="G659" s="85">
        <f t="shared" si="81"/>
        <v>2.0947867788210349E-9</v>
      </c>
      <c r="H659" s="85">
        <v>7950</v>
      </c>
      <c r="I659" s="85">
        <f t="shared" si="72"/>
        <v>1.6653554891627226E-5</v>
      </c>
      <c r="J659" s="87">
        <v>1</v>
      </c>
      <c r="K659" s="88">
        <f t="shared" si="73"/>
        <v>60047.239553806132</v>
      </c>
    </row>
    <row r="660" spans="1:11" hidden="1" x14ac:dyDescent="0.25">
      <c r="A660" t="str">
        <f t="shared" si="78"/>
        <v>POMØ3,175</v>
      </c>
      <c r="B660" s="81" t="s">
        <v>201</v>
      </c>
      <c r="C660" s="101" t="s">
        <v>214</v>
      </c>
      <c r="D660" s="86">
        <f>1/8*25.4</f>
        <v>3.1749999999999998</v>
      </c>
      <c r="E660" s="85">
        <f t="shared" si="79"/>
        <v>3.1749999999999999E-3</v>
      </c>
      <c r="F660" s="85">
        <f t="shared" si="80"/>
        <v>1.5874999999999999E-3</v>
      </c>
      <c r="G660" s="85">
        <f t="shared" si="81"/>
        <v>1.6758294230568279E-8</v>
      </c>
      <c r="H660" s="85">
        <v>1370</v>
      </c>
      <c r="I660" s="85">
        <f t="shared" si="72"/>
        <v>2.2958863095878543E-5</v>
      </c>
      <c r="J660" s="87">
        <v>1</v>
      </c>
      <c r="K660" s="88">
        <f t="shared" si="73"/>
        <v>43556.16372744149</v>
      </c>
    </row>
    <row r="661" spans="1:11" hidden="1" x14ac:dyDescent="0.25">
      <c r="A661" t="str">
        <f t="shared" si="78"/>
        <v>420CØ3,275</v>
      </c>
      <c r="B661" s="81" t="s">
        <v>295</v>
      </c>
      <c r="D661" s="86">
        <v>3.2749999999999999</v>
      </c>
      <c r="E661" s="85">
        <f t="shared" si="79"/>
        <v>3.2749999999999997E-3</v>
      </c>
      <c r="F661" s="85">
        <f t="shared" si="80"/>
        <v>1.6374999999999998E-3</v>
      </c>
      <c r="G661" s="85">
        <f t="shared" si="81"/>
        <v>1.8392151484899296E-8</v>
      </c>
      <c r="H661" s="85">
        <v>7700</v>
      </c>
      <c r="I661" s="85">
        <f t="shared" si="72"/>
        <v>1.4161956643372458E-4</v>
      </c>
      <c r="J661" s="87">
        <v>1</v>
      </c>
      <c r="K661" s="88">
        <f t="shared" si="73"/>
        <v>7061.1711727558641</v>
      </c>
    </row>
    <row r="662" spans="1:11" hidden="1" x14ac:dyDescent="0.25">
      <c r="A662" t="str">
        <f t="shared" si="78"/>
        <v>1010Ø3,96875</v>
      </c>
      <c r="B662" s="81">
        <v>1010</v>
      </c>
      <c r="C662" s="101" t="s">
        <v>215</v>
      </c>
      <c r="D662" s="86">
        <f>5/32*25.4</f>
        <v>3.96875</v>
      </c>
      <c r="E662" s="85">
        <f t="shared" si="79"/>
        <v>3.9687500000000001E-3</v>
      </c>
      <c r="F662" s="85">
        <f t="shared" si="80"/>
        <v>1.984375E-3</v>
      </c>
      <c r="G662" s="85">
        <f t="shared" si="81"/>
        <v>3.2731043419078684E-8</v>
      </c>
      <c r="H662" s="85">
        <v>7820</v>
      </c>
      <c r="I662" s="85">
        <f t="shared" si="72"/>
        <v>2.5595675953719529E-4</v>
      </c>
      <c r="J662" s="87">
        <v>1</v>
      </c>
      <c r="K662" s="88">
        <f t="shared" si="73"/>
        <v>3906.9099085647758</v>
      </c>
    </row>
    <row r="663" spans="1:11" hidden="1" x14ac:dyDescent="0.25">
      <c r="A663" t="str">
        <f t="shared" si="78"/>
        <v>420CØ15</v>
      </c>
      <c r="B663" s="81" t="s">
        <v>295</v>
      </c>
      <c r="D663" s="86">
        <v>15</v>
      </c>
      <c r="E663" s="85">
        <f t="shared" si="79"/>
        <v>1.4999999999999999E-2</v>
      </c>
      <c r="F663" s="85">
        <f t="shared" si="80"/>
        <v>7.4999999999999997E-3</v>
      </c>
      <c r="G663" s="85">
        <f t="shared" si="81"/>
        <v>1.7671458676442584E-6</v>
      </c>
      <c r="H663" s="85">
        <v>7700</v>
      </c>
      <c r="I663" s="85">
        <f t="shared" si="72"/>
        <v>1.3607023180860789E-2</v>
      </c>
      <c r="J663" s="87">
        <v>1</v>
      </c>
      <c r="K663" s="94">
        <f t="shared" si="73"/>
        <v>73.491460013573615</v>
      </c>
    </row>
    <row r="664" spans="1:11" hidden="1" x14ac:dyDescent="0.25">
      <c r="A664" t="str">
        <f t="shared" si="78"/>
        <v>304Ø15</v>
      </c>
      <c r="B664" s="81">
        <v>304</v>
      </c>
      <c r="D664" s="86">
        <v>15</v>
      </c>
      <c r="E664" s="85">
        <f t="shared" si="79"/>
        <v>1.4999999999999999E-2</v>
      </c>
      <c r="F664" s="85">
        <f t="shared" si="80"/>
        <v>7.4999999999999997E-3</v>
      </c>
      <c r="G664" s="85">
        <f t="shared" si="81"/>
        <v>1.7671458676442584E-6</v>
      </c>
      <c r="H664" s="85">
        <v>7950</v>
      </c>
      <c r="I664" s="85">
        <f t="shared" si="72"/>
        <v>1.4048809647771854E-2</v>
      </c>
      <c r="J664" s="87">
        <v>1</v>
      </c>
      <c r="K664" s="94">
        <f t="shared" si="73"/>
        <v>71.180407811888912</v>
      </c>
    </row>
    <row r="665" spans="1:11" hidden="1" x14ac:dyDescent="0.25">
      <c r="A665" t="str">
        <f t="shared" si="78"/>
        <v>420CØ20</v>
      </c>
      <c r="B665" s="81" t="s">
        <v>295</v>
      </c>
      <c r="D665" s="86">
        <v>20</v>
      </c>
      <c r="E665" s="85">
        <f t="shared" si="79"/>
        <v>0.02</v>
      </c>
      <c r="F665" s="85">
        <f t="shared" si="80"/>
        <v>0.01</v>
      </c>
      <c r="G665" s="85">
        <f t="shared" si="81"/>
        <v>4.1887902047863905E-6</v>
      </c>
      <c r="H665" s="85">
        <v>7700</v>
      </c>
      <c r="I665" s="85">
        <f t="shared" si="72"/>
        <v>3.2253684576855207E-2</v>
      </c>
      <c r="J665" s="87">
        <v>1</v>
      </c>
      <c r="K665" s="94">
        <f t="shared" si="73"/>
        <v>31.004209693226368</v>
      </c>
    </row>
    <row r="666" spans="1:11" hidden="1" x14ac:dyDescent="0.25">
      <c r="A666" t="str">
        <f t="shared" si="78"/>
        <v>304Ø20</v>
      </c>
      <c r="B666" s="81">
        <v>304</v>
      </c>
      <c r="D666" s="86">
        <v>20</v>
      </c>
      <c r="E666" s="85">
        <f t="shared" si="79"/>
        <v>0.02</v>
      </c>
      <c r="F666" s="85">
        <f t="shared" si="80"/>
        <v>0.01</v>
      </c>
      <c r="G666" s="85">
        <f t="shared" si="81"/>
        <v>4.1887902047863905E-6</v>
      </c>
      <c r="H666" s="85">
        <v>7950</v>
      </c>
      <c r="I666" s="85">
        <f t="shared" si="72"/>
        <v>3.3300882128051802E-2</v>
      </c>
      <c r="J666" s="87">
        <v>1</v>
      </c>
      <c r="K666" s="94">
        <f t="shared" si="73"/>
        <v>30.029234545640634</v>
      </c>
    </row>
    <row r="667" spans="1:11" hidden="1" x14ac:dyDescent="0.25">
      <c r="A667" t="str">
        <f t="shared" si="78"/>
        <v>WC-CoØ1,984375</v>
      </c>
      <c r="B667" s="81" t="s">
        <v>297</v>
      </c>
      <c r="C667" s="101" t="s">
        <v>327</v>
      </c>
      <c r="D667" s="86">
        <f>5/64*25.4</f>
        <v>1.984375</v>
      </c>
      <c r="E667" s="85">
        <f t="shared" si="79"/>
        <v>1.984375E-3</v>
      </c>
      <c r="F667" s="85">
        <f t="shared" si="80"/>
        <v>9.9218750000000001E-4</v>
      </c>
      <c r="G667" s="85">
        <f t="shared" si="81"/>
        <v>4.0913804273848354E-9</v>
      </c>
      <c r="H667" s="88">
        <v>14950</v>
      </c>
      <c r="I667" s="85">
        <f t="shared" si="72"/>
        <v>6.1166137389403284E-5</v>
      </c>
      <c r="J667" s="87">
        <v>1</v>
      </c>
      <c r="K667" s="88">
        <f t="shared" si="73"/>
        <v>16348.915309686448</v>
      </c>
    </row>
    <row r="668" spans="1:11" hidden="1" x14ac:dyDescent="0.25">
      <c r="A668" t="str">
        <f t="shared" si="78"/>
        <v>52100Ø10</v>
      </c>
      <c r="B668" s="81">
        <v>52100</v>
      </c>
      <c r="D668" s="86">
        <v>10</v>
      </c>
      <c r="E668" s="85">
        <f t="shared" si="79"/>
        <v>0.01</v>
      </c>
      <c r="F668" s="85">
        <f t="shared" si="80"/>
        <v>5.0000000000000001E-3</v>
      </c>
      <c r="G668" s="85">
        <f t="shared" si="81"/>
        <v>5.2359877559829882E-7</v>
      </c>
      <c r="H668" s="85">
        <v>7800</v>
      </c>
      <c r="I668" s="85">
        <f t="shared" si="72"/>
        <v>4.0840704496667305E-3</v>
      </c>
      <c r="J668" s="87">
        <v>1</v>
      </c>
      <c r="K668" s="88">
        <f t="shared" si="73"/>
        <v>244.85375860291595</v>
      </c>
    </row>
    <row r="669" spans="1:11" hidden="1" x14ac:dyDescent="0.25">
      <c r="A669" t="str">
        <f t="shared" si="78"/>
        <v>WC-CoØ2</v>
      </c>
      <c r="B669" s="81" t="s">
        <v>297</v>
      </c>
      <c r="D669" s="86">
        <v>2</v>
      </c>
      <c r="E669" s="85">
        <f t="shared" si="79"/>
        <v>2E-3</v>
      </c>
      <c r="F669" s="85">
        <f t="shared" si="80"/>
        <v>1E-3</v>
      </c>
      <c r="G669" s="85">
        <f t="shared" si="81"/>
        <v>4.1887902047863909E-9</v>
      </c>
      <c r="H669" s="85">
        <v>14950</v>
      </c>
      <c r="I669" s="85">
        <f t="shared" si="72"/>
        <v>6.2622413561556539E-5</v>
      </c>
      <c r="J669" s="87">
        <v>1</v>
      </c>
      <c r="K669" s="88">
        <f t="shared" si="73"/>
        <v>15968.723387146691</v>
      </c>
    </row>
    <row r="670" spans="1:11" hidden="1" x14ac:dyDescent="0.25">
      <c r="A670" t="str">
        <f t="shared" si="78"/>
        <v>420CØ2,4813</v>
      </c>
      <c r="B670" s="81" t="s">
        <v>295</v>
      </c>
      <c r="D670" s="86">
        <v>2.4813000000000001</v>
      </c>
      <c r="E670" s="85">
        <f t="shared" si="79"/>
        <v>2.4813000000000001E-3</v>
      </c>
      <c r="F670" s="85">
        <f t="shared" si="80"/>
        <v>1.24065E-3</v>
      </c>
      <c r="G670" s="85">
        <f t="shared" si="81"/>
        <v>7.9990138535293742E-9</v>
      </c>
      <c r="H670" s="85">
        <v>7700</v>
      </c>
      <c r="I670" s="85">
        <f t="shared" si="72"/>
        <v>6.1592406672176175E-5</v>
      </c>
      <c r="J670" s="87">
        <v>1</v>
      </c>
      <c r="K670" s="88">
        <f t="shared" si="73"/>
        <v>16235.767589379506</v>
      </c>
    </row>
    <row r="671" spans="1:11" hidden="1" x14ac:dyDescent="0.25">
      <c r="A671" t="str">
        <f t="shared" si="78"/>
        <v>420CØ4,1</v>
      </c>
      <c r="B671" s="81" t="s">
        <v>295</v>
      </c>
      <c r="D671" s="86">
        <v>4.0999999999999996</v>
      </c>
      <c r="E671" s="85">
        <f t="shared" si="79"/>
        <v>4.0999999999999995E-3</v>
      </c>
      <c r="F671" s="85">
        <f t="shared" si="80"/>
        <v>2.0499999999999997E-3</v>
      </c>
      <c r="G671" s="85">
        <f t="shared" si="81"/>
        <v>3.6086951213010342E-8</v>
      </c>
      <c r="H671" s="85">
        <v>7700</v>
      </c>
      <c r="I671" s="85">
        <f t="shared" si="72"/>
        <v>2.7786952434017965E-4</v>
      </c>
      <c r="J671" s="87">
        <v>1</v>
      </c>
      <c r="K671" s="88">
        <f t="shared" si="73"/>
        <v>3598.8113571452968</v>
      </c>
    </row>
    <row r="672" spans="1:11" hidden="1" x14ac:dyDescent="0.25">
      <c r="A672" t="str">
        <f t="shared" si="78"/>
        <v>420CØ2,99</v>
      </c>
      <c r="B672" s="81" t="s">
        <v>295</v>
      </c>
      <c r="D672" s="86">
        <v>2.99</v>
      </c>
      <c r="E672" s="85">
        <f t="shared" si="79"/>
        <v>2.99E-3</v>
      </c>
      <c r="F672" s="85">
        <f t="shared" si="80"/>
        <v>1.495E-3</v>
      </c>
      <c r="G672" s="85">
        <f t="shared" si="81"/>
        <v>1.3996265987041791E-8</v>
      </c>
      <c r="H672" s="85">
        <v>7700</v>
      </c>
      <c r="I672" s="85">
        <f t="shared" si="72"/>
        <v>1.0777124810022179E-4</v>
      </c>
      <c r="J672" s="87">
        <v>1</v>
      </c>
      <c r="K672" s="88">
        <f t="shared" si="73"/>
        <v>9278.9126750211781</v>
      </c>
    </row>
    <row r="673" spans="1:11" hidden="1" x14ac:dyDescent="0.25">
      <c r="A673" t="str">
        <f t="shared" si="78"/>
        <v>52100Ø0,6</v>
      </c>
      <c r="B673" s="81">
        <v>52100</v>
      </c>
      <c r="D673" s="86">
        <v>0.6</v>
      </c>
      <c r="E673" s="85">
        <f t="shared" si="79"/>
        <v>5.9999999999999995E-4</v>
      </c>
      <c r="F673" s="85">
        <f t="shared" si="80"/>
        <v>2.9999999999999997E-4</v>
      </c>
      <c r="G673" s="85">
        <f t="shared" si="81"/>
        <v>1.1309733552923252E-10</v>
      </c>
      <c r="H673" s="85">
        <v>7800</v>
      </c>
      <c r="I673" s="85">
        <f t="shared" si="72"/>
        <v>8.8215921712801365E-7</v>
      </c>
      <c r="J673" s="87">
        <v>1</v>
      </c>
      <c r="K673" s="88">
        <f t="shared" si="73"/>
        <v>1133582.2157542408</v>
      </c>
    </row>
    <row r="674" spans="1:11" hidden="1" x14ac:dyDescent="0.25">
      <c r="A674" t="str">
        <f t="shared" si="78"/>
        <v>52100Ø0,6</v>
      </c>
      <c r="B674" s="81">
        <v>52100</v>
      </c>
      <c r="D674" s="86">
        <v>0.6</v>
      </c>
      <c r="E674" s="85">
        <f t="shared" si="79"/>
        <v>5.9999999999999995E-4</v>
      </c>
      <c r="F674" s="85">
        <f t="shared" si="80"/>
        <v>2.9999999999999997E-4</v>
      </c>
      <c r="G674" s="85">
        <f t="shared" si="81"/>
        <v>1.1309733552923252E-10</v>
      </c>
      <c r="H674" s="85">
        <v>7800</v>
      </c>
      <c r="I674" s="85">
        <f t="shared" si="72"/>
        <v>8.8215921712801365E-7</v>
      </c>
      <c r="J674" s="87">
        <v>1</v>
      </c>
      <c r="K674" s="88">
        <f t="shared" si="73"/>
        <v>1133582.2157542408</v>
      </c>
    </row>
    <row r="675" spans="1:11" hidden="1" x14ac:dyDescent="0.25">
      <c r="A675" t="str">
        <f t="shared" si="78"/>
        <v>Si3N4Ø2</v>
      </c>
      <c r="B675" s="81" t="s">
        <v>207</v>
      </c>
      <c r="D675" s="86">
        <v>2</v>
      </c>
      <c r="E675" s="85">
        <f t="shared" si="79"/>
        <v>2E-3</v>
      </c>
      <c r="F675" s="85">
        <f t="shared" si="80"/>
        <v>1E-3</v>
      </c>
      <c r="G675" s="85">
        <f t="shared" si="81"/>
        <v>4.1887902047863909E-9</v>
      </c>
      <c r="H675" s="85">
        <v>3260</v>
      </c>
      <c r="I675" s="85">
        <f t="shared" si="72"/>
        <v>1.3655456067603634E-5</v>
      </c>
      <c r="J675" s="87">
        <v>1</v>
      </c>
      <c r="K675" s="88">
        <f t="shared" si="73"/>
        <v>73230.802036148161</v>
      </c>
    </row>
    <row r="676" spans="1:11" hidden="1" x14ac:dyDescent="0.25">
      <c r="A676" t="str">
        <f t="shared" si="78"/>
        <v>52100Ø16,104</v>
      </c>
      <c r="B676" s="81">
        <v>52100</v>
      </c>
      <c r="D676" s="86">
        <v>16.103999999999999</v>
      </c>
      <c r="E676" s="85">
        <f t="shared" si="79"/>
        <v>1.6104E-2</v>
      </c>
      <c r="F676" s="85">
        <f t="shared" si="80"/>
        <v>8.0520000000000001E-3</v>
      </c>
      <c r="G676" s="85">
        <f t="shared" si="81"/>
        <v>2.1867538909617621E-6</v>
      </c>
      <c r="H676" s="85">
        <v>7800</v>
      </c>
      <c r="I676" s="85">
        <f t="shared" si="72"/>
        <v>1.7056680349501745E-2</v>
      </c>
      <c r="J676" s="87">
        <v>1</v>
      </c>
      <c r="K676" s="88">
        <f t="shared" si="73"/>
        <v>58.628055372404965</v>
      </c>
    </row>
    <row r="677" spans="1:11" hidden="1" x14ac:dyDescent="0.25">
      <c r="A677" t="str">
        <f t="shared" si="78"/>
        <v>52100Ø16,205</v>
      </c>
      <c r="B677" s="81">
        <v>52100</v>
      </c>
      <c r="D677" s="86">
        <v>16.204999999999998</v>
      </c>
      <c r="E677" s="85">
        <f t="shared" si="79"/>
        <v>1.6204999999999997E-2</v>
      </c>
      <c r="F677" s="85">
        <f t="shared" si="80"/>
        <v>8.1024999999999986E-3</v>
      </c>
      <c r="G677" s="85">
        <f t="shared" si="81"/>
        <v>2.2281566903998655E-6</v>
      </c>
      <c r="H677" s="85">
        <v>7800</v>
      </c>
      <c r="I677" s="85">
        <f t="shared" si="72"/>
        <v>1.7379622185118952E-2</v>
      </c>
      <c r="J677" s="87">
        <v>1</v>
      </c>
      <c r="K677" s="88">
        <f t="shared" si="73"/>
        <v>57.538650112672492</v>
      </c>
    </row>
    <row r="678" spans="1:11" hidden="1" x14ac:dyDescent="0.25">
      <c r="A678" t="str">
        <f t="shared" si="78"/>
        <v>52100Ø0,6</v>
      </c>
      <c r="B678" s="81">
        <v>52100</v>
      </c>
      <c r="D678" s="86">
        <v>0.6</v>
      </c>
      <c r="E678" s="85">
        <f t="shared" si="79"/>
        <v>5.9999999999999995E-4</v>
      </c>
      <c r="F678" s="85">
        <f t="shared" si="80"/>
        <v>2.9999999999999997E-4</v>
      </c>
      <c r="G678" s="85">
        <f t="shared" si="81"/>
        <v>1.1309733552923252E-10</v>
      </c>
      <c r="H678" s="85">
        <v>7800</v>
      </c>
      <c r="I678" s="85">
        <f t="shared" ref="I678:I741" si="82">H678*G678</f>
        <v>8.8215921712801365E-7</v>
      </c>
      <c r="J678" s="87">
        <v>1</v>
      </c>
      <c r="K678" s="88">
        <f t="shared" ref="K678:K741" si="83">J678/I678</f>
        <v>1133582.2157542408</v>
      </c>
    </row>
    <row r="679" spans="1:11" hidden="1" x14ac:dyDescent="0.25">
      <c r="A679" t="str">
        <f t="shared" si="78"/>
        <v>Al2O3Ø2,38125</v>
      </c>
      <c r="B679" s="81" t="s">
        <v>217</v>
      </c>
      <c r="C679" s="101" t="s">
        <v>213</v>
      </c>
      <c r="D679" s="86">
        <f>3/32*25.4</f>
        <v>2.3812499999999996</v>
      </c>
      <c r="E679" s="85">
        <f t="shared" si="79"/>
        <v>2.3812499999999997E-3</v>
      </c>
      <c r="F679" s="85">
        <f t="shared" si="80"/>
        <v>1.1906249999999998E-3</v>
      </c>
      <c r="G679" s="85">
        <f t="shared" si="81"/>
        <v>7.0699053785209917E-9</v>
      </c>
      <c r="H679" s="85">
        <v>3900</v>
      </c>
      <c r="I679" s="85">
        <f t="shared" si="82"/>
        <v>2.7572630976231868E-5</v>
      </c>
      <c r="J679" s="87">
        <v>1</v>
      </c>
      <c r="K679" s="88">
        <f t="shared" si="83"/>
        <v>36267.848391472653</v>
      </c>
    </row>
    <row r="680" spans="1:11" hidden="1" x14ac:dyDescent="0.25">
      <c r="A680" t="str">
        <f t="shared" si="78"/>
        <v>420CØ2,25</v>
      </c>
      <c r="B680" s="81" t="s">
        <v>295</v>
      </c>
      <c r="D680" s="86">
        <v>2.25</v>
      </c>
      <c r="E680" s="85">
        <f t="shared" si="79"/>
        <v>2.2499999999999998E-3</v>
      </c>
      <c r="F680" s="85">
        <f t="shared" si="80"/>
        <v>1.1249999999999999E-3</v>
      </c>
      <c r="G680" s="85">
        <f t="shared" si="81"/>
        <v>5.964117303299371E-9</v>
      </c>
      <c r="H680" s="85">
        <v>7700</v>
      </c>
      <c r="I680" s="85">
        <f t="shared" si="82"/>
        <v>4.5923703235405157E-5</v>
      </c>
      <c r="J680" s="87">
        <v>1</v>
      </c>
      <c r="K680" s="88">
        <f t="shared" si="83"/>
        <v>21775.247411429224</v>
      </c>
    </row>
    <row r="681" spans="1:11" hidden="1" x14ac:dyDescent="0.25">
      <c r="A681" t="str">
        <f t="shared" si="78"/>
        <v>420CØ4,82</v>
      </c>
      <c r="B681" s="81" t="s">
        <v>295</v>
      </c>
      <c r="D681" s="86">
        <v>4.82</v>
      </c>
      <c r="E681" s="85">
        <f t="shared" si="79"/>
        <v>4.8200000000000005E-3</v>
      </c>
      <c r="F681" s="85">
        <f t="shared" si="80"/>
        <v>2.4100000000000002E-3</v>
      </c>
      <c r="G681" s="85">
        <f t="shared" si="81"/>
        <v>5.8632678856091822E-8</v>
      </c>
      <c r="H681" s="85">
        <v>7700</v>
      </c>
      <c r="I681" s="85">
        <f t="shared" si="82"/>
        <v>4.5147162719190703E-4</v>
      </c>
      <c r="J681" s="87">
        <v>1</v>
      </c>
      <c r="K681" s="88">
        <f t="shared" si="83"/>
        <v>2214.9786160868312</v>
      </c>
    </row>
    <row r="682" spans="1:11" hidden="1" x14ac:dyDescent="0.25">
      <c r="A682" t="str">
        <f t="shared" si="78"/>
        <v>Al2O3Ø1,5</v>
      </c>
      <c r="B682" s="81" t="s">
        <v>217</v>
      </c>
      <c r="D682" s="86">
        <v>1.5</v>
      </c>
      <c r="E682" s="85">
        <f t="shared" si="79"/>
        <v>1.5E-3</v>
      </c>
      <c r="F682" s="85">
        <f t="shared" si="80"/>
        <v>7.5000000000000002E-4</v>
      </c>
      <c r="G682" s="85">
        <f t="shared" si="81"/>
        <v>1.7671458676442585E-9</v>
      </c>
      <c r="H682" s="85">
        <v>3900</v>
      </c>
      <c r="I682" s="85">
        <f t="shared" si="82"/>
        <v>6.8918688838126086E-6</v>
      </c>
      <c r="J682" s="87">
        <v>1</v>
      </c>
      <c r="K682" s="88">
        <f t="shared" si="83"/>
        <v>145098.52361654275</v>
      </c>
    </row>
    <row r="683" spans="1:11" hidden="1" x14ac:dyDescent="0.25">
      <c r="A683" t="str">
        <f t="shared" si="78"/>
        <v>VESCØ7</v>
      </c>
      <c r="B683" s="81" t="s">
        <v>210</v>
      </c>
      <c r="D683" s="86">
        <v>7</v>
      </c>
      <c r="E683" s="85">
        <f t="shared" si="79"/>
        <v>7.0000000000000001E-3</v>
      </c>
      <c r="F683" s="85">
        <f t="shared" si="80"/>
        <v>3.5000000000000001E-3</v>
      </c>
      <c r="G683" s="85">
        <f t="shared" si="81"/>
        <v>1.7959438003021651E-7</v>
      </c>
      <c r="H683" s="85">
        <v>2500</v>
      </c>
      <c r="I683" s="85">
        <f t="shared" si="82"/>
        <v>4.489859500755413E-4</v>
      </c>
      <c r="J683" s="87">
        <v>1</v>
      </c>
      <c r="K683" s="88">
        <f t="shared" si="83"/>
        <v>2227.2411861256492</v>
      </c>
    </row>
    <row r="684" spans="1:11" hidden="1" x14ac:dyDescent="0.25">
      <c r="A684" t="str">
        <f t="shared" si="78"/>
        <v>POM 507Ø9</v>
      </c>
      <c r="B684" s="81" t="s">
        <v>328</v>
      </c>
      <c r="D684" s="86">
        <v>9</v>
      </c>
      <c r="E684" s="85">
        <f t="shared" si="79"/>
        <v>8.9999999999999993E-3</v>
      </c>
      <c r="F684" s="85">
        <f t="shared" si="80"/>
        <v>4.4999999999999997E-3</v>
      </c>
      <c r="G684" s="85">
        <f t="shared" si="81"/>
        <v>3.8170350741115974E-7</v>
      </c>
      <c r="H684" s="85">
        <v>1420</v>
      </c>
      <c r="I684" s="85">
        <f t="shared" si="82"/>
        <v>5.4201898052384681E-4</v>
      </c>
      <c r="J684" s="87">
        <v>1</v>
      </c>
      <c r="K684" s="88">
        <f t="shared" si="83"/>
        <v>1844.9538409771681</v>
      </c>
    </row>
    <row r="685" spans="1:11" hidden="1" x14ac:dyDescent="0.25">
      <c r="A685" t="str">
        <f t="shared" si="78"/>
        <v>420CØ3,9</v>
      </c>
      <c r="B685" s="81" t="s">
        <v>295</v>
      </c>
      <c r="D685" s="86">
        <v>3.9</v>
      </c>
      <c r="E685" s="85">
        <f t="shared" si="79"/>
        <v>3.8999999999999998E-3</v>
      </c>
      <c r="F685" s="85">
        <f t="shared" si="80"/>
        <v>1.9499999999999999E-3</v>
      </c>
      <c r="G685" s="85">
        <f t="shared" si="81"/>
        <v>3.1059355769715486E-8</v>
      </c>
      <c r="H685" s="85">
        <v>7700</v>
      </c>
      <c r="I685" s="85">
        <f t="shared" si="82"/>
        <v>2.3915703942680924E-4</v>
      </c>
      <c r="J685" s="87">
        <v>1</v>
      </c>
      <c r="K685" s="88">
        <f t="shared" si="83"/>
        <v>4181.3529821104694</v>
      </c>
    </row>
    <row r="686" spans="1:11" hidden="1" x14ac:dyDescent="0.25">
      <c r="A686" t="str">
        <f t="shared" si="78"/>
        <v>420CØ3,92</v>
      </c>
      <c r="B686" s="81" t="s">
        <v>295</v>
      </c>
      <c r="D686" s="86">
        <v>3.92</v>
      </c>
      <c r="E686" s="85">
        <f t="shared" si="79"/>
        <v>3.9199999999999999E-3</v>
      </c>
      <c r="F686" s="85">
        <f t="shared" si="80"/>
        <v>1.9599999999999999E-3</v>
      </c>
      <c r="G686" s="85">
        <f t="shared" si="81"/>
        <v>3.1539646643386496E-8</v>
      </c>
      <c r="H686" s="85">
        <v>7700</v>
      </c>
      <c r="I686" s="85">
        <f t="shared" si="82"/>
        <v>2.4285527915407601E-4</v>
      </c>
      <c r="J686" s="87">
        <v>1</v>
      </c>
      <c r="K686" s="88">
        <f t="shared" si="83"/>
        <v>4117.6786581837678</v>
      </c>
    </row>
    <row r="687" spans="1:11" hidden="1" x14ac:dyDescent="0.25">
      <c r="A687" t="str">
        <f t="shared" si="78"/>
        <v>420CØ4,05</v>
      </c>
      <c r="B687" s="81" t="s">
        <v>295</v>
      </c>
      <c r="D687" s="86">
        <v>4.05</v>
      </c>
      <c r="E687" s="85">
        <f t="shared" si="79"/>
        <v>4.0499999999999998E-3</v>
      </c>
      <c r="F687" s="85">
        <f t="shared" si="80"/>
        <v>2.0249999999999999E-3</v>
      </c>
      <c r="G687" s="85">
        <f t="shared" si="81"/>
        <v>3.478273211284193E-8</v>
      </c>
      <c r="H687" s="85">
        <v>7700</v>
      </c>
      <c r="I687" s="85">
        <f t="shared" si="82"/>
        <v>2.6782703726888285E-4</v>
      </c>
      <c r="J687" s="87">
        <v>1</v>
      </c>
      <c r="K687" s="88">
        <f t="shared" si="83"/>
        <v>3733.7529854988384</v>
      </c>
    </row>
    <row r="688" spans="1:11" hidden="1" x14ac:dyDescent="0.25">
      <c r="A688" t="str">
        <f t="shared" si="78"/>
        <v>52100Ø3,1</v>
      </c>
      <c r="B688" s="81">
        <v>52100</v>
      </c>
      <c r="D688" s="86">
        <v>3.1</v>
      </c>
      <c r="E688" s="85">
        <f t="shared" si="79"/>
        <v>3.0999999999999999E-3</v>
      </c>
      <c r="F688" s="85">
        <f t="shared" si="80"/>
        <v>1.5499999999999999E-3</v>
      </c>
      <c r="G688" s="85">
        <f t="shared" si="81"/>
        <v>1.5598531123848918E-8</v>
      </c>
      <c r="H688" s="85">
        <v>7800</v>
      </c>
      <c r="I688" s="85">
        <f t="shared" si="82"/>
        <v>1.2166854276602155E-4</v>
      </c>
      <c r="J688" s="87">
        <v>1</v>
      </c>
      <c r="K688" s="88">
        <f t="shared" si="83"/>
        <v>8219.051344463629</v>
      </c>
    </row>
    <row r="689" spans="1:11" hidden="1" x14ac:dyDescent="0.25">
      <c r="A689" t="str">
        <f t="shared" si="78"/>
        <v>SiliconeØ2,38125</v>
      </c>
      <c r="B689" s="81" t="s">
        <v>315</v>
      </c>
      <c r="C689" s="101" t="s">
        <v>213</v>
      </c>
      <c r="D689" s="86">
        <f>3/32*25.4</f>
        <v>2.3812499999999996</v>
      </c>
      <c r="E689" s="85">
        <f t="shared" si="79"/>
        <v>2.3812499999999997E-3</v>
      </c>
      <c r="F689" s="85">
        <f t="shared" si="80"/>
        <v>1.1906249999999998E-3</v>
      </c>
      <c r="G689" s="85">
        <f t="shared" si="81"/>
        <v>7.0699053785209917E-9</v>
      </c>
      <c r="H689" s="85">
        <v>1200</v>
      </c>
      <c r="I689" s="85">
        <f t="shared" si="82"/>
        <v>8.4838864542251892E-6</v>
      </c>
      <c r="J689" s="87">
        <v>1</v>
      </c>
      <c r="K689" s="88">
        <f t="shared" si="83"/>
        <v>117870.50727228614</v>
      </c>
    </row>
    <row r="690" spans="1:11" hidden="1" x14ac:dyDescent="0.25">
      <c r="A690" t="str">
        <f t="shared" si="78"/>
        <v>52100Ø0,5</v>
      </c>
      <c r="B690" s="81">
        <v>52100</v>
      </c>
      <c r="D690" s="86">
        <v>0.5</v>
      </c>
      <c r="E690" s="85">
        <f t="shared" si="79"/>
        <v>5.0000000000000001E-4</v>
      </c>
      <c r="F690" s="85">
        <f t="shared" si="80"/>
        <v>2.5000000000000001E-4</v>
      </c>
      <c r="G690" s="85">
        <f t="shared" si="81"/>
        <v>6.5449846949787358E-11</v>
      </c>
      <c r="H690" s="85">
        <v>7800</v>
      </c>
      <c r="I690" s="85">
        <f t="shared" si="82"/>
        <v>5.1050880620834141E-7</v>
      </c>
      <c r="J690" s="87">
        <v>1</v>
      </c>
      <c r="K690" s="88">
        <f t="shared" si="83"/>
        <v>1958830.0688233273</v>
      </c>
    </row>
    <row r="691" spans="1:11" hidden="1" x14ac:dyDescent="0.25">
      <c r="A691" t="str">
        <f t="shared" si="78"/>
        <v>440CØ0,8</v>
      </c>
      <c r="B691" s="81" t="s">
        <v>314</v>
      </c>
      <c r="D691" s="86">
        <v>0.8</v>
      </c>
      <c r="E691" s="85">
        <f t="shared" si="79"/>
        <v>8.0000000000000004E-4</v>
      </c>
      <c r="F691" s="85">
        <f t="shared" si="80"/>
        <v>4.0000000000000002E-4</v>
      </c>
      <c r="G691" s="85">
        <f t="shared" si="81"/>
        <v>2.6808257310632903E-10</v>
      </c>
      <c r="H691" s="85">
        <v>7750</v>
      </c>
      <c r="I691" s="85">
        <f t="shared" si="82"/>
        <v>2.0776399415740501E-6</v>
      </c>
      <c r="J691" s="87">
        <v>1</v>
      </c>
      <c r="K691" s="88">
        <f t="shared" si="83"/>
        <v>481315.3520924254</v>
      </c>
    </row>
    <row r="692" spans="1:11" hidden="1" x14ac:dyDescent="0.25">
      <c r="A692" t="str">
        <f t="shared" si="78"/>
        <v>440CØ0,4</v>
      </c>
      <c r="B692" s="81" t="s">
        <v>314</v>
      </c>
      <c r="D692" s="86">
        <v>0.4</v>
      </c>
      <c r="E692" s="85">
        <f t="shared" si="79"/>
        <v>4.0000000000000002E-4</v>
      </c>
      <c r="F692" s="85">
        <f t="shared" si="80"/>
        <v>2.0000000000000001E-4</v>
      </c>
      <c r="G692" s="85">
        <f t="shared" si="81"/>
        <v>3.3510321638291128E-11</v>
      </c>
      <c r="H692" s="85">
        <v>7700</v>
      </c>
      <c r="I692" s="85">
        <f t="shared" si="82"/>
        <v>2.5802947661484168E-7</v>
      </c>
      <c r="J692" s="87">
        <v>1</v>
      </c>
      <c r="K692" s="88">
        <f t="shared" si="83"/>
        <v>3875526.2116532954</v>
      </c>
    </row>
    <row r="693" spans="1:11" hidden="1" x14ac:dyDescent="0.25">
      <c r="A693" t="str">
        <f t="shared" si="78"/>
        <v>OttoneØ0,6</v>
      </c>
      <c r="B693" s="81" t="s">
        <v>216</v>
      </c>
      <c r="D693" s="86">
        <v>0.6</v>
      </c>
      <c r="E693" s="85">
        <f t="shared" si="79"/>
        <v>5.9999999999999995E-4</v>
      </c>
      <c r="F693" s="85">
        <f t="shared" si="80"/>
        <v>2.9999999999999997E-4</v>
      </c>
      <c r="G693" s="85">
        <f t="shared" si="81"/>
        <v>1.1309733552923252E-10</v>
      </c>
      <c r="H693" s="85">
        <v>8490</v>
      </c>
      <c r="I693" s="85">
        <f t="shared" si="82"/>
        <v>9.6019637864318401E-7</v>
      </c>
      <c r="J693" s="87">
        <v>1</v>
      </c>
      <c r="K693" s="88">
        <f t="shared" si="83"/>
        <v>1041453.6257812813</v>
      </c>
    </row>
    <row r="694" spans="1:11" hidden="1" x14ac:dyDescent="0.25">
      <c r="A694" t="str">
        <f t="shared" si="78"/>
        <v>52100Ø0,6</v>
      </c>
      <c r="B694" s="81">
        <v>52100</v>
      </c>
      <c r="D694" s="86">
        <v>0.6</v>
      </c>
      <c r="E694" s="85">
        <f t="shared" si="79"/>
        <v>5.9999999999999995E-4</v>
      </c>
      <c r="F694" s="85">
        <f t="shared" si="80"/>
        <v>2.9999999999999997E-4</v>
      </c>
      <c r="G694" s="85">
        <f t="shared" si="81"/>
        <v>1.1309733552923252E-10</v>
      </c>
      <c r="H694" s="85">
        <v>7800</v>
      </c>
      <c r="I694" s="85">
        <f t="shared" si="82"/>
        <v>8.8215921712801365E-7</v>
      </c>
      <c r="J694" s="87">
        <v>1</v>
      </c>
      <c r="K694" s="88">
        <f t="shared" si="83"/>
        <v>1133582.2157542408</v>
      </c>
    </row>
    <row r="695" spans="1:11" hidden="1" x14ac:dyDescent="0.25">
      <c r="A695" t="str">
        <f t="shared" si="78"/>
        <v>PA6.6Ø4</v>
      </c>
      <c r="B695" s="81" t="s">
        <v>244</v>
      </c>
      <c r="D695" s="86">
        <v>4</v>
      </c>
      <c r="E695" s="85">
        <f>D695/1000</f>
        <v>4.0000000000000001E-3</v>
      </c>
      <c r="F695" s="85">
        <f>E695/2</f>
        <v>2E-3</v>
      </c>
      <c r="G695" s="85">
        <f>4/3*PI()*F695*F695*F695</f>
        <v>3.3510321638291127E-8</v>
      </c>
      <c r="H695" s="85">
        <v>1110</v>
      </c>
      <c r="I695" s="85">
        <f t="shared" si="82"/>
        <v>3.7196457018503148E-5</v>
      </c>
      <c r="J695" s="87">
        <v>1</v>
      </c>
      <c r="K695" s="88">
        <f t="shared" si="83"/>
        <v>26884.280927685028</v>
      </c>
    </row>
    <row r="696" spans="1:11" hidden="1" x14ac:dyDescent="0.25">
      <c r="A696" t="str">
        <f t="shared" si="78"/>
        <v>PA6.6Ø4</v>
      </c>
      <c r="B696" s="81" t="s">
        <v>244</v>
      </c>
      <c r="D696" s="86">
        <v>4</v>
      </c>
      <c r="E696" s="85">
        <f>D696/1000</f>
        <v>4.0000000000000001E-3</v>
      </c>
      <c r="F696" s="85">
        <f>E696/2</f>
        <v>2E-3</v>
      </c>
      <c r="G696" s="85">
        <f>4/3*PI()*F696*F696*F696</f>
        <v>3.3510321638291127E-8</v>
      </c>
      <c r="H696" s="85">
        <v>1110</v>
      </c>
      <c r="I696" s="85">
        <f t="shared" si="82"/>
        <v>3.7196457018503148E-5</v>
      </c>
      <c r="J696" s="87">
        <v>1</v>
      </c>
      <c r="K696" s="88">
        <f t="shared" si="83"/>
        <v>26884.280927685028</v>
      </c>
    </row>
    <row r="697" spans="1:11" hidden="1" x14ac:dyDescent="0.25">
      <c r="A697" t="str">
        <f t="shared" si="78"/>
        <v>52100Ø1,3</v>
      </c>
      <c r="B697" s="81">
        <v>52100</v>
      </c>
      <c r="D697" s="86">
        <v>1.3</v>
      </c>
      <c r="E697" s="85">
        <f>D697/1000</f>
        <v>1.2999999999999999E-3</v>
      </c>
      <c r="F697" s="85">
        <f>E697/2</f>
        <v>6.4999999999999997E-4</v>
      </c>
      <c r="G697" s="85">
        <f>4/3*PI()*F697*F697*F697</f>
        <v>1.1503465099894624E-9</v>
      </c>
      <c r="H697" s="85">
        <v>7800</v>
      </c>
      <c r="I697" s="85">
        <f t="shared" si="82"/>
        <v>8.9727027779178067E-6</v>
      </c>
      <c r="J697" s="87">
        <v>1</v>
      </c>
      <c r="K697" s="88">
        <f t="shared" si="83"/>
        <v>111449.1391000983</v>
      </c>
    </row>
    <row r="698" spans="1:11" hidden="1" x14ac:dyDescent="0.25">
      <c r="A698" t="str">
        <f t="shared" si="78"/>
        <v>Al2O3Ø25</v>
      </c>
      <c r="B698" s="81" t="s">
        <v>217</v>
      </c>
      <c r="D698" s="86">
        <v>25</v>
      </c>
      <c r="E698" s="85">
        <f t="shared" ref="E698:E722" si="84">D698/1000</f>
        <v>2.5000000000000001E-2</v>
      </c>
      <c r="F698" s="85">
        <f t="shared" ref="F698:F722" si="85">E698/2</f>
        <v>1.2500000000000001E-2</v>
      </c>
      <c r="G698" s="85">
        <f t="shared" ref="G698:G722" si="86">4/3*PI()*F698*F698*F698</f>
        <v>8.1812308687234206E-6</v>
      </c>
      <c r="H698" s="85">
        <v>3900</v>
      </c>
      <c r="I698" s="85">
        <f t="shared" si="82"/>
        <v>3.1906800388021343E-2</v>
      </c>
      <c r="J698" s="87">
        <v>1</v>
      </c>
      <c r="K698" s="94">
        <f t="shared" si="83"/>
        <v>31.34128110117323</v>
      </c>
    </row>
    <row r="699" spans="1:11" hidden="1" x14ac:dyDescent="0.25">
      <c r="A699" t="str">
        <f t="shared" si="78"/>
        <v>52100Ø1,2</v>
      </c>
      <c r="B699" s="81">
        <v>52100</v>
      </c>
      <c r="D699" s="86">
        <v>1.2</v>
      </c>
      <c r="E699" s="85">
        <f t="shared" si="84"/>
        <v>1.1999999999999999E-3</v>
      </c>
      <c r="F699" s="85">
        <f t="shared" si="85"/>
        <v>5.9999999999999995E-4</v>
      </c>
      <c r="G699" s="85">
        <f t="shared" si="86"/>
        <v>9.0477868423386013E-10</v>
      </c>
      <c r="H699" s="85">
        <v>7800</v>
      </c>
      <c r="I699" s="85">
        <f t="shared" si="82"/>
        <v>7.0572737370241092E-6</v>
      </c>
      <c r="J699" s="87">
        <v>1</v>
      </c>
      <c r="K699" s="88">
        <f t="shared" si="83"/>
        <v>141697.77696928009</v>
      </c>
    </row>
    <row r="700" spans="1:11" hidden="1" x14ac:dyDescent="0.25">
      <c r="A700" t="str">
        <f t="shared" si="78"/>
        <v>316Ø1,2</v>
      </c>
      <c r="B700" s="81">
        <v>316</v>
      </c>
      <c r="D700" s="86">
        <v>1.2</v>
      </c>
      <c r="E700" s="85">
        <f t="shared" si="84"/>
        <v>1.1999999999999999E-3</v>
      </c>
      <c r="F700" s="85">
        <f t="shared" si="85"/>
        <v>5.9999999999999995E-4</v>
      </c>
      <c r="G700" s="85">
        <f t="shared" si="86"/>
        <v>9.0477868423386013E-10</v>
      </c>
      <c r="H700" s="85">
        <v>7950</v>
      </c>
      <c r="I700" s="85">
        <f t="shared" si="82"/>
        <v>7.1929905396591882E-6</v>
      </c>
      <c r="J700" s="87">
        <v>1</v>
      </c>
      <c r="K700" s="88">
        <f t="shared" si="83"/>
        <v>139024.23400759554</v>
      </c>
    </row>
    <row r="701" spans="1:11" hidden="1" x14ac:dyDescent="0.25">
      <c r="A701" t="str">
        <f t="shared" si="78"/>
        <v>PPHØ4</v>
      </c>
      <c r="B701" s="81" t="s">
        <v>202</v>
      </c>
      <c r="D701" s="86">
        <v>4</v>
      </c>
      <c r="E701" s="85">
        <f t="shared" si="84"/>
        <v>4.0000000000000001E-3</v>
      </c>
      <c r="F701" s="85">
        <f t="shared" si="85"/>
        <v>2E-3</v>
      </c>
      <c r="G701" s="85">
        <f t="shared" si="86"/>
        <v>3.3510321638291127E-8</v>
      </c>
      <c r="H701" s="85">
        <v>870</v>
      </c>
      <c r="I701" s="85">
        <f t="shared" si="82"/>
        <v>2.9153979825313279E-5</v>
      </c>
      <c r="J701" s="87">
        <v>1</v>
      </c>
      <c r="K701" s="88">
        <f t="shared" si="83"/>
        <v>34300.634287046414</v>
      </c>
    </row>
    <row r="702" spans="1:11" hidden="1" x14ac:dyDescent="0.25">
      <c r="A702" t="str">
        <f t="shared" si="78"/>
        <v>PPHØ6</v>
      </c>
      <c r="B702" s="81" t="s">
        <v>202</v>
      </c>
      <c r="D702" s="86">
        <v>6</v>
      </c>
      <c r="E702" s="85">
        <f t="shared" si="84"/>
        <v>6.0000000000000001E-3</v>
      </c>
      <c r="F702" s="85">
        <f t="shared" si="85"/>
        <v>3.0000000000000001E-3</v>
      </c>
      <c r="G702" s="85">
        <f t="shared" si="86"/>
        <v>1.1309733552923255E-7</v>
      </c>
      <c r="H702" s="85">
        <v>870</v>
      </c>
      <c r="I702" s="85">
        <f t="shared" si="82"/>
        <v>9.8394681910432316E-5</v>
      </c>
      <c r="J702" s="87">
        <v>1</v>
      </c>
      <c r="K702" s="88">
        <f t="shared" si="83"/>
        <v>10163.150899865603</v>
      </c>
    </row>
    <row r="703" spans="1:11" hidden="1" x14ac:dyDescent="0.25">
      <c r="A703" t="str">
        <f t="shared" si="78"/>
        <v>PPHØ6,35</v>
      </c>
      <c r="B703" s="81" t="s">
        <v>202</v>
      </c>
      <c r="C703" s="101" t="s">
        <v>218</v>
      </c>
      <c r="D703" s="86">
        <f>1/4*25.4</f>
        <v>6.35</v>
      </c>
      <c r="E703" s="85">
        <f t="shared" si="84"/>
        <v>6.3499999999999997E-3</v>
      </c>
      <c r="F703" s="85">
        <f t="shared" si="85"/>
        <v>3.1749999999999999E-3</v>
      </c>
      <c r="G703" s="85">
        <f t="shared" si="86"/>
        <v>1.3406635384454623E-7</v>
      </c>
      <c r="H703" s="85">
        <v>870</v>
      </c>
      <c r="I703" s="85">
        <f t="shared" si="82"/>
        <v>1.1663772784475523E-4</v>
      </c>
      <c r="J703" s="87">
        <v>1</v>
      </c>
      <c r="K703" s="88">
        <f t="shared" si="83"/>
        <v>8573.5552164647761</v>
      </c>
    </row>
    <row r="704" spans="1:11" hidden="1" x14ac:dyDescent="0.25">
      <c r="A704" t="str">
        <f t="shared" si="78"/>
        <v>420CØ0,6</v>
      </c>
      <c r="B704" s="81" t="s">
        <v>295</v>
      </c>
      <c r="D704" s="86">
        <v>0.6</v>
      </c>
      <c r="E704" s="85">
        <f t="shared" si="84"/>
        <v>5.9999999999999995E-4</v>
      </c>
      <c r="F704" s="85">
        <f t="shared" si="85"/>
        <v>2.9999999999999997E-4</v>
      </c>
      <c r="G704" s="85">
        <f t="shared" si="86"/>
        <v>1.1309733552923252E-10</v>
      </c>
      <c r="H704" s="85">
        <v>7700</v>
      </c>
      <c r="I704" s="85">
        <f t="shared" si="82"/>
        <v>8.708494835750904E-7</v>
      </c>
      <c r="J704" s="87">
        <v>1</v>
      </c>
      <c r="K704" s="88">
        <f t="shared" si="83"/>
        <v>1148304.062712088</v>
      </c>
    </row>
    <row r="705" spans="1:11" hidden="1" x14ac:dyDescent="0.25">
      <c r="A705" t="str">
        <f t="shared" si="78"/>
        <v>420CØ0,7</v>
      </c>
      <c r="B705" s="81" t="s">
        <v>295</v>
      </c>
      <c r="D705" s="86">
        <v>0.7</v>
      </c>
      <c r="E705" s="85">
        <f t="shared" si="84"/>
        <v>6.9999999999999999E-4</v>
      </c>
      <c r="F705" s="85">
        <f t="shared" si="85"/>
        <v>3.5E-4</v>
      </c>
      <c r="G705" s="85">
        <f t="shared" si="86"/>
        <v>1.7959438003021649E-10</v>
      </c>
      <c r="H705" s="85">
        <v>7700</v>
      </c>
      <c r="I705" s="85">
        <f t="shared" si="82"/>
        <v>1.382876726232667E-6</v>
      </c>
      <c r="J705" s="87">
        <v>1</v>
      </c>
      <c r="K705" s="88">
        <f t="shared" si="83"/>
        <v>723130.2552356004</v>
      </c>
    </row>
    <row r="706" spans="1:11" hidden="1" x14ac:dyDescent="0.25">
      <c r="A706" t="str">
        <f t="shared" si="78"/>
        <v>PPHØ1,5875</v>
      </c>
      <c r="B706" s="81" t="s">
        <v>202</v>
      </c>
      <c r="C706" s="101" t="s">
        <v>246</v>
      </c>
      <c r="D706" s="86">
        <f>1/16*25.4</f>
        <v>1.5874999999999999</v>
      </c>
      <c r="E706" s="85">
        <f t="shared" si="84"/>
        <v>1.5874999999999999E-3</v>
      </c>
      <c r="F706" s="85">
        <f t="shared" si="85"/>
        <v>7.9374999999999997E-4</v>
      </c>
      <c r="G706" s="85">
        <f t="shared" si="86"/>
        <v>2.0947867788210349E-9</v>
      </c>
      <c r="H706" s="85">
        <v>870</v>
      </c>
      <c r="I706" s="85">
        <f t="shared" si="82"/>
        <v>1.8224644975743004E-6</v>
      </c>
      <c r="J706" s="87">
        <v>1</v>
      </c>
      <c r="K706" s="88">
        <f t="shared" si="83"/>
        <v>548707.53385374567</v>
      </c>
    </row>
    <row r="707" spans="1:11" hidden="1" x14ac:dyDescent="0.25">
      <c r="A707" t="str">
        <f t="shared" si="78"/>
        <v>PPHØ2</v>
      </c>
      <c r="B707" s="81" t="s">
        <v>202</v>
      </c>
      <c r="D707" s="86">
        <v>2</v>
      </c>
      <c r="E707" s="85">
        <f t="shared" si="84"/>
        <v>2E-3</v>
      </c>
      <c r="F707" s="85">
        <f t="shared" si="85"/>
        <v>1E-3</v>
      </c>
      <c r="G707" s="85">
        <f t="shared" si="86"/>
        <v>4.1887902047863909E-9</v>
      </c>
      <c r="H707" s="85">
        <v>870</v>
      </c>
      <c r="I707" s="85">
        <f t="shared" si="82"/>
        <v>3.6442474781641599E-6</v>
      </c>
      <c r="J707" s="87">
        <v>1</v>
      </c>
      <c r="K707" s="88">
        <f t="shared" si="83"/>
        <v>274405.07429637131</v>
      </c>
    </row>
    <row r="708" spans="1:11" hidden="1" x14ac:dyDescent="0.25">
      <c r="A708" t="str">
        <f t="shared" ref="A708:A771" si="87">CONCATENATE(B708,"Ø",D708)</f>
        <v>420CØ0,9</v>
      </c>
      <c r="B708" s="81" t="s">
        <v>295</v>
      </c>
      <c r="D708" s="86">
        <v>0.9</v>
      </c>
      <c r="E708" s="85">
        <f t="shared" si="84"/>
        <v>8.9999999999999998E-4</v>
      </c>
      <c r="F708" s="85">
        <f t="shared" si="85"/>
        <v>4.4999999999999999E-4</v>
      </c>
      <c r="G708" s="85">
        <f t="shared" si="86"/>
        <v>3.8170350741115976E-10</v>
      </c>
      <c r="H708" s="85">
        <v>7700</v>
      </c>
      <c r="I708" s="85">
        <f t="shared" si="82"/>
        <v>2.93911700706593E-6</v>
      </c>
      <c r="J708" s="87">
        <v>1</v>
      </c>
      <c r="K708" s="88">
        <f t="shared" si="83"/>
        <v>340238.2408035816</v>
      </c>
    </row>
    <row r="709" spans="1:11" hidden="1" x14ac:dyDescent="0.25">
      <c r="A709" t="str">
        <f t="shared" si="87"/>
        <v>VESCØ12,7</v>
      </c>
      <c r="B709" s="81" t="s">
        <v>210</v>
      </c>
      <c r="C709" s="101" t="s">
        <v>270</v>
      </c>
      <c r="D709" s="86">
        <f>1/2*25.4</f>
        <v>12.7</v>
      </c>
      <c r="E709" s="85">
        <f t="shared" si="84"/>
        <v>1.2699999999999999E-2</v>
      </c>
      <c r="F709" s="85">
        <f t="shared" si="85"/>
        <v>6.3499999999999997E-3</v>
      </c>
      <c r="G709" s="85">
        <f t="shared" si="86"/>
        <v>1.0725308307563699E-6</v>
      </c>
      <c r="H709" s="85">
        <v>2500</v>
      </c>
      <c r="I709" s="85">
        <f t="shared" si="82"/>
        <v>2.6813270768909245E-3</v>
      </c>
      <c r="J709" s="87">
        <v>1</v>
      </c>
      <c r="K709" s="88">
        <f t="shared" si="83"/>
        <v>372.94965191621776</v>
      </c>
    </row>
    <row r="710" spans="1:11" hidden="1" x14ac:dyDescent="0.25">
      <c r="A710" t="str">
        <f t="shared" si="87"/>
        <v>52100Ø1,688</v>
      </c>
      <c r="B710" s="81">
        <v>52100</v>
      </c>
      <c r="D710" s="86">
        <v>1.6879999999999999</v>
      </c>
      <c r="E710" s="85">
        <f t="shared" si="84"/>
        <v>1.688E-3</v>
      </c>
      <c r="F710" s="85">
        <f t="shared" si="85"/>
        <v>8.4400000000000002E-4</v>
      </c>
      <c r="G710" s="85">
        <f t="shared" si="86"/>
        <v>2.5183491940633105E-9</v>
      </c>
      <c r="H710" s="85">
        <v>7800</v>
      </c>
      <c r="I710" s="85">
        <f t="shared" si="82"/>
        <v>1.9643123713693822E-5</v>
      </c>
      <c r="J710" s="87">
        <v>1</v>
      </c>
      <c r="K710" s="88">
        <f t="shared" si="83"/>
        <v>50908.400037356048</v>
      </c>
    </row>
    <row r="711" spans="1:11" hidden="1" x14ac:dyDescent="0.25">
      <c r="A711" t="str">
        <f t="shared" si="87"/>
        <v>Al2O3Ø1,5</v>
      </c>
      <c r="B711" s="81" t="s">
        <v>217</v>
      </c>
      <c r="D711" s="86">
        <v>1.5</v>
      </c>
      <c r="E711" s="85">
        <f t="shared" si="84"/>
        <v>1.5E-3</v>
      </c>
      <c r="F711" s="85">
        <f t="shared" si="85"/>
        <v>7.5000000000000002E-4</v>
      </c>
      <c r="G711" s="85">
        <f t="shared" si="86"/>
        <v>1.7671458676442585E-9</v>
      </c>
      <c r="H711" s="85">
        <v>3900</v>
      </c>
      <c r="I711" s="85">
        <f t="shared" si="82"/>
        <v>6.8918688838126086E-6</v>
      </c>
      <c r="J711" s="87">
        <v>1</v>
      </c>
      <c r="K711" s="88">
        <f t="shared" si="83"/>
        <v>145098.52361654275</v>
      </c>
    </row>
    <row r="712" spans="1:11" hidden="1" x14ac:dyDescent="0.25">
      <c r="A712" t="str">
        <f t="shared" si="87"/>
        <v>Al2O3Ø1,5</v>
      </c>
      <c r="B712" s="81" t="s">
        <v>217</v>
      </c>
      <c r="D712" s="86">
        <v>1.5</v>
      </c>
      <c r="E712" s="85">
        <f t="shared" si="84"/>
        <v>1.5E-3</v>
      </c>
      <c r="F712" s="85">
        <f t="shared" si="85"/>
        <v>7.5000000000000002E-4</v>
      </c>
      <c r="G712" s="85">
        <f t="shared" si="86"/>
        <v>1.7671458676442585E-9</v>
      </c>
      <c r="H712" s="85">
        <v>3900</v>
      </c>
      <c r="I712" s="85">
        <f t="shared" si="82"/>
        <v>6.8918688838126086E-6</v>
      </c>
      <c r="J712" s="87">
        <v>1</v>
      </c>
      <c r="K712" s="88">
        <f t="shared" si="83"/>
        <v>145098.52361654275</v>
      </c>
    </row>
    <row r="713" spans="1:11" hidden="1" x14ac:dyDescent="0.25">
      <c r="A713" t="str">
        <f t="shared" si="87"/>
        <v>1010Ø2,5</v>
      </c>
      <c r="B713" s="81">
        <v>1010</v>
      </c>
      <c r="D713" s="86">
        <v>2.5</v>
      </c>
      <c r="E713" s="85">
        <f t="shared" si="84"/>
        <v>2.5000000000000001E-3</v>
      </c>
      <c r="F713" s="85">
        <f t="shared" si="85"/>
        <v>1.25E-3</v>
      </c>
      <c r="G713" s="85">
        <f t="shared" si="86"/>
        <v>8.181230868723419E-9</v>
      </c>
      <c r="H713" s="85">
        <v>7820</v>
      </c>
      <c r="I713" s="85">
        <f t="shared" si="82"/>
        <v>6.3977225393417134E-5</v>
      </c>
      <c r="J713" s="87">
        <v>1</v>
      </c>
      <c r="K713" s="88">
        <f t="shared" si="83"/>
        <v>15630.562186007115</v>
      </c>
    </row>
    <row r="714" spans="1:11" hidden="1" x14ac:dyDescent="0.25">
      <c r="A714" t="str">
        <f t="shared" si="87"/>
        <v>316Ø1,984375</v>
      </c>
      <c r="B714" s="81">
        <v>316</v>
      </c>
      <c r="C714" s="101" t="s">
        <v>327</v>
      </c>
      <c r="D714" s="86">
        <f>5/64*25.4</f>
        <v>1.984375</v>
      </c>
      <c r="E714" s="85">
        <f t="shared" si="84"/>
        <v>1.984375E-3</v>
      </c>
      <c r="F714" s="85">
        <f t="shared" si="85"/>
        <v>9.9218750000000001E-4</v>
      </c>
      <c r="G714" s="85">
        <f t="shared" si="86"/>
        <v>4.0913804273848354E-9</v>
      </c>
      <c r="H714" s="85">
        <v>7950</v>
      </c>
      <c r="I714" s="85">
        <f t="shared" si="82"/>
        <v>3.2526474397709443E-5</v>
      </c>
      <c r="J714" s="87">
        <v>1</v>
      </c>
      <c r="K714" s="88">
        <f t="shared" si="83"/>
        <v>30744.186651548724</v>
      </c>
    </row>
    <row r="715" spans="1:11" hidden="1" x14ac:dyDescent="0.25">
      <c r="A715" t="str">
        <f t="shared" si="87"/>
        <v>316Ø2,778125</v>
      </c>
      <c r="B715" s="81">
        <v>316</v>
      </c>
      <c r="C715" s="101" t="s">
        <v>247</v>
      </c>
      <c r="D715" s="86">
        <f>7/64*25.4</f>
        <v>2.7781249999999997</v>
      </c>
      <c r="E715" s="85">
        <f t="shared" si="84"/>
        <v>2.7781249999999998E-3</v>
      </c>
      <c r="F715" s="85">
        <f t="shared" si="85"/>
        <v>1.3890624999999999E-3</v>
      </c>
      <c r="G715" s="85">
        <f t="shared" si="86"/>
        <v>1.1226747892743984E-8</v>
      </c>
      <c r="H715" s="85">
        <v>7950</v>
      </c>
      <c r="I715" s="85">
        <f t="shared" si="82"/>
        <v>8.9252645747314675E-5</v>
      </c>
      <c r="J715" s="87">
        <v>1</v>
      </c>
      <c r="K715" s="88">
        <f t="shared" si="83"/>
        <v>11204.149654354496</v>
      </c>
    </row>
    <row r="716" spans="1:11" hidden="1" x14ac:dyDescent="0.25">
      <c r="A716" t="str">
        <f t="shared" si="87"/>
        <v>440CØ1</v>
      </c>
      <c r="B716" s="81" t="s">
        <v>314</v>
      </c>
      <c r="D716" s="86">
        <v>1</v>
      </c>
      <c r="E716" s="85">
        <f t="shared" si="84"/>
        <v>1E-3</v>
      </c>
      <c r="F716" s="85">
        <f t="shared" si="85"/>
        <v>5.0000000000000001E-4</v>
      </c>
      <c r="G716" s="85">
        <f t="shared" si="86"/>
        <v>5.2359877559829886E-10</v>
      </c>
      <c r="H716" s="85">
        <v>7700</v>
      </c>
      <c r="I716" s="85">
        <f t="shared" si="82"/>
        <v>4.0317105721069012E-6</v>
      </c>
      <c r="J716" s="87">
        <v>1</v>
      </c>
      <c r="K716" s="88">
        <f t="shared" si="83"/>
        <v>248033.67754581093</v>
      </c>
    </row>
    <row r="717" spans="1:11" hidden="1" x14ac:dyDescent="0.25">
      <c r="A717" t="str">
        <f t="shared" si="87"/>
        <v>420CØ6,2</v>
      </c>
      <c r="B717" s="81" t="s">
        <v>295</v>
      </c>
      <c r="D717" s="86">
        <v>6.2</v>
      </c>
      <c r="E717" s="85">
        <f t="shared" si="84"/>
        <v>6.1999999999999998E-3</v>
      </c>
      <c r="F717" s="85">
        <f t="shared" si="85"/>
        <v>3.0999999999999999E-3</v>
      </c>
      <c r="G717" s="85">
        <f t="shared" si="86"/>
        <v>1.2478824899079134E-7</v>
      </c>
      <c r="H717" s="85">
        <v>7700</v>
      </c>
      <c r="I717" s="85">
        <f t="shared" si="82"/>
        <v>9.6086951722909337E-4</v>
      </c>
      <c r="J717" s="87">
        <v>1</v>
      </c>
      <c r="K717" s="88">
        <f t="shared" si="83"/>
        <v>1040.7240338768879</v>
      </c>
    </row>
    <row r="718" spans="1:11" hidden="1" x14ac:dyDescent="0.25">
      <c r="A718" t="str">
        <f t="shared" si="87"/>
        <v>440CØ1</v>
      </c>
      <c r="B718" s="81" t="s">
        <v>314</v>
      </c>
      <c r="D718" s="86">
        <v>1</v>
      </c>
      <c r="E718" s="85">
        <f t="shared" si="84"/>
        <v>1E-3</v>
      </c>
      <c r="F718" s="85">
        <f t="shared" si="85"/>
        <v>5.0000000000000001E-4</v>
      </c>
      <c r="G718" s="85">
        <f t="shared" si="86"/>
        <v>5.2359877559829886E-10</v>
      </c>
      <c r="H718" s="85">
        <v>7640</v>
      </c>
      <c r="I718" s="85">
        <f t="shared" si="82"/>
        <v>4.0002946455710031E-6</v>
      </c>
      <c r="J718" s="87">
        <v>1</v>
      </c>
      <c r="K718" s="88">
        <f t="shared" si="83"/>
        <v>249981.58600821259</v>
      </c>
    </row>
    <row r="719" spans="1:11" hidden="1" x14ac:dyDescent="0.25">
      <c r="A719" t="str">
        <f t="shared" si="87"/>
        <v>Al2O3Ø5</v>
      </c>
      <c r="B719" s="81" t="s">
        <v>217</v>
      </c>
      <c r="D719" s="86">
        <v>5</v>
      </c>
      <c r="E719" s="85">
        <f t="shared" si="84"/>
        <v>5.0000000000000001E-3</v>
      </c>
      <c r="F719" s="85">
        <f t="shared" si="85"/>
        <v>2.5000000000000001E-3</v>
      </c>
      <c r="G719" s="85">
        <f t="shared" si="86"/>
        <v>6.5449846949787352E-8</v>
      </c>
      <c r="H719" s="85">
        <v>3900</v>
      </c>
      <c r="I719" s="85">
        <f t="shared" si="82"/>
        <v>2.5525440310417065E-4</v>
      </c>
      <c r="J719" s="87">
        <v>1</v>
      </c>
      <c r="K719" s="88">
        <f t="shared" si="83"/>
        <v>3917.6601376466551</v>
      </c>
    </row>
    <row r="720" spans="1:11" hidden="1" x14ac:dyDescent="0.25">
      <c r="A720" t="str">
        <f t="shared" si="87"/>
        <v>Al2O3Ø8</v>
      </c>
      <c r="B720" s="81" t="s">
        <v>217</v>
      </c>
      <c r="D720" s="86">
        <v>8</v>
      </c>
      <c r="E720" s="85">
        <f t="shared" si="84"/>
        <v>8.0000000000000002E-3</v>
      </c>
      <c r="F720" s="85">
        <f t="shared" si="85"/>
        <v>4.0000000000000001E-3</v>
      </c>
      <c r="G720" s="85">
        <f t="shared" si="86"/>
        <v>2.6808257310632902E-7</v>
      </c>
      <c r="H720" s="85">
        <v>3900</v>
      </c>
      <c r="I720" s="85">
        <f t="shared" si="82"/>
        <v>1.0455220351146832E-3</v>
      </c>
      <c r="J720" s="87">
        <v>1</v>
      </c>
      <c r="K720" s="88">
        <f t="shared" si="83"/>
        <v>956.45999454264029</v>
      </c>
    </row>
    <row r="721" spans="1:11" hidden="1" x14ac:dyDescent="0.25">
      <c r="A721" t="str">
        <f t="shared" si="87"/>
        <v>Al2O3Ø10</v>
      </c>
      <c r="B721" s="81" t="s">
        <v>217</v>
      </c>
      <c r="D721" s="86">
        <v>10</v>
      </c>
      <c r="E721" s="85">
        <f t="shared" si="84"/>
        <v>0.01</v>
      </c>
      <c r="F721" s="85">
        <f t="shared" si="85"/>
        <v>5.0000000000000001E-3</v>
      </c>
      <c r="G721" s="85">
        <f t="shared" si="86"/>
        <v>5.2359877559829882E-7</v>
      </c>
      <c r="H721" s="85">
        <v>3900</v>
      </c>
      <c r="I721" s="85">
        <f t="shared" si="82"/>
        <v>2.0420352248333652E-3</v>
      </c>
      <c r="J721" s="87">
        <v>1</v>
      </c>
      <c r="K721" s="88">
        <f t="shared" si="83"/>
        <v>489.70751720583189</v>
      </c>
    </row>
    <row r="722" spans="1:11" hidden="1" x14ac:dyDescent="0.25">
      <c r="A722" t="str">
        <f t="shared" si="87"/>
        <v>Al2O3Ø15</v>
      </c>
      <c r="B722" s="81" t="s">
        <v>217</v>
      </c>
      <c r="D722" s="86">
        <v>15</v>
      </c>
      <c r="E722" s="85">
        <f t="shared" si="84"/>
        <v>1.4999999999999999E-2</v>
      </c>
      <c r="F722" s="85">
        <f t="shared" si="85"/>
        <v>7.4999999999999997E-3</v>
      </c>
      <c r="G722" s="85">
        <f t="shared" si="86"/>
        <v>1.7671458676442584E-6</v>
      </c>
      <c r="H722" s="85">
        <v>3900</v>
      </c>
      <c r="I722" s="85">
        <f t="shared" si="82"/>
        <v>6.8918688838126079E-3</v>
      </c>
      <c r="J722" s="87">
        <v>1</v>
      </c>
      <c r="K722" s="88">
        <f t="shared" si="83"/>
        <v>145.09852361654276</v>
      </c>
    </row>
    <row r="723" spans="1:11" hidden="1" x14ac:dyDescent="0.25">
      <c r="A723" t="str">
        <f t="shared" si="87"/>
        <v>52100Ø0,5</v>
      </c>
      <c r="B723" s="81">
        <v>52100</v>
      </c>
      <c r="D723" s="86">
        <v>0.5</v>
      </c>
      <c r="E723" s="85">
        <v>5.0000000000000001E-4</v>
      </c>
      <c r="F723" s="85">
        <v>2.5000000000000001E-4</v>
      </c>
      <c r="G723" s="85">
        <v>6.5449846949787358E-11</v>
      </c>
      <c r="H723" s="85">
        <v>7800</v>
      </c>
      <c r="I723" s="85">
        <f t="shared" si="82"/>
        <v>5.1050880620834141E-7</v>
      </c>
      <c r="J723" s="87">
        <v>1</v>
      </c>
      <c r="K723" s="88">
        <f t="shared" si="83"/>
        <v>1958830.0688233273</v>
      </c>
    </row>
    <row r="724" spans="1:11" hidden="1" x14ac:dyDescent="0.25">
      <c r="A724" t="str">
        <f t="shared" si="87"/>
        <v>52100Ø1</v>
      </c>
      <c r="B724" s="81">
        <v>52100</v>
      </c>
      <c r="D724" s="86">
        <v>1</v>
      </c>
      <c r="E724" s="85">
        <f t="shared" ref="E724:E735" si="88">D724/1000</f>
        <v>1E-3</v>
      </c>
      <c r="F724" s="85">
        <f t="shared" ref="F724:F735" si="89">E724/2</f>
        <v>5.0000000000000001E-4</v>
      </c>
      <c r="G724" s="85">
        <f t="shared" ref="G724:G735" si="90">4/3*PI()*F724*F724*F724</f>
        <v>5.2359877559829886E-10</v>
      </c>
      <c r="H724" s="85">
        <v>7800</v>
      </c>
      <c r="I724" s="85">
        <f t="shared" si="82"/>
        <v>4.0840704496667312E-6</v>
      </c>
      <c r="J724" s="87">
        <v>1</v>
      </c>
      <c r="K724" s="88">
        <f t="shared" si="83"/>
        <v>244853.75860291591</v>
      </c>
    </row>
    <row r="725" spans="1:11" hidden="1" x14ac:dyDescent="0.25">
      <c r="A725" t="str">
        <f t="shared" si="87"/>
        <v>52100Ø1</v>
      </c>
      <c r="B725" s="81">
        <v>52100</v>
      </c>
      <c r="D725" s="86">
        <v>1</v>
      </c>
      <c r="E725" s="85">
        <f t="shared" si="88"/>
        <v>1E-3</v>
      </c>
      <c r="F725" s="85">
        <f t="shared" si="89"/>
        <v>5.0000000000000001E-4</v>
      </c>
      <c r="G725" s="85">
        <f t="shared" si="90"/>
        <v>5.2359877559829886E-10</v>
      </c>
      <c r="H725" s="85">
        <v>7800</v>
      </c>
      <c r="I725" s="85">
        <f t="shared" si="82"/>
        <v>4.0840704496667312E-6</v>
      </c>
      <c r="J725" s="87">
        <v>1</v>
      </c>
      <c r="K725" s="88">
        <f t="shared" si="83"/>
        <v>244853.75860291591</v>
      </c>
    </row>
    <row r="726" spans="1:11" hidden="1" x14ac:dyDescent="0.25">
      <c r="A726" t="str">
        <f t="shared" si="87"/>
        <v>52100Ø1</v>
      </c>
      <c r="B726" s="81">
        <v>52100</v>
      </c>
      <c r="D726" s="86">
        <v>1</v>
      </c>
      <c r="E726" s="85">
        <f t="shared" si="88"/>
        <v>1E-3</v>
      </c>
      <c r="F726" s="85">
        <f t="shared" si="89"/>
        <v>5.0000000000000001E-4</v>
      </c>
      <c r="G726" s="85">
        <f t="shared" si="90"/>
        <v>5.2359877559829886E-10</v>
      </c>
      <c r="H726" s="85">
        <v>7800</v>
      </c>
      <c r="I726" s="85">
        <f t="shared" si="82"/>
        <v>4.0840704496667312E-6</v>
      </c>
      <c r="J726" s="87">
        <v>1</v>
      </c>
      <c r="K726" s="88">
        <f t="shared" si="83"/>
        <v>244853.75860291591</v>
      </c>
    </row>
    <row r="727" spans="1:11" hidden="1" x14ac:dyDescent="0.25">
      <c r="A727" t="str">
        <f t="shared" si="87"/>
        <v>316Ø1</v>
      </c>
      <c r="B727" s="81">
        <v>316</v>
      </c>
      <c r="D727" s="86">
        <v>1</v>
      </c>
      <c r="E727" s="85">
        <f t="shared" si="88"/>
        <v>1E-3</v>
      </c>
      <c r="F727" s="85">
        <f t="shared" si="89"/>
        <v>5.0000000000000001E-4</v>
      </c>
      <c r="G727" s="85">
        <f t="shared" si="90"/>
        <v>5.2359877559829886E-10</v>
      </c>
      <c r="H727" s="85">
        <v>7950</v>
      </c>
      <c r="I727" s="85">
        <f t="shared" si="82"/>
        <v>4.1626102660064759E-6</v>
      </c>
      <c r="J727" s="87">
        <v>1</v>
      </c>
      <c r="K727" s="88">
        <f t="shared" si="83"/>
        <v>240233.87636512503</v>
      </c>
    </row>
    <row r="728" spans="1:11" hidden="1" x14ac:dyDescent="0.25">
      <c r="A728" t="str">
        <f t="shared" si="87"/>
        <v>316Ø1</v>
      </c>
      <c r="B728" s="81">
        <v>316</v>
      </c>
      <c r="D728" s="86">
        <v>1</v>
      </c>
      <c r="E728" s="85">
        <f t="shared" si="88"/>
        <v>1E-3</v>
      </c>
      <c r="F728" s="85">
        <f t="shared" si="89"/>
        <v>5.0000000000000001E-4</v>
      </c>
      <c r="G728" s="85">
        <f t="shared" si="90"/>
        <v>5.2359877559829886E-10</v>
      </c>
      <c r="H728" s="85">
        <v>7950</v>
      </c>
      <c r="I728" s="85">
        <f t="shared" si="82"/>
        <v>4.1626102660064759E-6</v>
      </c>
      <c r="J728" s="87">
        <v>1</v>
      </c>
      <c r="K728" s="88">
        <f t="shared" si="83"/>
        <v>240233.87636512503</v>
      </c>
    </row>
    <row r="729" spans="1:11" hidden="1" x14ac:dyDescent="0.25">
      <c r="A729" t="str">
        <f t="shared" si="87"/>
        <v>Al2O3Ø3</v>
      </c>
      <c r="B729" s="81" t="s">
        <v>217</v>
      </c>
      <c r="D729" s="86">
        <v>3</v>
      </c>
      <c r="E729" s="85">
        <f t="shared" si="88"/>
        <v>3.0000000000000001E-3</v>
      </c>
      <c r="F729" s="85">
        <f t="shared" si="89"/>
        <v>1.5E-3</v>
      </c>
      <c r="G729" s="85">
        <f t="shared" si="90"/>
        <v>1.4137166941154068E-8</v>
      </c>
      <c r="H729" s="85">
        <v>3900</v>
      </c>
      <c r="I729" s="85">
        <f t="shared" si="82"/>
        <v>5.5134951070500869E-5</v>
      </c>
      <c r="J729" s="87">
        <v>1</v>
      </c>
      <c r="K729" s="88">
        <f t="shared" si="83"/>
        <v>18137.315452067844</v>
      </c>
    </row>
    <row r="730" spans="1:11" hidden="1" x14ac:dyDescent="0.25">
      <c r="A730" t="str">
        <f t="shared" si="87"/>
        <v>PSØ4</v>
      </c>
      <c r="B730" s="81" t="s">
        <v>242</v>
      </c>
      <c r="D730" s="86">
        <v>4</v>
      </c>
      <c r="E730" s="85">
        <f t="shared" si="88"/>
        <v>4.0000000000000001E-3</v>
      </c>
      <c r="F730" s="85">
        <f t="shared" si="89"/>
        <v>2E-3</v>
      </c>
      <c r="G730" s="85">
        <f t="shared" si="90"/>
        <v>3.3510321638291127E-8</v>
      </c>
      <c r="H730" s="85">
        <v>1050</v>
      </c>
      <c r="I730" s="85">
        <f t="shared" si="82"/>
        <v>3.5185837720205687E-5</v>
      </c>
      <c r="J730" s="87">
        <v>1</v>
      </c>
      <c r="K730" s="88">
        <f t="shared" si="83"/>
        <v>28420.525552124167</v>
      </c>
    </row>
    <row r="731" spans="1:11" hidden="1" x14ac:dyDescent="0.25">
      <c r="A731" t="str">
        <f t="shared" si="87"/>
        <v>PMMAØ1,5875</v>
      </c>
      <c r="B731" s="81" t="s">
        <v>299</v>
      </c>
      <c r="C731" s="101" t="s">
        <v>246</v>
      </c>
      <c r="D731" s="86">
        <f>1/16*25.4</f>
        <v>1.5874999999999999</v>
      </c>
      <c r="E731" s="85">
        <f t="shared" si="88"/>
        <v>1.5874999999999999E-3</v>
      </c>
      <c r="F731" s="85">
        <f t="shared" si="89"/>
        <v>7.9374999999999997E-4</v>
      </c>
      <c r="G731" s="85">
        <f t="shared" si="90"/>
        <v>2.0947867788210349E-9</v>
      </c>
      <c r="H731" s="85">
        <v>1180</v>
      </c>
      <c r="I731" s="85">
        <f t="shared" si="82"/>
        <v>2.4718483990088211E-6</v>
      </c>
      <c r="J731" s="87">
        <v>1</v>
      </c>
      <c r="K731" s="88">
        <f t="shared" si="83"/>
        <v>404555.55462098197</v>
      </c>
    </row>
    <row r="732" spans="1:11" hidden="1" x14ac:dyDescent="0.25">
      <c r="A732" t="str">
        <f t="shared" si="87"/>
        <v>VESCØ1,5</v>
      </c>
      <c r="B732" s="81" t="s">
        <v>210</v>
      </c>
      <c r="D732" s="86">
        <v>1.5</v>
      </c>
      <c r="E732" s="85">
        <f t="shared" si="88"/>
        <v>1.5E-3</v>
      </c>
      <c r="F732" s="85">
        <f t="shared" si="89"/>
        <v>7.5000000000000002E-4</v>
      </c>
      <c r="G732" s="85">
        <f t="shared" si="90"/>
        <v>1.7671458676442585E-9</v>
      </c>
      <c r="H732" s="85">
        <v>2500</v>
      </c>
      <c r="I732" s="85">
        <f t="shared" si="82"/>
        <v>4.4178646691106464E-6</v>
      </c>
      <c r="J732" s="87">
        <v>1</v>
      </c>
      <c r="K732" s="88">
        <f t="shared" si="83"/>
        <v>226353.69684180673</v>
      </c>
    </row>
    <row r="733" spans="1:11" hidden="1" x14ac:dyDescent="0.25">
      <c r="A733" t="str">
        <f t="shared" si="87"/>
        <v>VESCØ1,2</v>
      </c>
      <c r="B733" s="81" t="s">
        <v>210</v>
      </c>
      <c r="D733" s="86">
        <v>1.2</v>
      </c>
      <c r="E733" s="85">
        <f t="shared" si="88"/>
        <v>1.1999999999999999E-3</v>
      </c>
      <c r="F733" s="85">
        <f t="shared" si="89"/>
        <v>5.9999999999999995E-4</v>
      </c>
      <c r="G733" s="85">
        <f t="shared" si="90"/>
        <v>9.0477868423386013E-10</v>
      </c>
      <c r="H733" s="85">
        <v>2500</v>
      </c>
      <c r="I733" s="85">
        <f t="shared" si="82"/>
        <v>2.2619467105846502E-6</v>
      </c>
      <c r="J733" s="87">
        <v>1</v>
      </c>
      <c r="K733" s="88">
        <f t="shared" si="83"/>
        <v>442097.0641441539</v>
      </c>
    </row>
    <row r="734" spans="1:11" hidden="1" x14ac:dyDescent="0.25">
      <c r="A734" t="str">
        <f t="shared" si="87"/>
        <v>VESCØ2</v>
      </c>
      <c r="B734" s="81" t="s">
        <v>210</v>
      </c>
      <c r="D734" s="86">
        <v>2</v>
      </c>
      <c r="E734" s="85">
        <f t="shared" si="88"/>
        <v>2E-3</v>
      </c>
      <c r="F734" s="85">
        <f t="shared" si="89"/>
        <v>1E-3</v>
      </c>
      <c r="G734" s="85">
        <f t="shared" si="90"/>
        <v>4.1887902047863909E-9</v>
      </c>
      <c r="H734" s="85">
        <v>2500</v>
      </c>
      <c r="I734" s="85">
        <f t="shared" si="82"/>
        <v>1.0471975511965977E-5</v>
      </c>
      <c r="J734" s="87">
        <v>1</v>
      </c>
      <c r="K734" s="88">
        <f t="shared" si="83"/>
        <v>95492.965855137198</v>
      </c>
    </row>
    <row r="735" spans="1:11" hidden="1" x14ac:dyDescent="0.25">
      <c r="A735" t="str">
        <f t="shared" si="87"/>
        <v>VESCØ1</v>
      </c>
      <c r="B735" s="81" t="s">
        <v>210</v>
      </c>
      <c r="D735" s="86">
        <v>1</v>
      </c>
      <c r="E735" s="85">
        <f t="shared" si="88"/>
        <v>1E-3</v>
      </c>
      <c r="F735" s="85">
        <f t="shared" si="89"/>
        <v>5.0000000000000001E-4</v>
      </c>
      <c r="G735" s="85">
        <f t="shared" si="90"/>
        <v>5.2359877559829886E-10</v>
      </c>
      <c r="H735" s="85">
        <v>2500</v>
      </c>
      <c r="I735" s="85">
        <f t="shared" si="82"/>
        <v>1.3089969389957471E-6</v>
      </c>
      <c r="J735" s="87">
        <v>1</v>
      </c>
      <c r="K735" s="88">
        <f t="shared" si="83"/>
        <v>763943.72684109758</v>
      </c>
    </row>
    <row r="736" spans="1:11" hidden="1" x14ac:dyDescent="0.25">
      <c r="A736" t="str">
        <f t="shared" si="87"/>
        <v>PURØ1,5875</v>
      </c>
      <c r="B736" s="81" t="s">
        <v>300</v>
      </c>
      <c r="C736" s="101" t="s">
        <v>246</v>
      </c>
      <c r="D736" s="86">
        <f>1/16*25.4</f>
        <v>1.5874999999999999</v>
      </c>
      <c r="E736" s="85">
        <f>D736/1000</f>
        <v>1.5874999999999999E-3</v>
      </c>
      <c r="F736" s="85">
        <f>E736/2</f>
        <v>7.9374999999999997E-4</v>
      </c>
      <c r="G736" s="85">
        <f>4/3*PI()*F736*F736*F736</f>
        <v>2.0947867788210349E-9</v>
      </c>
      <c r="H736" s="85">
        <v>1140</v>
      </c>
      <c r="I736" s="85">
        <f t="shared" si="82"/>
        <v>2.3880569278559799E-6</v>
      </c>
      <c r="J736" s="87">
        <v>1</v>
      </c>
      <c r="K736" s="88">
        <f t="shared" si="83"/>
        <v>418750.48636206903</v>
      </c>
    </row>
    <row r="737" spans="1:11" x14ac:dyDescent="0.25">
      <c r="A737" t="str">
        <f t="shared" si="87"/>
        <v>1085Ø4,2</v>
      </c>
      <c r="B737" s="81">
        <v>1085</v>
      </c>
      <c r="D737" s="86">
        <v>4.2</v>
      </c>
      <c r="E737" s="85">
        <f>D737/1000</f>
        <v>4.2000000000000006E-3</v>
      </c>
      <c r="F737" s="85">
        <f>E737/2</f>
        <v>2.1000000000000003E-3</v>
      </c>
      <c r="G737" s="85">
        <f>4/3*PI()*F737*F737*F737</f>
        <v>3.8792386086526783E-8</v>
      </c>
      <c r="H737" s="85">
        <v>7850</v>
      </c>
      <c r="I737" s="85">
        <f t="shared" si="82"/>
        <v>3.0452023077923526E-4</v>
      </c>
      <c r="J737" s="87">
        <v>1</v>
      </c>
      <c r="K737" s="88">
        <f t="shared" si="83"/>
        <v>3283.8540724900449</v>
      </c>
    </row>
    <row r="738" spans="1:11" hidden="1" x14ac:dyDescent="0.25">
      <c r="A738" t="str">
        <f t="shared" si="87"/>
        <v>1010Ø4,7625</v>
      </c>
      <c r="B738" s="81">
        <v>1010</v>
      </c>
      <c r="C738" s="101" t="s">
        <v>248</v>
      </c>
      <c r="D738" s="86">
        <f>3/16*25.4</f>
        <v>4.7624999999999993</v>
      </c>
      <c r="E738" s="85">
        <f>D738/1000</f>
        <v>4.7624999999999994E-3</v>
      </c>
      <c r="F738" s="85">
        <f>E738/2</f>
        <v>2.3812499999999997E-3</v>
      </c>
      <c r="G738" s="85">
        <f>4/3*PI()*F738*F738*F738</f>
        <v>5.6559243028167934E-8</v>
      </c>
      <c r="H738" s="85">
        <v>7820</v>
      </c>
      <c r="I738" s="85">
        <f t="shared" si="82"/>
        <v>4.4229328048027325E-4</v>
      </c>
      <c r="J738" s="87">
        <v>1</v>
      </c>
      <c r="K738" s="88">
        <f t="shared" si="83"/>
        <v>2260.9432341231354</v>
      </c>
    </row>
    <row r="739" spans="1:11" hidden="1" x14ac:dyDescent="0.25">
      <c r="A739" t="str">
        <f t="shared" si="87"/>
        <v>1010Ø6</v>
      </c>
      <c r="B739" s="81">
        <v>1010</v>
      </c>
      <c r="D739" s="86">
        <v>6</v>
      </c>
      <c r="E739" s="85">
        <f>D739/1000</f>
        <v>6.0000000000000001E-3</v>
      </c>
      <c r="F739" s="85">
        <f>E739/2</f>
        <v>3.0000000000000001E-3</v>
      </c>
      <c r="G739" s="85">
        <f>4/3*PI()*F739*F739*F739</f>
        <v>1.1309733552923255E-7</v>
      </c>
      <c r="H739" s="85">
        <v>7820</v>
      </c>
      <c r="I739" s="85">
        <f t="shared" si="82"/>
        <v>8.8442116383859854E-4</v>
      </c>
      <c r="J739" s="87">
        <v>1</v>
      </c>
      <c r="K739" s="88">
        <f t="shared" si="83"/>
        <v>1130.683028501672</v>
      </c>
    </row>
    <row r="740" spans="1:11" hidden="1" x14ac:dyDescent="0.25">
      <c r="A740" t="str">
        <f t="shared" si="87"/>
        <v>SiliconeØ1</v>
      </c>
      <c r="B740" s="81" t="s">
        <v>315</v>
      </c>
      <c r="D740" s="86">
        <v>1</v>
      </c>
      <c r="E740" s="85">
        <f t="shared" ref="E740:E803" si="91">D740/1000</f>
        <v>1E-3</v>
      </c>
      <c r="F740" s="85">
        <f t="shared" ref="F740:F803" si="92">E740/2</f>
        <v>5.0000000000000001E-4</v>
      </c>
      <c r="G740" s="85">
        <f t="shared" ref="G740:G803" si="93">4/3*PI()*F740*F740*F740</f>
        <v>5.2359877559829886E-10</v>
      </c>
      <c r="H740" s="85">
        <v>1200</v>
      </c>
      <c r="I740" s="85">
        <f t="shared" si="82"/>
        <v>6.2831853071795864E-7</v>
      </c>
      <c r="J740" s="87">
        <v>1</v>
      </c>
      <c r="K740" s="88">
        <f t="shared" si="83"/>
        <v>1591549.4309189534</v>
      </c>
    </row>
    <row r="741" spans="1:11" hidden="1" x14ac:dyDescent="0.25">
      <c r="A741" t="str">
        <f t="shared" si="87"/>
        <v>304Ø0,5</v>
      </c>
      <c r="B741" s="81">
        <v>304</v>
      </c>
      <c r="D741" s="86">
        <v>0.5</v>
      </c>
      <c r="E741" s="85">
        <f t="shared" si="91"/>
        <v>5.0000000000000001E-4</v>
      </c>
      <c r="F741" s="85">
        <f t="shared" si="92"/>
        <v>2.5000000000000001E-4</v>
      </c>
      <c r="G741" s="85">
        <f t="shared" si="93"/>
        <v>6.5449846949787358E-11</v>
      </c>
      <c r="H741" s="85">
        <v>7950</v>
      </c>
      <c r="I741" s="85">
        <f t="shared" si="82"/>
        <v>5.2032628325080949E-7</v>
      </c>
      <c r="J741" s="87">
        <v>1</v>
      </c>
      <c r="K741" s="88">
        <f t="shared" si="83"/>
        <v>1921871.0109210003</v>
      </c>
    </row>
    <row r="742" spans="1:11" hidden="1" x14ac:dyDescent="0.25">
      <c r="A742" t="str">
        <f t="shared" si="87"/>
        <v>ZrO2Ø0,3</v>
      </c>
      <c r="B742" s="81" t="s">
        <v>205</v>
      </c>
      <c r="D742" s="86">
        <v>0.3</v>
      </c>
      <c r="E742" s="85">
        <f t="shared" si="91"/>
        <v>2.9999999999999997E-4</v>
      </c>
      <c r="F742" s="85">
        <f t="shared" si="92"/>
        <v>1.4999999999999999E-4</v>
      </c>
      <c r="G742" s="85">
        <f t="shared" si="93"/>
        <v>1.4137166941154065E-11</v>
      </c>
      <c r="H742" s="85">
        <v>6000</v>
      </c>
      <c r="I742" s="85">
        <f t="shared" ref="I742:I805" si="94">H742*G742</f>
        <v>8.4823001646924386E-8</v>
      </c>
      <c r="J742" s="87">
        <v>1</v>
      </c>
      <c r="K742" s="88">
        <f t="shared" ref="K742:K805" si="95">J742/I742</f>
        <v>11789255.043844104</v>
      </c>
    </row>
    <row r="743" spans="1:11" hidden="1" x14ac:dyDescent="0.25">
      <c r="A743" t="str">
        <f t="shared" si="87"/>
        <v>ZrO2Ø0,3</v>
      </c>
      <c r="B743" s="81" t="s">
        <v>205</v>
      </c>
      <c r="D743" s="86">
        <v>0.3</v>
      </c>
      <c r="E743" s="85">
        <f t="shared" si="91"/>
        <v>2.9999999999999997E-4</v>
      </c>
      <c r="F743" s="85">
        <f t="shared" si="92"/>
        <v>1.4999999999999999E-4</v>
      </c>
      <c r="G743" s="85">
        <f t="shared" si="93"/>
        <v>1.4137166941154065E-11</v>
      </c>
      <c r="H743" s="85">
        <v>6000</v>
      </c>
      <c r="I743" s="85">
        <f t="shared" si="94"/>
        <v>8.4823001646924386E-8</v>
      </c>
      <c r="J743" s="87">
        <v>1</v>
      </c>
      <c r="K743" s="88">
        <f t="shared" si="95"/>
        <v>11789255.043844104</v>
      </c>
    </row>
    <row r="744" spans="1:11" hidden="1" x14ac:dyDescent="0.25">
      <c r="A744" t="str">
        <f t="shared" si="87"/>
        <v>Al2O3Ø3,175</v>
      </c>
      <c r="B744" s="81" t="s">
        <v>217</v>
      </c>
      <c r="C744" s="101" t="s">
        <v>214</v>
      </c>
      <c r="D744" s="86">
        <f>1/8*25.4</f>
        <v>3.1749999999999998</v>
      </c>
      <c r="E744" s="85">
        <f t="shared" si="91"/>
        <v>3.1749999999999999E-3</v>
      </c>
      <c r="F744" s="85">
        <f t="shared" si="92"/>
        <v>1.5874999999999999E-3</v>
      </c>
      <c r="G744" s="85">
        <f t="shared" si="93"/>
        <v>1.6758294230568279E-8</v>
      </c>
      <c r="H744" s="85">
        <v>3900</v>
      </c>
      <c r="I744" s="85">
        <f t="shared" si="94"/>
        <v>6.5357347499216283E-5</v>
      </c>
      <c r="J744" s="87">
        <v>1</v>
      </c>
      <c r="K744" s="88">
        <f t="shared" si="95"/>
        <v>15300.498540152525</v>
      </c>
    </row>
    <row r="745" spans="1:11" hidden="1" x14ac:dyDescent="0.25">
      <c r="A745" t="str">
        <f t="shared" si="87"/>
        <v>52100Ø1</v>
      </c>
      <c r="B745" s="81">
        <v>52100</v>
      </c>
      <c r="D745" s="86">
        <v>1</v>
      </c>
      <c r="E745" s="85">
        <f t="shared" si="91"/>
        <v>1E-3</v>
      </c>
      <c r="F745" s="85">
        <f t="shared" si="92"/>
        <v>5.0000000000000001E-4</v>
      </c>
      <c r="G745" s="85">
        <f t="shared" si="93"/>
        <v>5.2359877559829886E-10</v>
      </c>
      <c r="H745" s="85">
        <v>7800</v>
      </c>
      <c r="I745" s="85">
        <f t="shared" si="94"/>
        <v>4.0840704496667312E-6</v>
      </c>
      <c r="J745" s="87">
        <v>1</v>
      </c>
      <c r="K745" s="88">
        <f t="shared" si="95"/>
        <v>244853.75860291591</v>
      </c>
    </row>
    <row r="746" spans="1:11" hidden="1" x14ac:dyDescent="0.25">
      <c r="A746" t="str">
        <f t="shared" si="87"/>
        <v>52100Ø2</v>
      </c>
      <c r="B746" s="81">
        <v>52100</v>
      </c>
      <c r="D746" s="86">
        <v>2</v>
      </c>
      <c r="E746" s="85">
        <f t="shared" si="91"/>
        <v>2E-3</v>
      </c>
      <c r="F746" s="85">
        <f t="shared" si="92"/>
        <v>1E-3</v>
      </c>
      <c r="G746" s="85">
        <f t="shared" si="93"/>
        <v>4.1887902047863909E-9</v>
      </c>
      <c r="H746" s="85">
        <v>7800</v>
      </c>
      <c r="I746" s="85">
        <f t="shared" si="94"/>
        <v>3.267256359733385E-5</v>
      </c>
      <c r="J746" s="87">
        <v>1</v>
      </c>
      <c r="K746" s="88">
        <f t="shared" si="95"/>
        <v>30606.719825364489</v>
      </c>
    </row>
    <row r="747" spans="1:11" hidden="1" x14ac:dyDescent="0.25">
      <c r="A747" t="str">
        <f t="shared" si="87"/>
        <v>52100Ø0,5</v>
      </c>
      <c r="B747" s="81">
        <v>52100</v>
      </c>
      <c r="D747" s="86">
        <v>0.5</v>
      </c>
      <c r="E747" s="85">
        <f t="shared" si="91"/>
        <v>5.0000000000000001E-4</v>
      </c>
      <c r="F747" s="85">
        <f t="shared" si="92"/>
        <v>2.5000000000000001E-4</v>
      </c>
      <c r="G747" s="85">
        <f t="shared" si="93"/>
        <v>6.5449846949787358E-11</v>
      </c>
      <c r="H747" s="85">
        <v>7800</v>
      </c>
      <c r="I747" s="85">
        <f t="shared" si="94"/>
        <v>5.1050880620834141E-7</v>
      </c>
      <c r="J747" s="87">
        <v>1</v>
      </c>
      <c r="K747" s="88">
        <f t="shared" si="95"/>
        <v>1958830.0688233273</v>
      </c>
    </row>
    <row r="748" spans="1:11" hidden="1" x14ac:dyDescent="0.25">
      <c r="A748" t="str">
        <f t="shared" si="87"/>
        <v>52100Ø11,509375</v>
      </c>
      <c r="B748" s="81">
        <v>52100</v>
      </c>
      <c r="C748" s="101" t="s">
        <v>273</v>
      </c>
      <c r="D748" s="86">
        <f>29/64*25.4</f>
        <v>11.509374999999999</v>
      </c>
      <c r="E748" s="85">
        <f t="shared" si="91"/>
        <v>1.1509374999999999E-2</v>
      </c>
      <c r="F748" s="85">
        <f t="shared" si="92"/>
        <v>5.7546874999999994E-3</v>
      </c>
      <c r="G748" s="85">
        <f t="shared" si="93"/>
        <v>7.9827741794790967E-7</v>
      </c>
      <c r="H748" s="85">
        <v>7800</v>
      </c>
      <c r="I748" s="85">
        <f t="shared" si="94"/>
        <v>6.2265638599936952E-3</v>
      </c>
      <c r="J748" s="87">
        <v>1</v>
      </c>
      <c r="K748" s="94">
        <f t="shared" si="95"/>
        <v>160.60222339083381</v>
      </c>
    </row>
    <row r="749" spans="1:11" hidden="1" x14ac:dyDescent="0.25">
      <c r="A749" t="str">
        <f t="shared" si="87"/>
        <v>420CØ0,4</v>
      </c>
      <c r="B749" s="81" t="s">
        <v>295</v>
      </c>
      <c r="D749" s="86">
        <v>0.4</v>
      </c>
      <c r="E749" s="85">
        <f t="shared" si="91"/>
        <v>4.0000000000000002E-4</v>
      </c>
      <c r="F749" s="85">
        <f t="shared" si="92"/>
        <v>2.0000000000000001E-4</v>
      </c>
      <c r="G749" s="85">
        <f t="shared" si="93"/>
        <v>3.3510321638291128E-11</v>
      </c>
      <c r="H749" s="85">
        <v>7700</v>
      </c>
      <c r="I749" s="85">
        <f t="shared" si="94"/>
        <v>2.5802947661484168E-7</v>
      </c>
      <c r="J749" s="87">
        <v>1</v>
      </c>
      <c r="K749" s="88">
        <f t="shared" si="95"/>
        <v>3875526.2116532954</v>
      </c>
    </row>
    <row r="750" spans="1:11" hidden="1" x14ac:dyDescent="0.25">
      <c r="A750" t="str">
        <f t="shared" si="87"/>
        <v>52100Ø25,3</v>
      </c>
      <c r="B750" s="81">
        <v>52100</v>
      </c>
      <c r="D750" s="86">
        <v>25.3</v>
      </c>
      <c r="E750" s="85">
        <f t="shared" si="91"/>
        <v>2.53E-2</v>
      </c>
      <c r="F750" s="85">
        <f t="shared" si="92"/>
        <v>1.265E-2</v>
      </c>
      <c r="G750" s="85">
        <f t="shared" si="93"/>
        <v>8.479303608899692E-6</v>
      </c>
      <c r="H750" s="85">
        <v>7800</v>
      </c>
      <c r="I750" s="85">
        <f t="shared" si="94"/>
        <v>6.6138568149417598E-2</v>
      </c>
      <c r="J750" s="87">
        <v>1</v>
      </c>
      <c r="K750" s="88">
        <f t="shared" si="95"/>
        <v>15.119770929132304</v>
      </c>
    </row>
    <row r="751" spans="1:11" hidden="1" x14ac:dyDescent="0.25">
      <c r="A751" t="str">
        <f t="shared" si="87"/>
        <v>52100Ø19,95</v>
      </c>
      <c r="B751" s="81">
        <v>52100</v>
      </c>
      <c r="D751" s="86">
        <v>19.95</v>
      </c>
      <c r="E751" s="85">
        <f t="shared" si="91"/>
        <v>1.9949999999999999E-2</v>
      </c>
      <c r="F751" s="85">
        <f t="shared" si="92"/>
        <v>9.9749999999999995E-3</v>
      </c>
      <c r="G751" s="85">
        <f t="shared" si="93"/>
        <v>4.157452752616984E-6</v>
      </c>
      <c r="H751" s="85">
        <v>7800</v>
      </c>
      <c r="I751" s="85">
        <f t="shared" si="94"/>
        <v>3.2428131470412479E-2</v>
      </c>
      <c r="J751" s="87">
        <v>1</v>
      </c>
      <c r="K751" s="88">
        <f t="shared" si="95"/>
        <v>30.837422776344759</v>
      </c>
    </row>
    <row r="752" spans="1:11" hidden="1" x14ac:dyDescent="0.25">
      <c r="A752" t="str">
        <f t="shared" si="87"/>
        <v>52100Ø20,01</v>
      </c>
      <c r="B752" s="81">
        <v>52100</v>
      </c>
      <c r="D752" s="86">
        <v>20.010000000000002</v>
      </c>
      <c r="E752" s="85">
        <f t="shared" si="91"/>
        <v>2.001E-2</v>
      </c>
      <c r="F752" s="85">
        <f t="shared" si="92"/>
        <v>1.0005E-2</v>
      </c>
      <c r="G752" s="85">
        <f t="shared" si="93"/>
        <v>4.1950765322098226E-6</v>
      </c>
      <c r="H752" s="85">
        <v>7800</v>
      </c>
      <c r="I752" s="85">
        <f t="shared" si="94"/>
        <v>3.2721596951236616E-2</v>
      </c>
      <c r="J752" s="87">
        <v>1</v>
      </c>
      <c r="K752" s="88">
        <f t="shared" si="95"/>
        <v>30.560855617476456</v>
      </c>
    </row>
    <row r="753" spans="1:11" hidden="1" x14ac:dyDescent="0.25">
      <c r="A753" t="str">
        <f t="shared" si="87"/>
        <v>52100Ø3,96875</v>
      </c>
      <c r="B753" s="81">
        <v>52100</v>
      </c>
      <c r="C753" s="101" t="s">
        <v>215</v>
      </c>
      <c r="D753" s="86">
        <f>5/32*25.4</f>
        <v>3.96875</v>
      </c>
      <c r="E753" s="85">
        <f t="shared" si="91"/>
        <v>3.9687500000000001E-3</v>
      </c>
      <c r="F753" s="85">
        <f t="shared" si="92"/>
        <v>1.984375E-3</v>
      </c>
      <c r="G753" s="85">
        <f t="shared" si="93"/>
        <v>3.2731043419078684E-8</v>
      </c>
      <c r="H753" s="85">
        <v>7800</v>
      </c>
      <c r="I753" s="85">
        <f t="shared" si="94"/>
        <v>2.5530213866881374E-4</v>
      </c>
      <c r="J753" s="87">
        <v>1</v>
      </c>
      <c r="K753" s="88">
        <f t="shared" si="95"/>
        <v>3916.9276262790445</v>
      </c>
    </row>
    <row r="754" spans="1:11" hidden="1" x14ac:dyDescent="0.25">
      <c r="A754" t="str">
        <f t="shared" si="87"/>
        <v>100CrMn6Ø60</v>
      </c>
      <c r="B754" s="81" t="s">
        <v>316</v>
      </c>
      <c r="D754" s="86">
        <v>60</v>
      </c>
      <c r="E754" s="85">
        <f t="shared" si="91"/>
        <v>0.06</v>
      </c>
      <c r="F754" s="85">
        <f t="shared" si="92"/>
        <v>0.03</v>
      </c>
      <c r="G754" s="85">
        <f t="shared" si="93"/>
        <v>1.1309733552923254E-4</v>
      </c>
      <c r="H754" s="85">
        <v>7850</v>
      </c>
      <c r="I754" s="85">
        <f t="shared" si="94"/>
        <v>0.88781408390447536</v>
      </c>
      <c r="J754" s="87">
        <v>1</v>
      </c>
      <c r="K754" s="88">
        <f t="shared" si="95"/>
        <v>1.1263619468640862</v>
      </c>
    </row>
    <row r="755" spans="1:11" hidden="1" x14ac:dyDescent="0.25">
      <c r="A755" t="str">
        <f t="shared" si="87"/>
        <v>100CrMn6Ø40</v>
      </c>
      <c r="B755" s="81" t="s">
        <v>316</v>
      </c>
      <c r="D755" s="86">
        <v>40</v>
      </c>
      <c r="E755" s="85">
        <f t="shared" si="91"/>
        <v>0.04</v>
      </c>
      <c r="F755" s="85">
        <f t="shared" si="92"/>
        <v>0.02</v>
      </c>
      <c r="G755" s="85">
        <f t="shared" si="93"/>
        <v>3.3510321638291124E-5</v>
      </c>
      <c r="H755" s="85">
        <v>7850</v>
      </c>
      <c r="I755" s="85">
        <f t="shared" si="94"/>
        <v>0.26305602486058532</v>
      </c>
      <c r="J755" s="87">
        <v>1</v>
      </c>
      <c r="K755" s="88">
        <f t="shared" si="95"/>
        <v>3.8014715706662905</v>
      </c>
    </row>
    <row r="756" spans="1:11" hidden="1" x14ac:dyDescent="0.25">
      <c r="A756" t="str">
        <f t="shared" si="87"/>
        <v>52100Ø18</v>
      </c>
      <c r="B756" s="81">
        <v>52100</v>
      </c>
      <c r="D756" s="86">
        <v>18</v>
      </c>
      <c r="E756" s="85">
        <f t="shared" si="91"/>
        <v>1.7999999999999999E-2</v>
      </c>
      <c r="F756" s="85">
        <f t="shared" si="92"/>
        <v>8.9999999999999993E-3</v>
      </c>
      <c r="G756" s="85">
        <f t="shared" si="93"/>
        <v>3.053628059289278E-6</v>
      </c>
      <c r="H756" s="85">
        <v>7800</v>
      </c>
      <c r="I756" s="85">
        <f t="shared" si="94"/>
        <v>2.3818298862456368E-2</v>
      </c>
      <c r="J756" s="87">
        <v>1</v>
      </c>
      <c r="K756" s="88">
        <f t="shared" si="95"/>
        <v>41.98452650941632</v>
      </c>
    </row>
    <row r="757" spans="1:11" hidden="1" x14ac:dyDescent="0.25">
      <c r="A757" t="str">
        <f t="shared" si="87"/>
        <v>VEBOØ4,75</v>
      </c>
      <c r="B757" s="81" t="s">
        <v>329</v>
      </c>
      <c r="D757" s="86">
        <v>4.75</v>
      </c>
      <c r="E757" s="85">
        <f t="shared" si="91"/>
        <v>4.7499999999999999E-3</v>
      </c>
      <c r="F757" s="85">
        <f t="shared" si="92"/>
        <v>2.3749999999999999E-3</v>
      </c>
      <c r="G757" s="85">
        <f t="shared" si="93"/>
        <v>5.6115062528573927E-8</v>
      </c>
      <c r="H757" s="85">
        <v>2230</v>
      </c>
      <c r="I757" s="85">
        <f t="shared" si="94"/>
        <v>1.2513658943871987E-4</v>
      </c>
      <c r="J757" s="87">
        <v>1</v>
      </c>
      <c r="K757" s="88">
        <f t="shared" si="95"/>
        <v>7991.2678177129474</v>
      </c>
    </row>
    <row r="758" spans="1:11" hidden="1" x14ac:dyDescent="0.25">
      <c r="A758" t="str">
        <f t="shared" si="87"/>
        <v>VESCØ4,75</v>
      </c>
      <c r="B758" s="81" t="s">
        <v>210</v>
      </c>
      <c r="D758" s="86">
        <v>4.75</v>
      </c>
      <c r="E758" s="85">
        <f t="shared" si="91"/>
        <v>4.7499999999999999E-3</v>
      </c>
      <c r="F758" s="85">
        <f t="shared" si="92"/>
        <v>2.3749999999999999E-3</v>
      </c>
      <c r="G758" s="85">
        <f t="shared" si="93"/>
        <v>5.6115062528573927E-8</v>
      </c>
      <c r="H758" s="85">
        <v>2500</v>
      </c>
      <c r="I758" s="85">
        <f t="shared" si="94"/>
        <v>1.4028765632143482E-4</v>
      </c>
      <c r="J758" s="87">
        <v>1</v>
      </c>
      <c r="K758" s="88">
        <f t="shared" si="95"/>
        <v>7128.2108933999498</v>
      </c>
    </row>
    <row r="759" spans="1:11" hidden="1" x14ac:dyDescent="0.25">
      <c r="A759" t="str">
        <f t="shared" si="87"/>
        <v>PPHØ4,75</v>
      </c>
      <c r="B759" s="81" t="s">
        <v>202</v>
      </c>
      <c r="D759" s="86">
        <v>4.75</v>
      </c>
      <c r="E759" s="85">
        <f t="shared" si="91"/>
        <v>4.7499999999999999E-3</v>
      </c>
      <c r="F759" s="85">
        <f t="shared" si="92"/>
        <v>2.3749999999999999E-3</v>
      </c>
      <c r="G759" s="85">
        <f t="shared" si="93"/>
        <v>5.6115062528573927E-8</v>
      </c>
      <c r="H759" s="85">
        <v>870</v>
      </c>
      <c r="I759" s="85">
        <f t="shared" si="94"/>
        <v>4.8820104399859319E-5</v>
      </c>
      <c r="J759" s="87">
        <v>1</v>
      </c>
      <c r="K759" s="88">
        <f t="shared" si="95"/>
        <v>20483.364636206752</v>
      </c>
    </row>
    <row r="760" spans="1:11" hidden="1" x14ac:dyDescent="0.25">
      <c r="A760" t="str">
        <f t="shared" si="87"/>
        <v>Alluminio serie 1Ø1</v>
      </c>
      <c r="B760" s="81" t="s">
        <v>330</v>
      </c>
      <c r="D760" s="86">
        <v>1</v>
      </c>
      <c r="E760" s="85">
        <f t="shared" si="91"/>
        <v>1E-3</v>
      </c>
      <c r="F760" s="85">
        <f t="shared" si="92"/>
        <v>5.0000000000000001E-4</v>
      </c>
      <c r="G760" s="85">
        <f t="shared" si="93"/>
        <v>5.2359877559829886E-10</v>
      </c>
      <c r="H760" s="85">
        <v>2710</v>
      </c>
      <c r="I760" s="85">
        <f t="shared" si="94"/>
        <v>1.4189526818713899E-6</v>
      </c>
      <c r="J760" s="87">
        <v>1</v>
      </c>
      <c r="K760" s="88">
        <f t="shared" si="95"/>
        <v>704745.13546226721</v>
      </c>
    </row>
    <row r="761" spans="1:11" hidden="1" x14ac:dyDescent="0.25">
      <c r="A761" t="str">
        <f t="shared" si="87"/>
        <v>Alluminio serie 1Ø2</v>
      </c>
      <c r="B761" s="81" t="s">
        <v>330</v>
      </c>
      <c r="D761" s="86">
        <v>2</v>
      </c>
      <c r="E761" s="85">
        <f t="shared" si="91"/>
        <v>2E-3</v>
      </c>
      <c r="F761" s="85">
        <f t="shared" si="92"/>
        <v>1E-3</v>
      </c>
      <c r="G761" s="85">
        <f t="shared" si="93"/>
        <v>4.1887902047863909E-9</v>
      </c>
      <c r="H761" s="85">
        <v>2710</v>
      </c>
      <c r="I761" s="85">
        <f t="shared" si="94"/>
        <v>1.1351621454971119E-5</v>
      </c>
      <c r="J761" s="87">
        <v>1</v>
      </c>
      <c r="K761" s="88">
        <f t="shared" si="95"/>
        <v>88093.141932783401</v>
      </c>
    </row>
    <row r="762" spans="1:11" hidden="1" x14ac:dyDescent="0.25">
      <c r="A762" t="str">
        <f t="shared" si="87"/>
        <v>WC-CoØ0,4</v>
      </c>
      <c r="B762" s="81" t="s">
        <v>297</v>
      </c>
      <c r="D762" s="86">
        <v>0.4</v>
      </c>
      <c r="E762" s="85">
        <f t="shared" si="91"/>
        <v>4.0000000000000002E-4</v>
      </c>
      <c r="F762" s="85">
        <f t="shared" si="92"/>
        <v>2.0000000000000001E-4</v>
      </c>
      <c r="G762" s="85">
        <f t="shared" si="93"/>
        <v>3.3510321638291128E-11</v>
      </c>
      <c r="H762" s="85">
        <v>14950</v>
      </c>
      <c r="I762" s="85">
        <f t="shared" si="94"/>
        <v>5.0097930849245242E-7</v>
      </c>
      <c r="J762" s="87">
        <v>1</v>
      </c>
      <c r="K762" s="88">
        <f t="shared" si="95"/>
        <v>1996090.4233933359</v>
      </c>
    </row>
    <row r="763" spans="1:11" hidden="1" x14ac:dyDescent="0.25">
      <c r="A763" t="str">
        <f t="shared" si="87"/>
        <v>Alluminio serie 1Ø25</v>
      </c>
      <c r="B763" s="81" t="s">
        <v>330</v>
      </c>
      <c r="D763" s="86">
        <v>25</v>
      </c>
      <c r="E763" s="85">
        <f t="shared" si="91"/>
        <v>2.5000000000000001E-2</v>
      </c>
      <c r="F763" s="85">
        <f t="shared" si="92"/>
        <v>1.2500000000000001E-2</v>
      </c>
      <c r="G763" s="85">
        <f t="shared" si="93"/>
        <v>8.1812308687234206E-6</v>
      </c>
      <c r="H763" s="85">
        <v>2710</v>
      </c>
      <c r="I763" s="85">
        <f t="shared" si="94"/>
        <v>2.2171135654240469E-2</v>
      </c>
      <c r="J763" s="87">
        <v>1</v>
      </c>
      <c r="K763" s="88">
        <f t="shared" si="95"/>
        <v>45.103688669585097</v>
      </c>
    </row>
    <row r="764" spans="1:11" hidden="1" x14ac:dyDescent="0.25">
      <c r="A764" t="str">
        <f t="shared" si="87"/>
        <v>Alluminio serie 1Ø25,4</v>
      </c>
      <c r="B764" s="81" t="s">
        <v>330</v>
      </c>
      <c r="C764" s="101" t="s">
        <v>255</v>
      </c>
      <c r="D764" s="86">
        <f>1*25.4</f>
        <v>25.4</v>
      </c>
      <c r="E764" s="85">
        <f t="shared" si="91"/>
        <v>2.5399999999999999E-2</v>
      </c>
      <c r="F764" s="85">
        <f t="shared" si="92"/>
        <v>1.2699999999999999E-2</v>
      </c>
      <c r="G764" s="85">
        <f t="shared" si="93"/>
        <v>8.5802466460509588E-6</v>
      </c>
      <c r="H764" s="85">
        <v>2710</v>
      </c>
      <c r="I764" s="85">
        <f t="shared" si="94"/>
        <v>2.3252468410798099E-2</v>
      </c>
      <c r="J764" s="87">
        <v>1</v>
      </c>
      <c r="K764" s="88">
        <f t="shared" si="95"/>
        <v>43.006186798456845</v>
      </c>
    </row>
    <row r="765" spans="1:11" hidden="1" x14ac:dyDescent="0.25">
      <c r="A765" t="str">
        <f t="shared" si="87"/>
        <v>52100Ø0,68</v>
      </c>
      <c r="B765" s="81">
        <v>52100</v>
      </c>
      <c r="D765" s="86">
        <v>0.68</v>
      </c>
      <c r="E765" s="85">
        <f t="shared" si="91"/>
        <v>6.8000000000000005E-4</v>
      </c>
      <c r="F765" s="85">
        <f t="shared" si="92"/>
        <v>3.4000000000000002E-4</v>
      </c>
      <c r="G765" s="85">
        <f t="shared" si="93"/>
        <v>1.6463621020892433E-10</v>
      </c>
      <c r="H765" s="85">
        <v>7800</v>
      </c>
      <c r="I765" s="85">
        <f t="shared" si="94"/>
        <v>1.2841624396296097E-6</v>
      </c>
      <c r="J765" s="87">
        <v>1</v>
      </c>
      <c r="K765" s="88">
        <f t="shared" si="95"/>
        <v>778717.68332394888</v>
      </c>
    </row>
    <row r="766" spans="1:11" hidden="1" x14ac:dyDescent="0.25">
      <c r="A766" t="str">
        <f t="shared" si="87"/>
        <v>52100Ø0,68</v>
      </c>
      <c r="B766" s="81">
        <v>52100</v>
      </c>
      <c r="D766" s="86">
        <v>0.68</v>
      </c>
      <c r="E766" s="85">
        <f t="shared" si="91"/>
        <v>6.8000000000000005E-4</v>
      </c>
      <c r="F766" s="85">
        <f t="shared" si="92"/>
        <v>3.4000000000000002E-4</v>
      </c>
      <c r="G766" s="85">
        <f t="shared" si="93"/>
        <v>1.6463621020892433E-10</v>
      </c>
      <c r="H766" s="85">
        <v>7800</v>
      </c>
      <c r="I766" s="85">
        <f t="shared" si="94"/>
        <v>1.2841624396296097E-6</v>
      </c>
      <c r="J766" s="87">
        <v>1</v>
      </c>
      <c r="K766" s="88">
        <f t="shared" si="95"/>
        <v>778717.68332394888</v>
      </c>
    </row>
    <row r="767" spans="1:11" hidden="1" x14ac:dyDescent="0.25">
      <c r="A767" t="str">
        <f t="shared" si="87"/>
        <v>TiAl6V4 (G5)Ø3</v>
      </c>
      <c r="B767" s="81" t="s">
        <v>305</v>
      </c>
      <c r="D767" s="86">
        <v>3</v>
      </c>
      <c r="E767" s="85">
        <f t="shared" si="91"/>
        <v>3.0000000000000001E-3</v>
      </c>
      <c r="F767" s="85">
        <f t="shared" si="92"/>
        <v>1.5E-3</v>
      </c>
      <c r="G767" s="85">
        <f t="shared" si="93"/>
        <v>1.4137166941154068E-8</v>
      </c>
      <c r="H767" s="85">
        <v>4450</v>
      </c>
      <c r="I767" s="85">
        <f t="shared" si="94"/>
        <v>6.2910392888135605E-5</v>
      </c>
      <c r="J767" s="87">
        <v>1</v>
      </c>
      <c r="K767" s="88">
        <f t="shared" si="95"/>
        <v>15895.624778216763</v>
      </c>
    </row>
    <row r="768" spans="1:11" hidden="1" x14ac:dyDescent="0.25">
      <c r="A768" t="str">
        <f t="shared" si="87"/>
        <v>304Ø1</v>
      </c>
      <c r="B768" s="81">
        <v>304</v>
      </c>
      <c r="D768" s="86">
        <v>1</v>
      </c>
      <c r="E768" s="85">
        <f t="shared" si="91"/>
        <v>1E-3</v>
      </c>
      <c r="F768" s="85">
        <f t="shared" si="92"/>
        <v>5.0000000000000001E-4</v>
      </c>
      <c r="G768" s="85">
        <f t="shared" si="93"/>
        <v>5.2359877559829886E-10</v>
      </c>
      <c r="H768" s="85">
        <v>7950</v>
      </c>
      <c r="I768" s="85">
        <f t="shared" si="94"/>
        <v>4.1626102660064759E-6</v>
      </c>
      <c r="J768" s="87">
        <v>1</v>
      </c>
      <c r="K768" s="88">
        <f t="shared" si="95"/>
        <v>240233.87636512503</v>
      </c>
    </row>
    <row r="769" spans="1:11" hidden="1" x14ac:dyDescent="0.25">
      <c r="A769" t="str">
        <f t="shared" si="87"/>
        <v>316Ø1</v>
      </c>
      <c r="B769" s="81">
        <v>316</v>
      </c>
      <c r="D769" s="86">
        <v>1</v>
      </c>
      <c r="E769" s="85">
        <f t="shared" si="91"/>
        <v>1E-3</v>
      </c>
      <c r="F769" s="85">
        <f t="shared" si="92"/>
        <v>5.0000000000000001E-4</v>
      </c>
      <c r="G769" s="85">
        <f t="shared" si="93"/>
        <v>5.2359877559829886E-10</v>
      </c>
      <c r="H769" s="85">
        <v>7950</v>
      </c>
      <c r="I769" s="85">
        <f t="shared" si="94"/>
        <v>4.1626102660064759E-6</v>
      </c>
      <c r="J769" s="87">
        <v>1</v>
      </c>
      <c r="K769" s="88">
        <f t="shared" si="95"/>
        <v>240233.87636512503</v>
      </c>
    </row>
    <row r="770" spans="1:11" hidden="1" x14ac:dyDescent="0.25">
      <c r="A770" t="str">
        <f t="shared" si="87"/>
        <v>420CØ4,6</v>
      </c>
      <c r="B770" s="81" t="s">
        <v>295</v>
      </c>
      <c r="D770" s="86">
        <v>4.5999999999999996</v>
      </c>
      <c r="E770" s="85">
        <f t="shared" si="91"/>
        <v>4.5999999999999999E-3</v>
      </c>
      <c r="F770" s="85">
        <f t="shared" si="92"/>
        <v>2.3E-3</v>
      </c>
      <c r="G770" s="85">
        <f t="shared" si="93"/>
        <v>5.0965010421636011E-8</v>
      </c>
      <c r="H770" s="85">
        <v>7700</v>
      </c>
      <c r="I770" s="85">
        <f t="shared" si="94"/>
        <v>3.9243058024659728E-4</v>
      </c>
      <c r="J770" s="87">
        <v>1</v>
      </c>
      <c r="K770" s="88">
        <f t="shared" si="95"/>
        <v>2548.2213933776911</v>
      </c>
    </row>
    <row r="771" spans="1:11" hidden="1" x14ac:dyDescent="0.25">
      <c r="A771" t="str">
        <f t="shared" si="87"/>
        <v>420CØ4,54</v>
      </c>
      <c r="B771" s="81" t="s">
        <v>295</v>
      </c>
      <c r="D771" s="86">
        <v>4.54</v>
      </c>
      <c r="E771" s="85">
        <f t="shared" si="91"/>
        <v>4.5399999999999998E-3</v>
      </c>
      <c r="F771" s="85">
        <f t="shared" si="92"/>
        <v>2.2699999999999999E-3</v>
      </c>
      <c r="G771" s="85">
        <f t="shared" si="93"/>
        <v>4.8996626694973399E-8</v>
      </c>
      <c r="H771" s="85">
        <v>7700</v>
      </c>
      <c r="I771" s="85">
        <f t="shared" si="94"/>
        <v>3.7727402555129516E-4</v>
      </c>
      <c r="J771" s="87">
        <v>1</v>
      </c>
      <c r="K771" s="88">
        <f t="shared" si="95"/>
        <v>2650.5932883631222</v>
      </c>
    </row>
    <row r="772" spans="1:11" hidden="1" x14ac:dyDescent="0.25">
      <c r="A772" t="str">
        <f t="shared" ref="A772:A835" si="96">CONCATENATE(B772,"Ø",D772)</f>
        <v>WC-CoØ6,35</v>
      </c>
      <c r="B772" s="81" t="s">
        <v>297</v>
      </c>
      <c r="C772" s="101" t="s">
        <v>218</v>
      </c>
      <c r="D772" s="86">
        <f>1/4*25.4</f>
        <v>6.35</v>
      </c>
      <c r="E772" s="85">
        <f t="shared" si="91"/>
        <v>6.3499999999999997E-3</v>
      </c>
      <c r="F772" s="85">
        <f t="shared" si="92"/>
        <v>3.1749999999999999E-3</v>
      </c>
      <c r="G772" s="85">
        <f t="shared" si="93"/>
        <v>1.3406635384454623E-7</v>
      </c>
      <c r="H772" s="85">
        <v>14950</v>
      </c>
      <c r="I772" s="85">
        <f t="shared" si="94"/>
        <v>2.0042919899759663E-3</v>
      </c>
      <c r="J772" s="87">
        <v>1</v>
      </c>
      <c r="K772" s="88">
        <f t="shared" si="95"/>
        <v>498.92930022236487</v>
      </c>
    </row>
    <row r="773" spans="1:11" hidden="1" x14ac:dyDescent="0.25">
      <c r="A773" t="str">
        <f t="shared" si="96"/>
        <v>PSØ8</v>
      </c>
      <c r="B773" s="81" t="s">
        <v>242</v>
      </c>
      <c r="D773" s="86">
        <v>8</v>
      </c>
      <c r="E773" s="85">
        <f t="shared" si="91"/>
        <v>8.0000000000000002E-3</v>
      </c>
      <c r="F773" s="85">
        <f t="shared" si="92"/>
        <v>4.0000000000000001E-3</v>
      </c>
      <c r="G773" s="85">
        <f t="shared" si="93"/>
        <v>2.6808257310632902E-7</v>
      </c>
      <c r="H773" s="85">
        <v>1050</v>
      </c>
      <c r="I773" s="85">
        <f t="shared" si="94"/>
        <v>2.8148670176164549E-4</v>
      </c>
      <c r="J773" s="87">
        <v>1</v>
      </c>
      <c r="K773" s="88">
        <f t="shared" si="95"/>
        <v>3552.5656940155209</v>
      </c>
    </row>
    <row r="774" spans="1:11" hidden="1" x14ac:dyDescent="0.25">
      <c r="A774" t="str">
        <f t="shared" si="96"/>
        <v>VESCØ10</v>
      </c>
      <c r="B774" s="81" t="s">
        <v>210</v>
      </c>
      <c r="D774" s="86">
        <v>10</v>
      </c>
      <c r="E774" s="85">
        <f t="shared" si="91"/>
        <v>0.01</v>
      </c>
      <c r="F774" s="85">
        <f t="shared" si="92"/>
        <v>5.0000000000000001E-3</v>
      </c>
      <c r="G774" s="85">
        <f t="shared" si="93"/>
        <v>5.2359877559829882E-7</v>
      </c>
      <c r="H774" s="85">
        <v>2500</v>
      </c>
      <c r="I774" s="85">
        <f t="shared" si="94"/>
        <v>1.308996938995747E-3</v>
      </c>
      <c r="J774" s="87">
        <v>1</v>
      </c>
      <c r="K774" s="88">
        <f t="shared" si="95"/>
        <v>763.94372684109771</v>
      </c>
    </row>
    <row r="775" spans="1:11" hidden="1" x14ac:dyDescent="0.25">
      <c r="A775" t="str">
        <f t="shared" si="96"/>
        <v>304Ø4,1</v>
      </c>
      <c r="B775" s="81">
        <v>304</v>
      </c>
      <c r="D775" s="86">
        <v>4.0999999999999996</v>
      </c>
      <c r="E775" s="85">
        <f t="shared" si="91"/>
        <v>4.0999999999999995E-3</v>
      </c>
      <c r="F775" s="85">
        <f t="shared" si="92"/>
        <v>2.0499999999999997E-3</v>
      </c>
      <c r="G775" s="85">
        <f t="shared" si="93"/>
        <v>3.6086951213010342E-8</v>
      </c>
      <c r="H775" s="85">
        <v>7950</v>
      </c>
      <c r="I775" s="85">
        <f t="shared" si="94"/>
        <v>2.8689126214343223E-4</v>
      </c>
      <c r="J775" s="87">
        <v>1</v>
      </c>
      <c r="K775" s="88">
        <f t="shared" si="95"/>
        <v>3485.6411886816081</v>
      </c>
    </row>
    <row r="776" spans="1:11" hidden="1" x14ac:dyDescent="0.25">
      <c r="A776" t="str">
        <f t="shared" si="96"/>
        <v>304Ø4,365625</v>
      </c>
      <c r="B776" s="81">
        <v>304</v>
      </c>
      <c r="C776" s="101" t="s">
        <v>331</v>
      </c>
      <c r="D776" s="86">
        <f>11/64*25.4</f>
        <v>4.3656249999999996</v>
      </c>
      <c r="E776" s="85">
        <f t="shared" si="91"/>
        <v>4.3656249999999997E-3</v>
      </c>
      <c r="F776" s="85">
        <f t="shared" si="92"/>
        <v>2.1828124999999999E-3</v>
      </c>
      <c r="G776" s="85">
        <f t="shared" si="93"/>
        <v>4.3565018790793711E-8</v>
      </c>
      <c r="H776" s="85">
        <v>7950</v>
      </c>
      <c r="I776" s="85">
        <f t="shared" si="94"/>
        <v>3.4634189938680999E-4</v>
      </c>
      <c r="J776" s="87">
        <v>1</v>
      </c>
      <c r="K776" s="88">
        <f t="shared" si="95"/>
        <v>2887.3203091236605</v>
      </c>
    </row>
    <row r="777" spans="1:11" hidden="1" x14ac:dyDescent="0.25">
      <c r="A777" t="str">
        <f t="shared" si="96"/>
        <v>304Ø4,7625</v>
      </c>
      <c r="B777" s="81">
        <v>304</v>
      </c>
      <c r="C777" s="101" t="s">
        <v>248</v>
      </c>
      <c r="D777" s="86">
        <f>3/16*25.4</f>
        <v>4.7624999999999993</v>
      </c>
      <c r="E777" s="85">
        <f t="shared" si="91"/>
        <v>4.7624999999999994E-3</v>
      </c>
      <c r="F777" s="85">
        <f t="shared" si="92"/>
        <v>2.3812499999999997E-3</v>
      </c>
      <c r="G777" s="85">
        <f t="shared" si="93"/>
        <v>5.6559243028167934E-8</v>
      </c>
      <c r="H777" s="85">
        <v>7950</v>
      </c>
      <c r="I777" s="85">
        <f t="shared" si="94"/>
        <v>4.4964598207393507E-4</v>
      </c>
      <c r="J777" s="87">
        <v>1</v>
      </c>
      <c r="K777" s="88">
        <f t="shared" si="95"/>
        <v>2223.9718353261533</v>
      </c>
    </row>
    <row r="778" spans="1:11" hidden="1" x14ac:dyDescent="0.25">
      <c r="A778" t="str">
        <f t="shared" si="96"/>
        <v>304Ø4,7425</v>
      </c>
      <c r="B778" s="81">
        <v>304</v>
      </c>
      <c r="C778" s="101" t="s">
        <v>332</v>
      </c>
      <c r="D778" s="86">
        <f>3/16*25.4-0.02</f>
        <v>4.7424999999999997</v>
      </c>
      <c r="E778" s="85">
        <f t="shared" si="91"/>
        <v>4.7424999999999993E-3</v>
      </c>
      <c r="F778" s="85">
        <f t="shared" si="92"/>
        <v>2.3712499999999997E-3</v>
      </c>
      <c r="G778" s="85">
        <f t="shared" si="93"/>
        <v>5.5849673813899413E-8</v>
      </c>
      <c r="H778" s="85">
        <v>7950</v>
      </c>
      <c r="I778" s="85">
        <f t="shared" si="94"/>
        <v>4.4400490682050032E-4</v>
      </c>
      <c r="J778" s="87">
        <v>1</v>
      </c>
      <c r="K778" s="88">
        <f t="shared" si="95"/>
        <v>2252.2273619923621</v>
      </c>
    </row>
    <row r="779" spans="1:11" hidden="1" x14ac:dyDescent="0.25">
      <c r="A779" t="str">
        <f t="shared" si="96"/>
        <v>304Ø4,7225</v>
      </c>
      <c r="B779" s="81">
        <v>304</v>
      </c>
      <c r="C779" s="101" t="s">
        <v>333</v>
      </c>
      <c r="D779" s="86">
        <f>3/16*25.4-0.04</f>
        <v>4.7224999999999993</v>
      </c>
      <c r="E779" s="85">
        <f t="shared" si="91"/>
        <v>4.7224999999999993E-3</v>
      </c>
      <c r="F779" s="85">
        <f t="shared" si="92"/>
        <v>2.3612499999999996E-3</v>
      </c>
      <c r="G779" s="85">
        <f t="shared" si="93"/>
        <v>5.5146064200894752E-8</v>
      </c>
      <c r="H779" s="85">
        <v>7950</v>
      </c>
      <c r="I779" s="85">
        <f t="shared" si="94"/>
        <v>4.3841121039711329E-4</v>
      </c>
      <c r="J779" s="87">
        <v>1</v>
      </c>
      <c r="K779" s="88">
        <f t="shared" si="95"/>
        <v>2280.963570922831</v>
      </c>
    </row>
    <row r="780" spans="1:11" hidden="1" x14ac:dyDescent="0.25">
      <c r="A780" t="str">
        <f t="shared" si="96"/>
        <v>304Ø4,7125</v>
      </c>
      <c r="B780" s="81">
        <v>304</v>
      </c>
      <c r="C780" s="101" t="s">
        <v>334</v>
      </c>
      <c r="D780" s="86">
        <f>3/16*25.4-0.05</f>
        <v>4.7124999999999995</v>
      </c>
      <c r="E780" s="85">
        <f t="shared" si="91"/>
        <v>4.7124999999999997E-3</v>
      </c>
      <c r="F780" s="85">
        <f t="shared" si="92"/>
        <v>2.3562499999999998E-3</v>
      </c>
      <c r="G780" s="85">
        <f t="shared" si="93"/>
        <v>5.479648639088476E-8</v>
      </c>
      <c r="H780" s="85">
        <v>7950</v>
      </c>
      <c r="I780" s="85">
        <f t="shared" si="94"/>
        <v>4.3563206680753382E-4</v>
      </c>
      <c r="J780" s="87">
        <v>1</v>
      </c>
      <c r="K780" s="88">
        <f t="shared" si="95"/>
        <v>2295.5151289214186</v>
      </c>
    </row>
    <row r="781" spans="1:11" hidden="1" x14ac:dyDescent="0.25">
      <c r="A781" t="str">
        <f t="shared" si="96"/>
        <v>304Ø4,7025</v>
      </c>
      <c r="B781" s="81">
        <v>304</v>
      </c>
      <c r="C781" s="101" t="s">
        <v>335</v>
      </c>
      <c r="D781" s="86">
        <f>3/16*25.4-0.06</f>
        <v>4.7024999999999997</v>
      </c>
      <c r="E781" s="85">
        <f t="shared" si="91"/>
        <v>4.7025000000000001E-3</v>
      </c>
      <c r="F781" s="85">
        <f t="shared" si="92"/>
        <v>2.35125E-3</v>
      </c>
      <c r="G781" s="85">
        <f t="shared" si="93"/>
        <v>5.4448389056412765E-8</v>
      </c>
      <c r="H781" s="85">
        <v>7950</v>
      </c>
      <c r="I781" s="85">
        <f t="shared" si="94"/>
        <v>4.328646929984815E-4</v>
      </c>
      <c r="J781" s="87">
        <v>1</v>
      </c>
      <c r="K781" s="88">
        <f t="shared" si="95"/>
        <v>2310.1907274371024</v>
      </c>
    </row>
    <row r="782" spans="1:11" hidden="1" x14ac:dyDescent="0.25">
      <c r="A782" t="str">
        <f t="shared" si="96"/>
        <v>304Ø4,6825</v>
      </c>
      <c r="B782" s="81">
        <v>304</v>
      </c>
      <c r="C782" s="101" t="s">
        <v>336</v>
      </c>
      <c r="D782" s="86">
        <f>3/16*25.4-0.08</f>
        <v>4.6824999999999992</v>
      </c>
      <c r="E782" s="85">
        <f t="shared" si="91"/>
        <v>4.6824999999999992E-3</v>
      </c>
      <c r="F782" s="85">
        <f t="shared" si="92"/>
        <v>2.3412499999999996E-3</v>
      </c>
      <c r="G782" s="85">
        <f t="shared" si="93"/>
        <v>5.3756623247712104E-8</v>
      </c>
      <c r="H782" s="85">
        <v>7950</v>
      </c>
      <c r="I782" s="85">
        <f t="shared" si="94"/>
        <v>4.2736515481931121E-4</v>
      </c>
      <c r="J782" s="87">
        <v>1</v>
      </c>
      <c r="K782" s="88">
        <f t="shared" si="95"/>
        <v>2339.9193610503812</v>
      </c>
    </row>
    <row r="783" spans="1:11" hidden="1" x14ac:dyDescent="0.25">
      <c r="A783" t="str">
        <f t="shared" si="96"/>
        <v>304Ø2,525</v>
      </c>
      <c r="B783" s="81">
        <v>304</v>
      </c>
      <c r="D783" s="86">
        <v>2.5249999999999999</v>
      </c>
      <c r="E783" s="85">
        <f t="shared" si="91"/>
        <v>2.5249999999999999E-3</v>
      </c>
      <c r="F783" s="85">
        <f t="shared" si="92"/>
        <v>1.2625E-3</v>
      </c>
      <c r="G783" s="85">
        <f t="shared" si="93"/>
        <v>8.4291303452766067E-9</v>
      </c>
      <c r="H783" s="85">
        <v>7950</v>
      </c>
      <c r="I783" s="85">
        <f t="shared" si="94"/>
        <v>6.7011586244949029E-5</v>
      </c>
      <c r="J783" s="87">
        <v>1</v>
      </c>
      <c r="K783" s="88">
        <f t="shared" si="95"/>
        <v>14922.792550301323</v>
      </c>
    </row>
    <row r="784" spans="1:11" hidden="1" x14ac:dyDescent="0.25">
      <c r="A784" t="str">
        <f t="shared" si="96"/>
        <v>VESCØ20</v>
      </c>
      <c r="B784" s="81" t="s">
        <v>210</v>
      </c>
      <c r="D784" s="86">
        <v>20</v>
      </c>
      <c r="E784" s="85">
        <f t="shared" si="91"/>
        <v>0.02</v>
      </c>
      <c r="F784" s="85">
        <f t="shared" si="92"/>
        <v>0.01</v>
      </c>
      <c r="G784" s="85">
        <f t="shared" si="93"/>
        <v>4.1887902047863905E-6</v>
      </c>
      <c r="H784" s="85">
        <v>2500</v>
      </c>
      <c r="I784" s="85">
        <f t="shared" si="94"/>
        <v>1.0471975511965976E-2</v>
      </c>
      <c r="J784" s="87">
        <v>1</v>
      </c>
      <c r="K784" s="88">
        <f t="shared" si="95"/>
        <v>95.492965855137214</v>
      </c>
    </row>
    <row r="785" spans="1:11" hidden="1" x14ac:dyDescent="0.25">
      <c r="A785" t="str">
        <f t="shared" si="96"/>
        <v>WC-CoØ2</v>
      </c>
      <c r="B785" s="81" t="s">
        <v>297</v>
      </c>
      <c r="D785" s="86">
        <v>2</v>
      </c>
      <c r="E785" s="85">
        <f t="shared" si="91"/>
        <v>2E-3</v>
      </c>
      <c r="F785" s="85">
        <f t="shared" si="92"/>
        <v>1E-3</v>
      </c>
      <c r="G785" s="85">
        <f t="shared" si="93"/>
        <v>4.1887902047863909E-9</v>
      </c>
      <c r="H785" s="85">
        <v>14950</v>
      </c>
      <c r="I785" s="85">
        <f t="shared" si="94"/>
        <v>6.2622413561556539E-5</v>
      </c>
      <c r="J785" s="87">
        <v>1</v>
      </c>
      <c r="K785" s="88">
        <f t="shared" si="95"/>
        <v>15968.723387146691</v>
      </c>
    </row>
    <row r="786" spans="1:11" hidden="1" x14ac:dyDescent="0.25">
      <c r="A786" t="str">
        <f t="shared" si="96"/>
        <v>WC-CoØ3</v>
      </c>
      <c r="B786" s="81" t="s">
        <v>297</v>
      </c>
      <c r="D786" s="86">
        <v>3</v>
      </c>
      <c r="E786" s="85">
        <f t="shared" si="91"/>
        <v>3.0000000000000001E-3</v>
      </c>
      <c r="F786" s="85">
        <f t="shared" si="92"/>
        <v>1.5E-3</v>
      </c>
      <c r="G786" s="85">
        <f t="shared" si="93"/>
        <v>1.4137166941154068E-8</v>
      </c>
      <c r="H786" s="85">
        <v>14950</v>
      </c>
      <c r="I786" s="85">
        <f t="shared" si="94"/>
        <v>2.1135064577025331E-4</v>
      </c>
      <c r="J786" s="87">
        <v>1</v>
      </c>
      <c r="K786" s="88">
        <f t="shared" si="95"/>
        <v>4731.4735961916122</v>
      </c>
    </row>
    <row r="787" spans="1:11" hidden="1" x14ac:dyDescent="0.25">
      <c r="A787" t="str">
        <f t="shared" si="96"/>
        <v>1010Ø6</v>
      </c>
      <c r="B787" s="81">
        <v>1010</v>
      </c>
      <c r="D787" s="86">
        <v>6</v>
      </c>
      <c r="E787" s="85">
        <f t="shared" si="91"/>
        <v>6.0000000000000001E-3</v>
      </c>
      <c r="F787" s="85">
        <f t="shared" si="92"/>
        <v>3.0000000000000001E-3</v>
      </c>
      <c r="G787" s="85">
        <f t="shared" si="93"/>
        <v>1.1309733552923255E-7</v>
      </c>
      <c r="H787" s="85">
        <v>7820</v>
      </c>
      <c r="I787" s="85">
        <f t="shared" si="94"/>
        <v>8.8442116383859854E-4</v>
      </c>
      <c r="J787" s="87">
        <v>1</v>
      </c>
      <c r="K787" s="88">
        <f t="shared" si="95"/>
        <v>1130.683028501672</v>
      </c>
    </row>
    <row r="788" spans="1:11" x14ac:dyDescent="0.25">
      <c r="A788" t="str">
        <f t="shared" si="96"/>
        <v>1085Ø6</v>
      </c>
      <c r="B788" s="81">
        <v>1085</v>
      </c>
      <c r="D788" s="86">
        <v>6</v>
      </c>
      <c r="E788" s="85">
        <f t="shared" si="91"/>
        <v>6.0000000000000001E-3</v>
      </c>
      <c r="F788" s="85">
        <f t="shared" si="92"/>
        <v>3.0000000000000001E-3</v>
      </c>
      <c r="G788" s="85">
        <f t="shared" si="93"/>
        <v>1.1309733552923255E-7</v>
      </c>
      <c r="H788" s="85">
        <v>7850</v>
      </c>
      <c r="I788" s="85">
        <f t="shared" si="94"/>
        <v>8.878140839044755E-4</v>
      </c>
      <c r="J788" s="87">
        <v>1</v>
      </c>
      <c r="K788" s="88">
        <f t="shared" si="95"/>
        <v>1126.3619468640859</v>
      </c>
    </row>
    <row r="789" spans="1:11" hidden="1" x14ac:dyDescent="0.25">
      <c r="A789" t="str">
        <f t="shared" si="96"/>
        <v>440CØ2,5</v>
      </c>
      <c r="B789" s="81" t="s">
        <v>314</v>
      </c>
      <c r="D789" s="86">
        <v>2.5</v>
      </c>
      <c r="E789" s="85">
        <f t="shared" si="91"/>
        <v>2.5000000000000001E-3</v>
      </c>
      <c r="F789" s="85">
        <f t="shared" si="92"/>
        <v>1.25E-3</v>
      </c>
      <c r="G789" s="85">
        <f t="shared" si="93"/>
        <v>8.181230868723419E-9</v>
      </c>
      <c r="H789" s="85">
        <v>7700</v>
      </c>
      <c r="I789" s="85">
        <f t="shared" si="94"/>
        <v>6.2995477689170327E-5</v>
      </c>
      <c r="J789" s="87">
        <v>1</v>
      </c>
      <c r="K789" s="88">
        <f t="shared" si="95"/>
        <v>15874.155362931901</v>
      </c>
    </row>
    <row r="790" spans="1:11" x14ac:dyDescent="0.25">
      <c r="A790" t="str">
        <f t="shared" si="96"/>
        <v>1085Ø3,2</v>
      </c>
      <c r="B790" s="81">
        <v>1085</v>
      </c>
      <c r="D790" s="86">
        <v>3.2</v>
      </c>
      <c r="E790" s="85">
        <f t="shared" si="91"/>
        <v>3.2000000000000002E-3</v>
      </c>
      <c r="F790" s="85">
        <f t="shared" si="92"/>
        <v>1.6000000000000001E-3</v>
      </c>
      <c r="G790" s="85">
        <f t="shared" si="93"/>
        <v>1.7157284678805058E-8</v>
      </c>
      <c r="H790" s="85">
        <v>7850</v>
      </c>
      <c r="I790" s="85">
        <f t="shared" si="94"/>
        <v>1.3468468472861971E-4</v>
      </c>
      <c r="J790" s="87">
        <v>1</v>
      </c>
      <c r="K790" s="88">
        <f t="shared" si="95"/>
        <v>7424.7491614575965</v>
      </c>
    </row>
    <row r="791" spans="1:11" hidden="1" x14ac:dyDescent="0.25">
      <c r="A791" t="str">
        <f t="shared" si="96"/>
        <v>420CØ2,481</v>
      </c>
      <c r="B791" s="81" t="s">
        <v>295</v>
      </c>
      <c r="D791" s="86">
        <v>2.4809999999999999</v>
      </c>
      <c r="E791" s="85">
        <f t="shared" si="91"/>
        <v>2.4809999999999997E-3</v>
      </c>
      <c r="F791" s="85">
        <f t="shared" si="92"/>
        <v>1.2404999999999998E-3</v>
      </c>
      <c r="G791" s="85">
        <f t="shared" si="93"/>
        <v>7.9961128572374528E-9</v>
      </c>
      <c r="H791" s="85">
        <v>7700</v>
      </c>
      <c r="I791" s="85">
        <f t="shared" si="94"/>
        <v>6.1570069000728384E-5</v>
      </c>
      <c r="J791" s="87">
        <v>1</v>
      </c>
      <c r="K791" s="88">
        <f t="shared" si="95"/>
        <v>16241.657939154979</v>
      </c>
    </row>
    <row r="792" spans="1:11" hidden="1" x14ac:dyDescent="0.25">
      <c r="A792" t="str">
        <f t="shared" si="96"/>
        <v>304Ø0,7</v>
      </c>
      <c r="B792" s="81">
        <v>304</v>
      </c>
      <c r="D792" s="86">
        <v>0.7</v>
      </c>
      <c r="E792" s="85">
        <f t="shared" si="91"/>
        <v>6.9999999999999999E-4</v>
      </c>
      <c r="F792" s="85">
        <f t="shared" si="92"/>
        <v>3.5E-4</v>
      </c>
      <c r="G792" s="85">
        <f t="shared" si="93"/>
        <v>1.7959438003021649E-10</v>
      </c>
      <c r="H792" s="85">
        <v>7950</v>
      </c>
      <c r="I792" s="85">
        <f t="shared" si="94"/>
        <v>1.4277753212402211E-6</v>
      </c>
      <c r="J792" s="87">
        <v>1</v>
      </c>
      <c r="K792" s="88">
        <f t="shared" si="95"/>
        <v>700390.31010240538</v>
      </c>
    </row>
    <row r="793" spans="1:11" hidden="1" x14ac:dyDescent="0.25">
      <c r="A793" t="str">
        <f t="shared" si="96"/>
        <v>OttoneØ8</v>
      </c>
      <c r="B793" s="81" t="s">
        <v>216</v>
      </c>
      <c r="D793" s="86">
        <v>8</v>
      </c>
      <c r="E793" s="85">
        <f t="shared" si="91"/>
        <v>8.0000000000000002E-3</v>
      </c>
      <c r="F793" s="85">
        <f t="shared" si="92"/>
        <v>4.0000000000000001E-3</v>
      </c>
      <c r="G793" s="85">
        <f t="shared" si="93"/>
        <v>2.6808257310632902E-7</v>
      </c>
      <c r="H793" s="85">
        <v>8490</v>
      </c>
      <c r="I793" s="85">
        <f t="shared" si="94"/>
        <v>2.2760210456727334E-3</v>
      </c>
      <c r="J793" s="87">
        <v>1</v>
      </c>
      <c r="K793" s="88">
        <f t="shared" si="95"/>
        <v>439.36324837647783</v>
      </c>
    </row>
    <row r="794" spans="1:11" hidden="1" x14ac:dyDescent="0.25">
      <c r="A794" t="str">
        <f t="shared" si="96"/>
        <v>OttoneØ12</v>
      </c>
      <c r="B794" s="81" t="s">
        <v>216</v>
      </c>
      <c r="D794" s="86">
        <v>12</v>
      </c>
      <c r="E794" s="85">
        <f t="shared" si="91"/>
        <v>1.2E-2</v>
      </c>
      <c r="F794" s="85">
        <f t="shared" si="92"/>
        <v>6.0000000000000001E-3</v>
      </c>
      <c r="G794" s="85">
        <f t="shared" si="93"/>
        <v>9.0477868423386037E-7</v>
      </c>
      <c r="H794" s="85">
        <v>8490</v>
      </c>
      <c r="I794" s="85">
        <f t="shared" si="94"/>
        <v>7.6815710291454741E-3</v>
      </c>
      <c r="J794" s="87">
        <v>1</v>
      </c>
      <c r="K794" s="88">
        <f t="shared" si="95"/>
        <v>130.18170322266013</v>
      </c>
    </row>
    <row r="795" spans="1:11" hidden="1" x14ac:dyDescent="0.25">
      <c r="A795" t="str">
        <f t="shared" si="96"/>
        <v>PPHØ12</v>
      </c>
      <c r="B795" s="81" t="s">
        <v>202</v>
      </c>
      <c r="D795" s="86">
        <v>12</v>
      </c>
      <c r="E795" s="85">
        <f t="shared" si="91"/>
        <v>1.2E-2</v>
      </c>
      <c r="F795" s="85">
        <f t="shared" si="92"/>
        <v>6.0000000000000001E-3</v>
      </c>
      <c r="G795" s="85">
        <f t="shared" si="93"/>
        <v>9.0477868423386037E-7</v>
      </c>
      <c r="H795" s="85">
        <v>870</v>
      </c>
      <c r="I795" s="85">
        <f t="shared" si="94"/>
        <v>7.8715745528345853E-4</v>
      </c>
      <c r="J795" s="87">
        <v>1</v>
      </c>
      <c r="K795" s="88">
        <f t="shared" si="95"/>
        <v>1270.3938624832003</v>
      </c>
    </row>
    <row r="796" spans="1:11" hidden="1" x14ac:dyDescent="0.25">
      <c r="A796" t="str">
        <f t="shared" si="96"/>
        <v>PPHØ20</v>
      </c>
      <c r="B796" s="81" t="s">
        <v>202</v>
      </c>
      <c r="D796" s="86">
        <v>20</v>
      </c>
      <c r="E796" s="85">
        <f t="shared" si="91"/>
        <v>0.02</v>
      </c>
      <c r="F796" s="85">
        <f t="shared" si="92"/>
        <v>0.01</v>
      </c>
      <c r="G796" s="85">
        <f t="shared" si="93"/>
        <v>4.1887902047863905E-6</v>
      </c>
      <c r="H796" s="85">
        <v>870</v>
      </c>
      <c r="I796" s="85">
        <f t="shared" si="94"/>
        <v>3.6442474781641599E-3</v>
      </c>
      <c r="J796" s="87">
        <v>1</v>
      </c>
      <c r="K796" s="88">
        <f t="shared" si="95"/>
        <v>274.40507429637131</v>
      </c>
    </row>
    <row r="797" spans="1:11" hidden="1" x14ac:dyDescent="0.25">
      <c r="A797" t="str">
        <f t="shared" si="96"/>
        <v>POMØ1</v>
      </c>
      <c r="B797" s="81" t="s">
        <v>201</v>
      </c>
      <c r="D797" s="86">
        <v>1</v>
      </c>
      <c r="E797" s="85">
        <f t="shared" si="91"/>
        <v>1E-3</v>
      </c>
      <c r="F797" s="85">
        <f t="shared" si="92"/>
        <v>5.0000000000000001E-4</v>
      </c>
      <c r="G797" s="85">
        <f t="shared" si="93"/>
        <v>5.2359877559829886E-10</v>
      </c>
      <c r="H797" s="85">
        <v>1400</v>
      </c>
      <c r="I797" s="85">
        <f t="shared" si="94"/>
        <v>7.3303828583761837E-7</v>
      </c>
      <c r="J797" s="87">
        <v>1</v>
      </c>
      <c r="K797" s="88">
        <f t="shared" si="95"/>
        <v>1364185.2265019601</v>
      </c>
    </row>
    <row r="798" spans="1:11" hidden="1" x14ac:dyDescent="0.25">
      <c r="A798" t="str">
        <f t="shared" si="96"/>
        <v>WC-CoØ0,4</v>
      </c>
      <c r="B798" s="81" t="s">
        <v>297</v>
      </c>
      <c r="D798" s="86">
        <v>0.4</v>
      </c>
      <c r="E798" s="85">
        <f t="shared" si="91"/>
        <v>4.0000000000000002E-4</v>
      </c>
      <c r="F798" s="85">
        <f t="shared" si="92"/>
        <v>2.0000000000000001E-4</v>
      </c>
      <c r="G798" s="85">
        <f t="shared" si="93"/>
        <v>3.3510321638291128E-11</v>
      </c>
      <c r="H798" s="85">
        <v>14950</v>
      </c>
      <c r="I798" s="85">
        <f t="shared" si="94"/>
        <v>5.0097930849245242E-7</v>
      </c>
      <c r="J798" s="87">
        <v>1</v>
      </c>
      <c r="K798" s="88">
        <f t="shared" si="95"/>
        <v>1996090.4233933359</v>
      </c>
    </row>
    <row r="799" spans="1:11" hidden="1" x14ac:dyDescent="0.25">
      <c r="A799" t="str">
        <f t="shared" si="96"/>
        <v>WC-CoØ0,4</v>
      </c>
      <c r="B799" s="81" t="s">
        <v>297</v>
      </c>
      <c r="D799" s="86">
        <v>0.4</v>
      </c>
      <c r="E799" s="85">
        <f t="shared" si="91"/>
        <v>4.0000000000000002E-4</v>
      </c>
      <c r="F799" s="85">
        <f t="shared" si="92"/>
        <v>2.0000000000000001E-4</v>
      </c>
      <c r="G799" s="85">
        <f t="shared" si="93"/>
        <v>3.3510321638291128E-11</v>
      </c>
      <c r="H799" s="85">
        <v>14950</v>
      </c>
      <c r="I799" s="85">
        <f t="shared" si="94"/>
        <v>5.0097930849245242E-7</v>
      </c>
      <c r="J799" s="87">
        <v>1</v>
      </c>
      <c r="K799" s="88">
        <f t="shared" si="95"/>
        <v>1996090.4233933359</v>
      </c>
    </row>
    <row r="800" spans="1:11" hidden="1" x14ac:dyDescent="0.25">
      <c r="A800" t="str">
        <f t="shared" si="96"/>
        <v>316Ø0,8</v>
      </c>
      <c r="B800" s="81">
        <v>316</v>
      </c>
      <c r="D800" s="86">
        <v>0.8</v>
      </c>
      <c r="E800" s="85">
        <f t="shared" si="91"/>
        <v>8.0000000000000004E-4</v>
      </c>
      <c r="F800" s="85">
        <f t="shared" si="92"/>
        <v>4.0000000000000002E-4</v>
      </c>
      <c r="G800" s="85">
        <f t="shared" si="93"/>
        <v>2.6808257310632903E-10</v>
      </c>
      <c r="H800" s="85">
        <v>7950</v>
      </c>
      <c r="I800" s="85">
        <f t="shared" si="94"/>
        <v>2.1312564561953159E-6</v>
      </c>
      <c r="J800" s="87">
        <v>1</v>
      </c>
      <c r="K800" s="88">
        <f t="shared" si="95"/>
        <v>469206.78977563482</v>
      </c>
    </row>
    <row r="801" spans="1:11" hidden="1" x14ac:dyDescent="0.25">
      <c r="A801" t="str">
        <f t="shared" si="96"/>
        <v>PSØ1</v>
      </c>
      <c r="B801" s="81" t="s">
        <v>242</v>
      </c>
      <c r="D801" s="86">
        <v>1</v>
      </c>
      <c r="E801" s="85">
        <f t="shared" si="91"/>
        <v>1E-3</v>
      </c>
      <c r="F801" s="85">
        <f t="shared" si="92"/>
        <v>5.0000000000000001E-4</v>
      </c>
      <c r="G801" s="85">
        <f t="shared" si="93"/>
        <v>5.2359877559829886E-10</v>
      </c>
      <c r="H801" s="85">
        <v>1050</v>
      </c>
      <c r="I801" s="85">
        <f t="shared" si="94"/>
        <v>5.4977871437821385E-7</v>
      </c>
      <c r="J801" s="87">
        <v>1</v>
      </c>
      <c r="K801" s="88">
        <f t="shared" si="95"/>
        <v>1818913.6353359467</v>
      </c>
    </row>
    <row r="802" spans="1:11" hidden="1" x14ac:dyDescent="0.25">
      <c r="A802" t="str">
        <f t="shared" si="96"/>
        <v>PSØ2</v>
      </c>
      <c r="B802" s="81" t="s">
        <v>242</v>
      </c>
      <c r="D802" s="86">
        <v>2</v>
      </c>
      <c r="E802" s="85">
        <f t="shared" si="91"/>
        <v>2E-3</v>
      </c>
      <c r="F802" s="85">
        <f t="shared" si="92"/>
        <v>1E-3</v>
      </c>
      <c r="G802" s="85">
        <f t="shared" si="93"/>
        <v>4.1887902047863909E-9</v>
      </c>
      <c r="H802" s="85">
        <v>1050</v>
      </c>
      <c r="I802" s="85">
        <f t="shared" si="94"/>
        <v>4.3982297150257108E-6</v>
      </c>
      <c r="J802" s="87">
        <v>1</v>
      </c>
      <c r="K802" s="88">
        <f t="shared" si="95"/>
        <v>227364.20441699334</v>
      </c>
    </row>
    <row r="803" spans="1:11" hidden="1" x14ac:dyDescent="0.25">
      <c r="A803" t="str">
        <f t="shared" si="96"/>
        <v>316Ø1,5875</v>
      </c>
      <c r="B803" s="81">
        <v>316</v>
      </c>
      <c r="C803" s="101" t="s">
        <v>246</v>
      </c>
      <c r="D803" s="86">
        <f>1/16*25.4</f>
        <v>1.5874999999999999</v>
      </c>
      <c r="E803" s="85">
        <f t="shared" si="91"/>
        <v>1.5874999999999999E-3</v>
      </c>
      <c r="F803" s="85">
        <f t="shared" si="92"/>
        <v>7.9374999999999997E-4</v>
      </c>
      <c r="G803" s="85">
        <f t="shared" si="93"/>
        <v>2.0947867788210349E-9</v>
      </c>
      <c r="H803" s="85">
        <v>7950</v>
      </c>
      <c r="I803" s="85">
        <f t="shared" si="94"/>
        <v>1.6653554891627226E-5</v>
      </c>
      <c r="J803" s="87">
        <v>1</v>
      </c>
      <c r="K803" s="88">
        <f t="shared" si="95"/>
        <v>60047.239553806132</v>
      </c>
    </row>
    <row r="804" spans="1:11" hidden="1" x14ac:dyDescent="0.25">
      <c r="A804" t="str">
        <f t="shared" si="96"/>
        <v>WC-CoØ1</v>
      </c>
      <c r="B804" s="81" t="s">
        <v>297</v>
      </c>
      <c r="D804" s="86">
        <v>1</v>
      </c>
      <c r="E804" s="85">
        <f t="shared" ref="E804:E833" si="97">D804/1000</f>
        <v>1E-3</v>
      </c>
      <c r="F804" s="85">
        <f t="shared" ref="F804:F833" si="98">E804/2</f>
        <v>5.0000000000000001E-4</v>
      </c>
      <c r="G804" s="85">
        <f t="shared" ref="G804:G833" si="99">4/3*PI()*F804*F804*F804</f>
        <v>5.2359877559829886E-10</v>
      </c>
      <c r="H804" s="85">
        <v>14950</v>
      </c>
      <c r="I804" s="85">
        <f t="shared" si="94"/>
        <v>7.8278016951945674E-6</v>
      </c>
      <c r="J804" s="87">
        <v>1</v>
      </c>
      <c r="K804" s="88">
        <f t="shared" si="95"/>
        <v>127749.78709717352</v>
      </c>
    </row>
    <row r="805" spans="1:11" hidden="1" x14ac:dyDescent="0.25">
      <c r="A805" t="str">
        <f t="shared" si="96"/>
        <v>PA6.6Ø16</v>
      </c>
      <c r="B805" s="81" t="s">
        <v>244</v>
      </c>
      <c r="D805" s="86">
        <v>16</v>
      </c>
      <c r="E805" s="85">
        <f t="shared" si="97"/>
        <v>1.6E-2</v>
      </c>
      <c r="F805" s="85">
        <f t="shared" si="98"/>
        <v>8.0000000000000002E-3</v>
      </c>
      <c r="G805" s="85">
        <f t="shared" si="99"/>
        <v>2.1446605848506321E-6</v>
      </c>
      <c r="H805" s="85">
        <v>1110</v>
      </c>
      <c r="I805" s="85">
        <f t="shared" si="94"/>
        <v>2.3805732491842015E-3</v>
      </c>
      <c r="J805" s="87">
        <v>1</v>
      </c>
      <c r="K805" s="88">
        <f t="shared" si="95"/>
        <v>420.06688949507856</v>
      </c>
    </row>
    <row r="806" spans="1:11" hidden="1" x14ac:dyDescent="0.25">
      <c r="A806" t="str">
        <f t="shared" si="96"/>
        <v>PURØ17,4625</v>
      </c>
      <c r="B806" s="81" t="s">
        <v>300</v>
      </c>
      <c r="C806" s="101" t="s">
        <v>264</v>
      </c>
      <c r="D806" s="86">
        <f>11/16*25.4</f>
        <v>17.462499999999999</v>
      </c>
      <c r="E806" s="85">
        <f t="shared" si="97"/>
        <v>1.7462499999999999E-2</v>
      </c>
      <c r="F806" s="85">
        <f t="shared" si="98"/>
        <v>8.7312499999999994E-3</v>
      </c>
      <c r="G806" s="85">
        <f t="shared" si="99"/>
        <v>2.7881612026107975E-6</v>
      </c>
      <c r="H806" s="85">
        <v>1140</v>
      </c>
      <c r="I806" s="85">
        <f t="shared" ref="I806:I842" si="100">H806*G806</f>
        <v>3.1785037709763093E-3</v>
      </c>
      <c r="J806" s="87">
        <v>1</v>
      </c>
      <c r="K806" s="88">
        <f t="shared" ref="K806:K842" si="101">J806/I806</f>
        <v>314.61343828855672</v>
      </c>
    </row>
    <row r="807" spans="1:11" hidden="1" x14ac:dyDescent="0.25">
      <c r="A807" t="str">
        <f t="shared" si="96"/>
        <v>PA6.6Ø18</v>
      </c>
      <c r="B807" s="81" t="s">
        <v>244</v>
      </c>
      <c r="D807" s="86">
        <v>18</v>
      </c>
      <c r="E807" s="85">
        <f t="shared" si="97"/>
        <v>1.7999999999999999E-2</v>
      </c>
      <c r="F807" s="85">
        <f t="shared" si="98"/>
        <v>8.9999999999999993E-3</v>
      </c>
      <c r="G807" s="85">
        <f t="shared" si="99"/>
        <v>3.053628059289278E-6</v>
      </c>
      <c r="H807" s="85">
        <v>1110</v>
      </c>
      <c r="I807" s="85">
        <f t="shared" si="100"/>
        <v>3.3895271458110987E-3</v>
      </c>
      <c r="J807" s="87">
        <v>1</v>
      </c>
      <c r="K807" s="88">
        <f t="shared" si="101"/>
        <v>295.02640249860116</v>
      </c>
    </row>
    <row r="808" spans="1:11" hidden="1" x14ac:dyDescent="0.25">
      <c r="A808" t="str">
        <f t="shared" si="96"/>
        <v>VEBOØ1</v>
      </c>
      <c r="B808" s="81" t="s">
        <v>329</v>
      </c>
      <c r="D808" s="86">
        <v>1</v>
      </c>
      <c r="E808" s="85">
        <f t="shared" si="97"/>
        <v>1E-3</v>
      </c>
      <c r="F808" s="85">
        <f t="shared" si="98"/>
        <v>5.0000000000000001E-4</v>
      </c>
      <c r="G808" s="85">
        <f t="shared" si="99"/>
        <v>5.2359877559829886E-10</v>
      </c>
      <c r="H808" s="85">
        <v>2230</v>
      </c>
      <c r="I808" s="85">
        <f t="shared" si="100"/>
        <v>1.1676252695842064E-6</v>
      </c>
      <c r="J808" s="87">
        <v>1</v>
      </c>
      <c r="K808" s="88">
        <f t="shared" si="101"/>
        <v>856439.15565145481</v>
      </c>
    </row>
    <row r="809" spans="1:11" hidden="1" x14ac:dyDescent="0.25">
      <c r="A809" t="str">
        <f t="shared" si="96"/>
        <v>420CØ1</v>
      </c>
      <c r="B809" s="81" t="s">
        <v>295</v>
      </c>
      <c r="D809" s="86">
        <v>1</v>
      </c>
      <c r="E809" s="85">
        <f t="shared" si="97"/>
        <v>1E-3</v>
      </c>
      <c r="F809" s="85">
        <f t="shared" si="98"/>
        <v>5.0000000000000001E-4</v>
      </c>
      <c r="G809" s="85">
        <f t="shared" si="99"/>
        <v>5.2359877559829886E-10</v>
      </c>
      <c r="H809" s="85">
        <v>7700</v>
      </c>
      <c r="I809" s="85">
        <f t="shared" si="100"/>
        <v>4.0317105721069012E-6</v>
      </c>
      <c r="J809" s="87">
        <v>1</v>
      </c>
      <c r="K809" s="88">
        <f t="shared" si="101"/>
        <v>248033.67754581093</v>
      </c>
    </row>
    <row r="810" spans="1:11" hidden="1" x14ac:dyDescent="0.25">
      <c r="A810" t="str">
        <f t="shared" si="96"/>
        <v>420CØ1</v>
      </c>
      <c r="B810" s="81" t="s">
        <v>295</v>
      </c>
      <c r="D810" s="86">
        <v>1</v>
      </c>
      <c r="E810" s="85">
        <f t="shared" si="97"/>
        <v>1E-3</v>
      </c>
      <c r="F810" s="85">
        <f t="shared" si="98"/>
        <v>5.0000000000000001E-4</v>
      </c>
      <c r="G810" s="85">
        <f t="shared" si="99"/>
        <v>5.2359877559829886E-10</v>
      </c>
      <c r="H810" s="88">
        <v>7715.8316410950865</v>
      </c>
      <c r="I810" s="85">
        <f t="shared" si="100"/>
        <v>4.0400000000000003E-6</v>
      </c>
      <c r="J810" s="87">
        <v>1</v>
      </c>
      <c r="K810" s="88">
        <f t="shared" si="101"/>
        <v>247524.75247524751</v>
      </c>
    </row>
    <row r="811" spans="1:11" hidden="1" x14ac:dyDescent="0.25">
      <c r="A811" t="str">
        <f t="shared" si="96"/>
        <v>VEBOØ10</v>
      </c>
      <c r="B811" s="81" t="s">
        <v>329</v>
      </c>
      <c r="D811" s="86">
        <v>10</v>
      </c>
      <c r="E811" s="85">
        <f t="shared" si="97"/>
        <v>0.01</v>
      </c>
      <c r="F811" s="85">
        <f t="shared" si="98"/>
        <v>5.0000000000000001E-3</v>
      </c>
      <c r="G811" s="85">
        <f t="shared" si="99"/>
        <v>5.2359877559829882E-7</v>
      </c>
      <c r="H811" s="85">
        <v>2230</v>
      </c>
      <c r="I811" s="85">
        <f t="shared" si="100"/>
        <v>1.1676252695842063E-3</v>
      </c>
      <c r="J811" s="87">
        <v>1</v>
      </c>
      <c r="K811" s="88">
        <f t="shared" si="101"/>
        <v>856.43915565145483</v>
      </c>
    </row>
    <row r="812" spans="1:11" hidden="1" x14ac:dyDescent="0.25">
      <c r="A812" t="str">
        <f t="shared" si="96"/>
        <v>440CØ1,75</v>
      </c>
      <c r="B812" s="81" t="s">
        <v>314</v>
      </c>
      <c r="D812" s="86">
        <v>1.75</v>
      </c>
      <c r="E812" s="85">
        <f t="shared" si="97"/>
        <v>1.75E-3</v>
      </c>
      <c r="F812" s="85">
        <f t="shared" si="98"/>
        <v>8.7500000000000002E-4</v>
      </c>
      <c r="G812" s="85">
        <f t="shared" si="99"/>
        <v>2.806162187972133E-9</v>
      </c>
      <c r="H812" s="85">
        <v>7700</v>
      </c>
      <c r="I812" s="85">
        <f t="shared" si="100"/>
        <v>2.1607448847385425E-5</v>
      </c>
      <c r="J812" s="87">
        <v>1</v>
      </c>
      <c r="K812" s="88">
        <f t="shared" si="101"/>
        <v>46280.33633507842</v>
      </c>
    </row>
    <row r="813" spans="1:11" hidden="1" x14ac:dyDescent="0.25">
      <c r="A813" t="str">
        <f t="shared" si="96"/>
        <v>Al2O3Ø1,5</v>
      </c>
      <c r="B813" s="81" t="s">
        <v>217</v>
      </c>
      <c r="D813" s="86">
        <v>1.5</v>
      </c>
      <c r="E813" s="85">
        <f t="shared" si="97"/>
        <v>1.5E-3</v>
      </c>
      <c r="F813" s="85">
        <f t="shared" si="98"/>
        <v>7.5000000000000002E-4</v>
      </c>
      <c r="G813" s="85">
        <f t="shared" si="99"/>
        <v>1.7671458676442585E-9</v>
      </c>
      <c r="H813" s="85">
        <v>3900</v>
      </c>
      <c r="I813" s="85">
        <f t="shared" si="100"/>
        <v>6.8918688838126086E-6</v>
      </c>
      <c r="J813" s="87">
        <v>1</v>
      </c>
      <c r="K813" s="88">
        <f t="shared" si="101"/>
        <v>145098.52361654275</v>
      </c>
    </row>
    <row r="814" spans="1:11" hidden="1" x14ac:dyDescent="0.25">
      <c r="A814" t="str">
        <f t="shared" si="96"/>
        <v>52100Ø3,1</v>
      </c>
      <c r="B814" s="81">
        <v>52100</v>
      </c>
      <c r="D814" s="86">
        <v>3.1</v>
      </c>
      <c r="E814" s="85">
        <f t="shared" si="97"/>
        <v>3.0999999999999999E-3</v>
      </c>
      <c r="F814" s="85">
        <f t="shared" si="98"/>
        <v>1.5499999999999999E-3</v>
      </c>
      <c r="G814" s="85">
        <f t="shared" si="99"/>
        <v>1.5598531123848918E-8</v>
      </c>
      <c r="H814" s="85">
        <v>7800</v>
      </c>
      <c r="I814" s="85">
        <f t="shared" si="100"/>
        <v>1.2166854276602155E-4</v>
      </c>
      <c r="J814" s="87">
        <v>1</v>
      </c>
      <c r="K814" s="88">
        <f t="shared" si="101"/>
        <v>8219.051344463629</v>
      </c>
    </row>
    <row r="815" spans="1:11" hidden="1" x14ac:dyDescent="0.25">
      <c r="A815" t="str">
        <f t="shared" si="96"/>
        <v>WC-CoØ0,4</v>
      </c>
      <c r="B815" s="81" t="s">
        <v>297</v>
      </c>
      <c r="D815" s="86">
        <v>0.4</v>
      </c>
      <c r="E815" s="85">
        <f t="shared" si="97"/>
        <v>4.0000000000000002E-4</v>
      </c>
      <c r="F815" s="85">
        <f t="shared" si="98"/>
        <v>2.0000000000000001E-4</v>
      </c>
      <c r="G815" s="85">
        <f t="shared" si="99"/>
        <v>3.3510321638291128E-11</v>
      </c>
      <c r="H815" s="85">
        <v>14400</v>
      </c>
      <c r="I815" s="85">
        <f t="shared" si="100"/>
        <v>4.8254863159139221E-7</v>
      </c>
      <c r="J815" s="87">
        <v>1</v>
      </c>
      <c r="K815" s="88">
        <f t="shared" si="101"/>
        <v>2072329.9881757207</v>
      </c>
    </row>
    <row r="816" spans="1:11" hidden="1" x14ac:dyDescent="0.25">
      <c r="A816" t="str">
        <f t="shared" si="96"/>
        <v>Al2O3Ø24</v>
      </c>
      <c r="B816" s="81" t="s">
        <v>217</v>
      </c>
      <c r="D816" s="86">
        <v>24</v>
      </c>
      <c r="E816" s="85">
        <f t="shared" si="97"/>
        <v>2.4E-2</v>
      </c>
      <c r="F816" s="85">
        <f t="shared" si="98"/>
        <v>1.2E-2</v>
      </c>
      <c r="G816" s="85">
        <f t="shared" si="99"/>
        <v>7.2382294738708829E-6</v>
      </c>
      <c r="H816" s="85">
        <v>3900</v>
      </c>
      <c r="I816" s="85">
        <f t="shared" si="100"/>
        <v>2.8229094948096445E-2</v>
      </c>
      <c r="J816" s="87">
        <v>1</v>
      </c>
      <c r="K816" s="88">
        <f t="shared" si="101"/>
        <v>35.424444242320007</v>
      </c>
    </row>
    <row r="817" spans="1:11" hidden="1" x14ac:dyDescent="0.25">
      <c r="A817" t="str">
        <f t="shared" si="96"/>
        <v>OttoneØ4</v>
      </c>
      <c r="B817" s="81" t="s">
        <v>216</v>
      </c>
      <c r="D817" s="86">
        <v>4</v>
      </c>
      <c r="E817" s="85">
        <f t="shared" si="97"/>
        <v>4.0000000000000001E-3</v>
      </c>
      <c r="F817" s="85">
        <f t="shared" si="98"/>
        <v>2E-3</v>
      </c>
      <c r="G817" s="85">
        <f t="shared" si="99"/>
        <v>3.3510321638291127E-8</v>
      </c>
      <c r="H817" s="85">
        <v>8490</v>
      </c>
      <c r="I817" s="85">
        <f t="shared" si="100"/>
        <v>2.8450263070909168E-4</v>
      </c>
      <c r="J817" s="87">
        <v>1</v>
      </c>
      <c r="K817" s="88">
        <f t="shared" si="101"/>
        <v>3514.9059870118226</v>
      </c>
    </row>
    <row r="818" spans="1:11" hidden="1" x14ac:dyDescent="0.25">
      <c r="A818" t="str">
        <f t="shared" si="96"/>
        <v>52100Ø0,5</v>
      </c>
      <c r="B818" s="81">
        <v>52100</v>
      </c>
      <c r="D818" s="86">
        <v>0.5</v>
      </c>
      <c r="E818" s="85">
        <f t="shared" si="97"/>
        <v>5.0000000000000001E-4</v>
      </c>
      <c r="F818" s="85">
        <f t="shared" si="98"/>
        <v>2.5000000000000001E-4</v>
      </c>
      <c r="G818" s="85">
        <f t="shared" si="99"/>
        <v>6.5449846949787358E-11</v>
      </c>
      <c r="H818" s="85">
        <v>7800</v>
      </c>
      <c r="I818" s="85">
        <f t="shared" si="100"/>
        <v>5.1050880620834141E-7</v>
      </c>
      <c r="J818" s="87">
        <v>1</v>
      </c>
      <c r="K818" s="88">
        <f t="shared" si="101"/>
        <v>1958830.0688233273</v>
      </c>
    </row>
    <row r="819" spans="1:11" hidden="1" x14ac:dyDescent="0.25">
      <c r="A819" t="str">
        <f t="shared" si="96"/>
        <v>SiliconeØ1</v>
      </c>
      <c r="B819" s="81" t="s">
        <v>315</v>
      </c>
      <c r="D819" s="86">
        <v>1</v>
      </c>
      <c r="E819" s="85">
        <f t="shared" si="97"/>
        <v>1E-3</v>
      </c>
      <c r="F819" s="85">
        <f t="shared" si="98"/>
        <v>5.0000000000000001E-4</v>
      </c>
      <c r="G819" s="85">
        <f t="shared" si="99"/>
        <v>5.2359877559829886E-10</v>
      </c>
      <c r="H819" s="85">
        <v>1200</v>
      </c>
      <c r="I819" s="85">
        <f t="shared" si="100"/>
        <v>6.2831853071795864E-7</v>
      </c>
      <c r="J819" s="87">
        <v>1</v>
      </c>
      <c r="K819" s="88">
        <f t="shared" si="101"/>
        <v>1591549.4309189534</v>
      </c>
    </row>
    <row r="820" spans="1:11" hidden="1" x14ac:dyDescent="0.25">
      <c r="A820" t="str">
        <f t="shared" si="96"/>
        <v>52100Ø1,2</v>
      </c>
      <c r="B820" s="81">
        <v>52100</v>
      </c>
      <c r="D820" s="86">
        <v>1.2</v>
      </c>
      <c r="E820" s="85">
        <f t="shared" si="97"/>
        <v>1.1999999999999999E-3</v>
      </c>
      <c r="F820" s="85">
        <f t="shared" si="98"/>
        <v>5.9999999999999995E-4</v>
      </c>
      <c r="G820" s="85">
        <f t="shared" si="99"/>
        <v>9.0477868423386013E-10</v>
      </c>
      <c r="H820" s="85">
        <v>7800</v>
      </c>
      <c r="I820" s="85">
        <f t="shared" si="100"/>
        <v>7.0572737370241092E-6</v>
      </c>
      <c r="J820" s="87">
        <v>1</v>
      </c>
      <c r="K820" s="88">
        <f t="shared" si="101"/>
        <v>141697.77696928009</v>
      </c>
    </row>
    <row r="821" spans="1:11" hidden="1" x14ac:dyDescent="0.25">
      <c r="A821" t="str">
        <f t="shared" si="96"/>
        <v>440CØ0,6</v>
      </c>
      <c r="B821" s="81" t="s">
        <v>314</v>
      </c>
      <c r="D821" s="86">
        <v>0.6</v>
      </c>
      <c r="E821" s="85">
        <f t="shared" si="97"/>
        <v>5.9999999999999995E-4</v>
      </c>
      <c r="F821" s="85">
        <f t="shared" si="98"/>
        <v>2.9999999999999997E-4</v>
      </c>
      <c r="G821" s="85">
        <f t="shared" si="99"/>
        <v>1.1309733552923252E-10</v>
      </c>
      <c r="H821" s="85">
        <v>7700</v>
      </c>
      <c r="I821" s="85">
        <f t="shared" si="100"/>
        <v>8.708494835750904E-7</v>
      </c>
      <c r="J821" s="87">
        <v>1</v>
      </c>
      <c r="K821" s="88">
        <f t="shared" si="101"/>
        <v>1148304.062712088</v>
      </c>
    </row>
    <row r="822" spans="1:11" hidden="1" x14ac:dyDescent="0.25">
      <c r="A822" t="str">
        <f t="shared" si="96"/>
        <v>304Ø1</v>
      </c>
      <c r="B822" s="81">
        <v>304</v>
      </c>
      <c r="D822" s="86">
        <v>1</v>
      </c>
      <c r="E822" s="85">
        <f t="shared" si="97"/>
        <v>1E-3</v>
      </c>
      <c r="F822" s="85">
        <f t="shared" si="98"/>
        <v>5.0000000000000001E-4</v>
      </c>
      <c r="G822" s="85">
        <f t="shared" si="99"/>
        <v>5.2359877559829886E-10</v>
      </c>
      <c r="H822" s="85">
        <v>7950</v>
      </c>
      <c r="I822" s="85">
        <f t="shared" si="100"/>
        <v>4.1626102660064759E-6</v>
      </c>
      <c r="J822" s="87">
        <v>1</v>
      </c>
      <c r="K822" s="88">
        <f t="shared" si="101"/>
        <v>240233.87636512503</v>
      </c>
    </row>
    <row r="823" spans="1:11" hidden="1" x14ac:dyDescent="0.25">
      <c r="A823" t="str">
        <f t="shared" si="96"/>
        <v>304Ø1,2</v>
      </c>
      <c r="B823" s="81">
        <v>304</v>
      </c>
      <c r="D823" s="86">
        <v>1.2</v>
      </c>
      <c r="E823" s="85">
        <f t="shared" si="97"/>
        <v>1.1999999999999999E-3</v>
      </c>
      <c r="F823" s="85">
        <f t="shared" si="98"/>
        <v>5.9999999999999995E-4</v>
      </c>
      <c r="G823" s="85">
        <f t="shared" si="99"/>
        <v>9.0477868423386013E-10</v>
      </c>
      <c r="H823" s="85">
        <v>7950</v>
      </c>
      <c r="I823" s="85">
        <f t="shared" si="100"/>
        <v>7.1929905396591882E-6</v>
      </c>
      <c r="J823" s="87">
        <v>1</v>
      </c>
      <c r="K823" s="88">
        <f t="shared" si="101"/>
        <v>139024.23400759554</v>
      </c>
    </row>
    <row r="824" spans="1:11" hidden="1" x14ac:dyDescent="0.25">
      <c r="A824" t="str">
        <f t="shared" si="96"/>
        <v>304Ø1,5</v>
      </c>
      <c r="B824" s="81">
        <v>304</v>
      </c>
      <c r="D824" s="86">
        <v>1.5</v>
      </c>
      <c r="E824" s="85">
        <f t="shared" si="97"/>
        <v>1.5E-3</v>
      </c>
      <c r="F824" s="85">
        <f t="shared" si="98"/>
        <v>7.5000000000000002E-4</v>
      </c>
      <c r="G824" s="85">
        <f t="shared" si="99"/>
        <v>1.7671458676442585E-9</v>
      </c>
      <c r="H824" s="85">
        <v>7950</v>
      </c>
      <c r="I824" s="85">
        <f t="shared" si="100"/>
        <v>1.4048809647771855E-5</v>
      </c>
      <c r="J824" s="87">
        <v>1</v>
      </c>
      <c r="K824" s="88">
        <f t="shared" si="101"/>
        <v>71180.407811888916</v>
      </c>
    </row>
    <row r="825" spans="1:11" hidden="1" x14ac:dyDescent="0.25">
      <c r="A825" t="str">
        <f t="shared" si="96"/>
        <v>440CØ0,6</v>
      </c>
      <c r="B825" s="81" t="s">
        <v>314</v>
      </c>
      <c r="D825" s="86">
        <v>0.6</v>
      </c>
      <c r="E825" s="85">
        <f t="shared" si="97"/>
        <v>5.9999999999999995E-4</v>
      </c>
      <c r="F825" s="85">
        <f t="shared" si="98"/>
        <v>2.9999999999999997E-4</v>
      </c>
      <c r="G825" s="85">
        <f t="shared" si="99"/>
        <v>1.1309733552923252E-10</v>
      </c>
      <c r="H825" s="85">
        <v>7700</v>
      </c>
      <c r="I825" s="85">
        <f t="shared" si="100"/>
        <v>8.708494835750904E-7</v>
      </c>
      <c r="J825" s="87">
        <v>1</v>
      </c>
      <c r="K825" s="88">
        <f t="shared" si="101"/>
        <v>1148304.062712088</v>
      </c>
    </row>
    <row r="826" spans="1:11" hidden="1" x14ac:dyDescent="0.25">
      <c r="A826" t="str">
        <f t="shared" si="96"/>
        <v>Al2O3Ø20</v>
      </c>
      <c r="B826" s="81" t="s">
        <v>217</v>
      </c>
      <c r="D826" s="86">
        <v>20</v>
      </c>
      <c r="E826" s="85">
        <f t="shared" si="97"/>
        <v>0.02</v>
      </c>
      <c r="F826" s="85">
        <f t="shared" si="98"/>
        <v>0.01</v>
      </c>
      <c r="G826" s="85">
        <f t="shared" si="99"/>
        <v>4.1887902047863905E-6</v>
      </c>
      <c r="H826" s="85">
        <v>3900</v>
      </c>
      <c r="I826" s="85">
        <f t="shared" si="100"/>
        <v>1.6336281798666922E-2</v>
      </c>
      <c r="J826" s="87">
        <v>1</v>
      </c>
      <c r="K826" s="88">
        <f t="shared" si="101"/>
        <v>61.213439650728986</v>
      </c>
    </row>
    <row r="827" spans="1:11" hidden="1" x14ac:dyDescent="0.25">
      <c r="A827" t="str">
        <f t="shared" si="96"/>
        <v>Al2O3Ø19,05</v>
      </c>
      <c r="B827" s="81" t="s">
        <v>217</v>
      </c>
      <c r="C827" s="101" t="s">
        <v>262</v>
      </c>
      <c r="D827" s="86">
        <f>3/4*25.4</f>
        <v>19.049999999999997</v>
      </c>
      <c r="E827" s="85">
        <f t="shared" si="97"/>
        <v>1.9049999999999997E-2</v>
      </c>
      <c r="F827" s="85">
        <f t="shared" si="98"/>
        <v>9.5249999999999987E-3</v>
      </c>
      <c r="G827" s="85">
        <f t="shared" si="99"/>
        <v>3.6197915538027477E-6</v>
      </c>
      <c r="H827" s="85">
        <v>3900</v>
      </c>
      <c r="I827" s="85">
        <f t="shared" si="100"/>
        <v>1.4117187059830717E-2</v>
      </c>
      <c r="J827" s="87">
        <v>1</v>
      </c>
      <c r="K827" s="88">
        <f t="shared" si="101"/>
        <v>70.835641389595025</v>
      </c>
    </row>
    <row r="828" spans="1:11" hidden="1" x14ac:dyDescent="0.25">
      <c r="A828" t="str">
        <f t="shared" si="96"/>
        <v>PPHØ3</v>
      </c>
      <c r="B828" s="81" t="s">
        <v>202</v>
      </c>
      <c r="D828" s="86">
        <v>3</v>
      </c>
      <c r="E828" s="85">
        <f t="shared" si="97"/>
        <v>3.0000000000000001E-3</v>
      </c>
      <c r="F828" s="85">
        <f t="shared" si="98"/>
        <v>1.5E-3</v>
      </c>
      <c r="G828" s="85">
        <f t="shared" si="99"/>
        <v>1.4137166941154068E-8</v>
      </c>
      <c r="H828" s="85">
        <v>870</v>
      </c>
      <c r="I828" s="85">
        <f t="shared" si="100"/>
        <v>1.229933523880404E-5</v>
      </c>
      <c r="J828" s="87">
        <v>1</v>
      </c>
      <c r="K828" s="88">
        <f t="shared" si="101"/>
        <v>81305.207198924822</v>
      </c>
    </row>
    <row r="829" spans="1:11" hidden="1" x14ac:dyDescent="0.25">
      <c r="A829" t="str">
        <f t="shared" si="96"/>
        <v>PPHØ3,96875</v>
      </c>
      <c r="B829" s="81" t="s">
        <v>202</v>
      </c>
      <c r="C829" s="101" t="s">
        <v>215</v>
      </c>
      <c r="D829" s="86">
        <f>5/32*25.4</f>
        <v>3.96875</v>
      </c>
      <c r="E829" s="85">
        <f t="shared" si="97"/>
        <v>3.9687500000000001E-3</v>
      </c>
      <c r="F829" s="85">
        <f t="shared" si="98"/>
        <v>1.984375E-3</v>
      </c>
      <c r="G829" s="85">
        <f t="shared" si="99"/>
        <v>3.2731043419078684E-8</v>
      </c>
      <c r="H829" s="85">
        <v>870</v>
      </c>
      <c r="I829" s="85">
        <f t="shared" si="100"/>
        <v>2.8476007774598456E-5</v>
      </c>
      <c r="J829" s="87">
        <v>1</v>
      </c>
      <c r="K829" s="88">
        <f t="shared" si="101"/>
        <v>35117.282166639707</v>
      </c>
    </row>
    <row r="830" spans="1:11" hidden="1" x14ac:dyDescent="0.25">
      <c r="A830" t="str">
        <f t="shared" si="96"/>
        <v>Al2O3Ø1,2</v>
      </c>
      <c r="B830" s="81" t="s">
        <v>217</v>
      </c>
      <c r="D830" s="86">
        <v>1.2</v>
      </c>
      <c r="E830" s="85">
        <f t="shared" si="97"/>
        <v>1.1999999999999999E-3</v>
      </c>
      <c r="F830" s="85">
        <f t="shared" si="98"/>
        <v>5.9999999999999995E-4</v>
      </c>
      <c r="G830" s="85">
        <f t="shared" si="99"/>
        <v>9.0477868423386013E-10</v>
      </c>
      <c r="H830" s="85">
        <v>3900</v>
      </c>
      <c r="I830" s="85">
        <f t="shared" si="100"/>
        <v>3.5286368685120546E-6</v>
      </c>
      <c r="J830" s="87">
        <v>1</v>
      </c>
      <c r="K830" s="88">
        <f t="shared" si="101"/>
        <v>283395.55393856019</v>
      </c>
    </row>
    <row r="831" spans="1:11" hidden="1" x14ac:dyDescent="0.25">
      <c r="A831" t="str">
        <f t="shared" si="96"/>
        <v>Al2O3Ø1,2</v>
      </c>
      <c r="B831" s="81" t="s">
        <v>217</v>
      </c>
      <c r="D831" s="86">
        <v>1.2</v>
      </c>
      <c r="E831" s="85">
        <f t="shared" si="97"/>
        <v>1.1999999999999999E-3</v>
      </c>
      <c r="F831" s="85">
        <f t="shared" si="98"/>
        <v>5.9999999999999995E-4</v>
      </c>
      <c r="G831" s="85">
        <f t="shared" si="99"/>
        <v>9.0477868423386013E-10</v>
      </c>
      <c r="H831" s="88">
        <v>3956.7687240901773</v>
      </c>
      <c r="I831" s="85">
        <f t="shared" si="100"/>
        <v>3.58E-6</v>
      </c>
      <c r="J831" s="87">
        <v>1</v>
      </c>
      <c r="K831" s="88">
        <f t="shared" si="101"/>
        <v>279329.60893854749</v>
      </c>
    </row>
    <row r="832" spans="1:11" hidden="1" x14ac:dyDescent="0.25">
      <c r="A832" t="str">
        <f t="shared" si="96"/>
        <v>Al2O3Ø1,2</v>
      </c>
      <c r="B832" s="81" t="s">
        <v>217</v>
      </c>
      <c r="D832" s="86">
        <v>1.2</v>
      </c>
      <c r="E832" s="85">
        <f t="shared" si="97"/>
        <v>1.1999999999999999E-3</v>
      </c>
      <c r="F832" s="85">
        <f t="shared" si="98"/>
        <v>5.9999999999999995E-4</v>
      </c>
      <c r="G832" s="85">
        <f t="shared" si="99"/>
        <v>9.0477868423386013E-10</v>
      </c>
      <c r="H832" s="85">
        <v>3900</v>
      </c>
      <c r="I832" s="85">
        <f t="shared" si="100"/>
        <v>3.5286368685120546E-6</v>
      </c>
      <c r="J832" s="87">
        <v>1</v>
      </c>
      <c r="K832" s="88">
        <f t="shared" si="101"/>
        <v>283395.55393856019</v>
      </c>
    </row>
    <row r="833" spans="1:11" hidden="1" x14ac:dyDescent="0.25">
      <c r="A833" t="str">
        <f t="shared" si="96"/>
        <v>52100Ø15,895</v>
      </c>
      <c r="B833" s="81">
        <v>52100</v>
      </c>
      <c r="C833" s="101" t="s">
        <v>337</v>
      </c>
      <c r="D833" s="86">
        <f>5/8*25.4+0.02</f>
        <v>15.895</v>
      </c>
      <c r="E833" s="85">
        <f t="shared" si="97"/>
        <v>1.5894999999999999E-2</v>
      </c>
      <c r="F833" s="85">
        <f t="shared" si="98"/>
        <v>7.9474999999999997E-3</v>
      </c>
      <c r="G833" s="85">
        <f t="shared" si="99"/>
        <v>2.1027140619273989E-6</v>
      </c>
      <c r="H833" s="85">
        <v>7800</v>
      </c>
      <c r="I833" s="85">
        <f t="shared" si="100"/>
        <v>1.640116968303371E-2</v>
      </c>
      <c r="J833" s="87">
        <v>1</v>
      </c>
      <c r="K833" s="94">
        <f t="shared" si="101"/>
        <v>60.971261155505033</v>
      </c>
    </row>
    <row r="834" spans="1:11" hidden="1" x14ac:dyDescent="0.25">
      <c r="A834" t="str">
        <f t="shared" si="96"/>
        <v>52100Ø15,94</v>
      </c>
      <c r="B834" s="81">
        <v>52100</v>
      </c>
      <c r="D834" s="86">
        <v>15.94</v>
      </c>
      <c r="E834" s="85">
        <f>D834/1000</f>
        <v>1.5939999999999999E-2</v>
      </c>
      <c r="F834" s="85">
        <f>E834/2</f>
        <v>7.9699999999999997E-3</v>
      </c>
      <c r="G834" s="85">
        <f>4/3*PI()*F834*F834*F834</f>
        <v>2.1206235180421497E-6</v>
      </c>
      <c r="H834" s="85">
        <v>7800</v>
      </c>
      <c r="I834" s="85">
        <f t="shared" si="100"/>
        <v>1.6540863440728769E-2</v>
      </c>
      <c r="J834" s="87">
        <v>1</v>
      </c>
      <c r="K834" s="94">
        <f t="shared" si="101"/>
        <v>60.456336126788152</v>
      </c>
    </row>
    <row r="835" spans="1:11" hidden="1" x14ac:dyDescent="0.25">
      <c r="A835" t="str">
        <f t="shared" si="96"/>
        <v>52100Ø15,92</v>
      </c>
      <c r="B835" s="81">
        <v>52100</v>
      </c>
      <c r="D835" s="86">
        <v>15.92</v>
      </c>
      <c r="E835" s="85">
        <f t="shared" ref="E835:E842" si="102">D835/1000</f>
        <v>1.592E-2</v>
      </c>
      <c r="F835" s="85">
        <f t="shared" ref="F835:F842" si="103">E835/2</f>
        <v>7.9600000000000001E-3</v>
      </c>
      <c r="G835" s="85">
        <f t="shared" ref="G835:G842" si="104">4/3*PI()*F835*F835*F835</f>
        <v>2.1126512575391634E-6</v>
      </c>
      <c r="H835" s="85">
        <v>7800</v>
      </c>
      <c r="I835" s="85">
        <f t="shared" si="100"/>
        <v>1.6478679808805474E-2</v>
      </c>
      <c r="J835" s="87">
        <v>1</v>
      </c>
      <c r="K835" s="94">
        <f t="shared" si="101"/>
        <v>60.684473004059733</v>
      </c>
    </row>
    <row r="836" spans="1:11" hidden="1" x14ac:dyDescent="0.25">
      <c r="A836" t="str">
        <f t="shared" ref="A836:A899" si="105">CONCATENATE(B836,"Ø",D836)</f>
        <v>420CØ6,35</v>
      </c>
      <c r="B836" s="81" t="s">
        <v>295</v>
      </c>
      <c r="C836" s="101" t="s">
        <v>218</v>
      </c>
      <c r="D836" s="86">
        <f>1/4*25.4</f>
        <v>6.35</v>
      </c>
      <c r="E836" s="85">
        <f t="shared" si="102"/>
        <v>6.3499999999999997E-3</v>
      </c>
      <c r="F836" s="85">
        <f t="shared" si="103"/>
        <v>3.1749999999999999E-3</v>
      </c>
      <c r="G836" s="85">
        <f t="shared" si="104"/>
        <v>1.3406635384454623E-7</v>
      </c>
      <c r="H836" s="85">
        <v>7700</v>
      </c>
      <c r="I836" s="85">
        <f t="shared" si="100"/>
        <v>1.032310924603006E-3</v>
      </c>
      <c r="J836" s="87">
        <v>1</v>
      </c>
      <c r="K836" s="88">
        <f t="shared" si="101"/>
        <v>968.70039458757867</v>
      </c>
    </row>
    <row r="837" spans="1:11" hidden="1" x14ac:dyDescent="0.25">
      <c r="A837" t="str">
        <f t="shared" si="105"/>
        <v>52100Ø0,5</v>
      </c>
      <c r="B837" s="81">
        <v>52100</v>
      </c>
      <c r="D837" s="86">
        <v>0.5</v>
      </c>
      <c r="E837" s="85">
        <f t="shared" si="102"/>
        <v>5.0000000000000001E-4</v>
      </c>
      <c r="F837" s="85">
        <f t="shared" si="103"/>
        <v>2.5000000000000001E-4</v>
      </c>
      <c r="G837" s="85">
        <f t="shared" si="104"/>
        <v>6.5449846949787358E-11</v>
      </c>
      <c r="H837" s="85">
        <v>7800</v>
      </c>
      <c r="I837" s="85">
        <f t="shared" si="100"/>
        <v>5.1050880620834141E-7</v>
      </c>
      <c r="J837" s="87">
        <v>1</v>
      </c>
      <c r="K837" s="88">
        <f t="shared" si="101"/>
        <v>1958830.0688233273</v>
      </c>
    </row>
    <row r="838" spans="1:11" hidden="1" x14ac:dyDescent="0.25">
      <c r="A838" t="str">
        <f t="shared" si="105"/>
        <v>52100Ø1,3</v>
      </c>
      <c r="B838" s="81">
        <v>52100</v>
      </c>
      <c r="D838" s="86">
        <v>1.3</v>
      </c>
      <c r="E838" s="85">
        <f t="shared" si="102"/>
        <v>1.2999999999999999E-3</v>
      </c>
      <c r="F838" s="85">
        <f t="shared" si="103"/>
        <v>6.4999999999999997E-4</v>
      </c>
      <c r="G838" s="85">
        <f t="shared" si="104"/>
        <v>1.1503465099894624E-9</v>
      </c>
      <c r="H838" s="85">
        <v>7800</v>
      </c>
      <c r="I838" s="85">
        <f t="shared" si="100"/>
        <v>8.9727027779178067E-6</v>
      </c>
      <c r="J838" s="87">
        <v>1</v>
      </c>
      <c r="K838" s="88">
        <f t="shared" si="101"/>
        <v>111449.1391000983</v>
      </c>
    </row>
    <row r="839" spans="1:11" hidden="1" x14ac:dyDescent="0.25">
      <c r="A839" t="str">
        <f t="shared" si="105"/>
        <v>52100Ø0,68</v>
      </c>
      <c r="B839" s="81">
        <v>52100</v>
      </c>
      <c r="D839" s="86">
        <v>0.68</v>
      </c>
      <c r="E839" s="85">
        <f t="shared" si="102"/>
        <v>6.8000000000000005E-4</v>
      </c>
      <c r="F839" s="85">
        <f t="shared" si="103"/>
        <v>3.4000000000000002E-4</v>
      </c>
      <c r="G839" s="85">
        <f t="shared" si="104"/>
        <v>1.6463621020892433E-10</v>
      </c>
      <c r="H839" s="85">
        <v>7800</v>
      </c>
      <c r="I839" s="85">
        <f t="shared" si="100"/>
        <v>1.2841624396296097E-6</v>
      </c>
      <c r="J839" s="87">
        <v>1</v>
      </c>
      <c r="K839" s="88">
        <f t="shared" si="101"/>
        <v>778717.68332394888</v>
      </c>
    </row>
    <row r="840" spans="1:11" hidden="1" x14ac:dyDescent="0.25">
      <c r="A840" t="str">
        <f t="shared" si="105"/>
        <v>52100Ø0,68</v>
      </c>
      <c r="B840" s="81">
        <v>52100</v>
      </c>
      <c r="D840" s="86">
        <v>0.68</v>
      </c>
      <c r="E840" s="85">
        <f t="shared" si="102"/>
        <v>6.8000000000000005E-4</v>
      </c>
      <c r="F840" s="85">
        <f t="shared" si="103"/>
        <v>3.4000000000000002E-4</v>
      </c>
      <c r="G840" s="85">
        <f t="shared" si="104"/>
        <v>1.6463621020892433E-10</v>
      </c>
      <c r="H840" s="85">
        <v>7800</v>
      </c>
      <c r="I840" s="85">
        <f t="shared" si="100"/>
        <v>1.2841624396296097E-6</v>
      </c>
      <c r="J840" s="87">
        <v>1</v>
      </c>
      <c r="K840" s="88">
        <f t="shared" si="101"/>
        <v>778717.68332394888</v>
      </c>
    </row>
    <row r="841" spans="1:11" hidden="1" x14ac:dyDescent="0.25">
      <c r="A841" t="str">
        <f t="shared" si="105"/>
        <v>52100Ø0,68</v>
      </c>
      <c r="B841" s="81">
        <v>52100</v>
      </c>
      <c r="D841" s="86">
        <v>0.68</v>
      </c>
      <c r="E841" s="85">
        <f t="shared" si="102"/>
        <v>6.8000000000000005E-4</v>
      </c>
      <c r="F841" s="85">
        <f t="shared" si="103"/>
        <v>3.4000000000000002E-4</v>
      </c>
      <c r="G841" s="85">
        <f t="shared" si="104"/>
        <v>1.6463621020892433E-10</v>
      </c>
      <c r="H841" s="85">
        <v>7800</v>
      </c>
      <c r="I841" s="85">
        <f t="shared" si="100"/>
        <v>1.2841624396296097E-6</v>
      </c>
      <c r="J841" s="87">
        <v>1</v>
      </c>
      <c r="K841" s="88">
        <f t="shared" si="101"/>
        <v>778717.68332394888</v>
      </c>
    </row>
    <row r="842" spans="1:11" x14ac:dyDescent="0.25">
      <c r="A842" t="str">
        <f t="shared" si="105"/>
        <v>1085Ø3,26</v>
      </c>
      <c r="B842" s="81">
        <v>1085</v>
      </c>
      <c r="D842" s="86">
        <v>3.26</v>
      </c>
      <c r="E842" s="85">
        <f t="shared" si="102"/>
        <v>3.2599999999999999E-3</v>
      </c>
      <c r="F842" s="85">
        <f t="shared" si="103"/>
        <v>1.6299999999999999E-3</v>
      </c>
      <c r="G842" s="85">
        <f t="shared" si="104"/>
        <v>1.8140590613008046E-8</v>
      </c>
      <c r="H842" s="85">
        <v>7850</v>
      </c>
      <c r="I842" s="85">
        <f t="shared" si="100"/>
        <v>1.4240363631211315E-4</v>
      </c>
      <c r="J842" s="87">
        <v>1</v>
      </c>
      <c r="K842" s="88">
        <f t="shared" si="101"/>
        <v>7022.2925895533326</v>
      </c>
    </row>
    <row r="843" spans="1:11" hidden="1" x14ac:dyDescent="0.25">
      <c r="A843" t="str">
        <f t="shared" si="105"/>
        <v>52100Ø1,2</v>
      </c>
      <c r="B843" s="81">
        <v>52100</v>
      </c>
      <c r="D843" s="86">
        <v>1.2</v>
      </c>
      <c r="E843" s="85">
        <f>D843/1000</f>
        <v>1.1999999999999999E-3</v>
      </c>
      <c r="F843" s="85">
        <f>E843/2</f>
        <v>5.9999999999999995E-4</v>
      </c>
      <c r="G843" s="85">
        <f>4/3*PI()*F843*F843*F843</f>
        <v>9.0477868423386013E-10</v>
      </c>
      <c r="H843" s="85">
        <v>7800</v>
      </c>
      <c r="I843" s="85">
        <f>H843*G843</f>
        <v>7.0572737370241092E-6</v>
      </c>
      <c r="J843" s="87">
        <v>1</v>
      </c>
      <c r="K843" s="88">
        <f>J843/I843</f>
        <v>141697.77696928009</v>
      </c>
    </row>
    <row r="844" spans="1:11" hidden="1" x14ac:dyDescent="0.25">
      <c r="A844" t="str">
        <f t="shared" si="105"/>
        <v>52100Ø1,19</v>
      </c>
      <c r="B844" s="81">
        <v>52100</v>
      </c>
      <c r="D844" s="86">
        <v>1.19</v>
      </c>
      <c r="E844" s="85">
        <f t="shared" ref="E844:E887" si="106">D844/1000</f>
        <v>1.1899999999999999E-3</v>
      </c>
      <c r="F844" s="85">
        <f t="shared" ref="F844:F887" si="107">E844/2</f>
        <v>5.9499999999999993E-4</v>
      </c>
      <c r="G844" s="85">
        <f t="shared" ref="G844:G887" si="108">4/3*PI()*F844*F844*F844</f>
        <v>8.8234718908845343E-10</v>
      </c>
      <c r="H844" s="85">
        <v>7800</v>
      </c>
      <c r="I844" s="85">
        <f t="shared" ref="I844:I887" si="109">H844*G844</f>
        <v>6.8823080748899364E-6</v>
      </c>
      <c r="J844" s="87">
        <v>1</v>
      </c>
      <c r="K844" s="88">
        <f t="shared" ref="K844:K887" si="110">J844/I844</f>
        <v>145300.09251525582</v>
      </c>
    </row>
    <row r="845" spans="1:11" hidden="1" x14ac:dyDescent="0.25">
      <c r="A845" t="str">
        <f t="shared" si="105"/>
        <v>TorlonØ3,96875</v>
      </c>
      <c r="B845" s="81" t="s">
        <v>324</v>
      </c>
      <c r="C845" s="101" t="s">
        <v>215</v>
      </c>
      <c r="D845" s="86">
        <f>5/32*25.4</f>
        <v>3.96875</v>
      </c>
      <c r="E845" s="85">
        <f t="shared" si="106"/>
        <v>3.9687500000000001E-3</v>
      </c>
      <c r="F845" s="85">
        <f t="shared" si="107"/>
        <v>1.984375E-3</v>
      </c>
      <c r="G845" s="85">
        <f t="shared" si="108"/>
        <v>3.2731043419078684E-8</v>
      </c>
      <c r="H845" s="85">
        <v>1420</v>
      </c>
      <c r="I845" s="85">
        <f t="shared" si="109"/>
        <v>4.647808165509173E-5</v>
      </c>
      <c r="J845" s="87">
        <v>1</v>
      </c>
      <c r="K845" s="88">
        <f t="shared" si="110"/>
        <v>21515.517947166583</v>
      </c>
    </row>
    <row r="846" spans="1:11" hidden="1" x14ac:dyDescent="0.25">
      <c r="A846" t="str">
        <f t="shared" si="105"/>
        <v>WC-CoØ0,5</v>
      </c>
      <c r="B846" s="81" t="s">
        <v>297</v>
      </c>
      <c r="D846" s="86">
        <v>0.5</v>
      </c>
      <c r="E846" s="85">
        <f t="shared" si="106"/>
        <v>5.0000000000000001E-4</v>
      </c>
      <c r="F846" s="85">
        <f t="shared" si="107"/>
        <v>2.5000000000000001E-4</v>
      </c>
      <c r="G846" s="85">
        <f t="shared" si="108"/>
        <v>6.5449846949787358E-11</v>
      </c>
      <c r="H846" s="85">
        <v>14900</v>
      </c>
      <c r="I846" s="85">
        <f t="shared" si="109"/>
        <v>9.752027195518316E-7</v>
      </c>
      <c r="J846" s="87">
        <v>1</v>
      </c>
      <c r="K846" s="88">
        <f t="shared" si="110"/>
        <v>1025427.8212632183</v>
      </c>
    </row>
    <row r="847" spans="1:11" hidden="1" x14ac:dyDescent="0.25">
      <c r="A847" t="str">
        <f t="shared" si="105"/>
        <v>ZrO2Ø2</v>
      </c>
      <c r="B847" s="81" t="s">
        <v>205</v>
      </c>
      <c r="D847" s="86">
        <v>2</v>
      </c>
      <c r="E847" s="85">
        <f t="shared" si="106"/>
        <v>2E-3</v>
      </c>
      <c r="F847" s="85">
        <f t="shared" si="107"/>
        <v>1E-3</v>
      </c>
      <c r="G847" s="85">
        <f t="shared" si="108"/>
        <v>4.1887902047863909E-9</v>
      </c>
      <c r="H847" s="85">
        <v>6000</v>
      </c>
      <c r="I847" s="85">
        <f t="shared" si="109"/>
        <v>2.5132741228718347E-5</v>
      </c>
      <c r="J847" s="87">
        <v>1</v>
      </c>
      <c r="K847" s="88">
        <f t="shared" si="110"/>
        <v>39788.735772973836</v>
      </c>
    </row>
    <row r="848" spans="1:11" hidden="1" x14ac:dyDescent="0.25">
      <c r="A848" t="str">
        <f t="shared" si="105"/>
        <v>Al2O3Ø2</v>
      </c>
      <c r="B848" s="81" t="s">
        <v>217</v>
      </c>
      <c r="D848" s="86">
        <v>2</v>
      </c>
      <c r="E848" s="85">
        <f t="shared" si="106"/>
        <v>2E-3</v>
      </c>
      <c r="F848" s="85">
        <f t="shared" si="107"/>
        <v>1E-3</v>
      </c>
      <c r="G848" s="85">
        <f t="shared" si="108"/>
        <v>4.1887902047863909E-9</v>
      </c>
      <c r="H848" s="85">
        <v>3900</v>
      </c>
      <c r="I848" s="85">
        <f t="shared" si="109"/>
        <v>1.6336281798666925E-5</v>
      </c>
      <c r="J848" s="87">
        <v>1</v>
      </c>
      <c r="K848" s="88">
        <f t="shared" si="110"/>
        <v>61213.439650728978</v>
      </c>
    </row>
    <row r="849" spans="1:11" hidden="1" x14ac:dyDescent="0.25">
      <c r="A849" t="str">
        <f t="shared" si="105"/>
        <v>WC-CoØ2</v>
      </c>
      <c r="B849" s="81" t="s">
        <v>297</v>
      </c>
      <c r="D849" s="86">
        <v>2</v>
      </c>
      <c r="E849" s="85">
        <f t="shared" si="106"/>
        <v>2E-3</v>
      </c>
      <c r="F849" s="85">
        <f t="shared" si="107"/>
        <v>1E-3</v>
      </c>
      <c r="G849" s="85">
        <f t="shared" si="108"/>
        <v>4.1887902047863909E-9</v>
      </c>
      <c r="H849" s="85">
        <v>14950</v>
      </c>
      <c r="I849" s="85">
        <f t="shared" si="109"/>
        <v>6.2622413561556539E-5</v>
      </c>
      <c r="J849" s="87">
        <v>1</v>
      </c>
      <c r="K849" s="88">
        <f t="shared" si="110"/>
        <v>15968.723387146691</v>
      </c>
    </row>
    <row r="850" spans="1:11" hidden="1" x14ac:dyDescent="0.25">
      <c r="A850" t="str">
        <f t="shared" si="105"/>
        <v>316Ø0,5</v>
      </c>
      <c r="B850" s="81">
        <v>316</v>
      </c>
      <c r="D850" s="86">
        <v>0.5</v>
      </c>
      <c r="E850" s="85">
        <f t="shared" si="106"/>
        <v>5.0000000000000001E-4</v>
      </c>
      <c r="F850" s="85">
        <f t="shared" si="107"/>
        <v>2.5000000000000001E-4</v>
      </c>
      <c r="G850" s="85">
        <f t="shared" si="108"/>
        <v>6.5449846949787358E-11</v>
      </c>
      <c r="H850" s="85">
        <v>7950</v>
      </c>
      <c r="I850" s="85">
        <f t="shared" si="109"/>
        <v>5.2032628325080949E-7</v>
      </c>
      <c r="J850" s="87">
        <v>1</v>
      </c>
      <c r="K850" s="88">
        <f t="shared" si="110"/>
        <v>1921871.0109210003</v>
      </c>
    </row>
    <row r="851" spans="1:11" hidden="1" x14ac:dyDescent="0.25">
      <c r="A851" t="str">
        <f t="shared" si="105"/>
        <v>SiCØ4</v>
      </c>
      <c r="B851" s="81" t="s">
        <v>326</v>
      </c>
      <c r="D851" s="86">
        <v>4</v>
      </c>
      <c r="E851" s="85">
        <f t="shared" si="106"/>
        <v>4.0000000000000001E-3</v>
      </c>
      <c r="F851" s="85">
        <f t="shared" si="107"/>
        <v>2E-3</v>
      </c>
      <c r="G851" s="85">
        <f t="shared" si="108"/>
        <v>3.3510321638291127E-8</v>
      </c>
      <c r="H851" s="85">
        <v>3150</v>
      </c>
      <c r="I851" s="85">
        <f t="shared" si="109"/>
        <v>1.0555751316061705E-4</v>
      </c>
      <c r="J851" s="87">
        <v>1</v>
      </c>
      <c r="K851" s="88">
        <f t="shared" si="110"/>
        <v>9473.5085173747229</v>
      </c>
    </row>
    <row r="852" spans="1:11" hidden="1" x14ac:dyDescent="0.25">
      <c r="A852" t="str">
        <f t="shared" si="105"/>
        <v>PA6.6Ø1,5</v>
      </c>
      <c r="B852" s="81" t="s">
        <v>244</v>
      </c>
      <c r="D852" s="86">
        <v>1.5</v>
      </c>
      <c r="E852" s="85">
        <f t="shared" si="106"/>
        <v>1.5E-3</v>
      </c>
      <c r="F852" s="85">
        <f t="shared" si="107"/>
        <v>7.5000000000000002E-4</v>
      </c>
      <c r="G852" s="85">
        <f t="shared" si="108"/>
        <v>1.7671458676442585E-9</v>
      </c>
      <c r="H852" s="85">
        <v>1110</v>
      </c>
      <c r="I852" s="85">
        <f t="shared" si="109"/>
        <v>1.961531913085127E-6</v>
      </c>
      <c r="J852" s="87">
        <v>1</v>
      </c>
      <c r="K852" s="88">
        <f t="shared" si="110"/>
        <v>509805.62351758266</v>
      </c>
    </row>
    <row r="853" spans="1:11" hidden="1" x14ac:dyDescent="0.25">
      <c r="A853" t="str">
        <f t="shared" si="105"/>
        <v>420CØ2,25</v>
      </c>
      <c r="B853" s="81" t="s">
        <v>295</v>
      </c>
      <c r="D853" s="86">
        <v>2.25</v>
      </c>
      <c r="E853" s="85">
        <f t="shared" si="106"/>
        <v>2.2499999999999998E-3</v>
      </c>
      <c r="F853" s="85">
        <f t="shared" si="107"/>
        <v>1.1249999999999999E-3</v>
      </c>
      <c r="G853" s="85">
        <f t="shared" si="108"/>
        <v>5.964117303299371E-9</v>
      </c>
      <c r="H853" s="88">
        <v>7700</v>
      </c>
      <c r="I853" s="85">
        <f t="shared" si="109"/>
        <v>4.5923703235405157E-5</v>
      </c>
      <c r="J853" s="87">
        <v>1</v>
      </c>
      <c r="K853" s="88">
        <f t="shared" si="110"/>
        <v>21775.247411429224</v>
      </c>
    </row>
    <row r="854" spans="1:11" hidden="1" x14ac:dyDescent="0.25">
      <c r="A854" t="str">
        <f t="shared" si="105"/>
        <v>52100Ø0,5</v>
      </c>
      <c r="B854" s="81">
        <v>52100</v>
      </c>
      <c r="D854" s="86">
        <v>0.5</v>
      </c>
      <c r="E854" s="85">
        <f t="shared" si="106"/>
        <v>5.0000000000000001E-4</v>
      </c>
      <c r="F854" s="85">
        <f t="shared" si="107"/>
        <v>2.5000000000000001E-4</v>
      </c>
      <c r="G854" s="85">
        <f t="shared" si="108"/>
        <v>6.5449846949787358E-11</v>
      </c>
      <c r="H854" s="85">
        <v>7800</v>
      </c>
      <c r="I854" s="85">
        <f t="shared" si="109"/>
        <v>5.1050880620834141E-7</v>
      </c>
      <c r="J854" s="87">
        <v>1</v>
      </c>
      <c r="K854" s="88">
        <f t="shared" si="110"/>
        <v>1958830.0688233273</v>
      </c>
    </row>
    <row r="855" spans="1:11" hidden="1" x14ac:dyDescent="0.25">
      <c r="A855" t="str">
        <f t="shared" si="105"/>
        <v>52100Ø4,06875</v>
      </c>
      <c r="B855" s="81">
        <v>52100</v>
      </c>
      <c r="C855" s="101" t="s">
        <v>338</v>
      </c>
      <c r="D855" s="86">
        <f>5/32*25.4+0.1</f>
        <v>4.0687499999999996</v>
      </c>
      <c r="E855" s="85">
        <f t="shared" si="106"/>
        <v>4.0687499999999995E-3</v>
      </c>
      <c r="F855" s="85">
        <f t="shared" si="107"/>
        <v>2.0343749999999997E-3</v>
      </c>
      <c r="G855" s="85">
        <f t="shared" si="108"/>
        <v>3.5268065609854689E-8</v>
      </c>
      <c r="H855" s="85">
        <v>7800</v>
      </c>
      <c r="I855" s="85">
        <f t="shared" si="109"/>
        <v>2.7509091175686659E-4</v>
      </c>
      <c r="J855" s="87">
        <v>1</v>
      </c>
      <c r="K855" s="88">
        <f t="shared" si="110"/>
        <v>3635.1618947114812</v>
      </c>
    </row>
    <row r="856" spans="1:11" hidden="1" x14ac:dyDescent="0.25">
      <c r="A856" t="str">
        <f t="shared" si="105"/>
        <v>440CØ1</v>
      </c>
      <c r="B856" s="81" t="s">
        <v>314</v>
      </c>
      <c r="D856" s="86">
        <v>1</v>
      </c>
      <c r="E856" s="85">
        <f t="shared" si="106"/>
        <v>1E-3</v>
      </c>
      <c r="F856" s="85">
        <f t="shared" si="107"/>
        <v>5.0000000000000001E-4</v>
      </c>
      <c r="G856" s="85">
        <f t="shared" si="108"/>
        <v>5.2359877559829886E-10</v>
      </c>
      <c r="H856" s="85">
        <v>7700</v>
      </c>
      <c r="I856" s="85">
        <f t="shared" si="109"/>
        <v>4.0317105721069012E-6</v>
      </c>
      <c r="J856" s="87">
        <v>1</v>
      </c>
      <c r="K856" s="88">
        <f t="shared" si="110"/>
        <v>248033.67754581093</v>
      </c>
    </row>
    <row r="857" spans="1:11" hidden="1" x14ac:dyDescent="0.25">
      <c r="A857" t="str">
        <f t="shared" si="105"/>
        <v>440CØ1</v>
      </c>
      <c r="B857" s="81" t="s">
        <v>314</v>
      </c>
      <c r="D857" s="86">
        <v>1</v>
      </c>
      <c r="E857" s="85">
        <f t="shared" si="106"/>
        <v>1E-3</v>
      </c>
      <c r="F857" s="85">
        <f t="shared" si="107"/>
        <v>5.0000000000000001E-4</v>
      </c>
      <c r="G857" s="85">
        <f t="shared" si="108"/>
        <v>5.2359877559829886E-10</v>
      </c>
      <c r="H857" s="85">
        <v>7700</v>
      </c>
      <c r="I857" s="85">
        <f t="shared" si="109"/>
        <v>4.0317105721069012E-6</v>
      </c>
      <c r="J857" s="87">
        <v>1</v>
      </c>
      <c r="K857" s="88">
        <f t="shared" si="110"/>
        <v>248033.67754581093</v>
      </c>
    </row>
    <row r="858" spans="1:11" hidden="1" x14ac:dyDescent="0.25">
      <c r="A858" t="str">
        <f t="shared" si="105"/>
        <v>VESCØ1</v>
      </c>
      <c r="B858" s="81" t="s">
        <v>210</v>
      </c>
      <c r="D858" s="86">
        <v>1</v>
      </c>
      <c r="E858" s="85">
        <f t="shared" si="106"/>
        <v>1E-3</v>
      </c>
      <c r="F858" s="85">
        <f t="shared" si="107"/>
        <v>5.0000000000000001E-4</v>
      </c>
      <c r="G858" s="85">
        <f t="shared" si="108"/>
        <v>5.2359877559829886E-10</v>
      </c>
      <c r="H858" s="85">
        <v>2500</v>
      </c>
      <c r="I858" s="85">
        <f t="shared" si="109"/>
        <v>1.3089969389957471E-6</v>
      </c>
      <c r="J858" s="87">
        <v>1</v>
      </c>
      <c r="K858" s="88">
        <f t="shared" si="110"/>
        <v>763943.72684109758</v>
      </c>
    </row>
    <row r="859" spans="1:11" hidden="1" x14ac:dyDescent="0.25">
      <c r="A859" t="str">
        <f t="shared" si="105"/>
        <v>1010Ø7,9375</v>
      </c>
      <c r="B859" s="81">
        <v>1010</v>
      </c>
      <c r="C859" s="101" t="s">
        <v>252</v>
      </c>
      <c r="D859" s="86">
        <f>5/16*25.4</f>
        <v>7.9375</v>
      </c>
      <c r="E859" s="85">
        <f t="shared" si="106"/>
        <v>7.9375000000000001E-3</v>
      </c>
      <c r="F859" s="85">
        <f t="shared" si="107"/>
        <v>3.9687500000000001E-3</v>
      </c>
      <c r="G859" s="85">
        <f t="shared" si="108"/>
        <v>2.6184834735262947E-7</v>
      </c>
      <c r="H859" s="85">
        <v>7820</v>
      </c>
      <c r="I859" s="85">
        <f t="shared" si="109"/>
        <v>2.0476540762975623E-3</v>
      </c>
      <c r="J859" s="87">
        <v>1</v>
      </c>
      <c r="K859" s="88">
        <f t="shared" si="110"/>
        <v>488.36373857059698</v>
      </c>
    </row>
    <row r="860" spans="1:11" hidden="1" x14ac:dyDescent="0.25">
      <c r="A860" t="str">
        <f t="shared" si="105"/>
        <v>1010Ø9,525</v>
      </c>
      <c r="B860" s="81">
        <v>1010</v>
      </c>
      <c r="C860" s="101" t="s">
        <v>254</v>
      </c>
      <c r="D860" s="86">
        <f>3/8*25.4</f>
        <v>9.5249999999999986</v>
      </c>
      <c r="E860" s="85">
        <f t="shared" si="106"/>
        <v>9.5249999999999987E-3</v>
      </c>
      <c r="F860" s="85">
        <f t="shared" si="107"/>
        <v>4.7624999999999994E-3</v>
      </c>
      <c r="G860" s="85">
        <f t="shared" si="108"/>
        <v>4.5247394422534347E-7</v>
      </c>
      <c r="H860" s="85">
        <v>7820</v>
      </c>
      <c r="I860" s="85">
        <f t="shared" si="109"/>
        <v>3.538346243842186E-3</v>
      </c>
      <c r="J860" s="87">
        <v>1</v>
      </c>
      <c r="K860" s="88">
        <f t="shared" si="110"/>
        <v>282.61790426539193</v>
      </c>
    </row>
    <row r="861" spans="1:11" hidden="1" x14ac:dyDescent="0.25">
      <c r="A861" t="str">
        <f t="shared" si="105"/>
        <v>440CØ3</v>
      </c>
      <c r="B861" s="81" t="s">
        <v>314</v>
      </c>
      <c r="D861" s="86">
        <v>3</v>
      </c>
      <c r="E861" s="85">
        <f t="shared" si="106"/>
        <v>3.0000000000000001E-3</v>
      </c>
      <c r="F861" s="85">
        <f t="shared" si="107"/>
        <v>1.5E-3</v>
      </c>
      <c r="G861" s="85">
        <f t="shared" si="108"/>
        <v>1.4137166941154068E-8</v>
      </c>
      <c r="H861" s="85">
        <v>7700</v>
      </c>
      <c r="I861" s="85">
        <f t="shared" si="109"/>
        <v>1.0885618544688632E-4</v>
      </c>
      <c r="J861" s="87">
        <v>1</v>
      </c>
      <c r="K861" s="88">
        <f t="shared" si="110"/>
        <v>9186.4325016967014</v>
      </c>
    </row>
    <row r="862" spans="1:11" x14ac:dyDescent="0.25">
      <c r="A862" t="str">
        <f t="shared" si="105"/>
        <v>1085Ø3,89875</v>
      </c>
      <c r="B862" s="81">
        <v>1085</v>
      </c>
      <c r="C862" s="101" t="s">
        <v>339</v>
      </c>
      <c r="D862" s="86">
        <f>5/32*25.4-0.07</f>
        <v>3.8987500000000002</v>
      </c>
      <c r="E862" s="85">
        <f t="shared" si="106"/>
        <v>3.8987500000000003E-3</v>
      </c>
      <c r="F862" s="85">
        <f t="shared" si="107"/>
        <v>1.9493750000000002E-3</v>
      </c>
      <c r="G862" s="85">
        <f t="shared" si="108"/>
        <v>3.1029500575569767E-8</v>
      </c>
      <c r="H862" s="85">
        <v>7850</v>
      </c>
      <c r="I862" s="85">
        <f t="shared" si="109"/>
        <v>2.4358157951822267E-4</v>
      </c>
      <c r="J862" s="87">
        <v>1</v>
      </c>
      <c r="K862" s="88">
        <f t="shared" si="110"/>
        <v>4105.400753118889</v>
      </c>
    </row>
    <row r="863" spans="1:11" hidden="1" x14ac:dyDescent="0.25">
      <c r="A863" t="str">
        <f t="shared" si="105"/>
        <v>AlluminioØ0,2</v>
      </c>
      <c r="B863" s="81" t="s">
        <v>296</v>
      </c>
      <c r="D863" s="86">
        <v>0.2</v>
      </c>
      <c r="E863" s="85">
        <f t="shared" si="106"/>
        <v>2.0000000000000001E-4</v>
      </c>
      <c r="F863" s="85">
        <f t="shared" si="107"/>
        <v>1E-4</v>
      </c>
      <c r="G863" s="85">
        <f t="shared" si="108"/>
        <v>4.188790204786391E-12</v>
      </c>
      <c r="H863" s="88">
        <v>2710</v>
      </c>
      <c r="I863" s="85">
        <f t="shared" si="109"/>
        <v>1.135162145497112E-8</v>
      </c>
      <c r="J863" s="87">
        <v>1</v>
      </c>
      <c r="K863" s="88">
        <f t="shared" si="110"/>
        <v>88093141.932783395</v>
      </c>
    </row>
    <row r="864" spans="1:11" hidden="1" x14ac:dyDescent="0.25">
      <c r="A864" t="str">
        <f t="shared" si="105"/>
        <v>AlluminioØ0,3</v>
      </c>
      <c r="B864" s="81" t="s">
        <v>296</v>
      </c>
      <c r="D864" s="86">
        <v>0.3</v>
      </c>
      <c r="E864" s="85">
        <f t="shared" si="106"/>
        <v>2.9999999999999997E-4</v>
      </c>
      <c r="F864" s="85">
        <f t="shared" si="107"/>
        <v>1.4999999999999999E-4</v>
      </c>
      <c r="G864" s="85">
        <f t="shared" si="108"/>
        <v>1.4137166941154065E-11</v>
      </c>
      <c r="H864" s="88">
        <v>2710</v>
      </c>
      <c r="I864" s="85">
        <f t="shared" si="109"/>
        <v>3.8311722410527518E-8</v>
      </c>
      <c r="J864" s="87">
        <v>1</v>
      </c>
      <c r="K864" s="88">
        <f t="shared" si="110"/>
        <v>26101671.683787681</v>
      </c>
    </row>
    <row r="865" spans="1:11" hidden="1" x14ac:dyDescent="0.25">
      <c r="A865" t="str">
        <f t="shared" si="105"/>
        <v>AlluminioØ0,4</v>
      </c>
      <c r="B865" s="81" t="s">
        <v>296</v>
      </c>
      <c r="D865" s="86">
        <v>0.4</v>
      </c>
      <c r="E865" s="85">
        <f t="shared" si="106"/>
        <v>4.0000000000000002E-4</v>
      </c>
      <c r="F865" s="85">
        <f t="shared" si="107"/>
        <v>2.0000000000000001E-4</v>
      </c>
      <c r="G865" s="85">
        <f t="shared" si="108"/>
        <v>3.3510321638291128E-11</v>
      </c>
      <c r="H865" s="88">
        <v>2710</v>
      </c>
      <c r="I865" s="85">
        <f t="shared" si="109"/>
        <v>9.0812971639768956E-8</v>
      </c>
      <c r="J865" s="87">
        <v>1</v>
      </c>
      <c r="K865" s="88">
        <f t="shared" si="110"/>
        <v>11011642.741597924</v>
      </c>
    </row>
    <row r="866" spans="1:11" hidden="1" x14ac:dyDescent="0.25">
      <c r="A866" t="str">
        <f t="shared" si="105"/>
        <v>SiliconeØ1,2</v>
      </c>
      <c r="B866" s="81" t="s">
        <v>315</v>
      </c>
      <c r="D866" s="86">
        <v>1.2</v>
      </c>
      <c r="E866" s="85">
        <f t="shared" si="106"/>
        <v>1.1999999999999999E-3</v>
      </c>
      <c r="F866" s="85">
        <f t="shared" si="107"/>
        <v>5.9999999999999995E-4</v>
      </c>
      <c r="G866" s="85">
        <f t="shared" si="108"/>
        <v>9.0477868423386013E-10</v>
      </c>
      <c r="H866" s="88">
        <v>1200</v>
      </c>
      <c r="I866" s="85">
        <f t="shared" si="109"/>
        <v>1.0857344210806321E-6</v>
      </c>
      <c r="J866" s="87">
        <v>1</v>
      </c>
      <c r="K866" s="88">
        <f t="shared" si="110"/>
        <v>921035.55030032061</v>
      </c>
    </row>
    <row r="867" spans="1:11" hidden="1" x14ac:dyDescent="0.25">
      <c r="A867" t="str">
        <f t="shared" si="105"/>
        <v>SiliconeØ1,5</v>
      </c>
      <c r="B867" s="81" t="s">
        <v>315</v>
      </c>
      <c r="D867" s="86">
        <v>1.5</v>
      </c>
      <c r="E867" s="85">
        <f t="shared" si="106"/>
        <v>1.5E-3</v>
      </c>
      <c r="F867" s="85">
        <f t="shared" si="107"/>
        <v>7.5000000000000002E-4</v>
      </c>
      <c r="G867" s="85">
        <f t="shared" si="108"/>
        <v>1.7671458676442585E-9</v>
      </c>
      <c r="H867" s="88">
        <v>1200</v>
      </c>
      <c r="I867" s="85">
        <f t="shared" si="109"/>
        <v>2.1205750411731103E-6</v>
      </c>
      <c r="J867" s="87">
        <v>1</v>
      </c>
      <c r="K867" s="88">
        <f t="shared" si="110"/>
        <v>471570.20175376401</v>
      </c>
    </row>
    <row r="868" spans="1:11" hidden="1" x14ac:dyDescent="0.25">
      <c r="A868" t="str">
        <f t="shared" si="105"/>
        <v>52100Ø4,06875</v>
      </c>
      <c r="B868" s="81">
        <v>52100</v>
      </c>
      <c r="C868" s="101" t="s">
        <v>338</v>
      </c>
      <c r="D868" s="86">
        <f>5/32*25.4+0.1</f>
        <v>4.0687499999999996</v>
      </c>
      <c r="E868" s="85">
        <f t="shared" si="106"/>
        <v>4.0687499999999995E-3</v>
      </c>
      <c r="F868" s="85">
        <f t="shared" si="107"/>
        <v>2.0343749999999997E-3</v>
      </c>
      <c r="G868" s="85">
        <f t="shared" si="108"/>
        <v>3.5268065609854689E-8</v>
      </c>
      <c r="H868" s="85">
        <v>7800</v>
      </c>
      <c r="I868" s="85">
        <f t="shared" si="109"/>
        <v>2.7509091175686659E-4</v>
      </c>
      <c r="J868" s="87">
        <v>1</v>
      </c>
      <c r="K868" s="88">
        <f t="shared" si="110"/>
        <v>3635.1618947114812</v>
      </c>
    </row>
    <row r="869" spans="1:11" hidden="1" x14ac:dyDescent="0.25">
      <c r="A869" t="str">
        <f t="shared" si="105"/>
        <v>420CØ1</v>
      </c>
      <c r="B869" s="81" t="s">
        <v>295</v>
      </c>
      <c r="D869" s="86">
        <v>1</v>
      </c>
      <c r="E869" s="85">
        <f t="shared" si="106"/>
        <v>1E-3</v>
      </c>
      <c r="F869" s="85">
        <f t="shared" si="107"/>
        <v>5.0000000000000001E-4</v>
      </c>
      <c r="G869" s="85">
        <f t="shared" si="108"/>
        <v>5.2359877559829886E-10</v>
      </c>
      <c r="H869" s="85">
        <v>7700</v>
      </c>
      <c r="I869" s="85">
        <f t="shared" si="109"/>
        <v>4.0317105721069012E-6</v>
      </c>
      <c r="J869" s="87">
        <v>1</v>
      </c>
      <c r="K869" s="88">
        <f t="shared" si="110"/>
        <v>248033.67754581093</v>
      </c>
    </row>
    <row r="870" spans="1:11" hidden="1" x14ac:dyDescent="0.25">
      <c r="A870" t="str">
        <f t="shared" si="105"/>
        <v>AlluminioØ3,18</v>
      </c>
      <c r="B870" s="81" t="s">
        <v>296</v>
      </c>
      <c r="D870" s="86">
        <v>3.18</v>
      </c>
      <c r="E870" s="85">
        <f t="shared" si="106"/>
        <v>3.1800000000000001E-3</v>
      </c>
      <c r="F870" s="85">
        <f t="shared" si="107"/>
        <v>1.5900000000000001E-3</v>
      </c>
      <c r="G870" s="85">
        <f t="shared" si="108"/>
        <v>1.6837592021585557E-8</v>
      </c>
      <c r="H870" s="88">
        <v>2710</v>
      </c>
      <c r="I870" s="85">
        <f t="shared" si="109"/>
        <v>4.5629874378496859E-5</v>
      </c>
      <c r="J870" s="87">
        <v>1</v>
      </c>
      <c r="K870" s="88">
        <f t="shared" si="110"/>
        <v>21915.466865086339</v>
      </c>
    </row>
    <row r="871" spans="1:11" hidden="1" x14ac:dyDescent="0.25">
      <c r="A871" t="str">
        <f t="shared" si="105"/>
        <v>316Ø0,8</v>
      </c>
      <c r="B871" s="81">
        <v>316</v>
      </c>
      <c r="D871" s="86">
        <v>0.8</v>
      </c>
      <c r="E871" s="85">
        <f t="shared" si="106"/>
        <v>8.0000000000000004E-4</v>
      </c>
      <c r="F871" s="85">
        <f t="shared" si="107"/>
        <v>4.0000000000000002E-4</v>
      </c>
      <c r="G871" s="85">
        <f t="shared" si="108"/>
        <v>2.6808257310632903E-10</v>
      </c>
      <c r="H871" s="85">
        <v>7950</v>
      </c>
      <c r="I871" s="85">
        <f t="shared" si="109"/>
        <v>2.1312564561953159E-6</v>
      </c>
      <c r="J871" s="87">
        <v>1</v>
      </c>
      <c r="K871" s="88">
        <f t="shared" si="110"/>
        <v>469206.78977563482</v>
      </c>
    </row>
    <row r="872" spans="1:11" hidden="1" x14ac:dyDescent="0.25">
      <c r="A872" t="str">
        <f t="shared" si="105"/>
        <v>52100Ø2</v>
      </c>
      <c r="B872" s="81">
        <v>52100</v>
      </c>
      <c r="D872" s="86">
        <v>2</v>
      </c>
      <c r="E872" s="85">
        <f t="shared" si="106"/>
        <v>2E-3</v>
      </c>
      <c r="F872" s="85">
        <f t="shared" si="107"/>
        <v>1E-3</v>
      </c>
      <c r="G872" s="85">
        <f t="shared" si="108"/>
        <v>4.1887902047863909E-9</v>
      </c>
      <c r="H872" s="85">
        <v>7800</v>
      </c>
      <c r="I872" s="85">
        <f t="shared" si="109"/>
        <v>3.267256359733385E-5</v>
      </c>
      <c r="J872" s="87">
        <v>1</v>
      </c>
      <c r="K872" s="88">
        <f t="shared" si="110"/>
        <v>30606.719825364489</v>
      </c>
    </row>
    <row r="873" spans="1:11" hidden="1" x14ac:dyDescent="0.25">
      <c r="A873" t="str">
        <f t="shared" si="105"/>
        <v>WC-CoØ1,5</v>
      </c>
      <c r="B873" s="81" t="s">
        <v>297</v>
      </c>
      <c r="D873" s="86">
        <v>1.5</v>
      </c>
      <c r="E873" s="85">
        <f t="shared" si="106"/>
        <v>1.5E-3</v>
      </c>
      <c r="F873" s="85">
        <f t="shared" si="107"/>
        <v>7.5000000000000002E-4</v>
      </c>
      <c r="G873" s="85">
        <f t="shared" si="108"/>
        <v>1.7671458676442585E-9</v>
      </c>
      <c r="H873" s="85">
        <v>14950</v>
      </c>
      <c r="I873" s="85">
        <f t="shared" si="109"/>
        <v>2.6418830721281664E-5</v>
      </c>
      <c r="J873" s="87">
        <v>1</v>
      </c>
      <c r="K873" s="88">
        <f t="shared" si="110"/>
        <v>37851.788769532897</v>
      </c>
    </row>
    <row r="874" spans="1:11" hidden="1" x14ac:dyDescent="0.25">
      <c r="A874" t="str">
        <f t="shared" si="105"/>
        <v>420CØ2,6</v>
      </c>
      <c r="B874" s="81" t="s">
        <v>295</v>
      </c>
      <c r="D874" s="86">
        <v>2.6</v>
      </c>
      <c r="E874" s="85">
        <f t="shared" si="106"/>
        <v>2.5999999999999999E-3</v>
      </c>
      <c r="F874" s="85">
        <f t="shared" si="107"/>
        <v>1.2999999999999999E-3</v>
      </c>
      <c r="G874" s="85">
        <f t="shared" si="108"/>
        <v>9.2027720799156989E-9</v>
      </c>
      <c r="H874" s="85">
        <v>7700</v>
      </c>
      <c r="I874" s="85">
        <f t="shared" si="109"/>
        <v>7.0861345015350882E-5</v>
      </c>
      <c r="J874" s="87">
        <v>1</v>
      </c>
      <c r="K874" s="88">
        <f t="shared" si="110"/>
        <v>14112.066314622836</v>
      </c>
    </row>
    <row r="875" spans="1:11" hidden="1" x14ac:dyDescent="0.25">
      <c r="A875" t="str">
        <f t="shared" si="105"/>
        <v>52100Ø1,5875</v>
      </c>
      <c r="B875" s="81">
        <v>52100</v>
      </c>
      <c r="C875" s="101" t="s">
        <v>246</v>
      </c>
      <c r="D875" s="86">
        <f>1/16*25.4</f>
        <v>1.5874999999999999</v>
      </c>
      <c r="E875" s="85">
        <f t="shared" si="106"/>
        <v>1.5874999999999999E-3</v>
      </c>
      <c r="F875" s="85">
        <f t="shared" si="107"/>
        <v>7.9374999999999997E-4</v>
      </c>
      <c r="G875" s="85">
        <f t="shared" si="108"/>
        <v>2.0947867788210349E-9</v>
      </c>
      <c r="H875" s="85">
        <v>7800</v>
      </c>
      <c r="I875" s="85">
        <f t="shared" si="109"/>
        <v>1.6339336874804071E-5</v>
      </c>
      <c r="J875" s="87">
        <v>1</v>
      </c>
      <c r="K875" s="88">
        <f t="shared" si="110"/>
        <v>61201.994160610098</v>
      </c>
    </row>
    <row r="876" spans="1:11" hidden="1" x14ac:dyDescent="0.25">
      <c r="A876" t="str">
        <f t="shared" si="105"/>
        <v>316Ø0,5</v>
      </c>
      <c r="B876" s="81">
        <v>316</v>
      </c>
      <c r="D876" s="86">
        <v>0.5</v>
      </c>
      <c r="E876" s="85">
        <f t="shared" si="106"/>
        <v>5.0000000000000001E-4</v>
      </c>
      <c r="F876" s="85">
        <f t="shared" si="107"/>
        <v>2.5000000000000001E-4</v>
      </c>
      <c r="G876" s="85">
        <f t="shared" si="108"/>
        <v>6.5449846949787358E-11</v>
      </c>
      <c r="H876" s="85">
        <v>7950</v>
      </c>
      <c r="I876" s="85">
        <f t="shared" si="109"/>
        <v>5.2032628325080949E-7</v>
      </c>
      <c r="J876" s="87">
        <v>1</v>
      </c>
      <c r="K876" s="88">
        <f t="shared" si="110"/>
        <v>1921871.0109210003</v>
      </c>
    </row>
    <row r="877" spans="1:11" hidden="1" x14ac:dyDescent="0.25">
      <c r="A877" t="str">
        <f t="shared" si="105"/>
        <v>316Ø0,5</v>
      </c>
      <c r="B877" s="81">
        <v>316</v>
      </c>
      <c r="D877" s="86">
        <v>0.5</v>
      </c>
      <c r="E877" s="85">
        <f t="shared" si="106"/>
        <v>5.0000000000000001E-4</v>
      </c>
      <c r="F877" s="85">
        <f t="shared" si="107"/>
        <v>2.5000000000000001E-4</v>
      </c>
      <c r="G877" s="85">
        <f t="shared" si="108"/>
        <v>6.5449846949787358E-11</v>
      </c>
      <c r="H877" s="85">
        <v>7950</v>
      </c>
      <c r="I877" s="85">
        <f t="shared" si="109"/>
        <v>5.2032628325080949E-7</v>
      </c>
      <c r="J877" s="87">
        <v>1</v>
      </c>
      <c r="K877" s="88">
        <f t="shared" si="110"/>
        <v>1921871.0109210003</v>
      </c>
    </row>
    <row r="878" spans="1:11" hidden="1" x14ac:dyDescent="0.25">
      <c r="A878" t="str">
        <f t="shared" si="105"/>
        <v>304Ø0,6</v>
      </c>
      <c r="B878" s="81">
        <v>304</v>
      </c>
      <c r="D878" s="86">
        <v>0.6</v>
      </c>
      <c r="E878" s="85">
        <f t="shared" si="106"/>
        <v>5.9999999999999995E-4</v>
      </c>
      <c r="F878" s="85">
        <f t="shared" si="107"/>
        <v>2.9999999999999997E-4</v>
      </c>
      <c r="G878" s="85">
        <f t="shared" si="108"/>
        <v>1.1309733552923252E-10</v>
      </c>
      <c r="H878" s="85">
        <v>7950</v>
      </c>
      <c r="I878" s="85">
        <f t="shared" si="109"/>
        <v>8.9912381745739853E-7</v>
      </c>
      <c r="J878" s="87">
        <v>1</v>
      </c>
      <c r="K878" s="88">
        <f t="shared" si="110"/>
        <v>1112193.8720607643</v>
      </c>
    </row>
    <row r="879" spans="1:11" hidden="1" x14ac:dyDescent="0.25">
      <c r="A879" t="str">
        <f t="shared" si="105"/>
        <v>OttoneØ1</v>
      </c>
      <c r="B879" s="81" t="s">
        <v>216</v>
      </c>
      <c r="D879" s="86">
        <v>1</v>
      </c>
      <c r="E879" s="85">
        <f t="shared" si="106"/>
        <v>1E-3</v>
      </c>
      <c r="F879" s="85">
        <f t="shared" si="107"/>
        <v>5.0000000000000001E-4</v>
      </c>
      <c r="G879" s="85">
        <f t="shared" si="108"/>
        <v>5.2359877559829886E-10</v>
      </c>
      <c r="H879" s="85">
        <v>8490</v>
      </c>
      <c r="I879" s="85">
        <f t="shared" si="109"/>
        <v>4.4453536048295575E-6</v>
      </c>
      <c r="J879" s="87">
        <v>1</v>
      </c>
      <c r="K879" s="88">
        <f t="shared" si="110"/>
        <v>224953.98316875665</v>
      </c>
    </row>
    <row r="880" spans="1:11" hidden="1" x14ac:dyDescent="0.25">
      <c r="A880" t="str">
        <f t="shared" si="105"/>
        <v>RameØ1</v>
      </c>
      <c r="B880" s="81" t="s">
        <v>340</v>
      </c>
      <c r="D880" s="86">
        <v>1</v>
      </c>
      <c r="E880" s="85">
        <f t="shared" si="106"/>
        <v>1E-3</v>
      </c>
      <c r="F880" s="85">
        <f t="shared" si="107"/>
        <v>5.0000000000000001E-4</v>
      </c>
      <c r="G880" s="85">
        <f t="shared" si="108"/>
        <v>5.2359877559829886E-10</v>
      </c>
      <c r="H880" s="85">
        <v>8910</v>
      </c>
      <c r="I880" s="85">
        <f t="shared" si="109"/>
        <v>4.6652650905808429E-6</v>
      </c>
      <c r="J880" s="87">
        <v>1</v>
      </c>
      <c r="K880" s="88">
        <f t="shared" si="110"/>
        <v>214350.09170625635</v>
      </c>
    </row>
    <row r="881" spans="1:11" hidden="1" x14ac:dyDescent="0.25">
      <c r="A881" t="str">
        <f t="shared" si="105"/>
        <v>PPHØ3</v>
      </c>
      <c r="B881" s="81" t="s">
        <v>202</v>
      </c>
      <c r="D881" s="86">
        <v>3</v>
      </c>
      <c r="E881" s="85">
        <f t="shared" si="106"/>
        <v>3.0000000000000001E-3</v>
      </c>
      <c r="F881" s="85">
        <f t="shared" si="107"/>
        <v>1.5E-3</v>
      </c>
      <c r="G881" s="85">
        <f t="shared" si="108"/>
        <v>1.4137166941154068E-8</v>
      </c>
      <c r="H881" s="85">
        <v>870</v>
      </c>
      <c r="I881" s="85">
        <f t="shared" si="109"/>
        <v>1.229933523880404E-5</v>
      </c>
      <c r="J881" s="87">
        <v>1</v>
      </c>
      <c r="K881" s="88">
        <f t="shared" si="110"/>
        <v>81305.207198924822</v>
      </c>
    </row>
    <row r="882" spans="1:11" hidden="1" x14ac:dyDescent="0.25">
      <c r="A882" t="str">
        <f t="shared" si="105"/>
        <v>420CØ0,7</v>
      </c>
      <c r="B882" s="81" t="s">
        <v>295</v>
      </c>
      <c r="D882" s="86">
        <v>0.7</v>
      </c>
      <c r="E882" s="85">
        <f t="shared" si="106"/>
        <v>6.9999999999999999E-4</v>
      </c>
      <c r="F882" s="85">
        <f t="shared" si="107"/>
        <v>3.5E-4</v>
      </c>
      <c r="G882" s="85">
        <f t="shared" si="108"/>
        <v>1.7959438003021649E-10</v>
      </c>
      <c r="H882" s="85">
        <v>7700</v>
      </c>
      <c r="I882" s="85">
        <f t="shared" si="109"/>
        <v>1.382876726232667E-6</v>
      </c>
      <c r="J882" s="87">
        <v>1</v>
      </c>
      <c r="K882" s="88">
        <f t="shared" si="110"/>
        <v>723130.2552356004</v>
      </c>
    </row>
    <row r="883" spans="1:11" hidden="1" x14ac:dyDescent="0.25">
      <c r="A883" t="str">
        <f t="shared" si="105"/>
        <v>Al2O3Ø1,5</v>
      </c>
      <c r="B883" s="81" t="s">
        <v>217</v>
      </c>
      <c r="D883" s="86">
        <v>1.5</v>
      </c>
      <c r="E883" s="85">
        <f t="shared" si="106"/>
        <v>1.5E-3</v>
      </c>
      <c r="F883" s="85">
        <f t="shared" si="107"/>
        <v>7.5000000000000002E-4</v>
      </c>
      <c r="G883" s="85">
        <f t="shared" si="108"/>
        <v>1.7671458676442585E-9</v>
      </c>
      <c r="H883" s="85">
        <v>3900</v>
      </c>
      <c r="I883" s="85">
        <f t="shared" si="109"/>
        <v>6.8918688838126086E-6</v>
      </c>
      <c r="J883" s="87">
        <v>1</v>
      </c>
      <c r="K883" s="88">
        <f t="shared" si="110"/>
        <v>145098.52361654275</v>
      </c>
    </row>
    <row r="884" spans="1:11" hidden="1" x14ac:dyDescent="0.25">
      <c r="A884" t="str">
        <f t="shared" si="105"/>
        <v>Al2O3Ø1,5</v>
      </c>
      <c r="B884" s="81" t="s">
        <v>217</v>
      </c>
      <c r="D884" s="86">
        <v>1.5</v>
      </c>
      <c r="E884" s="85">
        <f t="shared" si="106"/>
        <v>1.5E-3</v>
      </c>
      <c r="F884" s="85">
        <f t="shared" si="107"/>
        <v>7.5000000000000002E-4</v>
      </c>
      <c r="G884" s="85">
        <f t="shared" si="108"/>
        <v>1.7671458676442585E-9</v>
      </c>
      <c r="H884" s="85">
        <v>3900</v>
      </c>
      <c r="I884" s="85">
        <f t="shared" si="109"/>
        <v>6.8918688838126086E-6</v>
      </c>
      <c r="J884" s="87">
        <v>1</v>
      </c>
      <c r="K884" s="88">
        <f t="shared" si="110"/>
        <v>145098.52361654275</v>
      </c>
    </row>
    <row r="885" spans="1:11" hidden="1" x14ac:dyDescent="0.25">
      <c r="A885" t="str">
        <f t="shared" si="105"/>
        <v>316Ø1</v>
      </c>
      <c r="B885" s="81">
        <v>316</v>
      </c>
      <c r="D885" s="86">
        <v>1</v>
      </c>
      <c r="E885" s="85">
        <f t="shared" si="106"/>
        <v>1E-3</v>
      </c>
      <c r="F885" s="85">
        <f t="shared" si="107"/>
        <v>5.0000000000000001E-4</v>
      </c>
      <c r="G885" s="85">
        <f t="shared" si="108"/>
        <v>5.2359877559829886E-10</v>
      </c>
      <c r="H885" s="85">
        <v>7950</v>
      </c>
      <c r="I885" s="85">
        <f t="shared" si="109"/>
        <v>4.1626102660064759E-6</v>
      </c>
      <c r="J885" s="87">
        <v>1</v>
      </c>
      <c r="K885" s="88">
        <f t="shared" si="110"/>
        <v>240233.87636512503</v>
      </c>
    </row>
    <row r="886" spans="1:11" hidden="1" x14ac:dyDescent="0.25">
      <c r="A886" t="str">
        <f t="shared" si="105"/>
        <v>420CØ0,9</v>
      </c>
      <c r="B886" s="81" t="s">
        <v>295</v>
      </c>
      <c r="D886" s="86">
        <v>0.9</v>
      </c>
      <c r="E886" s="85">
        <f t="shared" si="106"/>
        <v>8.9999999999999998E-4</v>
      </c>
      <c r="F886" s="85">
        <f t="shared" si="107"/>
        <v>4.4999999999999999E-4</v>
      </c>
      <c r="G886" s="85">
        <f t="shared" si="108"/>
        <v>3.8170350741115976E-10</v>
      </c>
      <c r="H886" s="85">
        <v>7700</v>
      </c>
      <c r="I886" s="85">
        <f t="shared" si="109"/>
        <v>2.93911700706593E-6</v>
      </c>
      <c r="J886" s="87">
        <v>1</v>
      </c>
      <c r="K886" s="88">
        <f t="shared" si="110"/>
        <v>340238.2408035816</v>
      </c>
    </row>
    <row r="887" spans="1:11" hidden="1" x14ac:dyDescent="0.25">
      <c r="A887" t="str">
        <f t="shared" si="105"/>
        <v>420CØ0,9</v>
      </c>
      <c r="B887" s="81" t="s">
        <v>295</v>
      </c>
      <c r="D887" s="86">
        <v>0.9</v>
      </c>
      <c r="E887" s="85">
        <f t="shared" si="106"/>
        <v>8.9999999999999998E-4</v>
      </c>
      <c r="F887" s="85">
        <f t="shared" si="107"/>
        <v>4.4999999999999999E-4</v>
      </c>
      <c r="G887" s="85">
        <f t="shared" si="108"/>
        <v>3.8170350741115976E-10</v>
      </c>
      <c r="H887" s="85">
        <v>7700</v>
      </c>
      <c r="I887" s="85">
        <f t="shared" si="109"/>
        <v>2.93911700706593E-6</v>
      </c>
      <c r="J887" s="87">
        <v>1</v>
      </c>
      <c r="K887" s="88">
        <f t="shared" si="110"/>
        <v>340238.2408035816</v>
      </c>
    </row>
    <row r="888" spans="1:11" hidden="1" x14ac:dyDescent="0.25">
      <c r="A888" t="str">
        <f t="shared" si="105"/>
        <v>420CØ2,6</v>
      </c>
      <c r="B888" s="81" t="s">
        <v>295</v>
      </c>
      <c r="D888" s="86">
        <v>2.6</v>
      </c>
      <c r="E888" s="85">
        <f>D888/1000</f>
        <v>2.5999999999999999E-3</v>
      </c>
      <c r="F888" s="85">
        <f>E888/2</f>
        <v>1.2999999999999999E-3</v>
      </c>
      <c r="G888" s="85">
        <f>4/3*PI()*F888*F888*F888</f>
        <v>9.2027720799156989E-9</v>
      </c>
      <c r="H888" s="85">
        <v>7700</v>
      </c>
      <c r="I888" s="85">
        <f>H888*G888</f>
        <v>7.0861345015350882E-5</v>
      </c>
      <c r="J888" s="87">
        <v>1</v>
      </c>
      <c r="K888" s="88">
        <f>J888/I888</f>
        <v>14112.066314622836</v>
      </c>
    </row>
    <row r="889" spans="1:11" hidden="1" x14ac:dyDescent="0.25">
      <c r="A889" t="str">
        <f t="shared" si="105"/>
        <v>420CØ2,286</v>
      </c>
      <c r="B889" s="81" t="s">
        <v>295</v>
      </c>
      <c r="D889" s="86">
        <v>2.286</v>
      </c>
      <c r="E889" s="85">
        <f t="shared" ref="E889:E902" si="111">D889/1000</f>
        <v>2.2859999999999998E-3</v>
      </c>
      <c r="F889" s="85">
        <f t="shared" ref="F889:F902" si="112">E889/2</f>
        <v>1.1429999999999999E-3</v>
      </c>
      <c r="G889" s="85">
        <f t="shared" ref="G889:G902" si="113">4/3*PI()*F889*F889*F889</f>
        <v>6.2549998049711499E-9</v>
      </c>
      <c r="H889" s="85">
        <v>7700</v>
      </c>
      <c r="I889" s="85">
        <f t="shared" ref="I889:I946" si="114">H889*G889</f>
        <v>4.8163498498277853E-5</v>
      </c>
      <c r="J889" s="87">
        <v>1</v>
      </c>
      <c r="K889" s="88">
        <f t="shared" ref="K889:K946" si="115">J889/I889</f>
        <v>20762.611338039664</v>
      </c>
    </row>
    <row r="890" spans="1:11" hidden="1" x14ac:dyDescent="0.25">
      <c r="A890" t="str">
        <f t="shared" si="105"/>
        <v>420CØ0,5</v>
      </c>
      <c r="B890" s="81" t="s">
        <v>295</v>
      </c>
      <c r="D890" s="86">
        <v>0.5</v>
      </c>
      <c r="E890" s="85">
        <f t="shared" si="111"/>
        <v>5.0000000000000001E-4</v>
      </c>
      <c r="F890" s="85">
        <f t="shared" si="112"/>
        <v>2.5000000000000001E-4</v>
      </c>
      <c r="G890" s="85">
        <f t="shared" si="113"/>
        <v>6.5449846949787358E-11</v>
      </c>
      <c r="H890" s="85">
        <v>7700</v>
      </c>
      <c r="I890" s="85">
        <f t="shared" si="114"/>
        <v>5.0396382151336265E-7</v>
      </c>
      <c r="J890" s="87">
        <v>1</v>
      </c>
      <c r="K890" s="88">
        <f t="shared" si="115"/>
        <v>1984269.4203664875</v>
      </c>
    </row>
    <row r="891" spans="1:11" hidden="1" x14ac:dyDescent="0.25">
      <c r="A891" t="str">
        <f t="shared" si="105"/>
        <v>316Ø1</v>
      </c>
      <c r="B891" s="81">
        <v>316</v>
      </c>
      <c r="D891" s="86">
        <v>1</v>
      </c>
      <c r="E891" s="85">
        <f t="shared" si="111"/>
        <v>1E-3</v>
      </c>
      <c r="F891" s="85">
        <f t="shared" si="112"/>
        <v>5.0000000000000001E-4</v>
      </c>
      <c r="G891" s="85">
        <f t="shared" si="113"/>
        <v>5.2359877559829886E-10</v>
      </c>
      <c r="H891" s="85">
        <v>7950</v>
      </c>
      <c r="I891" s="85">
        <f t="shared" si="114"/>
        <v>4.1626102660064759E-6</v>
      </c>
      <c r="J891" s="87">
        <v>1</v>
      </c>
      <c r="K891" s="88">
        <f t="shared" si="115"/>
        <v>240233.87636512503</v>
      </c>
    </row>
    <row r="892" spans="1:11" hidden="1" x14ac:dyDescent="0.25">
      <c r="A892" t="str">
        <f t="shared" si="105"/>
        <v>420CØ1,5875</v>
      </c>
      <c r="B892" s="81" t="s">
        <v>295</v>
      </c>
      <c r="C892" s="101" t="s">
        <v>246</v>
      </c>
      <c r="D892" s="86">
        <f>1/16*25.4</f>
        <v>1.5874999999999999</v>
      </c>
      <c r="E892" s="85">
        <f t="shared" si="111"/>
        <v>1.5874999999999999E-3</v>
      </c>
      <c r="F892" s="85">
        <f t="shared" si="112"/>
        <v>7.9374999999999997E-4</v>
      </c>
      <c r="G892" s="85">
        <f t="shared" si="113"/>
        <v>2.0947867788210349E-9</v>
      </c>
      <c r="H892" s="85">
        <v>7700</v>
      </c>
      <c r="I892" s="85">
        <f t="shared" si="114"/>
        <v>1.6129858196921968E-5</v>
      </c>
      <c r="J892" s="87">
        <v>1</v>
      </c>
      <c r="K892" s="88">
        <f t="shared" si="115"/>
        <v>61996.825253605035</v>
      </c>
    </row>
    <row r="893" spans="1:11" hidden="1" x14ac:dyDescent="0.25">
      <c r="A893" t="str">
        <f t="shared" si="105"/>
        <v>WC-CoØ2,778125</v>
      </c>
      <c r="B893" s="81" t="s">
        <v>297</v>
      </c>
      <c r="C893" s="101" t="s">
        <v>247</v>
      </c>
      <c r="D893" s="86">
        <f>7/64*25.4</f>
        <v>2.7781249999999997</v>
      </c>
      <c r="E893" s="85">
        <f t="shared" si="111"/>
        <v>2.7781249999999998E-3</v>
      </c>
      <c r="F893" s="85">
        <f t="shared" si="112"/>
        <v>1.3890624999999999E-3</v>
      </c>
      <c r="G893" s="85">
        <f t="shared" si="113"/>
        <v>1.1226747892743984E-8</v>
      </c>
      <c r="H893" s="85">
        <v>14950</v>
      </c>
      <c r="I893" s="85">
        <f t="shared" si="114"/>
        <v>1.6783988099652256E-4</v>
      </c>
      <c r="J893" s="87">
        <v>1</v>
      </c>
      <c r="K893" s="88">
        <f t="shared" si="115"/>
        <v>5958.059515191856</v>
      </c>
    </row>
    <row r="894" spans="1:11" hidden="1" x14ac:dyDescent="0.25">
      <c r="A894" t="str">
        <f t="shared" si="105"/>
        <v>WC-CoØ2,38125</v>
      </c>
      <c r="B894" s="81" t="s">
        <v>297</v>
      </c>
      <c r="C894" s="101" t="s">
        <v>213</v>
      </c>
      <c r="D894" s="86">
        <f>3/32*25.4</f>
        <v>2.3812499999999996</v>
      </c>
      <c r="E894" s="85">
        <f t="shared" si="111"/>
        <v>2.3812499999999997E-3</v>
      </c>
      <c r="F894" s="85">
        <f t="shared" si="112"/>
        <v>1.1906249999999998E-3</v>
      </c>
      <c r="G894" s="85">
        <f t="shared" si="113"/>
        <v>7.0699053785209917E-9</v>
      </c>
      <c r="H894" s="85">
        <v>14950</v>
      </c>
      <c r="I894" s="85">
        <f t="shared" si="114"/>
        <v>1.0569508540888882E-4</v>
      </c>
      <c r="J894" s="87">
        <v>1</v>
      </c>
      <c r="K894" s="88">
        <f t="shared" si="115"/>
        <v>9461.1778412537369</v>
      </c>
    </row>
    <row r="895" spans="1:11" hidden="1" x14ac:dyDescent="0.25">
      <c r="A895" t="str">
        <f t="shared" si="105"/>
        <v>316Ø2</v>
      </c>
      <c r="B895" s="81">
        <v>316</v>
      </c>
      <c r="D895" s="86">
        <v>2</v>
      </c>
      <c r="E895" s="85">
        <f t="shared" si="111"/>
        <v>2E-3</v>
      </c>
      <c r="F895" s="85">
        <f t="shared" si="112"/>
        <v>1E-3</v>
      </c>
      <c r="G895" s="85">
        <f t="shared" si="113"/>
        <v>4.1887902047863909E-9</v>
      </c>
      <c r="H895" s="85">
        <v>7950</v>
      </c>
      <c r="I895" s="85">
        <f t="shared" si="114"/>
        <v>3.3300882128051807E-5</v>
      </c>
      <c r="J895" s="87">
        <v>1</v>
      </c>
      <c r="K895" s="88">
        <f t="shared" si="115"/>
        <v>30029.234545640629</v>
      </c>
    </row>
    <row r="896" spans="1:11" hidden="1" x14ac:dyDescent="0.25">
      <c r="A896" t="str">
        <f t="shared" si="105"/>
        <v>Si3N4Ø1</v>
      </c>
      <c r="B896" s="81" t="s">
        <v>207</v>
      </c>
      <c r="D896" s="86">
        <v>1</v>
      </c>
      <c r="E896" s="85">
        <f t="shared" si="111"/>
        <v>1E-3</v>
      </c>
      <c r="F896" s="85">
        <f t="shared" si="112"/>
        <v>5.0000000000000001E-4</v>
      </c>
      <c r="G896" s="85">
        <f t="shared" si="113"/>
        <v>5.2359877559829886E-10</v>
      </c>
      <c r="H896" s="85">
        <v>3260</v>
      </c>
      <c r="I896" s="85">
        <f t="shared" si="114"/>
        <v>1.7069320084504542E-6</v>
      </c>
      <c r="J896" s="87">
        <v>1</v>
      </c>
      <c r="K896" s="88">
        <f t="shared" si="115"/>
        <v>585846.41628918529</v>
      </c>
    </row>
    <row r="897" spans="1:11" hidden="1" x14ac:dyDescent="0.25">
      <c r="A897" t="str">
        <f t="shared" si="105"/>
        <v>52100Ø2,38125</v>
      </c>
      <c r="B897" s="81">
        <v>52100</v>
      </c>
      <c r="C897" s="101" t="s">
        <v>213</v>
      </c>
      <c r="D897" s="86">
        <f>3/32*25.4</f>
        <v>2.3812499999999996</v>
      </c>
      <c r="E897" s="85">
        <f t="shared" si="111"/>
        <v>2.3812499999999997E-3</v>
      </c>
      <c r="F897" s="85">
        <f t="shared" si="112"/>
        <v>1.1906249999999998E-3</v>
      </c>
      <c r="G897" s="85">
        <f t="shared" si="113"/>
        <v>7.0699053785209917E-9</v>
      </c>
      <c r="H897" s="85">
        <v>7800</v>
      </c>
      <c r="I897" s="85">
        <f t="shared" si="114"/>
        <v>5.5145261952463737E-5</v>
      </c>
      <c r="J897" s="87">
        <v>1</v>
      </c>
      <c r="K897" s="88">
        <f t="shared" si="115"/>
        <v>18133.924195736327</v>
      </c>
    </row>
    <row r="898" spans="1:11" hidden="1" x14ac:dyDescent="0.25">
      <c r="A898" t="str">
        <f t="shared" si="105"/>
        <v>Al2O3Ø7,5</v>
      </c>
      <c r="B898" s="81" t="s">
        <v>217</v>
      </c>
      <c r="D898" s="86">
        <v>7.5</v>
      </c>
      <c r="E898" s="85">
        <f t="shared" si="111"/>
        <v>7.4999999999999997E-3</v>
      </c>
      <c r="F898" s="85">
        <f t="shared" si="112"/>
        <v>3.7499999999999999E-3</v>
      </c>
      <c r="G898" s="85">
        <f t="shared" si="113"/>
        <v>2.208932334555323E-7</v>
      </c>
      <c r="H898" s="85">
        <v>3900</v>
      </c>
      <c r="I898" s="85">
        <f t="shared" si="114"/>
        <v>8.6148361047657599E-4</v>
      </c>
      <c r="J898" s="87">
        <v>1</v>
      </c>
      <c r="K898" s="88">
        <f t="shared" si="115"/>
        <v>1160.7881889323421</v>
      </c>
    </row>
    <row r="899" spans="1:11" hidden="1" x14ac:dyDescent="0.25">
      <c r="A899" t="str">
        <f t="shared" si="105"/>
        <v>Si3N4Ø3,175</v>
      </c>
      <c r="B899" s="81" t="s">
        <v>207</v>
      </c>
      <c r="C899" s="101" t="s">
        <v>214</v>
      </c>
      <c r="D899" s="86">
        <f>1/8*25.4</f>
        <v>3.1749999999999998</v>
      </c>
      <c r="E899" s="85">
        <f t="shared" si="111"/>
        <v>3.1749999999999999E-3</v>
      </c>
      <c r="F899" s="85">
        <f t="shared" si="112"/>
        <v>1.5874999999999999E-3</v>
      </c>
      <c r="G899" s="85">
        <f t="shared" si="113"/>
        <v>1.6758294230568279E-8</v>
      </c>
      <c r="H899" s="85">
        <v>3260</v>
      </c>
      <c r="I899" s="85">
        <f t="shared" si="114"/>
        <v>5.463203919165259E-5</v>
      </c>
      <c r="J899" s="87">
        <v>1</v>
      </c>
      <c r="K899" s="88">
        <f t="shared" si="115"/>
        <v>18304.277394660996</v>
      </c>
    </row>
    <row r="900" spans="1:11" x14ac:dyDescent="0.25">
      <c r="A900" t="str">
        <f t="shared" ref="A900:A963" si="116">CONCATENATE(B900,"Ø",D900)</f>
        <v>1085Ø3,26</v>
      </c>
      <c r="B900" s="81">
        <v>1085</v>
      </c>
      <c r="D900" s="86">
        <v>3.26</v>
      </c>
      <c r="E900" s="85">
        <f t="shared" si="111"/>
        <v>3.2599999999999999E-3</v>
      </c>
      <c r="F900" s="85">
        <f t="shared" si="112"/>
        <v>1.6299999999999999E-3</v>
      </c>
      <c r="G900" s="85">
        <f t="shared" si="113"/>
        <v>1.8140590613008046E-8</v>
      </c>
      <c r="H900" s="85">
        <v>7850</v>
      </c>
      <c r="I900" s="85">
        <f t="shared" si="114"/>
        <v>1.4240363631211315E-4</v>
      </c>
      <c r="J900" s="87">
        <v>1</v>
      </c>
      <c r="K900" s="88">
        <f t="shared" si="115"/>
        <v>7022.2925895533326</v>
      </c>
    </row>
    <row r="901" spans="1:11" hidden="1" x14ac:dyDescent="0.25">
      <c r="A901" t="str">
        <f t="shared" si="116"/>
        <v>52100Ø1</v>
      </c>
      <c r="B901" s="81">
        <v>52100</v>
      </c>
      <c r="D901" s="86">
        <v>1</v>
      </c>
      <c r="E901" s="85">
        <f t="shared" si="111"/>
        <v>1E-3</v>
      </c>
      <c r="F901" s="85">
        <f t="shared" si="112"/>
        <v>5.0000000000000001E-4</v>
      </c>
      <c r="G901" s="85">
        <f t="shared" si="113"/>
        <v>5.2359877559829886E-10</v>
      </c>
      <c r="H901" s="85">
        <v>7800</v>
      </c>
      <c r="I901" s="85">
        <f t="shared" si="114"/>
        <v>4.0840704496667312E-6</v>
      </c>
      <c r="J901" s="87">
        <v>1</v>
      </c>
      <c r="K901" s="88">
        <f t="shared" si="115"/>
        <v>244853.75860291591</v>
      </c>
    </row>
    <row r="902" spans="1:11" hidden="1" x14ac:dyDescent="0.25">
      <c r="A902" t="str">
        <f t="shared" si="116"/>
        <v>440CØ0,4</v>
      </c>
      <c r="B902" s="81" t="s">
        <v>314</v>
      </c>
      <c r="D902" s="86">
        <v>0.4</v>
      </c>
      <c r="E902" s="85">
        <f t="shared" si="111"/>
        <v>4.0000000000000002E-4</v>
      </c>
      <c r="F902" s="85">
        <f t="shared" si="112"/>
        <v>2.0000000000000001E-4</v>
      </c>
      <c r="G902" s="85">
        <f t="shared" si="113"/>
        <v>3.3510321638291128E-11</v>
      </c>
      <c r="H902" s="85">
        <v>7700</v>
      </c>
      <c r="I902" s="85">
        <f t="shared" si="114"/>
        <v>2.5802947661484168E-7</v>
      </c>
      <c r="J902" s="87">
        <v>1</v>
      </c>
      <c r="K902" s="88">
        <f t="shared" si="115"/>
        <v>3875526.2116532954</v>
      </c>
    </row>
    <row r="903" spans="1:11" hidden="1" x14ac:dyDescent="0.25">
      <c r="A903" t="str">
        <f t="shared" si="116"/>
        <v>420CØ3,275</v>
      </c>
      <c r="B903" s="81" t="s">
        <v>295</v>
      </c>
      <c r="D903" s="86">
        <v>3.2749999999999999</v>
      </c>
      <c r="E903" s="85">
        <f>D903/1000</f>
        <v>3.2749999999999997E-3</v>
      </c>
      <c r="F903" s="85">
        <f>E903/2</f>
        <v>1.6374999999999998E-3</v>
      </c>
      <c r="G903" s="85">
        <f>4/3*PI()*F903*F903*F903</f>
        <v>1.8392151484899296E-8</v>
      </c>
      <c r="H903" s="85">
        <v>7700</v>
      </c>
      <c r="I903" s="85">
        <f t="shared" si="114"/>
        <v>1.4161956643372458E-4</v>
      </c>
      <c r="J903" s="87">
        <v>1</v>
      </c>
      <c r="K903" s="88">
        <f t="shared" si="115"/>
        <v>7061.1711727558641</v>
      </c>
    </row>
    <row r="904" spans="1:11" hidden="1" x14ac:dyDescent="0.25">
      <c r="A904" t="str">
        <f t="shared" si="116"/>
        <v>Al2O3Ø7</v>
      </c>
      <c r="B904" s="81" t="s">
        <v>217</v>
      </c>
      <c r="D904" s="86">
        <v>7</v>
      </c>
      <c r="E904" s="85">
        <f>D904/1000</f>
        <v>7.0000000000000001E-3</v>
      </c>
      <c r="F904" s="85">
        <f>E904/2</f>
        <v>3.5000000000000001E-3</v>
      </c>
      <c r="G904" s="85">
        <f>4/3*PI()*F904*F904*F904</f>
        <v>1.7959438003021651E-7</v>
      </c>
      <c r="H904" s="85">
        <v>3900</v>
      </c>
      <c r="I904" s="85">
        <f t="shared" si="114"/>
        <v>7.0041808211784439E-4</v>
      </c>
      <c r="J904" s="87">
        <v>1</v>
      </c>
      <c r="K904" s="88">
        <f t="shared" si="115"/>
        <v>1427.7187090549032</v>
      </c>
    </row>
    <row r="905" spans="1:11" hidden="1" x14ac:dyDescent="0.25">
      <c r="A905" t="str">
        <f t="shared" si="116"/>
        <v>316Ø1,5</v>
      </c>
      <c r="B905" s="81">
        <v>316</v>
      </c>
      <c r="D905" s="86">
        <v>1.5</v>
      </c>
      <c r="E905" s="85">
        <f>D905/1000</f>
        <v>1.5E-3</v>
      </c>
      <c r="F905" s="85">
        <f>E905/2</f>
        <v>7.5000000000000002E-4</v>
      </c>
      <c r="G905" s="85">
        <f>4/3*PI()*F905*F905*F905</f>
        <v>1.7671458676442585E-9</v>
      </c>
      <c r="H905" s="85">
        <v>7950</v>
      </c>
      <c r="I905" s="85">
        <f t="shared" si="114"/>
        <v>1.4048809647771855E-5</v>
      </c>
      <c r="J905" s="87">
        <v>1</v>
      </c>
      <c r="K905" s="88">
        <f t="shared" si="115"/>
        <v>71180.407811888916</v>
      </c>
    </row>
    <row r="906" spans="1:11" hidden="1" x14ac:dyDescent="0.25">
      <c r="A906" t="str">
        <f t="shared" si="116"/>
        <v>316Ø1,5</v>
      </c>
      <c r="B906" s="81">
        <v>316</v>
      </c>
      <c r="D906" s="86">
        <v>1.5</v>
      </c>
      <c r="E906" s="85">
        <f>D906/1000</f>
        <v>1.5E-3</v>
      </c>
      <c r="F906" s="85">
        <f>E906/2</f>
        <v>7.5000000000000002E-4</v>
      </c>
      <c r="G906" s="85">
        <f>4/3*PI()*F906*F906*F906</f>
        <v>1.7671458676442585E-9</v>
      </c>
      <c r="H906" s="85">
        <v>7950</v>
      </c>
      <c r="I906" s="85">
        <f t="shared" si="114"/>
        <v>1.4048809647771855E-5</v>
      </c>
      <c r="J906" s="87">
        <v>1</v>
      </c>
      <c r="K906" s="88">
        <f t="shared" si="115"/>
        <v>71180.407811888916</v>
      </c>
    </row>
    <row r="907" spans="1:11" hidden="1" x14ac:dyDescent="0.25">
      <c r="A907" t="str">
        <f t="shared" si="116"/>
        <v>316Ø1</v>
      </c>
      <c r="B907" s="81">
        <v>316</v>
      </c>
      <c r="D907" s="86">
        <v>1</v>
      </c>
      <c r="E907" s="85">
        <f t="shared" ref="E907:E946" si="117">D907/1000</f>
        <v>1E-3</v>
      </c>
      <c r="F907" s="85">
        <f t="shared" ref="F907:F946" si="118">E907/2</f>
        <v>5.0000000000000001E-4</v>
      </c>
      <c r="G907" s="85">
        <f t="shared" ref="G907:G946" si="119">4/3*PI()*F907*F907*F907</f>
        <v>5.2359877559829886E-10</v>
      </c>
      <c r="H907" s="85">
        <v>7950</v>
      </c>
      <c r="I907" s="85">
        <f t="shared" si="114"/>
        <v>4.1626102660064759E-6</v>
      </c>
      <c r="J907" s="87">
        <v>1</v>
      </c>
      <c r="K907" s="88">
        <f t="shared" si="115"/>
        <v>240233.87636512503</v>
      </c>
    </row>
    <row r="908" spans="1:11" hidden="1" x14ac:dyDescent="0.25">
      <c r="A908" t="str">
        <f t="shared" si="116"/>
        <v>316Ø1</v>
      </c>
      <c r="B908" s="81">
        <v>316</v>
      </c>
      <c r="D908" s="86">
        <v>1</v>
      </c>
      <c r="E908" s="85">
        <f t="shared" si="117"/>
        <v>1E-3</v>
      </c>
      <c r="F908" s="85">
        <f t="shared" si="118"/>
        <v>5.0000000000000001E-4</v>
      </c>
      <c r="G908" s="85">
        <f t="shared" si="119"/>
        <v>5.2359877559829886E-10</v>
      </c>
      <c r="H908" s="85">
        <v>7950</v>
      </c>
      <c r="I908" s="85">
        <f t="shared" si="114"/>
        <v>4.1626102660064759E-6</v>
      </c>
      <c r="J908" s="87">
        <v>1</v>
      </c>
      <c r="K908" s="88">
        <f t="shared" si="115"/>
        <v>240233.87636512503</v>
      </c>
    </row>
    <row r="909" spans="1:11" hidden="1" x14ac:dyDescent="0.25">
      <c r="A909" t="str">
        <f t="shared" si="116"/>
        <v>WC-CoØ0,4</v>
      </c>
      <c r="B909" s="81" t="s">
        <v>297</v>
      </c>
      <c r="D909" s="86">
        <v>0.4</v>
      </c>
      <c r="E909" s="85">
        <f t="shared" si="117"/>
        <v>4.0000000000000002E-4</v>
      </c>
      <c r="F909" s="85">
        <f t="shared" si="118"/>
        <v>2.0000000000000001E-4</v>
      </c>
      <c r="G909" s="85">
        <f t="shared" si="119"/>
        <v>3.3510321638291128E-11</v>
      </c>
      <c r="H909" s="85">
        <v>14950</v>
      </c>
      <c r="I909" s="85">
        <f t="shared" si="114"/>
        <v>5.0097930849245242E-7</v>
      </c>
      <c r="J909" s="87">
        <v>1</v>
      </c>
      <c r="K909" s="88">
        <f t="shared" si="115"/>
        <v>1996090.4233933359</v>
      </c>
    </row>
    <row r="910" spans="1:11" hidden="1" x14ac:dyDescent="0.25">
      <c r="A910" t="str">
        <f t="shared" si="116"/>
        <v>420CØ1</v>
      </c>
      <c r="B910" s="81" t="s">
        <v>295</v>
      </c>
      <c r="D910" s="86">
        <v>1</v>
      </c>
      <c r="E910" s="85">
        <f t="shared" si="117"/>
        <v>1E-3</v>
      </c>
      <c r="F910" s="85">
        <f t="shared" si="118"/>
        <v>5.0000000000000001E-4</v>
      </c>
      <c r="G910" s="85">
        <f t="shared" si="119"/>
        <v>5.2359877559829886E-10</v>
      </c>
      <c r="H910" s="85">
        <v>7700</v>
      </c>
      <c r="I910" s="85">
        <f t="shared" si="114"/>
        <v>4.0317105721069012E-6</v>
      </c>
      <c r="J910" s="87">
        <v>1</v>
      </c>
      <c r="K910" s="88">
        <f t="shared" si="115"/>
        <v>248033.67754581093</v>
      </c>
    </row>
    <row r="911" spans="1:11" hidden="1" x14ac:dyDescent="0.25">
      <c r="A911" t="str">
        <f t="shared" si="116"/>
        <v>WC-CoØ1,984375</v>
      </c>
      <c r="B911" s="81" t="s">
        <v>297</v>
      </c>
      <c r="C911" s="101" t="s">
        <v>327</v>
      </c>
      <c r="D911" s="86">
        <f>5/64*25.4</f>
        <v>1.984375</v>
      </c>
      <c r="E911" s="85">
        <f t="shared" si="117"/>
        <v>1.984375E-3</v>
      </c>
      <c r="F911" s="85">
        <f t="shared" si="118"/>
        <v>9.9218750000000001E-4</v>
      </c>
      <c r="G911" s="85">
        <f t="shared" si="119"/>
        <v>4.0913804273848354E-9</v>
      </c>
      <c r="H911" s="85">
        <v>14950</v>
      </c>
      <c r="I911" s="85">
        <f t="shared" si="114"/>
        <v>6.1166137389403284E-5</v>
      </c>
      <c r="J911" s="87">
        <v>1</v>
      </c>
      <c r="K911" s="88">
        <f t="shared" si="115"/>
        <v>16348.915309686448</v>
      </c>
    </row>
    <row r="912" spans="1:11" hidden="1" x14ac:dyDescent="0.25">
      <c r="A912" t="str">
        <f t="shared" si="116"/>
        <v>NBRØ2,38125</v>
      </c>
      <c r="B912" s="81" t="s">
        <v>341</v>
      </c>
      <c r="C912" s="101" t="s">
        <v>213</v>
      </c>
      <c r="D912" s="86">
        <f>3/32*25.4</f>
        <v>2.3812499999999996</v>
      </c>
      <c r="E912" s="85">
        <f t="shared" si="117"/>
        <v>2.3812499999999997E-3</v>
      </c>
      <c r="F912" s="85">
        <f t="shared" si="118"/>
        <v>1.1906249999999998E-3</v>
      </c>
      <c r="G912" s="85">
        <f t="shared" si="119"/>
        <v>7.0699053785209917E-9</v>
      </c>
      <c r="H912" s="85">
        <v>1200</v>
      </c>
      <c r="I912" s="85">
        <f t="shared" si="114"/>
        <v>8.4838864542251892E-6</v>
      </c>
      <c r="J912" s="87">
        <v>1</v>
      </c>
      <c r="K912" s="88">
        <f t="shared" si="115"/>
        <v>117870.50727228614</v>
      </c>
    </row>
    <row r="913" spans="1:11" hidden="1" x14ac:dyDescent="0.25">
      <c r="A913" t="str">
        <f t="shared" si="116"/>
        <v>52100Ø10,075</v>
      </c>
      <c r="B913" s="81">
        <v>52100</v>
      </c>
      <c r="D913" s="86">
        <v>10.074999999999999</v>
      </c>
      <c r="E913" s="85">
        <f t="shared" si="117"/>
        <v>1.0074999999999999E-2</v>
      </c>
      <c r="F913" s="85">
        <f t="shared" si="118"/>
        <v>5.0374999999999994E-3</v>
      </c>
      <c r="G913" s="85">
        <f t="shared" si="119"/>
        <v>5.35468326235876E-7</v>
      </c>
      <c r="H913" s="85">
        <v>7800</v>
      </c>
      <c r="I913" s="85">
        <f t="shared" si="114"/>
        <v>4.1766529446398328E-3</v>
      </c>
      <c r="J913" s="87">
        <v>1</v>
      </c>
      <c r="K913" s="94">
        <f t="shared" si="115"/>
        <v>239.42616570126188</v>
      </c>
    </row>
    <row r="914" spans="1:11" hidden="1" x14ac:dyDescent="0.25">
      <c r="A914" t="str">
        <f t="shared" si="116"/>
        <v>1010Ø100</v>
      </c>
      <c r="B914" s="81">
        <v>1010</v>
      </c>
      <c r="D914" s="86">
        <v>100</v>
      </c>
      <c r="E914" s="85">
        <f t="shared" si="117"/>
        <v>0.1</v>
      </c>
      <c r="F914" s="85">
        <f t="shared" si="118"/>
        <v>0.05</v>
      </c>
      <c r="G914" s="85">
        <f t="shared" si="119"/>
        <v>5.2359877559829892E-4</v>
      </c>
      <c r="H914" s="85">
        <v>7820</v>
      </c>
      <c r="I914" s="85">
        <f t="shared" si="114"/>
        <v>4.0945424251786973</v>
      </c>
      <c r="J914" s="87">
        <v>1</v>
      </c>
      <c r="K914" s="88">
        <f t="shared" si="115"/>
        <v>0.24422753415636111</v>
      </c>
    </row>
    <row r="915" spans="1:11" hidden="1" x14ac:dyDescent="0.25">
      <c r="A915" t="str">
        <f t="shared" si="116"/>
        <v>52100Ø1,2</v>
      </c>
      <c r="B915" s="81">
        <v>52100</v>
      </c>
      <c r="D915" s="86">
        <v>1.2</v>
      </c>
      <c r="E915" s="85">
        <f t="shared" si="117"/>
        <v>1.1999999999999999E-3</v>
      </c>
      <c r="F915" s="85">
        <f t="shared" si="118"/>
        <v>5.9999999999999995E-4</v>
      </c>
      <c r="G915" s="85">
        <f t="shared" si="119"/>
        <v>9.0477868423386013E-10</v>
      </c>
      <c r="H915" s="85">
        <v>7800</v>
      </c>
      <c r="I915" s="85">
        <f t="shared" si="114"/>
        <v>7.0572737370241092E-6</v>
      </c>
      <c r="J915" s="87">
        <v>1</v>
      </c>
      <c r="K915" s="88">
        <f t="shared" si="115"/>
        <v>141697.77696928009</v>
      </c>
    </row>
    <row r="916" spans="1:11" hidden="1" x14ac:dyDescent="0.25">
      <c r="A916" t="str">
        <f t="shared" si="116"/>
        <v>52100Ø1,3</v>
      </c>
      <c r="B916" s="81">
        <v>52100</v>
      </c>
      <c r="D916" s="86">
        <v>1.3</v>
      </c>
      <c r="E916" s="85">
        <f t="shared" si="117"/>
        <v>1.2999999999999999E-3</v>
      </c>
      <c r="F916" s="85">
        <f t="shared" si="118"/>
        <v>6.4999999999999997E-4</v>
      </c>
      <c r="G916" s="85">
        <f t="shared" si="119"/>
        <v>1.1503465099894624E-9</v>
      </c>
      <c r="H916" s="85">
        <v>7800</v>
      </c>
      <c r="I916" s="85">
        <f t="shared" si="114"/>
        <v>8.9727027779178067E-6</v>
      </c>
      <c r="J916" s="87">
        <v>1</v>
      </c>
      <c r="K916" s="88">
        <f t="shared" si="115"/>
        <v>111449.1391000983</v>
      </c>
    </row>
    <row r="917" spans="1:11" hidden="1" x14ac:dyDescent="0.25">
      <c r="A917" t="str">
        <f t="shared" si="116"/>
        <v>52100Ø6,746875</v>
      </c>
      <c r="B917" s="81">
        <v>52100</v>
      </c>
      <c r="C917" s="101" t="s">
        <v>325</v>
      </c>
      <c r="D917" s="86">
        <f>17/64*25.4</f>
        <v>6.7468749999999993</v>
      </c>
      <c r="E917" s="85">
        <f t="shared" si="117"/>
        <v>6.7468749999999994E-3</v>
      </c>
      <c r="F917" s="85">
        <f t="shared" si="118"/>
        <v>3.3734374999999997E-3</v>
      </c>
      <c r="G917" s="85">
        <f t="shared" si="119"/>
        <v>1.6080761631793353E-7</v>
      </c>
      <c r="H917" s="85">
        <v>7800</v>
      </c>
      <c r="I917" s="85">
        <f t="shared" si="114"/>
        <v>1.2542994072798814E-3</v>
      </c>
      <c r="J917" s="87">
        <v>1</v>
      </c>
      <c r="K917" s="88">
        <f t="shared" si="115"/>
        <v>797.25781117017016</v>
      </c>
    </row>
    <row r="918" spans="1:11" hidden="1" x14ac:dyDescent="0.25">
      <c r="A918" t="str">
        <f t="shared" si="116"/>
        <v>52100Ø0,79375</v>
      </c>
      <c r="B918" s="81">
        <v>52100</v>
      </c>
      <c r="C918" s="101" t="s">
        <v>241</v>
      </c>
      <c r="D918" s="86">
        <f>1/32*25.4</f>
        <v>0.79374999999999996</v>
      </c>
      <c r="E918" s="85">
        <f t="shared" si="117"/>
        <v>7.9374999999999997E-4</v>
      </c>
      <c r="F918" s="85">
        <f t="shared" si="118"/>
        <v>3.9687499999999998E-4</v>
      </c>
      <c r="G918" s="85">
        <f t="shared" si="119"/>
        <v>2.6184834735262936E-10</v>
      </c>
      <c r="H918" s="85">
        <v>7800</v>
      </c>
      <c r="I918" s="85">
        <f t="shared" si="114"/>
        <v>2.0424171093505088E-6</v>
      </c>
      <c r="J918" s="87">
        <v>1</v>
      </c>
      <c r="K918" s="88">
        <f t="shared" si="115"/>
        <v>489615.95328488079</v>
      </c>
    </row>
    <row r="919" spans="1:11" hidden="1" x14ac:dyDescent="0.25">
      <c r="A919" t="str">
        <f t="shared" si="116"/>
        <v>WC-CoØ1,5875</v>
      </c>
      <c r="B919" s="81" t="s">
        <v>297</v>
      </c>
      <c r="C919" s="101" t="s">
        <v>246</v>
      </c>
      <c r="D919" s="86">
        <f>1/16*25.4</f>
        <v>1.5874999999999999</v>
      </c>
      <c r="E919" s="85">
        <f t="shared" si="117"/>
        <v>1.5874999999999999E-3</v>
      </c>
      <c r="F919" s="85">
        <f t="shared" si="118"/>
        <v>7.9374999999999997E-4</v>
      </c>
      <c r="G919" s="85">
        <f t="shared" si="119"/>
        <v>2.0947867788210349E-9</v>
      </c>
      <c r="H919" s="85">
        <v>14950</v>
      </c>
      <c r="I919" s="85">
        <f t="shared" si="114"/>
        <v>3.1317062343374473E-5</v>
      </c>
      <c r="J919" s="87">
        <v>1</v>
      </c>
      <c r="K919" s="88">
        <f t="shared" si="115"/>
        <v>31931.475214231352</v>
      </c>
    </row>
    <row r="920" spans="1:11" hidden="1" x14ac:dyDescent="0.25">
      <c r="A920" t="str">
        <f t="shared" si="116"/>
        <v>WC-CoØ1</v>
      </c>
      <c r="B920" s="81" t="s">
        <v>297</v>
      </c>
      <c r="D920" s="86">
        <v>1</v>
      </c>
      <c r="E920" s="85">
        <f t="shared" si="117"/>
        <v>1E-3</v>
      </c>
      <c r="F920" s="85">
        <f t="shared" si="118"/>
        <v>5.0000000000000001E-4</v>
      </c>
      <c r="G920" s="85">
        <f t="shared" si="119"/>
        <v>5.2359877559829886E-10</v>
      </c>
      <c r="H920" s="85">
        <v>14950</v>
      </c>
      <c r="I920" s="85">
        <f t="shared" si="114"/>
        <v>7.8278016951945674E-6</v>
      </c>
      <c r="J920" s="87">
        <v>1</v>
      </c>
      <c r="K920" s="88">
        <f t="shared" si="115"/>
        <v>127749.78709717352</v>
      </c>
    </row>
    <row r="921" spans="1:11" hidden="1" x14ac:dyDescent="0.25">
      <c r="A921" t="str">
        <f t="shared" si="116"/>
        <v>Al2O3Ø1,5</v>
      </c>
      <c r="B921" s="81" t="s">
        <v>217</v>
      </c>
      <c r="D921" s="86">
        <v>1.5</v>
      </c>
      <c r="E921" s="85">
        <f t="shared" si="117"/>
        <v>1.5E-3</v>
      </c>
      <c r="F921" s="85">
        <f t="shared" si="118"/>
        <v>7.5000000000000002E-4</v>
      </c>
      <c r="G921" s="85">
        <f t="shared" si="119"/>
        <v>1.7671458676442585E-9</v>
      </c>
      <c r="H921" s="85">
        <v>3900</v>
      </c>
      <c r="I921" s="85">
        <f t="shared" si="114"/>
        <v>6.8918688838126086E-6</v>
      </c>
      <c r="J921" s="87">
        <v>1</v>
      </c>
      <c r="K921" s="88">
        <f t="shared" si="115"/>
        <v>145098.52361654275</v>
      </c>
    </row>
    <row r="922" spans="1:11" hidden="1" x14ac:dyDescent="0.25">
      <c r="A922" t="str">
        <f t="shared" si="116"/>
        <v>440CØ1</v>
      </c>
      <c r="B922" s="81" t="s">
        <v>314</v>
      </c>
      <c r="D922" s="86">
        <v>1</v>
      </c>
      <c r="E922" s="85">
        <f t="shared" si="117"/>
        <v>1E-3</v>
      </c>
      <c r="F922" s="85">
        <f t="shared" si="118"/>
        <v>5.0000000000000001E-4</v>
      </c>
      <c r="G922" s="85">
        <f t="shared" si="119"/>
        <v>5.2359877559829886E-10</v>
      </c>
      <c r="H922" s="88">
        <v>7582.1414888978943</v>
      </c>
      <c r="I922" s="85">
        <f t="shared" si="114"/>
        <v>3.9700000000000001E-6</v>
      </c>
      <c r="J922" s="87">
        <v>1</v>
      </c>
      <c r="K922" s="88">
        <f t="shared" si="115"/>
        <v>251889.16876574306</v>
      </c>
    </row>
    <row r="923" spans="1:11" hidden="1" x14ac:dyDescent="0.25">
      <c r="A923" t="str">
        <f t="shared" si="116"/>
        <v>52100Ø0,5</v>
      </c>
      <c r="B923" s="81">
        <v>52100</v>
      </c>
      <c r="D923" s="86">
        <v>0.5</v>
      </c>
      <c r="E923" s="85">
        <f t="shared" si="117"/>
        <v>5.0000000000000001E-4</v>
      </c>
      <c r="F923" s="85">
        <f t="shared" si="118"/>
        <v>2.5000000000000001E-4</v>
      </c>
      <c r="G923" s="85">
        <f t="shared" si="119"/>
        <v>6.5449846949787358E-11</v>
      </c>
      <c r="H923" s="85">
        <v>7800</v>
      </c>
      <c r="I923" s="85">
        <f t="shared" si="114"/>
        <v>5.1050880620834141E-7</v>
      </c>
      <c r="J923" s="87">
        <v>1</v>
      </c>
      <c r="K923" s="88">
        <f t="shared" si="115"/>
        <v>1958830.0688233273</v>
      </c>
    </row>
    <row r="924" spans="1:11" hidden="1" x14ac:dyDescent="0.25">
      <c r="A924" t="str">
        <f t="shared" si="116"/>
        <v>52100Ø0,5</v>
      </c>
      <c r="B924" s="81">
        <v>52100</v>
      </c>
      <c r="D924" s="86">
        <v>0.5</v>
      </c>
      <c r="E924" s="85">
        <f t="shared" si="117"/>
        <v>5.0000000000000001E-4</v>
      </c>
      <c r="F924" s="85">
        <f t="shared" si="118"/>
        <v>2.5000000000000001E-4</v>
      </c>
      <c r="G924" s="85">
        <f t="shared" si="119"/>
        <v>6.5449846949787358E-11</v>
      </c>
      <c r="H924" s="85">
        <v>7800</v>
      </c>
      <c r="I924" s="85">
        <f t="shared" si="114"/>
        <v>5.1050880620834141E-7</v>
      </c>
      <c r="J924" s="87">
        <v>1</v>
      </c>
      <c r="K924" s="88">
        <f t="shared" si="115"/>
        <v>1958830.0688233273</v>
      </c>
    </row>
    <row r="925" spans="1:11" hidden="1" x14ac:dyDescent="0.25">
      <c r="A925" t="str">
        <f t="shared" si="116"/>
        <v>52100Ø0,5</v>
      </c>
      <c r="B925" s="81">
        <v>52100</v>
      </c>
      <c r="D925" s="86">
        <v>0.5</v>
      </c>
      <c r="E925" s="85">
        <f t="shared" si="117"/>
        <v>5.0000000000000001E-4</v>
      </c>
      <c r="F925" s="85">
        <f t="shared" si="118"/>
        <v>2.5000000000000001E-4</v>
      </c>
      <c r="G925" s="85">
        <f t="shared" si="119"/>
        <v>6.5449846949787358E-11</v>
      </c>
      <c r="H925" s="85">
        <v>7800</v>
      </c>
      <c r="I925" s="85">
        <f t="shared" si="114"/>
        <v>5.1050880620834141E-7</v>
      </c>
      <c r="J925" s="87">
        <v>1</v>
      </c>
      <c r="K925" s="88">
        <f t="shared" si="115"/>
        <v>1958830.0688233273</v>
      </c>
    </row>
    <row r="926" spans="1:11" hidden="1" x14ac:dyDescent="0.25">
      <c r="A926" t="str">
        <f t="shared" si="116"/>
        <v>52100Ø0,5</v>
      </c>
      <c r="B926" s="81">
        <v>52100</v>
      </c>
      <c r="D926" s="86">
        <v>0.5</v>
      </c>
      <c r="E926" s="85">
        <f t="shared" si="117"/>
        <v>5.0000000000000001E-4</v>
      </c>
      <c r="F926" s="85">
        <f t="shared" si="118"/>
        <v>2.5000000000000001E-4</v>
      </c>
      <c r="G926" s="85">
        <f t="shared" si="119"/>
        <v>6.5449846949787358E-11</v>
      </c>
      <c r="H926" s="85">
        <v>7800</v>
      </c>
      <c r="I926" s="85">
        <f t="shared" si="114"/>
        <v>5.1050880620834141E-7</v>
      </c>
      <c r="J926" s="87">
        <v>1</v>
      </c>
      <c r="K926" s="88">
        <f t="shared" si="115"/>
        <v>1958830.0688233273</v>
      </c>
    </row>
    <row r="927" spans="1:11" hidden="1" x14ac:dyDescent="0.25">
      <c r="A927" t="str">
        <f t="shared" si="116"/>
        <v>52100Ø0,79375</v>
      </c>
      <c r="B927" s="81">
        <v>52100</v>
      </c>
      <c r="C927" s="101" t="s">
        <v>241</v>
      </c>
      <c r="D927" s="86">
        <f>1/32*25.4</f>
        <v>0.79374999999999996</v>
      </c>
      <c r="E927" s="85">
        <f t="shared" si="117"/>
        <v>7.9374999999999997E-4</v>
      </c>
      <c r="F927" s="85">
        <f t="shared" si="118"/>
        <v>3.9687499999999998E-4</v>
      </c>
      <c r="G927" s="85">
        <f t="shared" si="119"/>
        <v>2.6184834735262936E-10</v>
      </c>
      <c r="H927" s="85">
        <v>7800</v>
      </c>
      <c r="I927" s="85">
        <f t="shared" si="114"/>
        <v>2.0424171093505088E-6</v>
      </c>
      <c r="J927" s="87">
        <v>1</v>
      </c>
      <c r="K927" s="88">
        <f t="shared" si="115"/>
        <v>489615.95328488079</v>
      </c>
    </row>
    <row r="928" spans="1:11" hidden="1" x14ac:dyDescent="0.25">
      <c r="A928" t="str">
        <f t="shared" si="116"/>
        <v>C.P. TitaniumØ6</v>
      </c>
      <c r="B928" s="81" t="s">
        <v>342</v>
      </c>
      <c r="D928" s="86">
        <v>6</v>
      </c>
      <c r="E928" s="85">
        <f t="shared" si="117"/>
        <v>6.0000000000000001E-3</v>
      </c>
      <c r="F928" s="85">
        <f t="shared" si="118"/>
        <v>3.0000000000000001E-3</v>
      </c>
      <c r="G928" s="85">
        <f t="shared" si="119"/>
        <v>1.1309733552923255E-7</v>
      </c>
      <c r="H928" s="85">
        <v>4510</v>
      </c>
      <c r="I928" s="85">
        <f t="shared" si="114"/>
        <v>5.1006898323683876E-4</v>
      </c>
      <c r="J928" s="87">
        <v>1</v>
      </c>
      <c r="K928" s="88">
        <f t="shared" si="115"/>
        <v>1960.519131459662</v>
      </c>
    </row>
    <row r="929" spans="1:11" hidden="1" x14ac:dyDescent="0.25">
      <c r="A929" t="str">
        <f t="shared" si="116"/>
        <v>PTFEØ2</v>
      </c>
      <c r="B929" s="81" t="s">
        <v>307</v>
      </c>
      <c r="D929" s="86">
        <v>2</v>
      </c>
      <c r="E929" s="85">
        <f t="shared" si="117"/>
        <v>2E-3</v>
      </c>
      <c r="F929" s="85">
        <f t="shared" si="118"/>
        <v>1E-3</v>
      </c>
      <c r="G929" s="85">
        <f t="shared" si="119"/>
        <v>4.1887902047863909E-9</v>
      </c>
      <c r="H929" s="85">
        <v>2160</v>
      </c>
      <c r="I929" s="85">
        <f t="shared" si="114"/>
        <v>9.0477868423386043E-6</v>
      </c>
      <c r="J929" s="87">
        <v>1</v>
      </c>
      <c r="K929" s="88">
        <f t="shared" si="115"/>
        <v>110524.26603603843</v>
      </c>
    </row>
    <row r="930" spans="1:11" hidden="1" x14ac:dyDescent="0.25">
      <c r="A930" t="str">
        <f t="shared" si="116"/>
        <v>WC-CoØ2,778125</v>
      </c>
      <c r="B930" s="81" t="s">
        <v>297</v>
      </c>
      <c r="C930" s="101" t="s">
        <v>247</v>
      </c>
      <c r="D930" s="86">
        <f>7/64*25.4</f>
        <v>2.7781249999999997</v>
      </c>
      <c r="E930" s="85">
        <f t="shared" si="117"/>
        <v>2.7781249999999998E-3</v>
      </c>
      <c r="F930" s="85">
        <f t="shared" si="118"/>
        <v>1.3890624999999999E-3</v>
      </c>
      <c r="G930" s="85">
        <f t="shared" si="119"/>
        <v>1.1226747892743984E-8</v>
      </c>
      <c r="H930" s="85">
        <v>14950</v>
      </c>
      <c r="I930" s="85">
        <f t="shared" si="114"/>
        <v>1.6783988099652256E-4</v>
      </c>
      <c r="J930" s="87">
        <v>1</v>
      </c>
      <c r="K930" s="88">
        <f t="shared" si="115"/>
        <v>5958.059515191856</v>
      </c>
    </row>
    <row r="931" spans="1:11" hidden="1" x14ac:dyDescent="0.25">
      <c r="A931" t="str">
        <f t="shared" si="116"/>
        <v>WC-CoØ2,778125</v>
      </c>
      <c r="B931" s="81" t="s">
        <v>297</v>
      </c>
      <c r="C931" s="101" t="s">
        <v>247</v>
      </c>
      <c r="D931" s="86">
        <f>7/64*25.4</f>
        <v>2.7781249999999997</v>
      </c>
      <c r="E931" s="85">
        <f t="shared" si="117"/>
        <v>2.7781249999999998E-3</v>
      </c>
      <c r="F931" s="85">
        <f t="shared" si="118"/>
        <v>1.3890624999999999E-3</v>
      </c>
      <c r="G931" s="85">
        <f t="shared" si="119"/>
        <v>1.1226747892743984E-8</v>
      </c>
      <c r="H931" s="85">
        <v>14950</v>
      </c>
      <c r="I931" s="85">
        <f t="shared" si="114"/>
        <v>1.6783988099652256E-4</v>
      </c>
      <c r="J931" s="87">
        <v>1</v>
      </c>
      <c r="K931" s="88">
        <f t="shared" si="115"/>
        <v>5958.059515191856</v>
      </c>
    </row>
    <row r="932" spans="1:11" hidden="1" x14ac:dyDescent="0.25">
      <c r="A932" t="str">
        <f t="shared" si="116"/>
        <v>52100Ø0,79375</v>
      </c>
      <c r="B932" s="81">
        <v>52100</v>
      </c>
      <c r="C932" s="101" t="s">
        <v>241</v>
      </c>
      <c r="D932" s="86">
        <f>1/32*25.4</f>
        <v>0.79374999999999996</v>
      </c>
      <c r="E932" s="85">
        <f t="shared" si="117"/>
        <v>7.9374999999999997E-4</v>
      </c>
      <c r="F932" s="85">
        <f t="shared" si="118"/>
        <v>3.9687499999999998E-4</v>
      </c>
      <c r="G932" s="85">
        <f t="shared" si="119"/>
        <v>2.6184834735262936E-10</v>
      </c>
      <c r="H932" s="85">
        <v>7800</v>
      </c>
      <c r="I932" s="85">
        <f t="shared" si="114"/>
        <v>2.0424171093505088E-6</v>
      </c>
      <c r="J932" s="87">
        <v>1</v>
      </c>
      <c r="K932" s="88">
        <f t="shared" si="115"/>
        <v>489615.95328488079</v>
      </c>
    </row>
    <row r="933" spans="1:11" hidden="1" x14ac:dyDescent="0.25">
      <c r="A933" t="str">
        <f t="shared" si="116"/>
        <v>52100Ø1,5875</v>
      </c>
      <c r="B933" s="81">
        <v>52100</v>
      </c>
      <c r="C933" s="101" t="s">
        <v>246</v>
      </c>
      <c r="D933" s="86">
        <f>1/16*25.4</f>
        <v>1.5874999999999999</v>
      </c>
      <c r="E933" s="85">
        <f t="shared" si="117"/>
        <v>1.5874999999999999E-3</v>
      </c>
      <c r="F933" s="85">
        <f t="shared" si="118"/>
        <v>7.9374999999999997E-4</v>
      </c>
      <c r="G933" s="85">
        <f t="shared" si="119"/>
        <v>2.0947867788210349E-9</v>
      </c>
      <c r="H933" s="85">
        <v>7800</v>
      </c>
      <c r="I933" s="85">
        <f t="shared" si="114"/>
        <v>1.6339336874804071E-5</v>
      </c>
      <c r="J933" s="87">
        <v>1</v>
      </c>
      <c r="K933" s="88">
        <f t="shared" si="115"/>
        <v>61201.994160610098</v>
      </c>
    </row>
    <row r="934" spans="1:11" hidden="1" x14ac:dyDescent="0.25">
      <c r="A934" t="str">
        <f t="shared" si="116"/>
        <v>52100Ø4,06875</v>
      </c>
      <c r="B934" s="81">
        <v>52100</v>
      </c>
      <c r="C934" s="101" t="s">
        <v>338</v>
      </c>
      <c r="D934" s="86">
        <f>5/32*25.4+0.1</f>
        <v>4.0687499999999996</v>
      </c>
      <c r="E934" s="85">
        <f t="shared" si="117"/>
        <v>4.0687499999999995E-3</v>
      </c>
      <c r="F934" s="85">
        <f t="shared" si="118"/>
        <v>2.0343749999999997E-3</v>
      </c>
      <c r="G934" s="85">
        <f t="shared" si="119"/>
        <v>3.5268065609854689E-8</v>
      </c>
      <c r="H934" s="85">
        <v>7800</v>
      </c>
      <c r="I934" s="85">
        <f t="shared" si="114"/>
        <v>2.7509091175686659E-4</v>
      </c>
      <c r="J934" s="87">
        <v>1</v>
      </c>
      <c r="K934" s="88">
        <f t="shared" si="115"/>
        <v>3635.1618947114812</v>
      </c>
    </row>
    <row r="935" spans="1:11" hidden="1" x14ac:dyDescent="0.25">
      <c r="A935" t="str">
        <f t="shared" si="116"/>
        <v>440CØ1,984375</v>
      </c>
      <c r="B935" s="81" t="s">
        <v>314</v>
      </c>
      <c r="C935" s="101" t="s">
        <v>327</v>
      </c>
      <c r="D935" s="86">
        <f>5/64*25.4</f>
        <v>1.984375</v>
      </c>
      <c r="E935" s="85">
        <f t="shared" si="117"/>
        <v>1.984375E-3</v>
      </c>
      <c r="F935" s="85">
        <f t="shared" si="118"/>
        <v>9.9218750000000001E-4</v>
      </c>
      <c r="G935" s="85">
        <f t="shared" si="119"/>
        <v>4.0913804273848354E-9</v>
      </c>
      <c r="H935" s="85">
        <v>7700</v>
      </c>
      <c r="I935" s="85">
        <f t="shared" si="114"/>
        <v>3.1503629290863234E-5</v>
      </c>
      <c r="J935" s="87">
        <v>1</v>
      </c>
      <c r="K935" s="88">
        <f t="shared" si="115"/>
        <v>31742.374529845762</v>
      </c>
    </row>
    <row r="936" spans="1:11" hidden="1" x14ac:dyDescent="0.25">
      <c r="A936" t="str">
        <f t="shared" si="116"/>
        <v>52100Ø0,79375</v>
      </c>
      <c r="B936" s="81">
        <v>52100</v>
      </c>
      <c r="C936" s="101" t="s">
        <v>241</v>
      </c>
      <c r="D936" s="86">
        <f>1/32*25.4</f>
        <v>0.79374999999999996</v>
      </c>
      <c r="E936" s="85">
        <f t="shared" si="117"/>
        <v>7.9374999999999997E-4</v>
      </c>
      <c r="F936" s="85">
        <f t="shared" si="118"/>
        <v>3.9687499999999998E-4</v>
      </c>
      <c r="G936" s="85">
        <f t="shared" si="119"/>
        <v>2.6184834735262936E-10</v>
      </c>
      <c r="H936" s="85">
        <v>7800</v>
      </c>
      <c r="I936" s="85">
        <f t="shared" si="114"/>
        <v>2.0424171093505088E-6</v>
      </c>
      <c r="J936" s="87">
        <v>1</v>
      </c>
      <c r="K936" s="88">
        <f t="shared" si="115"/>
        <v>489615.95328488079</v>
      </c>
    </row>
    <row r="937" spans="1:11" hidden="1" x14ac:dyDescent="0.25">
      <c r="A937" t="str">
        <f t="shared" si="116"/>
        <v>WC-CoØ0,4</v>
      </c>
      <c r="B937" s="81" t="s">
        <v>297</v>
      </c>
      <c r="D937" s="86">
        <v>0.4</v>
      </c>
      <c r="E937" s="85">
        <f t="shared" si="117"/>
        <v>4.0000000000000002E-4</v>
      </c>
      <c r="F937" s="85">
        <f t="shared" si="118"/>
        <v>2.0000000000000001E-4</v>
      </c>
      <c r="G937" s="85">
        <f t="shared" si="119"/>
        <v>3.3510321638291128E-11</v>
      </c>
      <c r="H937" s="85">
        <v>14950</v>
      </c>
      <c r="I937" s="85">
        <f t="shared" si="114"/>
        <v>5.0097930849245242E-7</v>
      </c>
      <c r="J937" s="87">
        <v>1</v>
      </c>
      <c r="K937" s="88">
        <f t="shared" si="115"/>
        <v>1996090.4233933359</v>
      </c>
    </row>
    <row r="938" spans="1:11" hidden="1" x14ac:dyDescent="0.25">
      <c r="A938" t="str">
        <f t="shared" si="116"/>
        <v>420CØ1,984375</v>
      </c>
      <c r="B938" s="81" t="s">
        <v>295</v>
      </c>
      <c r="C938" s="101" t="s">
        <v>327</v>
      </c>
      <c r="D938" s="86">
        <f>5/64*25.4</f>
        <v>1.984375</v>
      </c>
      <c r="E938" s="85">
        <f t="shared" si="117"/>
        <v>1.984375E-3</v>
      </c>
      <c r="F938" s="85">
        <f t="shared" si="118"/>
        <v>9.9218750000000001E-4</v>
      </c>
      <c r="G938" s="85">
        <f t="shared" si="119"/>
        <v>4.0913804273848354E-9</v>
      </c>
      <c r="H938" s="85">
        <v>7700</v>
      </c>
      <c r="I938" s="85">
        <f t="shared" si="114"/>
        <v>3.1503629290863234E-5</v>
      </c>
      <c r="J938" s="87">
        <v>1</v>
      </c>
      <c r="K938" s="88">
        <f t="shared" si="115"/>
        <v>31742.374529845762</v>
      </c>
    </row>
    <row r="939" spans="1:11" hidden="1" x14ac:dyDescent="0.25">
      <c r="A939" t="str">
        <f t="shared" si="116"/>
        <v>52100Ø0,5</v>
      </c>
      <c r="B939" s="81">
        <v>52100</v>
      </c>
      <c r="D939" s="86">
        <v>0.5</v>
      </c>
      <c r="E939" s="85">
        <f t="shared" si="117"/>
        <v>5.0000000000000001E-4</v>
      </c>
      <c r="F939" s="85">
        <f t="shared" si="118"/>
        <v>2.5000000000000001E-4</v>
      </c>
      <c r="G939" s="85">
        <f t="shared" si="119"/>
        <v>6.5449846949787358E-11</v>
      </c>
      <c r="H939" s="85">
        <v>7800</v>
      </c>
      <c r="I939" s="85">
        <f t="shared" si="114"/>
        <v>5.1050880620834141E-7</v>
      </c>
      <c r="J939" s="87">
        <v>1</v>
      </c>
      <c r="K939" s="88">
        <f t="shared" si="115"/>
        <v>1958830.0688233273</v>
      </c>
    </row>
    <row r="940" spans="1:11" hidden="1" x14ac:dyDescent="0.25">
      <c r="A940" t="str">
        <f t="shared" si="116"/>
        <v>304Ø6,35</v>
      </c>
      <c r="B940" s="81">
        <v>304</v>
      </c>
      <c r="C940" s="101" t="s">
        <v>218</v>
      </c>
      <c r="D940" s="86">
        <f>1/4*25.4</f>
        <v>6.35</v>
      </c>
      <c r="E940" s="85">
        <f t="shared" si="117"/>
        <v>6.3499999999999997E-3</v>
      </c>
      <c r="F940" s="85">
        <f t="shared" si="118"/>
        <v>3.1749999999999999E-3</v>
      </c>
      <c r="G940" s="85">
        <f t="shared" si="119"/>
        <v>1.3406635384454623E-7</v>
      </c>
      <c r="H940" s="85">
        <v>7950</v>
      </c>
      <c r="I940" s="85">
        <f t="shared" si="114"/>
        <v>1.0658275130641425E-3</v>
      </c>
      <c r="J940" s="87">
        <v>1</v>
      </c>
      <c r="K940" s="88">
        <f t="shared" si="115"/>
        <v>938.23811802822081</v>
      </c>
    </row>
    <row r="941" spans="1:11" hidden="1" x14ac:dyDescent="0.25">
      <c r="A941" t="str">
        <f t="shared" si="116"/>
        <v>304Ø3,175</v>
      </c>
      <c r="B941" s="81">
        <v>304</v>
      </c>
      <c r="C941" s="101" t="s">
        <v>214</v>
      </c>
      <c r="D941" s="86">
        <f>1/8*25.4</f>
        <v>3.1749999999999998</v>
      </c>
      <c r="E941" s="85">
        <f t="shared" si="117"/>
        <v>3.1749999999999999E-3</v>
      </c>
      <c r="F941" s="85">
        <f t="shared" si="118"/>
        <v>1.5874999999999999E-3</v>
      </c>
      <c r="G941" s="85">
        <f t="shared" si="119"/>
        <v>1.6758294230568279E-8</v>
      </c>
      <c r="H941" s="85">
        <v>7950</v>
      </c>
      <c r="I941" s="85">
        <f t="shared" si="114"/>
        <v>1.3322843913301781E-4</v>
      </c>
      <c r="J941" s="87">
        <v>1</v>
      </c>
      <c r="K941" s="88">
        <f t="shared" si="115"/>
        <v>7505.9049442257665</v>
      </c>
    </row>
    <row r="942" spans="1:11" hidden="1" x14ac:dyDescent="0.25">
      <c r="A942" t="str">
        <f t="shared" si="116"/>
        <v>304Ø3,155</v>
      </c>
      <c r="B942" s="81">
        <v>304</v>
      </c>
      <c r="C942" s="101" t="s">
        <v>343</v>
      </c>
      <c r="D942" s="86">
        <f>1/8*25.4-0.02</f>
        <v>3.1549999999999998</v>
      </c>
      <c r="E942" s="85">
        <f t="shared" si="117"/>
        <v>3.1549999999999998E-3</v>
      </c>
      <c r="F942" s="85">
        <f t="shared" si="118"/>
        <v>1.5774999999999999E-3</v>
      </c>
      <c r="G942" s="85">
        <f t="shared" si="119"/>
        <v>1.6443592778677171E-8</v>
      </c>
      <c r="H942" s="85">
        <v>7950</v>
      </c>
      <c r="I942" s="85">
        <f t="shared" si="114"/>
        <v>1.3072656259048351E-4</v>
      </c>
      <c r="J942" s="87">
        <v>1</v>
      </c>
      <c r="K942" s="88">
        <f t="shared" si="115"/>
        <v>7649.5547667127057</v>
      </c>
    </row>
    <row r="943" spans="1:11" hidden="1" x14ac:dyDescent="0.25">
      <c r="A943" t="str">
        <f t="shared" si="116"/>
        <v>Al2O3Ø20</v>
      </c>
      <c r="B943" s="81" t="s">
        <v>217</v>
      </c>
      <c r="D943" s="86">
        <v>20</v>
      </c>
      <c r="E943" s="85">
        <f t="shared" si="117"/>
        <v>0.02</v>
      </c>
      <c r="F943" s="85">
        <f t="shared" si="118"/>
        <v>0.01</v>
      </c>
      <c r="G943" s="85">
        <f t="shared" si="119"/>
        <v>4.1887902047863905E-6</v>
      </c>
      <c r="H943" s="85">
        <v>3900</v>
      </c>
      <c r="I943" s="85">
        <f t="shared" si="114"/>
        <v>1.6336281798666922E-2</v>
      </c>
      <c r="J943" s="87">
        <v>1</v>
      </c>
      <c r="K943" s="88">
        <f t="shared" si="115"/>
        <v>61.213439650728986</v>
      </c>
    </row>
    <row r="944" spans="1:11" hidden="1" x14ac:dyDescent="0.25">
      <c r="A944" t="str">
        <f t="shared" si="116"/>
        <v>Al2O3Ø10</v>
      </c>
      <c r="B944" s="81" t="s">
        <v>217</v>
      </c>
      <c r="D944" s="86">
        <v>10</v>
      </c>
      <c r="E944" s="85">
        <f t="shared" si="117"/>
        <v>0.01</v>
      </c>
      <c r="F944" s="85">
        <f t="shared" si="118"/>
        <v>5.0000000000000001E-3</v>
      </c>
      <c r="G944" s="85">
        <f t="shared" si="119"/>
        <v>5.2359877559829882E-7</v>
      </c>
      <c r="H944" s="85">
        <v>3900</v>
      </c>
      <c r="I944" s="85">
        <f t="shared" si="114"/>
        <v>2.0420352248333652E-3</v>
      </c>
      <c r="J944" s="87">
        <v>1</v>
      </c>
      <c r="K944" s="88">
        <f t="shared" si="115"/>
        <v>489.70751720583189</v>
      </c>
    </row>
    <row r="945" spans="1:11" hidden="1" x14ac:dyDescent="0.25">
      <c r="A945" t="str">
        <f t="shared" si="116"/>
        <v>Al2O3Ø5</v>
      </c>
      <c r="B945" s="81" t="s">
        <v>217</v>
      </c>
      <c r="D945" s="86">
        <v>5</v>
      </c>
      <c r="E945" s="85">
        <f t="shared" si="117"/>
        <v>5.0000000000000001E-3</v>
      </c>
      <c r="F945" s="85">
        <f t="shared" si="118"/>
        <v>2.5000000000000001E-3</v>
      </c>
      <c r="G945" s="85">
        <f t="shared" si="119"/>
        <v>6.5449846949787352E-8</v>
      </c>
      <c r="H945" s="85">
        <v>3900</v>
      </c>
      <c r="I945" s="85">
        <f t="shared" si="114"/>
        <v>2.5525440310417065E-4</v>
      </c>
      <c r="J945" s="87">
        <v>1</v>
      </c>
      <c r="K945" s="88">
        <f t="shared" si="115"/>
        <v>3917.6601376466551</v>
      </c>
    </row>
    <row r="946" spans="1:11" hidden="1" x14ac:dyDescent="0.25">
      <c r="A946" t="str">
        <f t="shared" si="116"/>
        <v>52100Ø11,5</v>
      </c>
      <c r="B946" s="81">
        <v>52100</v>
      </c>
      <c r="D946" s="86">
        <v>11.5</v>
      </c>
      <c r="E946" s="85">
        <f t="shared" si="117"/>
        <v>1.15E-2</v>
      </c>
      <c r="F946" s="85">
        <f t="shared" si="118"/>
        <v>5.7499999999999999E-3</v>
      </c>
      <c r="G946" s="85">
        <f t="shared" si="119"/>
        <v>7.9632828783806267E-7</v>
      </c>
      <c r="H946" s="85">
        <v>7800</v>
      </c>
      <c r="I946" s="85">
        <f t="shared" si="114"/>
        <v>6.2113606451368892E-3</v>
      </c>
      <c r="J946" s="87">
        <v>1</v>
      </c>
      <c r="K946" s="88">
        <f t="shared" si="115"/>
        <v>160.99532085340078</v>
      </c>
    </row>
    <row r="947" spans="1:11" hidden="1" x14ac:dyDescent="0.25">
      <c r="A947" t="str">
        <f t="shared" si="116"/>
        <v>52100Ø11,4935</v>
      </c>
      <c r="B947" s="81">
        <v>52100</v>
      </c>
      <c r="D947" s="86">
        <v>11.493499999999999</v>
      </c>
      <c r="E947" s="85">
        <v>1.15E-2</v>
      </c>
      <c r="F947" s="85">
        <v>5.7499999999999999E-3</v>
      </c>
      <c r="G947" s="85">
        <v>7.9632828783806267E-7</v>
      </c>
      <c r="H947" s="85">
        <v>7800</v>
      </c>
      <c r="I947" s="85">
        <v>6.2113606451368892E-3</v>
      </c>
      <c r="J947" s="87">
        <v>1</v>
      </c>
      <c r="K947" s="88">
        <v>160.99532085340078</v>
      </c>
    </row>
    <row r="948" spans="1:11" hidden="1" x14ac:dyDescent="0.25">
      <c r="A948" t="str">
        <f t="shared" si="116"/>
        <v>WC-CoØ3</v>
      </c>
      <c r="B948" s="81" t="s">
        <v>297</v>
      </c>
      <c r="D948" s="86">
        <v>3</v>
      </c>
      <c r="E948" s="85">
        <f>D948/1000</f>
        <v>3.0000000000000001E-3</v>
      </c>
      <c r="F948" s="85">
        <f>E948/2</f>
        <v>1.5E-3</v>
      </c>
      <c r="G948" s="85">
        <f>4/3*PI()*F948*F948*F948</f>
        <v>1.4137166941154068E-8</v>
      </c>
      <c r="H948" s="85">
        <v>14950</v>
      </c>
      <c r="I948" s="85">
        <f>H948*G948</f>
        <v>2.1135064577025331E-4</v>
      </c>
      <c r="J948" s="87">
        <v>1</v>
      </c>
      <c r="K948" s="88">
        <f>J948/I948</f>
        <v>4731.4735961916122</v>
      </c>
    </row>
    <row r="949" spans="1:11" hidden="1" x14ac:dyDescent="0.25">
      <c r="A949" t="str">
        <f t="shared" si="116"/>
        <v>WC-CoØ4</v>
      </c>
      <c r="B949" s="81" t="s">
        <v>297</v>
      </c>
      <c r="D949" s="86">
        <v>4</v>
      </c>
      <c r="E949" s="85">
        <f t="shared" ref="E949:E955" si="120">D949/1000</f>
        <v>4.0000000000000001E-3</v>
      </c>
      <c r="F949" s="85">
        <f t="shared" ref="F949:F955" si="121">E949/2</f>
        <v>2E-3</v>
      </c>
      <c r="G949" s="85">
        <f t="shared" ref="G949:G955" si="122">4/3*PI()*F949*F949*F949</f>
        <v>3.3510321638291127E-8</v>
      </c>
      <c r="H949" s="85">
        <v>14950</v>
      </c>
      <c r="I949" s="85">
        <f t="shared" ref="I949:I955" si="123">H949*G949</f>
        <v>5.0097930849245232E-4</v>
      </c>
      <c r="J949" s="87">
        <v>1</v>
      </c>
      <c r="K949" s="88">
        <f t="shared" ref="K949:K955" si="124">J949/I949</f>
        <v>1996.0904233933363</v>
      </c>
    </row>
    <row r="950" spans="1:11" hidden="1" x14ac:dyDescent="0.25">
      <c r="A950" t="str">
        <f t="shared" si="116"/>
        <v>Al2O3Ø1,5</v>
      </c>
      <c r="B950" s="81" t="s">
        <v>217</v>
      </c>
      <c r="D950" s="86">
        <v>1.5</v>
      </c>
      <c r="E950" s="85">
        <f t="shared" si="120"/>
        <v>1.5E-3</v>
      </c>
      <c r="F950" s="85">
        <f t="shared" si="121"/>
        <v>7.5000000000000002E-4</v>
      </c>
      <c r="G950" s="85">
        <f t="shared" si="122"/>
        <v>1.7671458676442585E-9</v>
      </c>
      <c r="H950" s="85">
        <v>3900</v>
      </c>
      <c r="I950" s="85">
        <f t="shared" si="123"/>
        <v>6.8918688838126086E-6</v>
      </c>
      <c r="J950" s="87">
        <v>1</v>
      </c>
      <c r="K950" s="88">
        <f t="shared" si="124"/>
        <v>145098.52361654275</v>
      </c>
    </row>
    <row r="951" spans="1:11" hidden="1" x14ac:dyDescent="0.25">
      <c r="A951" t="str">
        <f t="shared" si="116"/>
        <v>420CØ3,175</v>
      </c>
      <c r="B951" s="81" t="s">
        <v>295</v>
      </c>
      <c r="C951" s="101" t="s">
        <v>214</v>
      </c>
      <c r="D951" s="86">
        <f>1/8*25.4</f>
        <v>3.1749999999999998</v>
      </c>
      <c r="E951" s="85">
        <f t="shared" si="120"/>
        <v>3.1749999999999999E-3</v>
      </c>
      <c r="F951" s="85">
        <f t="shared" si="121"/>
        <v>1.5874999999999999E-3</v>
      </c>
      <c r="G951" s="85">
        <f t="shared" si="122"/>
        <v>1.6758294230568279E-8</v>
      </c>
      <c r="H951" s="85">
        <v>7700</v>
      </c>
      <c r="I951" s="85">
        <f t="shared" si="123"/>
        <v>1.2903886557537575E-4</v>
      </c>
      <c r="J951" s="87">
        <v>1</v>
      </c>
      <c r="K951" s="88">
        <f t="shared" si="124"/>
        <v>7749.6031567006294</v>
      </c>
    </row>
    <row r="952" spans="1:11" hidden="1" x14ac:dyDescent="0.25">
      <c r="A952" t="str">
        <f t="shared" si="116"/>
        <v>Al2O3Ø0,5</v>
      </c>
      <c r="B952" s="81" t="s">
        <v>217</v>
      </c>
      <c r="D952" s="86">
        <v>0.5</v>
      </c>
      <c r="E952" s="85">
        <f t="shared" si="120"/>
        <v>5.0000000000000001E-4</v>
      </c>
      <c r="F952" s="85">
        <f t="shared" si="121"/>
        <v>2.5000000000000001E-4</v>
      </c>
      <c r="G952" s="85">
        <f t="shared" si="122"/>
        <v>6.5449846949787358E-11</v>
      </c>
      <c r="H952" s="85">
        <v>3900</v>
      </c>
      <c r="I952" s="85">
        <f t="shared" si="123"/>
        <v>2.552544031041707E-7</v>
      </c>
      <c r="J952" s="87">
        <v>1</v>
      </c>
      <c r="K952" s="88">
        <f t="shared" si="124"/>
        <v>3917660.1376466546</v>
      </c>
    </row>
    <row r="953" spans="1:11" hidden="1" x14ac:dyDescent="0.25">
      <c r="A953" t="str">
        <f t="shared" si="116"/>
        <v>PTFEØ2</v>
      </c>
      <c r="B953" s="81" t="s">
        <v>307</v>
      </c>
      <c r="D953" s="86">
        <v>2</v>
      </c>
      <c r="E953" s="85">
        <f t="shared" si="120"/>
        <v>2E-3</v>
      </c>
      <c r="F953" s="85">
        <f t="shared" si="121"/>
        <v>1E-3</v>
      </c>
      <c r="G953" s="85">
        <f t="shared" si="122"/>
        <v>4.1887902047863909E-9</v>
      </c>
      <c r="H953" s="85">
        <v>2160</v>
      </c>
      <c r="I953" s="85">
        <f t="shared" si="123"/>
        <v>9.0477868423386043E-6</v>
      </c>
      <c r="J953" s="87">
        <v>1</v>
      </c>
      <c r="K953" s="88">
        <f t="shared" si="124"/>
        <v>110524.26603603843</v>
      </c>
    </row>
    <row r="954" spans="1:11" hidden="1" x14ac:dyDescent="0.25">
      <c r="A954" t="str">
        <f t="shared" si="116"/>
        <v>Si3N4Ø2</v>
      </c>
      <c r="B954" s="81" t="s">
        <v>207</v>
      </c>
      <c r="D954" s="86">
        <v>2</v>
      </c>
      <c r="E954" s="85">
        <f t="shared" si="120"/>
        <v>2E-3</v>
      </c>
      <c r="F954" s="85">
        <f t="shared" si="121"/>
        <v>1E-3</v>
      </c>
      <c r="G954" s="85">
        <f t="shared" si="122"/>
        <v>4.1887902047863909E-9</v>
      </c>
      <c r="H954" s="85">
        <v>3260</v>
      </c>
      <c r="I954" s="85">
        <f t="shared" si="123"/>
        <v>1.3655456067603634E-5</v>
      </c>
      <c r="J954" s="87">
        <v>1</v>
      </c>
      <c r="K954" s="88">
        <f t="shared" si="124"/>
        <v>73230.802036148161</v>
      </c>
    </row>
    <row r="955" spans="1:11" hidden="1" x14ac:dyDescent="0.25">
      <c r="A955" t="str">
        <f t="shared" si="116"/>
        <v>440CØ2,5</v>
      </c>
      <c r="B955" s="81" t="s">
        <v>314</v>
      </c>
      <c r="D955" s="86">
        <v>2.5</v>
      </c>
      <c r="E955" s="85">
        <f t="shared" si="120"/>
        <v>2.5000000000000001E-3</v>
      </c>
      <c r="F955" s="85">
        <f t="shared" si="121"/>
        <v>1.25E-3</v>
      </c>
      <c r="G955" s="85">
        <f t="shared" si="122"/>
        <v>8.181230868723419E-9</v>
      </c>
      <c r="H955" s="88">
        <v>7700</v>
      </c>
      <c r="I955" s="85">
        <f t="shared" si="123"/>
        <v>6.2995477689170327E-5</v>
      </c>
      <c r="J955" s="87">
        <v>1</v>
      </c>
      <c r="K955" s="88">
        <f t="shared" si="124"/>
        <v>15874.155362931901</v>
      </c>
    </row>
    <row r="956" spans="1:11" hidden="1" x14ac:dyDescent="0.25">
      <c r="A956" t="str">
        <f t="shared" si="116"/>
        <v>420CØ1,984375</v>
      </c>
      <c r="B956" s="81" t="s">
        <v>295</v>
      </c>
      <c r="C956" s="101" t="s">
        <v>327</v>
      </c>
      <c r="D956" s="86">
        <f>5/64*25.4</f>
        <v>1.984375</v>
      </c>
      <c r="E956" s="85">
        <f>D956/1000</f>
        <v>1.984375E-3</v>
      </c>
      <c r="F956" s="85">
        <f>E956/2</f>
        <v>9.9218750000000001E-4</v>
      </c>
      <c r="G956" s="85">
        <f>4/3*PI()*F956*F956*F956</f>
        <v>4.0913804273848354E-9</v>
      </c>
      <c r="H956" s="85">
        <v>7700</v>
      </c>
      <c r="I956" s="85">
        <f>H956*G956</f>
        <v>3.1503629290863234E-5</v>
      </c>
      <c r="J956" s="87">
        <v>1</v>
      </c>
      <c r="K956" s="88">
        <f>J956/I956</f>
        <v>31742.374529845762</v>
      </c>
    </row>
    <row r="957" spans="1:11" hidden="1" x14ac:dyDescent="0.25">
      <c r="A957" t="str">
        <f t="shared" si="116"/>
        <v>420CØ1,984375</v>
      </c>
      <c r="B957" s="81" t="s">
        <v>295</v>
      </c>
      <c r="C957" s="101" t="s">
        <v>327</v>
      </c>
      <c r="D957" s="86">
        <f>5/64*25.4</f>
        <v>1.984375</v>
      </c>
      <c r="E957" s="85">
        <f t="shared" ref="E957:E1008" si="125">D957/1000</f>
        <v>1.984375E-3</v>
      </c>
      <c r="F957" s="85">
        <f t="shared" ref="F957:F1008" si="126">E957/2</f>
        <v>9.9218750000000001E-4</v>
      </c>
      <c r="G957" s="85">
        <f t="shared" ref="G957:G1008" si="127">4/3*PI()*F957*F957*F957</f>
        <v>4.0913804273848354E-9</v>
      </c>
      <c r="H957" s="85">
        <v>7700</v>
      </c>
      <c r="I957" s="85">
        <f t="shared" ref="I957:I1011" si="128">H957*G957</f>
        <v>3.1503629290863234E-5</v>
      </c>
      <c r="J957" s="87">
        <v>1</v>
      </c>
      <c r="K957" s="88">
        <f t="shared" ref="K957:K1011" si="129">J957/I957</f>
        <v>31742.374529845762</v>
      </c>
    </row>
    <row r="958" spans="1:11" hidden="1" x14ac:dyDescent="0.25">
      <c r="A958" t="str">
        <f t="shared" si="116"/>
        <v>440CØ1</v>
      </c>
      <c r="B958" s="81" t="s">
        <v>314</v>
      </c>
      <c r="D958" s="86">
        <v>1</v>
      </c>
      <c r="E958" s="85">
        <f t="shared" si="125"/>
        <v>1E-3</v>
      </c>
      <c r="F958" s="85">
        <f t="shared" si="126"/>
        <v>5.0000000000000001E-4</v>
      </c>
      <c r="G958" s="85">
        <f t="shared" si="127"/>
        <v>5.2359877559829886E-10</v>
      </c>
      <c r="H958" s="85">
        <v>7700</v>
      </c>
      <c r="I958" s="85">
        <f t="shared" si="128"/>
        <v>4.0317105721069012E-6</v>
      </c>
      <c r="J958" s="87">
        <v>1</v>
      </c>
      <c r="K958" s="88">
        <f t="shared" si="129"/>
        <v>248033.67754581093</v>
      </c>
    </row>
    <row r="959" spans="1:11" hidden="1" x14ac:dyDescent="0.25">
      <c r="A959" t="str">
        <f t="shared" si="116"/>
        <v>440CØ1</v>
      </c>
      <c r="B959" s="81" t="s">
        <v>314</v>
      </c>
      <c r="D959" s="86">
        <v>1</v>
      </c>
      <c r="E959" s="85">
        <f t="shared" si="125"/>
        <v>1E-3</v>
      </c>
      <c r="F959" s="85">
        <f t="shared" si="126"/>
        <v>5.0000000000000001E-4</v>
      </c>
      <c r="G959" s="85">
        <f t="shared" si="127"/>
        <v>5.2359877559829886E-10</v>
      </c>
      <c r="H959" s="85">
        <v>7700</v>
      </c>
      <c r="I959" s="85">
        <f t="shared" si="128"/>
        <v>4.0317105721069012E-6</v>
      </c>
      <c r="J959" s="87">
        <v>1</v>
      </c>
      <c r="K959" s="88">
        <f t="shared" si="129"/>
        <v>248033.67754581093</v>
      </c>
    </row>
    <row r="960" spans="1:11" hidden="1" x14ac:dyDescent="0.25">
      <c r="A960" t="str">
        <f t="shared" si="116"/>
        <v>52100Ø0,5</v>
      </c>
      <c r="B960" s="81">
        <v>52100</v>
      </c>
      <c r="D960" s="86">
        <v>0.5</v>
      </c>
      <c r="E960" s="85">
        <f t="shared" si="125"/>
        <v>5.0000000000000001E-4</v>
      </c>
      <c r="F960" s="85">
        <f t="shared" si="126"/>
        <v>2.5000000000000001E-4</v>
      </c>
      <c r="G960" s="85">
        <f t="shared" si="127"/>
        <v>6.5449846949787358E-11</v>
      </c>
      <c r="H960" s="85">
        <v>7800</v>
      </c>
      <c r="I960" s="85">
        <f t="shared" si="128"/>
        <v>5.1050880620834141E-7</v>
      </c>
      <c r="J960" s="87">
        <v>1</v>
      </c>
      <c r="K960" s="88">
        <f t="shared" si="129"/>
        <v>1958830.0688233273</v>
      </c>
    </row>
    <row r="961" spans="1:13" hidden="1" x14ac:dyDescent="0.25">
      <c r="A961" t="str">
        <f t="shared" si="116"/>
        <v>WC-CoØ2,778125</v>
      </c>
      <c r="B961" s="81" t="s">
        <v>297</v>
      </c>
      <c r="C961" s="101" t="s">
        <v>247</v>
      </c>
      <c r="D961" s="86">
        <f>7/64*25.4</f>
        <v>2.7781249999999997</v>
      </c>
      <c r="E961" s="85">
        <f t="shared" si="125"/>
        <v>2.7781249999999998E-3</v>
      </c>
      <c r="F961" s="85">
        <f t="shared" si="126"/>
        <v>1.3890624999999999E-3</v>
      </c>
      <c r="G961" s="85">
        <f t="shared" si="127"/>
        <v>1.1226747892743984E-8</v>
      </c>
      <c r="H961" s="85">
        <v>14950</v>
      </c>
      <c r="I961" s="85">
        <f t="shared" si="128"/>
        <v>1.6783988099652256E-4</v>
      </c>
      <c r="J961" s="87">
        <v>1</v>
      </c>
      <c r="K961" s="88">
        <f t="shared" si="129"/>
        <v>5958.059515191856</v>
      </c>
    </row>
    <row r="962" spans="1:13" hidden="1" x14ac:dyDescent="0.25">
      <c r="A962" t="str">
        <f t="shared" si="116"/>
        <v>PTFEØ6,35</v>
      </c>
      <c r="B962" s="81" t="s">
        <v>307</v>
      </c>
      <c r="C962" s="101" t="s">
        <v>218</v>
      </c>
      <c r="D962" s="86">
        <f>1/4*25.4</f>
        <v>6.35</v>
      </c>
      <c r="E962" s="85">
        <f t="shared" si="125"/>
        <v>6.3499999999999997E-3</v>
      </c>
      <c r="F962" s="85">
        <f t="shared" si="126"/>
        <v>3.1749999999999999E-3</v>
      </c>
      <c r="G962" s="85">
        <f t="shared" si="127"/>
        <v>1.3406635384454623E-7</v>
      </c>
      <c r="H962" s="85">
        <v>2160</v>
      </c>
      <c r="I962" s="85">
        <f t="shared" si="128"/>
        <v>2.8958332430421987E-4</v>
      </c>
      <c r="J962" s="87">
        <v>1</v>
      </c>
      <c r="K962" s="88">
        <f t="shared" si="129"/>
        <v>3453.2375177427571</v>
      </c>
    </row>
    <row r="963" spans="1:13" hidden="1" x14ac:dyDescent="0.25">
      <c r="A963" t="str">
        <f t="shared" si="116"/>
        <v>PTFEØ6,35</v>
      </c>
      <c r="B963" s="81" t="s">
        <v>307</v>
      </c>
      <c r="C963" s="101" t="s">
        <v>218</v>
      </c>
      <c r="D963" s="86">
        <f>1/4*25.4</f>
        <v>6.35</v>
      </c>
      <c r="E963" s="85">
        <f t="shared" si="125"/>
        <v>6.3499999999999997E-3</v>
      </c>
      <c r="F963" s="85">
        <f t="shared" si="126"/>
        <v>3.1749999999999999E-3</v>
      </c>
      <c r="G963" s="85">
        <f t="shared" si="127"/>
        <v>1.3406635384454623E-7</v>
      </c>
      <c r="H963" s="88">
        <v>2132.45151972655</v>
      </c>
      <c r="I963" s="85">
        <f t="shared" si="128"/>
        <v>2.8589000000000002E-4</v>
      </c>
      <c r="J963" s="87">
        <v>1</v>
      </c>
      <c r="K963" s="88">
        <f t="shared" si="129"/>
        <v>3497.8488229738709</v>
      </c>
    </row>
    <row r="964" spans="1:13" hidden="1" x14ac:dyDescent="0.25">
      <c r="A964" t="str">
        <f t="shared" ref="A964:A1027" si="130">CONCATENATE(B964,"Ø",D964)</f>
        <v>52100Ø4,06875</v>
      </c>
      <c r="B964" s="81">
        <v>52100</v>
      </c>
      <c r="C964" s="101" t="s">
        <v>338</v>
      </c>
      <c r="D964" s="86">
        <f>5/32*25.4+0.1</f>
        <v>4.0687499999999996</v>
      </c>
      <c r="E964" s="85">
        <f t="shared" si="125"/>
        <v>4.0687499999999995E-3</v>
      </c>
      <c r="F964" s="85">
        <f t="shared" si="126"/>
        <v>2.0343749999999997E-3</v>
      </c>
      <c r="G964" s="85">
        <f t="shared" si="127"/>
        <v>3.5268065609854689E-8</v>
      </c>
      <c r="H964" s="85">
        <v>7800</v>
      </c>
      <c r="I964" s="85">
        <f t="shared" si="128"/>
        <v>2.7509091175686659E-4</v>
      </c>
      <c r="J964" s="87">
        <v>1</v>
      </c>
      <c r="K964" s="88">
        <f t="shared" si="129"/>
        <v>3635.1618947114812</v>
      </c>
      <c r="L964" s="85"/>
      <c r="M964" s="93"/>
    </row>
    <row r="965" spans="1:13" hidden="1" x14ac:dyDescent="0.25">
      <c r="A965" t="str">
        <f t="shared" si="130"/>
        <v>52100Ø4,06875</v>
      </c>
      <c r="B965" s="81">
        <v>52100</v>
      </c>
      <c r="C965" s="101" t="s">
        <v>338</v>
      </c>
      <c r="D965" s="86">
        <f>5/32*25.4+0.1</f>
        <v>4.0687499999999996</v>
      </c>
      <c r="E965" s="85">
        <f t="shared" si="125"/>
        <v>4.0687499999999995E-3</v>
      </c>
      <c r="F965" s="85">
        <f t="shared" si="126"/>
        <v>2.0343749999999997E-3</v>
      </c>
      <c r="G965" s="85">
        <f t="shared" si="127"/>
        <v>3.5268065609854689E-8</v>
      </c>
      <c r="H965" s="85">
        <v>7800</v>
      </c>
      <c r="I965" s="85">
        <f t="shared" si="128"/>
        <v>2.7509091175686659E-4</v>
      </c>
      <c r="J965" s="87">
        <v>1</v>
      </c>
      <c r="K965" s="88">
        <f t="shared" si="129"/>
        <v>3635.1618947114812</v>
      </c>
    </row>
    <row r="966" spans="1:13" hidden="1" x14ac:dyDescent="0.25">
      <c r="A966" t="str">
        <f t="shared" si="130"/>
        <v>Al2O3Ø1,2</v>
      </c>
      <c r="B966" s="81" t="s">
        <v>217</v>
      </c>
      <c r="D966" s="86">
        <v>1.2</v>
      </c>
      <c r="E966" s="85">
        <f t="shared" si="125"/>
        <v>1.1999999999999999E-3</v>
      </c>
      <c r="F966" s="85">
        <f t="shared" si="126"/>
        <v>5.9999999999999995E-4</v>
      </c>
      <c r="G966" s="85">
        <f t="shared" si="127"/>
        <v>9.0477868423386013E-10</v>
      </c>
      <c r="H966" s="85">
        <v>3900</v>
      </c>
      <c r="I966" s="85">
        <f t="shared" si="128"/>
        <v>3.5286368685120546E-6</v>
      </c>
      <c r="J966" s="87">
        <v>1</v>
      </c>
      <c r="K966" s="88">
        <f t="shared" si="129"/>
        <v>283395.55393856019</v>
      </c>
    </row>
    <row r="967" spans="1:13" hidden="1" x14ac:dyDescent="0.25">
      <c r="A967" t="str">
        <f t="shared" si="130"/>
        <v>Al2O3Ø2</v>
      </c>
      <c r="B967" s="81" t="s">
        <v>217</v>
      </c>
      <c r="D967" s="86">
        <v>2</v>
      </c>
      <c r="E967" s="85">
        <f t="shared" si="125"/>
        <v>2E-3</v>
      </c>
      <c r="F967" s="85">
        <f t="shared" si="126"/>
        <v>1E-3</v>
      </c>
      <c r="G967" s="85">
        <f t="shared" si="127"/>
        <v>4.1887902047863909E-9</v>
      </c>
      <c r="H967" s="85">
        <v>3900</v>
      </c>
      <c r="I967" s="85">
        <f t="shared" si="128"/>
        <v>1.6336281798666925E-5</v>
      </c>
      <c r="J967" s="87">
        <v>1</v>
      </c>
      <c r="K967" s="88">
        <f t="shared" si="129"/>
        <v>61213.439650728978</v>
      </c>
    </row>
    <row r="968" spans="1:13" hidden="1" x14ac:dyDescent="0.25">
      <c r="A968" t="str">
        <f t="shared" si="130"/>
        <v>VEBOØ1</v>
      </c>
      <c r="B968" s="81" t="s">
        <v>329</v>
      </c>
      <c r="D968" s="86">
        <v>1</v>
      </c>
      <c r="E968" s="85">
        <f t="shared" si="125"/>
        <v>1E-3</v>
      </c>
      <c r="F968" s="85">
        <f t="shared" si="126"/>
        <v>5.0000000000000001E-4</v>
      </c>
      <c r="G968" s="85">
        <f t="shared" si="127"/>
        <v>5.2359877559829886E-10</v>
      </c>
      <c r="H968" s="85">
        <v>2230</v>
      </c>
      <c r="I968" s="85">
        <f t="shared" si="128"/>
        <v>1.1676252695842064E-6</v>
      </c>
      <c r="J968" s="87">
        <v>1</v>
      </c>
      <c r="K968" s="88">
        <f t="shared" si="129"/>
        <v>856439.15565145481</v>
      </c>
    </row>
    <row r="969" spans="1:13" hidden="1" x14ac:dyDescent="0.25">
      <c r="A969" t="str">
        <f t="shared" si="130"/>
        <v>VEVYØ1</v>
      </c>
      <c r="B969" s="81" t="s">
        <v>344</v>
      </c>
      <c r="D969" s="86">
        <v>1</v>
      </c>
      <c r="E969" s="85">
        <f t="shared" si="125"/>
        <v>1E-3</v>
      </c>
      <c r="F969" s="85">
        <f t="shared" si="126"/>
        <v>5.0000000000000001E-4</v>
      </c>
      <c r="G969" s="85">
        <f t="shared" si="127"/>
        <v>5.2359877559829886E-10</v>
      </c>
      <c r="H969" s="85">
        <v>2180</v>
      </c>
      <c r="I969" s="85">
        <f t="shared" si="128"/>
        <v>1.1414453308042916E-6</v>
      </c>
      <c r="J969" s="87">
        <v>1</v>
      </c>
      <c r="K969" s="88">
        <f t="shared" si="129"/>
        <v>876082.25555171748</v>
      </c>
    </row>
    <row r="970" spans="1:13" hidden="1" x14ac:dyDescent="0.25">
      <c r="A970" t="str">
        <f t="shared" si="130"/>
        <v>52100Ø7,14375</v>
      </c>
      <c r="B970" s="81">
        <v>52100</v>
      </c>
      <c r="C970" s="101" t="s">
        <v>250</v>
      </c>
      <c r="D970" s="86">
        <f>9/32*25.4</f>
        <v>7.1437499999999998</v>
      </c>
      <c r="E970" s="85">
        <f t="shared" si="125"/>
        <v>7.1437499999999999E-3</v>
      </c>
      <c r="F970" s="85">
        <f t="shared" si="126"/>
        <v>3.571875E-3</v>
      </c>
      <c r="G970" s="85">
        <f t="shared" si="127"/>
        <v>1.9088744522006684E-7</v>
      </c>
      <c r="H970" s="85">
        <v>7800</v>
      </c>
      <c r="I970" s="85">
        <f t="shared" si="128"/>
        <v>1.4889220727165213E-3</v>
      </c>
      <c r="J970" s="87">
        <v>1</v>
      </c>
      <c r="K970" s="88">
        <f t="shared" si="129"/>
        <v>671.62682206430816</v>
      </c>
    </row>
    <row r="971" spans="1:13" hidden="1" x14ac:dyDescent="0.25">
      <c r="A971" t="str">
        <f t="shared" si="130"/>
        <v>52100Ø2</v>
      </c>
      <c r="B971" s="81">
        <v>52100</v>
      </c>
      <c r="D971" s="86">
        <v>2</v>
      </c>
      <c r="E971" s="85">
        <f t="shared" si="125"/>
        <v>2E-3</v>
      </c>
      <c r="F971" s="85">
        <f t="shared" si="126"/>
        <v>1E-3</v>
      </c>
      <c r="G971" s="85">
        <f t="shared" si="127"/>
        <v>4.1887902047863909E-9</v>
      </c>
      <c r="H971" s="85">
        <v>7800</v>
      </c>
      <c r="I971" s="85">
        <f t="shared" si="128"/>
        <v>3.267256359733385E-5</v>
      </c>
      <c r="J971" s="87">
        <v>1</v>
      </c>
      <c r="K971" s="88">
        <f t="shared" si="129"/>
        <v>30606.719825364489</v>
      </c>
    </row>
    <row r="972" spans="1:13" hidden="1" x14ac:dyDescent="0.25">
      <c r="A972" t="str">
        <f t="shared" si="130"/>
        <v>52100Ø2</v>
      </c>
      <c r="B972" s="81">
        <v>52100</v>
      </c>
      <c r="D972" s="86">
        <v>2</v>
      </c>
      <c r="E972" s="85">
        <f t="shared" si="125"/>
        <v>2E-3</v>
      </c>
      <c r="F972" s="85">
        <f t="shared" si="126"/>
        <v>1E-3</v>
      </c>
      <c r="G972" s="85">
        <f t="shared" si="127"/>
        <v>4.1887902047863909E-9</v>
      </c>
      <c r="H972" s="85">
        <v>7800</v>
      </c>
      <c r="I972" s="85">
        <f t="shared" si="128"/>
        <v>3.267256359733385E-5</v>
      </c>
      <c r="J972" s="87">
        <v>1</v>
      </c>
      <c r="K972" s="88">
        <f t="shared" si="129"/>
        <v>30606.719825364489</v>
      </c>
    </row>
    <row r="973" spans="1:13" hidden="1" x14ac:dyDescent="0.25">
      <c r="A973" t="str">
        <f t="shared" si="130"/>
        <v>POMØ2</v>
      </c>
      <c r="B973" s="81" t="s">
        <v>201</v>
      </c>
      <c r="D973" s="86">
        <v>2</v>
      </c>
      <c r="E973" s="85">
        <f t="shared" si="125"/>
        <v>2E-3</v>
      </c>
      <c r="F973" s="85">
        <f t="shared" si="126"/>
        <v>1E-3</v>
      </c>
      <c r="G973" s="85">
        <f t="shared" si="127"/>
        <v>4.1887902047863909E-9</v>
      </c>
      <c r="H973" s="85">
        <v>1370</v>
      </c>
      <c r="I973" s="85">
        <f t="shared" si="128"/>
        <v>5.7386425805573556E-6</v>
      </c>
      <c r="J973" s="87">
        <v>1</v>
      </c>
      <c r="K973" s="88">
        <f t="shared" si="129"/>
        <v>174257.23696192921</v>
      </c>
    </row>
    <row r="974" spans="1:13" hidden="1" x14ac:dyDescent="0.25">
      <c r="A974" t="str">
        <f t="shared" si="130"/>
        <v>316Ø1,8</v>
      </c>
      <c r="B974" s="81">
        <v>316</v>
      </c>
      <c r="D974" s="86">
        <v>1.8</v>
      </c>
      <c r="E974" s="85">
        <f t="shared" si="125"/>
        <v>1.8E-3</v>
      </c>
      <c r="F974" s="85">
        <f t="shared" si="126"/>
        <v>8.9999999999999998E-4</v>
      </c>
      <c r="G974" s="85">
        <f t="shared" si="127"/>
        <v>3.0536280592892781E-9</v>
      </c>
      <c r="H974" s="85">
        <v>7950</v>
      </c>
      <c r="I974" s="85">
        <f t="shared" si="128"/>
        <v>2.427634307134976E-5</v>
      </c>
      <c r="J974" s="87">
        <v>1</v>
      </c>
      <c r="K974" s="88">
        <f t="shared" si="129"/>
        <v>41192.365631880166</v>
      </c>
    </row>
    <row r="975" spans="1:13" hidden="1" x14ac:dyDescent="0.25">
      <c r="A975" t="str">
        <f t="shared" si="130"/>
        <v>316Ø2</v>
      </c>
      <c r="B975" s="81">
        <v>316</v>
      </c>
      <c r="D975" s="86">
        <v>2</v>
      </c>
      <c r="E975" s="85">
        <f t="shared" si="125"/>
        <v>2E-3</v>
      </c>
      <c r="F975" s="85">
        <f t="shared" si="126"/>
        <v>1E-3</v>
      </c>
      <c r="G975" s="85">
        <f t="shared" si="127"/>
        <v>4.1887902047863909E-9</v>
      </c>
      <c r="H975" s="85">
        <v>7950</v>
      </c>
      <c r="I975" s="85">
        <f t="shared" si="128"/>
        <v>3.3300882128051807E-5</v>
      </c>
      <c r="J975" s="87">
        <v>1</v>
      </c>
      <c r="K975" s="88">
        <f t="shared" si="129"/>
        <v>30029.234545640629</v>
      </c>
    </row>
    <row r="976" spans="1:13" hidden="1" x14ac:dyDescent="0.25">
      <c r="A976" t="str">
        <f t="shared" si="130"/>
        <v>Al2O3Ø1,5</v>
      </c>
      <c r="B976" s="81" t="s">
        <v>217</v>
      </c>
      <c r="D976" s="86">
        <v>1.5</v>
      </c>
      <c r="E976" s="85">
        <f t="shared" si="125"/>
        <v>1.5E-3</v>
      </c>
      <c r="F976" s="85">
        <f t="shared" si="126"/>
        <v>7.5000000000000002E-4</v>
      </c>
      <c r="G976" s="85">
        <f t="shared" si="127"/>
        <v>1.7671458676442585E-9</v>
      </c>
      <c r="H976" s="85">
        <v>3900</v>
      </c>
      <c r="I976" s="85">
        <f t="shared" si="128"/>
        <v>6.8918688838126086E-6</v>
      </c>
      <c r="J976" s="87">
        <v>1</v>
      </c>
      <c r="K976" s="88">
        <f t="shared" si="129"/>
        <v>145098.52361654275</v>
      </c>
    </row>
    <row r="977" spans="1:11" hidden="1" x14ac:dyDescent="0.25">
      <c r="A977" t="str">
        <f t="shared" si="130"/>
        <v>52100Ø1,2</v>
      </c>
      <c r="B977" s="81">
        <v>52100</v>
      </c>
      <c r="D977" s="86">
        <v>1.2</v>
      </c>
      <c r="E977" s="85">
        <f t="shared" si="125"/>
        <v>1.1999999999999999E-3</v>
      </c>
      <c r="F977" s="85">
        <f t="shared" si="126"/>
        <v>5.9999999999999995E-4</v>
      </c>
      <c r="G977" s="85">
        <f t="shared" si="127"/>
        <v>9.0477868423386013E-10</v>
      </c>
      <c r="H977" s="85">
        <v>7800</v>
      </c>
      <c r="I977" s="85">
        <f t="shared" si="128"/>
        <v>7.0572737370241092E-6</v>
      </c>
      <c r="J977" s="87">
        <v>1</v>
      </c>
      <c r="K977" s="88">
        <f t="shared" si="129"/>
        <v>141697.77696928009</v>
      </c>
    </row>
    <row r="978" spans="1:11" hidden="1" x14ac:dyDescent="0.25">
      <c r="A978" t="str">
        <f t="shared" si="130"/>
        <v>WC-CoØ1,984375</v>
      </c>
      <c r="B978" s="81" t="s">
        <v>297</v>
      </c>
      <c r="C978" s="101" t="s">
        <v>327</v>
      </c>
      <c r="D978" s="86">
        <f>5/64*25.4</f>
        <v>1.984375</v>
      </c>
      <c r="E978" s="85">
        <f t="shared" si="125"/>
        <v>1.984375E-3</v>
      </c>
      <c r="F978" s="85">
        <f t="shared" si="126"/>
        <v>9.9218750000000001E-4</v>
      </c>
      <c r="G978" s="85">
        <f t="shared" si="127"/>
        <v>4.0913804273848354E-9</v>
      </c>
      <c r="H978" s="85">
        <v>14950</v>
      </c>
      <c r="I978" s="85">
        <f t="shared" si="128"/>
        <v>6.1166137389403284E-5</v>
      </c>
      <c r="J978" s="87">
        <v>1</v>
      </c>
      <c r="K978" s="88">
        <f t="shared" si="129"/>
        <v>16348.915309686448</v>
      </c>
    </row>
    <row r="979" spans="1:11" hidden="1" x14ac:dyDescent="0.25">
      <c r="A979" t="str">
        <f t="shared" si="130"/>
        <v>Si3N4Ø1,984375</v>
      </c>
      <c r="B979" s="81" t="s">
        <v>207</v>
      </c>
      <c r="C979" s="101" t="s">
        <v>327</v>
      </c>
      <c r="D979" s="86">
        <f>5/64*25.4</f>
        <v>1.984375</v>
      </c>
      <c r="E979" s="85">
        <f t="shared" si="125"/>
        <v>1.984375E-3</v>
      </c>
      <c r="F979" s="85">
        <f t="shared" si="126"/>
        <v>9.9218750000000001E-4</v>
      </c>
      <c r="G979" s="85">
        <f t="shared" si="127"/>
        <v>4.0913804273848354E-9</v>
      </c>
      <c r="H979" s="85">
        <v>3260</v>
      </c>
      <c r="I979" s="85">
        <f t="shared" si="128"/>
        <v>1.3337900193274563E-5</v>
      </c>
      <c r="J979" s="87">
        <v>1</v>
      </c>
      <c r="K979" s="88">
        <f t="shared" si="129"/>
        <v>74974.320208531397</v>
      </c>
    </row>
    <row r="980" spans="1:11" hidden="1" x14ac:dyDescent="0.25">
      <c r="A980" t="str">
        <f t="shared" si="130"/>
        <v>440CØ0,4</v>
      </c>
      <c r="B980" s="81" t="s">
        <v>314</v>
      </c>
      <c r="D980" s="86">
        <v>0.4</v>
      </c>
      <c r="E980" s="85">
        <f t="shared" si="125"/>
        <v>4.0000000000000002E-4</v>
      </c>
      <c r="F980" s="85">
        <f t="shared" si="126"/>
        <v>2.0000000000000001E-4</v>
      </c>
      <c r="G980" s="85">
        <f t="shared" si="127"/>
        <v>3.3510321638291128E-11</v>
      </c>
      <c r="H980" s="85">
        <v>7700</v>
      </c>
      <c r="I980" s="85">
        <f t="shared" si="128"/>
        <v>2.5802947661484168E-7</v>
      </c>
      <c r="J980" s="87">
        <v>1</v>
      </c>
      <c r="K980" s="88">
        <f t="shared" si="129"/>
        <v>3875526.2116532954</v>
      </c>
    </row>
    <row r="981" spans="1:11" hidden="1" x14ac:dyDescent="0.25">
      <c r="A981" t="str">
        <f t="shared" si="130"/>
        <v>SiCØ5</v>
      </c>
      <c r="B981" s="81" t="s">
        <v>326</v>
      </c>
      <c r="D981" s="86">
        <v>5</v>
      </c>
      <c r="E981" s="85">
        <f t="shared" si="125"/>
        <v>5.0000000000000001E-3</v>
      </c>
      <c r="F981" s="85">
        <f t="shared" si="126"/>
        <v>2.5000000000000001E-3</v>
      </c>
      <c r="G981" s="85">
        <f t="shared" si="127"/>
        <v>6.5449846949787352E-8</v>
      </c>
      <c r="H981" s="85">
        <v>3150</v>
      </c>
      <c r="I981" s="85">
        <f t="shared" si="128"/>
        <v>2.0616701789183015E-4</v>
      </c>
      <c r="J981" s="87">
        <v>1</v>
      </c>
      <c r="K981" s="88">
        <f t="shared" si="129"/>
        <v>4850.4363608958583</v>
      </c>
    </row>
    <row r="982" spans="1:11" hidden="1" x14ac:dyDescent="0.25">
      <c r="A982" t="str">
        <f t="shared" si="130"/>
        <v>SiCØ6</v>
      </c>
      <c r="B982" s="81" t="s">
        <v>326</v>
      </c>
      <c r="D982" s="86">
        <v>6</v>
      </c>
      <c r="E982" s="85">
        <f t="shared" si="125"/>
        <v>6.0000000000000001E-3</v>
      </c>
      <c r="F982" s="85">
        <f t="shared" si="126"/>
        <v>3.0000000000000001E-3</v>
      </c>
      <c r="G982" s="85">
        <f t="shared" si="127"/>
        <v>1.1309733552923255E-7</v>
      </c>
      <c r="H982" s="85">
        <v>3150</v>
      </c>
      <c r="I982" s="85">
        <f t="shared" si="128"/>
        <v>3.5625660691708251E-4</v>
      </c>
      <c r="J982" s="87">
        <v>1</v>
      </c>
      <c r="K982" s="88">
        <f t="shared" si="129"/>
        <v>2806.9654866295477</v>
      </c>
    </row>
    <row r="983" spans="1:11" hidden="1" x14ac:dyDescent="0.25">
      <c r="A983" t="str">
        <f t="shared" si="130"/>
        <v>SiCØ7</v>
      </c>
      <c r="B983" s="81" t="s">
        <v>326</v>
      </c>
      <c r="D983" s="86">
        <v>7</v>
      </c>
      <c r="E983" s="85">
        <f t="shared" si="125"/>
        <v>7.0000000000000001E-3</v>
      </c>
      <c r="F983" s="85">
        <f t="shared" si="126"/>
        <v>3.5000000000000001E-3</v>
      </c>
      <c r="G983" s="85">
        <f t="shared" si="127"/>
        <v>1.7959438003021651E-7</v>
      </c>
      <c r="H983" s="85">
        <v>3150</v>
      </c>
      <c r="I983" s="85">
        <f t="shared" si="128"/>
        <v>5.6572229709518206E-4</v>
      </c>
      <c r="J983" s="87">
        <v>1</v>
      </c>
      <c r="K983" s="88">
        <f t="shared" si="129"/>
        <v>1767.6517350203562</v>
      </c>
    </row>
    <row r="984" spans="1:11" hidden="1" x14ac:dyDescent="0.25">
      <c r="A984" t="str">
        <f t="shared" si="130"/>
        <v>440CØ0,6</v>
      </c>
      <c r="B984" s="81" t="s">
        <v>314</v>
      </c>
      <c r="D984" s="86">
        <v>0.6</v>
      </c>
      <c r="E984" s="85">
        <f t="shared" si="125"/>
        <v>5.9999999999999995E-4</v>
      </c>
      <c r="F984" s="85">
        <f t="shared" si="126"/>
        <v>2.9999999999999997E-4</v>
      </c>
      <c r="G984" s="85">
        <f t="shared" si="127"/>
        <v>1.1309733552923252E-10</v>
      </c>
      <c r="H984" s="85">
        <v>7700</v>
      </c>
      <c r="I984" s="85">
        <f t="shared" si="128"/>
        <v>8.708494835750904E-7</v>
      </c>
      <c r="J984" s="87">
        <v>1</v>
      </c>
      <c r="K984" s="88">
        <f t="shared" si="129"/>
        <v>1148304.062712088</v>
      </c>
    </row>
    <row r="985" spans="1:11" hidden="1" x14ac:dyDescent="0.25">
      <c r="A985" t="str">
        <f t="shared" si="130"/>
        <v>52100Ø7,88</v>
      </c>
      <c r="B985" s="81">
        <v>52100</v>
      </c>
      <c r="D985" s="86">
        <v>7.88</v>
      </c>
      <c r="E985" s="85">
        <f t="shared" si="125"/>
        <v>7.8799999999999999E-3</v>
      </c>
      <c r="F985" s="85">
        <f t="shared" si="126"/>
        <v>3.9399999999999999E-3</v>
      </c>
      <c r="G985" s="85">
        <f t="shared" si="127"/>
        <v>2.561989082747067E-7</v>
      </c>
      <c r="H985" s="85">
        <v>7800</v>
      </c>
      <c r="I985" s="85">
        <f t="shared" si="128"/>
        <v>1.9983514845427122E-3</v>
      </c>
      <c r="J985" s="87">
        <v>1</v>
      </c>
      <c r="K985" s="88">
        <f t="shared" si="129"/>
        <v>500.41246884495524</v>
      </c>
    </row>
    <row r="986" spans="1:11" hidden="1" x14ac:dyDescent="0.25">
      <c r="A986" t="str">
        <f t="shared" si="130"/>
        <v>304Ø0,4</v>
      </c>
      <c r="B986" s="81">
        <v>304</v>
      </c>
      <c r="D986" s="86">
        <v>0.4</v>
      </c>
      <c r="E986" s="85">
        <f t="shared" si="125"/>
        <v>4.0000000000000002E-4</v>
      </c>
      <c r="F986" s="85">
        <f t="shared" si="126"/>
        <v>2.0000000000000001E-4</v>
      </c>
      <c r="G986" s="85">
        <f t="shared" si="127"/>
        <v>3.3510321638291128E-11</v>
      </c>
      <c r="H986" s="85">
        <v>7950</v>
      </c>
      <c r="I986" s="85">
        <f t="shared" si="128"/>
        <v>2.6640705702441449E-7</v>
      </c>
      <c r="J986" s="87">
        <v>1</v>
      </c>
      <c r="K986" s="88">
        <f t="shared" si="129"/>
        <v>3753654.3182050786</v>
      </c>
    </row>
    <row r="987" spans="1:11" hidden="1" x14ac:dyDescent="0.25">
      <c r="A987" t="str">
        <f t="shared" si="130"/>
        <v>304Ø0,5</v>
      </c>
      <c r="B987" s="81">
        <v>304</v>
      </c>
      <c r="D987" s="86">
        <v>0.5</v>
      </c>
      <c r="E987" s="85">
        <f t="shared" si="125"/>
        <v>5.0000000000000001E-4</v>
      </c>
      <c r="F987" s="85">
        <f t="shared" si="126"/>
        <v>2.5000000000000001E-4</v>
      </c>
      <c r="G987" s="85">
        <f t="shared" si="127"/>
        <v>6.5449846949787358E-11</v>
      </c>
      <c r="H987" s="85">
        <v>7950</v>
      </c>
      <c r="I987" s="85">
        <f t="shared" si="128"/>
        <v>5.2032628325080949E-7</v>
      </c>
      <c r="J987" s="87">
        <v>1</v>
      </c>
      <c r="K987" s="88">
        <f t="shared" si="129"/>
        <v>1921871.0109210003</v>
      </c>
    </row>
    <row r="988" spans="1:11" hidden="1" x14ac:dyDescent="0.25">
      <c r="A988" t="str">
        <f t="shared" si="130"/>
        <v>304Ø0,7</v>
      </c>
      <c r="B988" s="81">
        <v>304</v>
      </c>
      <c r="D988" s="86">
        <v>0.7</v>
      </c>
      <c r="E988" s="85">
        <f t="shared" si="125"/>
        <v>6.9999999999999999E-4</v>
      </c>
      <c r="F988" s="85">
        <f t="shared" si="126"/>
        <v>3.5E-4</v>
      </c>
      <c r="G988" s="85">
        <f t="shared" si="127"/>
        <v>1.7959438003021649E-10</v>
      </c>
      <c r="H988" s="85">
        <v>7950</v>
      </c>
      <c r="I988" s="85">
        <f t="shared" si="128"/>
        <v>1.4277753212402211E-6</v>
      </c>
      <c r="J988" s="87">
        <v>1</v>
      </c>
      <c r="K988" s="88">
        <f t="shared" si="129"/>
        <v>700390.31010240538</v>
      </c>
    </row>
    <row r="989" spans="1:11" hidden="1" x14ac:dyDescent="0.25">
      <c r="A989" t="str">
        <f t="shared" si="130"/>
        <v>304Ø0,9</v>
      </c>
      <c r="B989" s="81">
        <v>304</v>
      </c>
      <c r="D989" s="86">
        <v>0.9</v>
      </c>
      <c r="E989" s="85">
        <f t="shared" si="125"/>
        <v>8.9999999999999998E-4</v>
      </c>
      <c r="F989" s="85">
        <f t="shared" si="126"/>
        <v>4.4999999999999999E-4</v>
      </c>
      <c r="G989" s="85">
        <f t="shared" si="127"/>
        <v>3.8170350741115976E-10</v>
      </c>
      <c r="H989" s="85">
        <v>7950</v>
      </c>
      <c r="I989" s="85">
        <f t="shared" si="128"/>
        <v>3.03454288391872E-6</v>
      </c>
      <c r="J989" s="87">
        <v>1</v>
      </c>
      <c r="K989" s="88">
        <f t="shared" si="129"/>
        <v>329538.92505504133</v>
      </c>
    </row>
    <row r="990" spans="1:11" hidden="1" x14ac:dyDescent="0.25">
      <c r="A990" t="str">
        <f t="shared" si="130"/>
        <v>52100Ø0,68</v>
      </c>
      <c r="B990" s="81">
        <v>52100</v>
      </c>
      <c r="D990" s="86">
        <v>0.68</v>
      </c>
      <c r="E990" s="85">
        <f t="shared" si="125"/>
        <v>6.8000000000000005E-4</v>
      </c>
      <c r="F990" s="85">
        <f t="shared" si="126"/>
        <v>3.4000000000000002E-4</v>
      </c>
      <c r="G990" s="85">
        <f t="shared" si="127"/>
        <v>1.6463621020892433E-10</v>
      </c>
      <c r="H990" s="85">
        <v>7800</v>
      </c>
      <c r="I990" s="85">
        <f t="shared" si="128"/>
        <v>1.2841624396296097E-6</v>
      </c>
      <c r="J990" s="87">
        <v>1</v>
      </c>
      <c r="K990" s="88">
        <f t="shared" si="129"/>
        <v>778717.68332394888</v>
      </c>
    </row>
    <row r="991" spans="1:11" hidden="1" x14ac:dyDescent="0.25">
      <c r="A991" t="str">
        <f t="shared" si="130"/>
        <v>52100Ø0,68</v>
      </c>
      <c r="B991" s="81">
        <v>52100</v>
      </c>
      <c r="D991" s="86">
        <v>0.68</v>
      </c>
      <c r="E991" s="85">
        <f t="shared" si="125"/>
        <v>6.8000000000000005E-4</v>
      </c>
      <c r="F991" s="85">
        <f t="shared" si="126"/>
        <v>3.4000000000000002E-4</v>
      </c>
      <c r="G991" s="85">
        <f t="shared" si="127"/>
        <v>1.6463621020892433E-10</v>
      </c>
      <c r="H991" s="85">
        <v>7800</v>
      </c>
      <c r="I991" s="85">
        <f t="shared" si="128"/>
        <v>1.2841624396296097E-6</v>
      </c>
      <c r="J991" s="87">
        <v>1</v>
      </c>
      <c r="K991" s="88">
        <f t="shared" si="129"/>
        <v>778717.68332394888</v>
      </c>
    </row>
    <row r="992" spans="1:11" hidden="1" x14ac:dyDescent="0.25">
      <c r="A992" t="str">
        <f t="shared" si="130"/>
        <v>52100Ø9,8</v>
      </c>
      <c r="B992" s="81">
        <v>52100</v>
      </c>
      <c r="D992" s="86">
        <v>9.8000000000000007</v>
      </c>
      <c r="E992" s="85">
        <f t="shared" si="125"/>
        <v>9.8000000000000014E-3</v>
      </c>
      <c r="F992" s="85">
        <f t="shared" si="126"/>
        <v>4.9000000000000007E-3</v>
      </c>
      <c r="G992" s="85">
        <f t="shared" si="127"/>
        <v>4.9280697880291426E-7</v>
      </c>
      <c r="H992" s="85">
        <v>7800</v>
      </c>
      <c r="I992" s="85">
        <f t="shared" si="128"/>
        <v>3.8438944346627312E-3</v>
      </c>
      <c r="J992" s="87">
        <v>1</v>
      </c>
      <c r="K992" s="88">
        <f t="shared" si="129"/>
        <v>260.15282599396915</v>
      </c>
    </row>
    <row r="993" spans="1:11" hidden="1" x14ac:dyDescent="0.25">
      <c r="A993" t="str">
        <f t="shared" si="130"/>
        <v>52100Ø9,921875</v>
      </c>
      <c r="B993" s="81">
        <v>52100</v>
      </c>
      <c r="C993" s="101" t="s">
        <v>345</v>
      </c>
      <c r="D993" s="86">
        <f>25/64*25.4</f>
        <v>9.921875</v>
      </c>
      <c r="E993" s="85">
        <f t="shared" si="125"/>
        <v>9.9218750000000001E-3</v>
      </c>
      <c r="F993" s="85">
        <f t="shared" si="126"/>
        <v>4.9609375000000001E-3</v>
      </c>
      <c r="G993" s="85">
        <f t="shared" si="127"/>
        <v>5.1142255342310435E-7</v>
      </c>
      <c r="H993" s="85">
        <v>7800</v>
      </c>
      <c r="I993" s="85">
        <f t="shared" si="128"/>
        <v>3.9890959167002138E-3</v>
      </c>
      <c r="J993" s="87">
        <v>1</v>
      </c>
      <c r="K993" s="88">
        <f t="shared" si="129"/>
        <v>250.6833680818589</v>
      </c>
    </row>
    <row r="994" spans="1:11" hidden="1" x14ac:dyDescent="0.25">
      <c r="A994" t="str">
        <f t="shared" si="130"/>
        <v>Alluminio serie 1Ø1</v>
      </c>
      <c r="B994" s="81" t="s">
        <v>330</v>
      </c>
      <c r="D994" s="86">
        <v>1</v>
      </c>
      <c r="E994" s="85">
        <f t="shared" si="125"/>
        <v>1E-3</v>
      </c>
      <c r="F994" s="85">
        <f t="shared" si="126"/>
        <v>5.0000000000000001E-4</v>
      </c>
      <c r="G994" s="85">
        <f t="shared" si="127"/>
        <v>5.2359877559829886E-10</v>
      </c>
      <c r="H994" s="85">
        <v>2710</v>
      </c>
      <c r="I994" s="85">
        <f t="shared" si="128"/>
        <v>1.4189526818713899E-6</v>
      </c>
      <c r="J994" s="87">
        <v>1</v>
      </c>
      <c r="K994" s="88">
        <f t="shared" si="129"/>
        <v>704745.13546226721</v>
      </c>
    </row>
    <row r="995" spans="1:11" hidden="1" x14ac:dyDescent="0.25">
      <c r="A995" t="str">
        <f t="shared" si="130"/>
        <v>Alluminio serie 1Ø2</v>
      </c>
      <c r="B995" s="81" t="s">
        <v>330</v>
      </c>
      <c r="D995" s="86">
        <v>2</v>
      </c>
      <c r="E995" s="85">
        <f t="shared" si="125"/>
        <v>2E-3</v>
      </c>
      <c r="F995" s="85">
        <f t="shared" si="126"/>
        <v>1E-3</v>
      </c>
      <c r="G995" s="85">
        <f t="shared" si="127"/>
        <v>4.1887902047863909E-9</v>
      </c>
      <c r="H995" s="85">
        <v>2710</v>
      </c>
      <c r="I995" s="85">
        <f t="shared" si="128"/>
        <v>1.1351621454971119E-5</v>
      </c>
      <c r="J995" s="87">
        <v>1</v>
      </c>
      <c r="K995" s="88">
        <f t="shared" si="129"/>
        <v>88093.141932783401</v>
      </c>
    </row>
    <row r="996" spans="1:11" hidden="1" x14ac:dyDescent="0.25">
      <c r="A996" t="str">
        <f t="shared" si="130"/>
        <v>OttoneØ3</v>
      </c>
      <c r="B996" s="81" t="s">
        <v>216</v>
      </c>
      <c r="D996" s="86">
        <v>3</v>
      </c>
      <c r="E996" s="85">
        <f t="shared" si="125"/>
        <v>3.0000000000000001E-3</v>
      </c>
      <c r="F996" s="85">
        <f t="shared" si="126"/>
        <v>1.5E-3</v>
      </c>
      <c r="G996" s="85">
        <f t="shared" si="127"/>
        <v>1.4137166941154068E-8</v>
      </c>
      <c r="H996" s="85">
        <v>8490</v>
      </c>
      <c r="I996" s="85">
        <f t="shared" si="128"/>
        <v>1.2002454733039803E-4</v>
      </c>
      <c r="J996" s="87">
        <v>1</v>
      </c>
      <c r="K996" s="88">
        <f t="shared" si="129"/>
        <v>8331.6290062502485</v>
      </c>
    </row>
    <row r="997" spans="1:11" hidden="1" x14ac:dyDescent="0.25">
      <c r="A997" t="str">
        <f t="shared" si="130"/>
        <v>OttoneØ3</v>
      </c>
      <c r="B997" s="81" t="s">
        <v>216</v>
      </c>
      <c r="D997" s="86">
        <v>3</v>
      </c>
      <c r="E997" s="85">
        <f t="shared" si="125"/>
        <v>3.0000000000000001E-3</v>
      </c>
      <c r="F997" s="85">
        <f t="shared" si="126"/>
        <v>1.5E-3</v>
      </c>
      <c r="G997" s="85">
        <f t="shared" si="127"/>
        <v>1.4137166941154068E-8</v>
      </c>
      <c r="H997" s="85">
        <v>8490</v>
      </c>
      <c r="I997" s="85">
        <f t="shared" si="128"/>
        <v>1.2002454733039803E-4</v>
      </c>
      <c r="J997" s="87">
        <v>1</v>
      </c>
      <c r="K997" s="88">
        <f t="shared" si="129"/>
        <v>8331.6290062502485</v>
      </c>
    </row>
    <row r="998" spans="1:11" hidden="1" x14ac:dyDescent="0.25">
      <c r="A998" t="str">
        <f t="shared" si="130"/>
        <v>Bronzo FosforosoØ3</v>
      </c>
      <c r="B998" s="81" t="s">
        <v>294</v>
      </c>
      <c r="D998" s="86">
        <v>3</v>
      </c>
      <c r="E998" s="85">
        <f t="shared" si="125"/>
        <v>3.0000000000000001E-3</v>
      </c>
      <c r="F998" s="85">
        <f t="shared" si="126"/>
        <v>1.5E-3</v>
      </c>
      <c r="G998" s="85">
        <f t="shared" si="127"/>
        <v>1.4137166941154068E-8</v>
      </c>
      <c r="H998" s="85">
        <v>8920</v>
      </c>
      <c r="I998" s="85">
        <f t="shared" si="128"/>
        <v>1.2610352911509429E-4</v>
      </c>
      <c r="J998" s="87">
        <v>1</v>
      </c>
      <c r="K998" s="88">
        <f t="shared" si="129"/>
        <v>7929.9921819579149</v>
      </c>
    </row>
    <row r="999" spans="1:11" hidden="1" x14ac:dyDescent="0.25">
      <c r="A999" t="str">
        <f t="shared" si="130"/>
        <v>Bronzo FosforosoØ3</v>
      </c>
      <c r="B999" s="81" t="s">
        <v>294</v>
      </c>
      <c r="D999" s="86">
        <v>3</v>
      </c>
      <c r="E999" s="85">
        <f t="shared" si="125"/>
        <v>3.0000000000000001E-3</v>
      </c>
      <c r="F999" s="85">
        <f t="shared" si="126"/>
        <v>1.5E-3</v>
      </c>
      <c r="G999" s="85">
        <f t="shared" si="127"/>
        <v>1.4137166941154068E-8</v>
      </c>
      <c r="H999" s="85">
        <v>8920</v>
      </c>
      <c r="I999" s="85">
        <f t="shared" si="128"/>
        <v>1.2610352911509429E-4</v>
      </c>
      <c r="J999" s="87">
        <v>1</v>
      </c>
      <c r="K999" s="88">
        <f t="shared" si="129"/>
        <v>7929.9921819579149</v>
      </c>
    </row>
    <row r="1000" spans="1:11" hidden="1" x14ac:dyDescent="0.25">
      <c r="A1000" t="str">
        <f t="shared" si="130"/>
        <v>Al2O3Ø3</v>
      </c>
      <c r="B1000" s="81" t="s">
        <v>217</v>
      </c>
      <c r="D1000" s="86">
        <v>3</v>
      </c>
      <c r="E1000" s="85">
        <f t="shared" si="125"/>
        <v>3.0000000000000001E-3</v>
      </c>
      <c r="F1000" s="85">
        <f t="shared" si="126"/>
        <v>1.5E-3</v>
      </c>
      <c r="G1000" s="85">
        <f t="shared" si="127"/>
        <v>1.4137166941154068E-8</v>
      </c>
      <c r="H1000" s="85">
        <v>3900</v>
      </c>
      <c r="I1000" s="85">
        <f t="shared" si="128"/>
        <v>5.5134951070500869E-5</v>
      </c>
      <c r="J1000" s="87">
        <v>1</v>
      </c>
      <c r="K1000" s="88">
        <f t="shared" si="129"/>
        <v>18137.315452067844</v>
      </c>
    </row>
    <row r="1001" spans="1:11" hidden="1" x14ac:dyDescent="0.25">
      <c r="A1001" t="str">
        <f t="shared" si="130"/>
        <v>Al2O3Ø3</v>
      </c>
      <c r="B1001" s="81" t="s">
        <v>217</v>
      </c>
      <c r="D1001" s="86">
        <v>3</v>
      </c>
      <c r="E1001" s="85">
        <f t="shared" si="125"/>
        <v>3.0000000000000001E-3</v>
      </c>
      <c r="F1001" s="85">
        <f t="shared" si="126"/>
        <v>1.5E-3</v>
      </c>
      <c r="G1001" s="85">
        <f t="shared" si="127"/>
        <v>1.4137166941154068E-8</v>
      </c>
      <c r="H1001" s="85">
        <v>3900</v>
      </c>
      <c r="I1001" s="85">
        <f t="shared" si="128"/>
        <v>5.5134951070500869E-5</v>
      </c>
      <c r="J1001" s="87">
        <v>1</v>
      </c>
      <c r="K1001" s="88">
        <f t="shared" si="129"/>
        <v>18137.315452067844</v>
      </c>
    </row>
    <row r="1002" spans="1:11" hidden="1" x14ac:dyDescent="0.25">
      <c r="A1002" t="str">
        <f t="shared" si="130"/>
        <v>304Ø4,7625</v>
      </c>
      <c r="B1002" s="81">
        <v>304</v>
      </c>
      <c r="C1002" s="101" t="s">
        <v>248</v>
      </c>
      <c r="D1002" s="86">
        <f>3/16*25.4</f>
        <v>4.7624999999999993</v>
      </c>
      <c r="E1002" s="85">
        <f t="shared" si="125"/>
        <v>4.7624999999999994E-3</v>
      </c>
      <c r="F1002" s="85">
        <f t="shared" si="126"/>
        <v>2.3812499999999997E-3</v>
      </c>
      <c r="G1002" s="85">
        <f t="shared" si="127"/>
        <v>5.6559243028167934E-8</v>
      </c>
      <c r="H1002" s="85">
        <v>7950</v>
      </c>
      <c r="I1002" s="85">
        <f t="shared" si="128"/>
        <v>4.4964598207393507E-4</v>
      </c>
      <c r="J1002" s="87">
        <v>1</v>
      </c>
      <c r="K1002" s="88">
        <f t="shared" si="129"/>
        <v>2223.9718353261533</v>
      </c>
    </row>
    <row r="1003" spans="1:11" hidden="1" x14ac:dyDescent="0.25">
      <c r="A1003" t="str">
        <f t="shared" si="130"/>
        <v>440CØ2,38125</v>
      </c>
      <c r="B1003" s="81" t="s">
        <v>314</v>
      </c>
      <c r="C1003" s="101" t="s">
        <v>213</v>
      </c>
      <c r="D1003" s="86">
        <f>3/32*25.4</f>
        <v>2.3812499999999996</v>
      </c>
      <c r="E1003" s="85">
        <f t="shared" si="125"/>
        <v>2.3812499999999997E-3</v>
      </c>
      <c r="F1003" s="85">
        <f t="shared" si="126"/>
        <v>1.1906249999999998E-3</v>
      </c>
      <c r="G1003" s="85">
        <f t="shared" si="127"/>
        <v>7.0699053785209917E-9</v>
      </c>
      <c r="H1003" s="85">
        <v>7700</v>
      </c>
      <c r="I1003" s="85">
        <f t="shared" si="128"/>
        <v>5.4438271414611634E-5</v>
      </c>
      <c r="J1003" s="87">
        <v>1</v>
      </c>
      <c r="K1003" s="88">
        <f t="shared" si="129"/>
        <v>18369.429704771865</v>
      </c>
    </row>
    <row r="1004" spans="1:11" hidden="1" x14ac:dyDescent="0.25">
      <c r="A1004" t="str">
        <f t="shared" si="130"/>
        <v>440CØ1,5875</v>
      </c>
      <c r="B1004" s="81" t="s">
        <v>314</v>
      </c>
      <c r="C1004" s="101" t="s">
        <v>246</v>
      </c>
      <c r="D1004" s="86">
        <f>1/16*25.4</f>
        <v>1.5874999999999999</v>
      </c>
      <c r="E1004" s="85">
        <f t="shared" si="125"/>
        <v>1.5874999999999999E-3</v>
      </c>
      <c r="F1004" s="85">
        <f t="shared" si="126"/>
        <v>7.9374999999999997E-4</v>
      </c>
      <c r="G1004" s="85">
        <f t="shared" si="127"/>
        <v>2.0947867788210349E-9</v>
      </c>
      <c r="H1004" s="85">
        <v>7700</v>
      </c>
      <c r="I1004" s="85">
        <f t="shared" si="128"/>
        <v>1.6129858196921968E-5</v>
      </c>
      <c r="J1004" s="87">
        <v>1</v>
      </c>
      <c r="K1004" s="97">
        <f t="shared" si="129"/>
        <v>61996.825253605035</v>
      </c>
    </row>
    <row r="1005" spans="1:11" hidden="1" x14ac:dyDescent="0.25">
      <c r="A1005" t="str">
        <f t="shared" si="130"/>
        <v>Al2O3Ø1,5</v>
      </c>
      <c r="B1005" s="81" t="s">
        <v>217</v>
      </c>
      <c r="D1005" s="86">
        <v>1.5</v>
      </c>
      <c r="E1005" s="85">
        <f t="shared" si="125"/>
        <v>1.5E-3</v>
      </c>
      <c r="F1005" s="85">
        <f t="shared" si="126"/>
        <v>7.5000000000000002E-4</v>
      </c>
      <c r="G1005" s="85">
        <f t="shared" si="127"/>
        <v>1.7671458676442585E-9</v>
      </c>
      <c r="H1005" s="85">
        <v>3900</v>
      </c>
      <c r="I1005" s="85">
        <f t="shared" si="128"/>
        <v>6.8918688838126086E-6</v>
      </c>
      <c r="J1005" s="87">
        <v>1</v>
      </c>
      <c r="K1005" s="88">
        <f t="shared" si="129"/>
        <v>145098.52361654275</v>
      </c>
    </row>
    <row r="1006" spans="1:11" hidden="1" x14ac:dyDescent="0.25">
      <c r="A1006" t="str">
        <f t="shared" si="130"/>
        <v>Al2O3Ø1,5</v>
      </c>
      <c r="B1006" s="81" t="s">
        <v>217</v>
      </c>
      <c r="D1006" s="86">
        <v>1.5</v>
      </c>
      <c r="E1006" s="85">
        <f t="shared" si="125"/>
        <v>1.5E-3</v>
      </c>
      <c r="F1006" s="85">
        <f t="shared" si="126"/>
        <v>7.5000000000000002E-4</v>
      </c>
      <c r="G1006" s="85">
        <f t="shared" si="127"/>
        <v>1.7671458676442585E-9</v>
      </c>
      <c r="H1006" s="85">
        <v>3900</v>
      </c>
      <c r="I1006" s="85">
        <f t="shared" si="128"/>
        <v>6.8918688838126086E-6</v>
      </c>
      <c r="J1006" s="87">
        <v>1</v>
      </c>
      <c r="K1006" s="88">
        <f t="shared" si="129"/>
        <v>145098.52361654275</v>
      </c>
    </row>
    <row r="1007" spans="1:11" hidden="1" x14ac:dyDescent="0.25">
      <c r="A1007" t="str">
        <f t="shared" si="130"/>
        <v>52100Ø1</v>
      </c>
      <c r="B1007" s="81">
        <v>52100</v>
      </c>
      <c r="D1007" s="86">
        <v>1</v>
      </c>
      <c r="E1007" s="85">
        <f t="shared" si="125"/>
        <v>1E-3</v>
      </c>
      <c r="F1007" s="85">
        <f t="shared" si="126"/>
        <v>5.0000000000000001E-4</v>
      </c>
      <c r="G1007" s="85">
        <f t="shared" si="127"/>
        <v>5.2359877559829886E-10</v>
      </c>
      <c r="H1007" s="85">
        <v>7800</v>
      </c>
      <c r="I1007" s="85">
        <f t="shared" si="128"/>
        <v>4.0840704496667312E-6</v>
      </c>
      <c r="J1007" s="87">
        <v>1</v>
      </c>
      <c r="K1007" s="88">
        <f t="shared" si="129"/>
        <v>244853.75860291591</v>
      </c>
    </row>
    <row r="1008" spans="1:11" hidden="1" x14ac:dyDescent="0.25">
      <c r="A1008" t="str">
        <f t="shared" si="130"/>
        <v>52100Ø1</v>
      </c>
      <c r="B1008" s="81">
        <v>52100</v>
      </c>
      <c r="D1008" s="86">
        <v>1</v>
      </c>
      <c r="E1008" s="85">
        <f t="shared" si="125"/>
        <v>1E-3</v>
      </c>
      <c r="F1008" s="85">
        <f t="shared" si="126"/>
        <v>5.0000000000000001E-4</v>
      </c>
      <c r="G1008" s="85">
        <f t="shared" si="127"/>
        <v>5.2359877559829886E-10</v>
      </c>
      <c r="H1008" s="85">
        <v>7800</v>
      </c>
      <c r="I1008" s="85">
        <f t="shared" si="128"/>
        <v>4.0840704496667312E-6</v>
      </c>
      <c r="J1008" s="87">
        <v>1</v>
      </c>
      <c r="K1008" s="88">
        <f t="shared" si="129"/>
        <v>244853.75860291591</v>
      </c>
    </row>
    <row r="1009" spans="1:11" hidden="1" x14ac:dyDescent="0.25">
      <c r="A1009" t="str">
        <f t="shared" si="130"/>
        <v>52100Ø1</v>
      </c>
      <c r="B1009" s="81">
        <v>52100</v>
      </c>
      <c r="D1009" s="86">
        <v>1</v>
      </c>
      <c r="E1009" s="85">
        <f>D1009/1000</f>
        <v>1E-3</v>
      </c>
      <c r="F1009" s="85">
        <f>E1009/2</f>
        <v>5.0000000000000001E-4</v>
      </c>
      <c r="G1009" s="85">
        <f>4/3*PI()*F1009*F1009*F1009</f>
        <v>5.2359877559829886E-10</v>
      </c>
      <c r="H1009" s="85">
        <v>7800</v>
      </c>
      <c r="I1009" s="85">
        <f t="shared" si="128"/>
        <v>4.0840704496667312E-6</v>
      </c>
      <c r="J1009" s="87">
        <v>1</v>
      </c>
      <c r="K1009" s="88">
        <f t="shared" si="129"/>
        <v>244853.75860291591</v>
      </c>
    </row>
    <row r="1010" spans="1:11" hidden="1" x14ac:dyDescent="0.25">
      <c r="A1010" t="str">
        <f t="shared" si="130"/>
        <v>POMØ1</v>
      </c>
      <c r="B1010" s="81" t="s">
        <v>201</v>
      </c>
      <c r="D1010" s="86">
        <v>1</v>
      </c>
      <c r="E1010" s="85">
        <f>D1010/1000</f>
        <v>1E-3</v>
      </c>
      <c r="F1010" s="85">
        <f>E1010/2</f>
        <v>5.0000000000000001E-4</v>
      </c>
      <c r="G1010" s="85">
        <f>4/3*PI()*F1010*F1010*F1010</f>
        <v>5.2359877559829886E-10</v>
      </c>
      <c r="H1010" s="85">
        <v>1370</v>
      </c>
      <c r="I1010" s="85">
        <f t="shared" si="128"/>
        <v>7.1733032256966945E-7</v>
      </c>
      <c r="J1010" s="87">
        <v>1</v>
      </c>
      <c r="K1010" s="88">
        <f t="shared" si="129"/>
        <v>1394057.8956954337</v>
      </c>
    </row>
    <row r="1011" spans="1:11" hidden="1" x14ac:dyDescent="0.25">
      <c r="A1011" t="str">
        <f t="shared" si="130"/>
        <v>PPHØ1</v>
      </c>
      <c r="B1011" s="81" t="s">
        <v>202</v>
      </c>
      <c r="D1011" s="86">
        <v>1</v>
      </c>
      <c r="E1011" s="85">
        <f>D1011/1000</f>
        <v>1E-3</v>
      </c>
      <c r="F1011" s="85">
        <f>E1011/2</f>
        <v>5.0000000000000001E-4</v>
      </c>
      <c r="G1011" s="85">
        <f>4/3*PI()*F1011*F1011*F1011</f>
        <v>5.2359877559829886E-10</v>
      </c>
      <c r="H1011" s="85">
        <v>870</v>
      </c>
      <c r="I1011" s="85">
        <f t="shared" si="128"/>
        <v>4.5553093477051999E-7</v>
      </c>
      <c r="J1011" s="87">
        <v>1</v>
      </c>
      <c r="K1011" s="88">
        <f t="shared" si="129"/>
        <v>2195240.5943709705</v>
      </c>
    </row>
    <row r="1012" spans="1:11" hidden="1" x14ac:dyDescent="0.25">
      <c r="A1012" t="str">
        <f t="shared" si="130"/>
        <v>POMØ1,5</v>
      </c>
      <c r="B1012" s="81" t="s">
        <v>201</v>
      </c>
      <c r="D1012" s="86">
        <v>1.5</v>
      </c>
      <c r="E1012" s="85">
        <f t="shared" ref="E1012:E1042" si="131">D1012/1000</f>
        <v>1.5E-3</v>
      </c>
      <c r="F1012" s="85">
        <f t="shared" ref="F1012:F1042" si="132">E1012/2</f>
        <v>7.5000000000000002E-4</v>
      </c>
      <c r="G1012" s="85">
        <f t="shared" ref="G1012:G1042" si="133">4/3*PI()*F1012*F1012*F1012</f>
        <v>1.7671458676442585E-9</v>
      </c>
      <c r="H1012" s="85">
        <v>1370</v>
      </c>
      <c r="I1012" s="85">
        <f>H1012*G1012</f>
        <v>2.4209898386726343E-6</v>
      </c>
      <c r="J1012" s="87">
        <v>1</v>
      </c>
      <c r="K1012" s="88">
        <f>J1012/I1012</f>
        <v>413054.1913171655</v>
      </c>
    </row>
    <row r="1013" spans="1:11" hidden="1" x14ac:dyDescent="0.25">
      <c r="A1013" t="str">
        <f t="shared" si="130"/>
        <v>PPHØ1,5</v>
      </c>
      <c r="B1013" s="81" t="s">
        <v>202</v>
      </c>
      <c r="D1013" s="86">
        <v>1.5</v>
      </c>
      <c r="E1013" s="85">
        <f t="shared" si="131"/>
        <v>1.5E-3</v>
      </c>
      <c r="F1013" s="85">
        <f t="shared" si="132"/>
        <v>7.5000000000000002E-4</v>
      </c>
      <c r="G1013" s="85">
        <f t="shared" si="133"/>
        <v>1.7671458676442585E-9</v>
      </c>
      <c r="H1013" s="85">
        <v>870</v>
      </c>
      <c r="I1013" s="85">
        <f>H1013*G1013</f>
        <v>1.5374169048505049E-6</v>
      </c>
      <c r="J1013" s="87">
        <v>1</v>
      </c>
      <c r="K1013" s="88">
        <f>J1013/I1013</f>
        <v>650441.65759139857</v>
      </c>
    </row>
    <row r="1014" spans="1:11" hidden="1" x14ac:dyDescent="0.25">
      <c r="A1014" t="str">
        <f t="shared" si="130"/>
        <v>52100Ø1</v>
      </c>
      <c r="B1014" s="81">
        <v>52100</v>
      </c>
      <c r="D1014" s="86">
        <v>1</v>
      </c>
      <c r="E1014" s="85">
        <f t="shared" si="131"/>
        <v>1E-3</v>
      </c>
      <c r="F1014" s="85">
        <f t="shared" si="132"/>
        <v>5.0000000000000001E-4</v>
      </c>
      <c r="G1014" s="85">
        <f t="shared" si="133"/>
        <v>5.2359877559829886E-10</v>
      </c>
      <c r="H1014" s="85">
        <v>7800</v>
      </c>
      <c r="I1014" s="85">
        <f>H1014*G1014</f>
        <v>4.0840704496667312E-6</v>
      </c>
      <c r="J1014" s="87">
        <v>1</v>
      </c>
      <c r="K1014" s="88">
        <f>J1014/I1014</f>
        <v>244853.75860291591</v>
      </c>
    </row>
    <row r="1015" spans="1:11" hidden="1" x14ac:dyDescent="0.25">
      <c r="A1015" t="str">
        <f t="shared" si="130"/>
        <v>52100Ø1</v>
      </c>
      <c r="B1015" s="81">
        <v>52100</v>
      </c>
      <c r="D1015" s="86">
        <v>1</v>
      </c>
      <c r="E1015" s="85">
        <f t="shared" si="131"/>
        <v>1E-3</v>
      </c>
      <c r="F1015" s="85">
        <f t="shared" si="132"/>
        <v>5.0000000000000001E-4</v>
      </c>
      <c r="G1015" s="85">
        <f t="shared" si="133"/>
        <v>5.2359877559829886E-10</v>
      </c>
      <c r="H1015" s="85">
        <v>7800</v>
      </c>
      <c r="I1015" s="85">
        <f>H1015*G1015</f>
        <v>4.0840704496667312E-6</v>
      </c>
      <c r="J1015" s="87">
        <v>1</v>
      </c>
      <c r="K1015" s="88">
        <f>J1015/I1015</f>
        <v>244853.75860291591</v>
      </c>
    </row>
    <row r="1016" spans="1:11" hidden="1" x14ac:dyDescent="0.25">
      <c r="A1016" t="str">
        <f t="shared" si="130"/>
        <v>1010Ø1,5</v>
      </c>
      <c r="B1016" s="81">
        <v>1010</v>
      </c>
      <c r="D1016" s="86">
        <v>1.5</v>
      </c>
      <c r="E1016" s="85">
        <f t="shared" si="131"/>
        <v>1.5E-3</v>
      </c>
      <c r="F1016" s="85">
        <f t="shared" si="132"/>
        <v>7.5000000000000002E-4</v>
      </c>
      <c r="G1016" s="85">
        <f t="shared" si="133"/>
        <v>1.7671458676442585E-9</v>
      </c>
      <c r="H1016" s="85">
        <v>7820</v>
      </c>
      <c r="I1016" s="85">
        <f>H1016*G1016</f>
        <v>1.3819080684978102E-5</v>
      </c>
      <c r="J1016" s="87">
        <v>1</v>
      </c>
      <c r="K1016" s="88">
        <f>J1016/I1016</f>
        <v>72363.713824107006</v>
      </c>
    </row>
    <row r="1017" spans="1:11" hidden="1" x14ac:dyDescent="0.25">
      <c r="A1017" t="str">
        <f t="shared" si="130"/>
        <v>1010Ø1,190625</v>
      </c>
      <c r="B1017" s="81">
        <v>1010</v>
      </c>
      <c r="C1017" s="101" t="s">
        <v>245</v>
      </c>
      <c r="D1017" s="86">
        <f>3/64*25.4</f>
        <v>1.1906249999999998</v>
      </c>
      <c r="E1017" s="85">
        <f t="shared" si="131"/>
        <v>1.1906249999999998E-3</v>
      </c>
      <c r="F1017" s="85">
        <f t="shared" si="132"/>
        <v>5.9531249999999992E-4</v>
      </c>
      <c r="G1017" s="85">
        <f t="shared" si="133"/>
        <v>8.8373817231512396E-10</v>
      </c>
      <c r="H1017" s="85">
        <v>7820</v>
      </c>
      <c r="I1017" s="85">
        <f t="shared" ref="I1017:I1029" si="134">H1017*G1017</f>
        <v>6.9108325075042695E-6</v>
      </c>
      <c r="J1017" s="87">
        <v>1</v>
      </c>
      <c r="K1017" s="88">
        <f t="shared" ref="K1017:K1029" si="135">J1017/I1017</f>
        <v>144700.36698388067</v>
      </c>
    </row>
    <row r="1018" spans="1:11" hidden="1" x14ac:dyDescent="0.25">
      <c r="A1018" t="str">
        <f t="shared" si="130"/>
        <v>52100Ø2</v>
      </c>
      <c r="B1018" s="81">
        <v>52100</v>
      </c>
      <c r="D1018" s="86">
        <v>2</v>
      </c>
      <c r="E1018" s="85">
        <f t="shared" si="131"/>
        <v>2E-3</v>
      </c>
      <c r="F1018" s="85">
        <f t="shared" si="132"/>
        <v>1E-3</v>
      </c>
      <c r="G1018" s="85">
        <f t="shared" si="133"/>
        <v>4.1887902047863909E-9</v>
      </c>
      <c r="H1018" s="85">
        <v>7800</v>
      </c>
      <c r="I1018" s="85">
        <f t="shared" si="134"/>
        <v>3.267256359733385E-5</v>
      </c>
      <c r="J1018" s="87">
        <v>1</v>
      </c>
      <c r="K1018" s="88">
        <f t="shared" si="135"/>
        <v>30606.719825364489</v>
      </c>
    </row>
    <row r="1019" spans="1:11" hidden="1" x14ac:dyDescent="0.25">
      <c r="A1019" t="str">
        <f t="shared" si="130"/>
        <v>420CØ2</v>
      </c>
      <c r="B1019" s="81" t="s">
        <v>295</v>
      </c>
      <c r="D1019" s="86">
        <v>2</v>
      </c>
      <c r="E1019" s="85">
        <f t="shared" si="131"/>
        <v>2E-3</v>
      </c>
      <c r="F1019" s="85">
        <f t="shared" si="132"/>
        <v>1E-3</v>
      </c>
      <c r="G1019" s="85">
        <f t="shared" si="133"/>
        <v>4.1887902047863909E-9</v>
      </c>
      <c r="H1019" s="85">
        <v>7700</v>
      </c>
      <c r="I1019" s="85">
        <f t="shared" si="134"/>
        <v>3.2253684576855209E-5</v>
      </c>
      <c r="J1019" s="87">
        <v>1</v>
      </c>
      <c r="K1019" s="88">
        <f t="shared" si="135"/>
        <v>31004.209693226367</v>
      </c>
    </row>
    <row r="1020" spans="1:11" hidden="1" x14ac:dyDescent="0.25">
      <c r="A1020" t="str">
        <f t="shared" si="130"/>
        <v>420CØ3,195</v>
      </c>
      <c r="B1020" s="81" t="s">
        <v>295</v>
      </c>
      <c r="C1020" s="101" t="s">
        <v>346</v>
      </c>
      <c r="D1020" s="86">
        <f>1/8*25.4+0.02</f>
        <v>3.1949999999999998</v>
      </c>
      <c r="E1020" s="85">
        <f t="shared" si="131"/>
        <v>3.1949999999999999E-3</v>
      </c>
      <c r="F1020" s="85">
        <f t="shared" si="132"/>
        <v>1.5975E-3</v>
      </c>
      <c r="G1020" s="85">
        <f t="shared" si="133"/>
        <v>1.7076985505129451E-8</v>
      </c>
      <c r="H1020" s="85">
        <v>7700</v>
      </c>
      <c r="I1020" s="85">
        <f t="shared" si="134"/>
        <v>1.3149278838949679E-4</v>
      </c>
      <c r="J1020" s="87">
        <v>1</v>
      </c>
      <c r="K1020" s="88">
        <f t="shared" si="135"/>
        <v>7604.9798034389905</v>
      </c>
    </row>
    <row r="1021" spans="1:11" hidden="1" x14ac:dyDescent="0.25">
      <c r="A1021" t="str">
        <f t="shared" si="130"/>
        <v>420CØ1</v>
      </c>
      <c r="B1021" s="81" t="s">
        <v>295</v>
      </c>
      <c r="D1021" s="86">
        <v>1</v>
      </c>
      <c r="E1021" s="85">
        <f t="shared" si="131"/>
        <v>1E-3</v>
      </c>
      <c r="F1021" s="85">
        <f t="shared" si="132"/>
        <v>5.0000000000000001E-4</v>
      </c>
      <c r="G1021" s="85">
        <f t="shared" si="133"/>
        <v>5.2359877559829886E-10</v>
      </c>
      <c r="H1021" s="85">
        <v>7700</v>
      </c>
      <c r="I1021" s="85">
        <f t="shared" si="134"/>
        <v>4.0317105721069012E-6</v>
      </c>
      <c r="J1021" s="87">
        <v>1</v>
      </c>
      <c r="K1021" s="88">
        <f t="shared" si="135"/>
        <v>248033.67754581093</v>
      </c>
    </row>
    <row r="1022" spans="1:11" hidden="1" x14ac:dyDescent="0.25">
      <c r="A1022" t="str">
        <f t="shared" si="130"/>
        <v>PMMAØ3</v>
      </c>
      <c r="B1022" s="81" t="s">
        <v>299</v>
      </c>
      <c r="D1022" s="86">
        <v>3</v>
      </c>
      <c r="E1022" s="85">
        <f t="shared" si="131"/>
        <v>3.0000000000000001E-3</v>
      </c>
      <c r="F1022" s="85">
        <f t="shared" si="132"/>
        <v>1.5E-3</v>
      </c>
      <c r="G1022" s="85">
        <f t="shared" si="133"/>
        <v>1.4137166941154068E-8</v>
      </c>
      <c r="H1022" s="85">
        <v>1180</v>
      </c>
      <c r="I1022" s="85">
        <f t="shared" si="134"/>
        <v>1.6681856990561799E-5</v>
      </c>
      <c r="J1022" s="87">
        <v>1</v>
      </c>
      <c r="K1022" s="88">
        <f t="shared" si="135"/>
        <v>59945.364629715768</v>
      </c>
    </row>
    <row r="1023" spans="1:11" hidden="1" x14ac:dyDescent="0.25">
      <c r="A1023" t="str">
        <f t="shared" si="130"/>
        <v>420CØ1</v>
      </c>
      <c r="B1023" s="81" t="s">
        <v>295</v>
      </c>
      <c r="D1023" s="86">
        <v>1</v>
      </c>
      <c r="E1023" s="85">
        <f t="shared" si="131"/>
        <v>1E-3</v>
      </c>
      <c r="F1023" s="85">
        <f t="shared" si="132"/>
        <v>5.0000000000000001E-4</v>
      </c>
      <c r="G1023" s="85">
        <f t="shared" si="133"/>
        <v>5.2359877559829886E-10</v>
      </c>
      <c r="H1023" s="85">
        <v>7700</v>
      </c>
      <c r="I1023" s="85">
        <f t="shared" si="134"/>
        <v>4.0317105721069012E-6</v>
      </c>
      <c r="J1023" s="87">
        <v>1</v>
      </c>
      <c r="K1023" s="88">
        <f t="shared" si="135"/>
        <v>248033.67754581093</v>
      </c>
    </row>
    <row r="1024" spans="1:11" hidden="1" x14ac:dyDescent="0.25">
      <c r="A1024" t="str">
        <f t="shared" si="130"/>
        <v>PMMAØ3</v>
      </c>
      <c r="B1024" s="81" t="s">
        <v>299</v>
      </c>
      <c r="D1024" s="86">
        <v>3</v>
      </c>
      <c r="E1024" s="85">
        <f t="shared" si="131"/>
        <v>3.0000000000000001E-3</v>
      </c>
      <c r="F1024" s="85">
        <f t="shared" si="132"/>
        <v>1.5E-3</v>
      </c>
      <c r="G1024" s="85">
        <f t="shared" si="133"/>
        <v>1.4137166941154068E-8</v>
      </c>
      <c r="H1024" s="85">
        <v>1180</v>
      </c>
      <c r="I1024" s="85">
        <f t="shared" si="134"/>
        <v>1.6681856990561799E-5</v>
      </c>
      <c r="J1024" s="87">
        <v>1</v>
      </c>
      <c r="K1024" s="88">
        <f t="shared" si="135"/>
        <v>59945.364629715768</v>
      </c>
    </row>
    <row r="1025" spans="1:11" hidden="1" x14ac:dyDescent="0.25">
      <c r="A1025" t="str">
        <f t="shared" si="130"/>
        <v>420CØ1</v>
      </c>
      <c r="B1025" s="81" t="s">
        <v>295</v>
      </c>
      <c r="D1025" s="86">
        <v>1</v>
      </c>
      <c r="E1025" s="85">
        <f t="shared" si="131"/>
        <v>1E-3</v>
      </c>
      <c r="F1025" s="85">
        <f t="shared" si="132"/>
        <v>5.0000000000000001E-4</v>
      </c>
      <c r="G1025" s="85">
        <f t="shared" si="133"/>
        <v>5.2359877559829886E-10</v>
      </c>
      <c r="H1025" s="85">
        <v>7700</v>
      </c>
      <c r="I1025" s="85">
        <f t="shared" si="134"/>
        <v>4.0317105721069012E-6</v>
      </c>
      <c r="J1025" s="87">
        <v>1</v>
      </c>
      <c r="K1025" s="88">
        <f t="shared" si="135"/>
        <v>248033.67754581093</v>
      </c>
    </row>
    <row r="1026" spans="1:11" hidden="1" x14ac:dyDescent="0.25">
      <c r="A1026" t="str">
        <f t="shared" si="130"/>
        <v>316Ø1,5875</v>
      </c>
      <c r="B1026" s="81">
        <v>316</v>
      </c>
      <c r="C1026" s="101" t="s">
        <v>246</v>
      </c>
      <c r="D1026" s="86">
        <f>1/16*25.4</f>
        <v>1.5874999999999999</v>
      </c>
      <c r="E1026" s="85">
        <f t="shared" si="131"/>
        <v>1.5874999999999999E-3</v>
      </c>
      <c r="F1026" s="85">
        <f t="shared" si="132"/>
        <v>7.9374999999999997E-4</v>
      </c>
      <c r="G1026" s="85">
        <f t="shared" si="133"/>
        <v>2.0947867788210349E-9</v>
      </c>
      <c r="H1026" s="85">
        <v>7950</v>
      </c>
      <c r="I1026" s="85">
        <f t="shared" si="134"/>
        <v>1.6653554891627226E-5</v>
      </c>
      <c r="J1026" s="87">
        <v>1</v>
      </c>
      <c r="K1026" s="88">
        <f t="shared" si="135"/>
        <v>60047.239553806132</v>
      </c>
    </row>
    <row r="1027" spans="1:11" hidden="1" x14ac:dyDescent="0.25">
      <c r="A1027" t="str">
        <f t="shared" si="130"/>
        <v>440CØ1</v>
      </c>
      <c r="B1027" s="81" t="s">
        <v>314</v>
      </c>
      <c r="D1027" s="86">
        <v>1</v>
      </c>
      <c r="E1027" s="85">
        <f t="shared" si="131"/>
        <v>1E-3</v>
      </c>
      <c r="F1027" s="85">
        <f t="shared" si="132"/>
        <v>5.0000000000000001E-4</v>
      </c>
      <c r="G1027" s="85">
        <f t="shared" si="133"/>
        <v>5.2359877559829886E-10</v>
      </c>
      <c r="H1027" s="85">
        <v>7650</v>
      </c>
      <c r="I1027" s="85">
        <f t="shared" si="134"/>
        <v>4.0055306333269866E-6</v>
      </c>
      <c r="J1027" s="87">
        <v>1</v>
      </c>
      <c r="K1027" s="88">
        <f t="shared" si="135"/>
        <v>249654.81269316914</v>
      </c>
    </row>
    <row r="1028" spans="1:11" hidden="1" x14ac:dyDescent="0.25">
      <c r="A1028" t="str">
        <f t="shared" ref="A1028:A1091" si="136">CONCATENATE(B1028,"Ø",D1028)</f>
        <v>WC-CoØ1</v>
      </c>
      <c r="B1028" s="81" t="s">
        <v>297</v>
      </c>
      <c r="D1028" s="86">
        <v>1</v>
      </c>
      <c r="E1028" s="85">
        <f t="shared" si="131"/>
        <v>1E-3</v>
      </c>
      <c r="F1028" s="85">
        <f t="shared" si="132"/>
        <v>5.0000000000000001E-4</v>
      </c>
      <c r="G1028" s="85">
        <f t="shared" si="133"/>
        <v>5.2359877559829886E-10</v>
      </c>
      <c r="H1028" s="85">
        <v>14950</v>
      </c>
      <c r="I1028" s="85">
        <f t="shared" si="134"/>
        <v>7.8278016951945674E-6</v>
      </c>
      <c r="J1028" s="87">
        <v>1</v>
      </c>
      <c r="K1028" s="88">
        <f t="shared" si="135"/>
        <v>127749.78709717352</v>
      </c>
    </row>
    <row r="1029" spans="1:11" hidden="1" x14ac:dyDescent="0.25">
      <c r="A1029" t="str">
        <f t="shared" si="136"/>
        <v>316Ø1</v>
      </c>
      <c r="B1029" s="81">
        <v>316</v>
      </c>
      <c r="D1029" s="86">
        <v>1</v>
      </c>
      <c r="E1029" s="85">
        <f t="shared" si="131"/>
        <v>1E-3</v>
      </c>
      <c r="F1029" s="85">
        <f t="shared" si="132"/>
        <v>5.0000000000000001E-4</v>
      </c>
      <c r="G1029" s="85">
        <f t="shared" si="133"/>
        <v>5.2359877559829886E-10</v>
      </c>
      <c r="H1029" s="85">
        <v>7950</v>
      </c>
      <c r="I1029" s="85">
        <f t="shared" si="134"/>
        <v>4.1626102660064759E-6</v>
      </c>
      <c r="J1029" s="87">
        <v>1</v>
      </c>
      <c r="K1029" s="88">
        <f t="shared" si="135"/>
        <v>240233.87636512503</v>
      </c>
    </row>
    <row r="1030" spans="1:11" hidden="1" x14ac:dyDescent="0.25">
      <c r="A1030" t="str">
        <f t="shared" si="136"/>
        <v>316Ø1</v>
      </c>
      <c r="B1030" s="81">
        <v>316</v>
      </c>
      <c r="D1030" s="86">
        <v>1</v>
      </c>
      <c r="E1030" s="85">
        <f t="shared" si="131"/>
        <v>1E-3</v>
      </c>
      <c r="F1030" s="85">
        <f t="shared" si="132"/>
        <v>5.0000000000000001E-4</v>
      </c>
      <c r="G1030" s="85">
        <f t="shared" si="133"/>
        <v>5.2359877559829886E-10</v>
      </c>
      <c r="H1030" s="85">
        <v>7950</v>
      </c>
      <c r="I1030" s="85">
        <f>H1030*G1030</f>
        <v>4.1626102660064759E-6</v>
      </c>
      <c r="J1030" s="87">
        <v>1</v>
      </c>
      <c r="K1030" s="88">
        <f>J1030/I1030</f>
        <v>240233.87636512503</v>
      </c>
    </row>
    <row r="1031" spans="1:11" hidden="1" x14ac:dyDescent="0.25">
      <c r="A1031" t="str">
        <f t="shared" si="136"/>
        <v>316Ø1</v>
      </c>
      <c r="B1031" s="81">
        <v>316</v>
      </c>
      <c r="D1031" s="86">
        <v>1</v>
      </c>
      <c r="E1031" s="85">
        <f t="shared" si="131"/>
        <v>1E-3</v>
      </c>
      <c r="F1031" s="85">
        <f t="shared" si="132"/>
        <v>5.0000000000000001E-4</v>
      </c>
      <c r="G1031" s="85">
        <f t="shared" si="133"/>
        <v>5.2359877559829886E-10</v>
      </c>
      <c r="H1031" s="85">
        <v>7950</v>
      </c>
      <c r="I1031" s="85">
        <f>H1031*G1031</f>
        <v>4.1626102660064759E-6</v>
      </c>
      <c r="J1031" s="87">
        <v>1</v>
      </c>
      <c r="K1031" s="88">
        <f>J1031/I1031</f>
        <v>240233.87636512503</v>
      </c>
    </row>
    <row r="1032" spans="1:11" hidden="1" x14ac:dyDescent="0.25">
      <c r="A1032" t="str">
        <f t="shared" si="136"/>
        <v>316Ø1</v>
      </c>
      <c r="B1032" s="81">
        <v>316</v>
      </c>
      <c r="D1032" s="86">
        <v>1</v>
      </c>
      <c r="E1032" s="85">
        <f t="shared" si="131"/>
        <v>1E-3</v>
      </c>
      <c r="F1032" s="85">
        <f t="shared" si="132"/>
        <v>5.0000000000000001E-4</v>
      </c>
      <c r="G1032" s="85">
        <f t="shared" si="133"/>
        <v>5.2359877559829886E-10</v>
      </c>
      <c r="H1032" s="85">
        <v>7950</v>
      </c>
      <c r="I1032" s="85">
        <f>H1032*G1032</f>
        <v>4.1626102660064759E-6</v>
      </c>
      <c r="J1032" s="87">
        <v>1</v>
      </c>
      <c r="K1032" s="88">
        <f>J1032/I1032</f>
        <v>240233.87636512503</v>
      </c>
    </row>
    <row r="1033" spans="1:11" hidden="1" x14ac:dyDescent="0.25">
      <c r="A1033" t="str">
        <f t="shared" si="136"/>
        <v>316Ø2</v>
      </c>
      <c r="B1033" s="81">
        <v>316</v>
      </c>
      <c r="D1033" s="86">
        <v>2</v>
      </c>
      <c r="E1033" s="85">
        <f t="shared" si="131"/>
        <v>2E-3</v>
      </c>
      <c r="F1033" s="85">
        <f t="shared" si="132"/>
        <v>1E-3</v>
      </c>
      <c r="G1033" s="85">
        <f t="shared" si="133"/>
        <v>4.1887902047863909E-9</v>
      </c>
      <c r="H1033" s="85">
        <v>7950</v>
      </c>
      <c r="I1033" s="85">
        <f>H1033*G1033</f>
        <v>3.3300882128051807E-5</v>
      </c>
      <c r="J1033" s="87">
        <v>1</v>
      </c>
      <c r="K1033" s="88">
        <f>J1033/I1033</f>
        <v>30029.234545640629</v>
      </c>
    </row>
    <row r="1034" spans="1:11" hidden="1" x14ac:dyDescent="0.25">
      <c r="A1034" t="str">
        <f t="shared" si="136"/>
        <v>100CrMn6Ø45,125</v>
      </c>
      <c r="B1034" s="81" t="s">
        <v>316</v>
      </c>
      <c r="D1034" s="86">
        <v>45.125</v>
      </c>
      <c r="E1034" s="85">
        <f t="shared" si="131"/>
        <v>4.5124999999999998E-2</v>
      </c>
      <c r="F1034" s="85">
        <f t="shared" si="132"/>
        <v>2.2562499999999999E-2</v>
      </c>
      <c r="G1034" s="85">
        <f t="shared" si="133"/>
        <v>4.8111651735436067E-5</v>
      </c>
      <c r="H1034" s="85">
        <v>7850</v>
      </c>
      <c r="I1034" s="85">
        <f>H1034*G1034</f>
        <v>0.37767646612317313</v>
      </c>
      <c r="J1034" s="87">
        <v>1</v>
      </c>
      <c r="K1034" s="88">
        <f>J1034/I1034</f>
        <v>2.647768896656288</v>
      </c>
    </row>
    <row r="1035" spans="1:11" hidden="1" x14ac:dyDescent="0.25">
      <c r="A1035" t="str">
        <f t="shared" si="136"/>
        <v>100CrMn6Ø45,125</v>
      </c>
      <c r="B1035" s="81" t="s">
        <v>316</v>
      </c>
      <c r="D1035" s="86">
        <v>45.125</v>
      </c>
      <c r="E1035" s="85">
        <f t="shared" si="131"/>
        <v>4.5124999999999998E-2</v>
      </c>
      <c r="F1035" s="85">
        <f t="shared" si="132"/>
        <v>2.2562499999999999E-2</v>
      </c>
      <c r="G1035" s="85">
        <f t="shared" si="133"/>
        <v>4.8111651735436067E-5</v>
      </c>
      <c r="H1035" s="85">
        <v>7850</v>
      </c>
      <c r="I1035" s="85">
        <f t="shared" ref="I1035:I1042" si="137">H1035*G1035</f>
        <v>0.37767646612317313</v>
      </c>
      <c r="J1035" s="87">
        <v>1</v>
      </c>
      <c r="K1035" s="88">
        <f t="shared" ref="K1035:K1042" si="138">J1035/I1035</f>
        <v>2.647768896656288</v>
      </c>
    </row>
    <row r="1036" spans="1:11" hidden="1" x14ac:dyDescent="0.25">
      <c r="A1036" t="str">
        <f t="shared" si="136"/>
        <v>VitonØ2,38125</v>
      </c>
      <c r="B1036" s="81" t="s">
        <v>347</v>
      </c>
      <c r="C1036" s="101" t="s">
        <v>213</v>
      </c>
      <c r="D1036" s="86">
        <f>3/32*25.4</f>
        <v>2.3812499999999996</v>
      </c>
      <c r="E1036" s="85">
        <f t="shared" si="131"/>
        <v>2.3812499999999997E-3</v>
      </c>
      <c r="F1036" s="85">
        <f t="shared" si="132"/>
        <v>1.1906249999999998E-3</v>
      </c>
      <c r="G1036" s="85">
        <f t="shared" si="133"/>
        <v>7.0699053785209917E-9</v>
      </c>
      <c r="H1036" s="85">
        <v>1840</v>
      </c>
      <c r="I1036" s="85">
        <f t="shared" si="137"/>
        <v>1.3008625896478625E-5</v>
      </c>
      <c r="J1036" s="87">
        <v>1</v>
      </c>
      <c r="K1036" s="88">
        <f t="shared" si="138"/>
        <v>76872.069960186593</v>
      </c>
    </row>
    <row r="1037" spans="1:11" hidden="1" x14ac:dyDescent="0.25">
      <c r="A1037" t="str">
        <f t="shared" si="136"/>
        <v>440CØ0,6</v>
      </c>
      <c r="B1037" s="81" t="s">
        <v>314</v>
      </c>
      <c r="D1037" s="86">
        <v>0.6</v>
      </c>
      <c r="E1037" s="85">
        <f t="shared" si="131"/>
        <v>5.9999999999999995E-4</v>
      </c>
      <c r="F1037" s="85">
        <f t="shared" si="132"/>
        <v>2.9999999999999997E-4</v>
      </c>
      <c r="G1037" s="85">
        <f t="shared" si="133"/>
        <v>1.1309733552923252E-10</v>
      </c>
      <c r="H1037" s="85">
        <v>7700</v>
      </c>
      <c r="I1037" s="85">
        <f t="shared" si="137"/>
        <v>8.708494835750904E-7</v>
      </c>
      <c r="J1037" s="87">
        <v>1</v>
      </c>
      <c r="K1037" s="88">
        <f t="shared" si="138"/>
        <v>1148304.062712088</v>
      </c>
    </row>
    <row r="1038" spans="1:11" hidden="1" x14ac:dyDescent="0.25">
      <c r="A1038" t="str">
        <f t="shared" si="136"/>
        <v>Bronzo AlluminioØ38,1</v>
      </c>
      <c r="B1038" s="81" t="s">
        <v>348</v>
      </c>
      <c r="C1038" s="101" t="s">
        <v>283</v>
      </c>
      <c r="D1038" s="86">
        <f>25.4+1/2*25.4</f>
        <v>38.099999999999994</v>
      </c>
      <c r="E1038" s="85">
        <f t="shared" si="131"/>
        <v>3.8099999999999995E-2</v>
      </c>
      <c r="F1038" s="85">
        <f t="shared" si="132"/>
        <v>1.9049999999999997E-2</v>
      </c>
      <c r="G1038" s="85">
        <f t="shared" si="133"/>
        <v>2.8958332430421982E-5</v>
      </c>
      <c r="H1038" s="85">
        <v>7660</v>
      </c>
      <c r="I1038" s="85">
        <f t="shared" si="137"/>
        <v>0.22182082641703238</v>
      </c>
      <c r="J1038" s="87">
        <v>1</v>
      </c>
      <c r="K1038" s="88">
        <f t="shared" si="138"/>
        <v>4.5081429735545138</v>
      </c>
    </row>
    <row r="1039" spans="1:11" hidden="1" x14ac:dyDescent="0.25">
      <c r="A1039" t="str">
        <f t="shared" si="136"/>
        <v>440CØ0,6</v>
      </c>
      <c r="B1039" s="81" t="s">
        <v>314</v>
      </c>
      <c r="D1039" s="86">
        <v>0.6</v>
      </c>
      <c r="E1039" s="85">
        <f t="shared" si="131"/>
        <v>5.9999999999999995E-4</v>
      </c>
      <c r="F1039" s="85">
        <f t="shared" si="132"/>
        <v>2.9999999999999997E-4</v>
      </c>
      <c r="G1039" s="85">
        <f t="shared" si="133"/>
        <v>1.1309733552923252E-10</v>
      </c>
      <c r="H1039" s="85">
        <v>7700</v>
      </c>
      <c r="I1039" s="85">
        <f t="shared" si="137"/>
        <v>8.708494835750904E-7</v>
      </c>
      <c r="J1039" s="87">
        <v>1</v>
      </c>
      <c r="K1039" s="88">
        <f t="shared" si="138"/>
        <v>1148304.062712088</v>
      </c>
    </row>
    <row r="1040" spans="1:11" hidden="1" x14ac:dyDescent="0.25">
      <c r="A1040" t="str">
        <f t="shared" si="136"/>
        <v>440CØ0,6</v>
      </c>
      <c r="B1040" s="81" t="s">
        <v>314</v>
      </c>
      <c r="D1040" s="86">
        <v>0.6</v>
      </c>
      <c r="E1040" s="85">
        <f t="shared" si="131"/>
        <v>5.9999999999999995E-4</v>
      </c>
      <c r="F1040" s="85">
        <f t="shared" si="132"/>
        <v>2.9999999999999997E-4</v>
      </c>
      <c r="G1040" s="85">
        <f t="shared" si="133"/>
        <v>1.1309733552923252E-10</v>
      </c>
      <c r="H1040" s="85">
        <v>7700</v>
      </c>
      <c r="I1040" s="85">
        <f t="shared" si="137"/>
        <v>8.708494835750904E-7</v>
      </c>
      <c r="J1040" s="87">
        <v>1</v>
      </c>
      <c r="K1040" s="88">
        <f t="shared" si="138"/>
        <v>1148304.062712088</v>
      </c>
    </row>
    <row r="1041" spans="1:11" hidden="1" x14ac:dyDescent="0.25">
      <c r="A1041" t="str">
        <f t="shared" si="136"/>
        <v>WC-CoØ1</v>
      </c>
      <c r="B1041" s="81" t="s">
        <v>297</v>
      </c>
      <c r="D1041" s="86">
        <v>1</v>
      </c>
      <c r="E1041" s="85">
        <f t="shared" si="131"/>
        <v>1E-3</v>
      </c>
      <c r="F1041" s="85">
        <f t="shared" si="132"/>
        <v>5.0000000000000001E-4</v>
      </c>
      <c r="G1041" s="85">
        <f t="shared" si="133"/>
        <v>5.2359877559829886E-10</v>
      </c>
      <c r="H1041" s="85">
        <v>14950</v>
      </c>
      <c r="I1041" s="85">
        <f t="shared" si="137"/>
        <v>7.8278016951945674E-6</v>
      </c>
      <c r="J1041" s="87">
        <v>1</v>
      </c>
      <c r="K1041" s="88">
        <f t="shared" si="138"/>
        <v>127749.78709717352</v>
      </c>
    </row>
    <row r="1042" spans="1:11" hidden="1" x14ac:dyDescent="0.25">
      <c r="A1042" t="str">
        <f t="shared" si="136"/>
        <v>304Ø3,94875</v>
      </c>
      <c r="B1042" s="81">
        <v>304</v>
      </c>
      <c r="C1042" s="101" t="s">
        <v>349</v>
      </c>
      <c r="D1042" s="86">
        <f>5/32*25.4-0.02</f>
        <v>3.94875</v>
      </c>
      <c r="E1042" s="85">
        <f t="shared" si="131"/>
        <v>3.94875E-3</v>
      </c>
      <c r="F1042" s="85">
        <f t="shared" si="132"/>
        <v>1.974375E-3</v>
      </c>
      <c r="G1042" s="85">
        <f t="shared" si="133"/>
        <v>3.2238701346901108E-8</v>
      </c>
      <c r="H1042" s="85">
        <v>7950</v>
      </c>
      <c r="I1042" s="85">
        <f t="shared" si="137"/>
        <v>2.562976757078638E-4</v>
      </c>
      <c r="J1042" s="87">
        <v>1</v>
      </c>
      <c r="K1042" s="88">
        <f t="shared" si="138"/>
        <v>3901.7131046472368</v>
      </c>
    </row>
    <row r="1043" spans="1:11" hidden="1" x14ac:dyDescent="0.25">
      <c r="A1043" t="str">
        <f t="shared" si="136"/>
        <v>304Ø3,94875</v>
      </c>
      <c r="B1043" s="81">
        <v>304</v>
      </c>
      <c r="C1043" s="101" t="s">
        <v>349</v>
      </c>
      <c r="D1043" s="86">
        <f>5/32*25.4-0.02</f>
        <v>3.94875</v>
      </c>
      <c r="E1043" s="85">
        <f>D1043/1000</f>
        <v>3.94875E-3</v>
      </c>
      <c r="F1043" s="85">
        <f>E1043/2</f>
        <v>1.974375E-3</v>
      </c>
      <c r="G1043" s="85">
        <f>4/3*PI()*F1043*F1043*F1043</f>
        <v>3.2238701346901108E-8</v>
      </c>
      <c r="H1043" s="85">
        <v>7950</v>
      </c>
      <c r="I1043" s="85">
        <f>H1043*G1043</f>
        <v>2.562976757078638E-4</v>
      </c>
      <c r="J1043" s="87">
        <v>1</v>
      </c>
      <c r="K1043" s="88">
        <f>J1043/I1043</f>
        <v>3901.7131046472368</v>
      </c>
    </row>
    <row r="1044" spans="1:11" hidden="1" x14ac:dyDescent="0.25">
      <c r="A1044" t="str">
        <f t="shared" si="136"/>
        <v>WC-CoØ1,1</v>
      </c>
      <c r="B1044" s="81" t="s">
        <v>297</v>
      </c>
      <c r="D1044" s="86">
        <v>1.1000000000000001</v>
      </c>
      <c r="E1044" s="85">
        <f>D1044/1000</f>
        <v>1.1000000000000001E-3</v>
      </c>
      <c r="F1044" s="85">
        <f>E1044/2</f>
        <v>5.5000000000000003E-4</v>
      </c>
      <c r="G1044" s="85">
        <f>4/3*PI()*F1044*F1044*F1044</f>
        <v>6.9690997032133588E-10</v>
      </c>
      <c r="H1044" s="85">
        <v>14950</v>
      </c>
      <c r="I1044" s="85">
        <f>H1044*G1044</f>
        <v>1.0418804056303971E-5</v>
      </c>
      <c r="J1044" s="87">
        <v>1</v>
      </c>
      <c r="K1044" s="88">
        <f>J1044/I1044</f>
        <v>95980.305858131862</v>
      </c>
    </row>
    <row r="1045" spans="1:11" hidden="1" x14ac:dyDescent="0.25">
      <c r="A1045" t="str">
        <f t="shared" si="136"/>
        <v>VESCØ16</v>
      </c>
      <c r="B1045" s="81" t="s">
        <v>210</v>
      </c>
      <c r="D1045" s="86">
        <v>16</v>
      </c>
      <c r="E1045" s="85">
        <f>D1045/1000</f>
        <v>1.6E-2</v>
      </c>
      <c r="F1045" s="85">
        <f>E1045/2</f>
        <v>8.0000000000000002E-3</v>
      </c>
      <c r="G1045" s="85">
        <f>4/3*PI()*F1045*F1045*F1045</f>
        <v>2.1446605848506321E-6</v>
      </c>
      <c r="H1045" s="85">
        <v>2500</v>
      </c>
      <c r="I1045" s="85">
        <f>H1045*G1045</f>
        <v>5.3616514621265803E-3</v>
      </c>
      <c r="J1045" s="87">
        <v>1</v>
      </c>
      <c r="K1045" s="88">
        <f>J1045/I1045</f>
        <v>186.50969893581484</v>
      </c>
    </row>
    <row r="1046" spans="1:11" hidden="1" x14ac:dyDescent="0.25">
      <c r="A1046" t="str">
        <f t="shared" si="136"/>
        <v>52100Ø5,54</v>
      </c>
      <c r="B1046" s="81">
        <v>52100</v>
      </c>
      <c r="D1046" s="86">
        <v>5.54</v>
      </c>
      <c r="E1046" s="85">
        <f>D1046/1000</f>
        <v>5.5399999999999998E-3</v>
      </c>
      <c r="F1046" s="85">
        <f>E1046/2</f>
        <v>2.7699999999999999E-3</v>
      </c>
      <c r="G1046" s="85">
        <f>4/3*PI()*F1046*F1046*F1046</f>
        <v>8.9028266363586213E-8</v>
      </c>
      <c r="H1046" s="85">
        <v>7800</v>
      </c>
      <c r="I1046" s="85">
        <f>H1046*G1046</f>
        <v>6.944204776359725E-4</v>
      </c>
      <c r="J1046" s="87">
        <v>1</v>
      </c>
      <c r="K1046" s="88">
        <f>J1046/I1046</f>
        <v>1440.0496992892795</v>
      </c>
    </row>
    <row r="1047" spans="1:11" hidden="1" x14ac:dyDescent="0.25">
      <c r="A1047" t="str">
        <f t="shared" si="136"/>
        <v>52100Ø5,4</v>
      </c>
      <c r="B1047" s="81">
        <v>52100</v>
      </c>
      <c r="D1047" s="86">
        <v>5.4</v>
      </c>
      <c r="E1047" s="85">
        <f t="shared" ref="E1047:E1091" si="139">D1047/1000</f>
        <v>5.4000000000000003E-3</v>
      </c>
      <c r="F1047" s="85">
        <f t="shared" ref="F1047:F1091" si="140">E1047/2</f>
        <v>2.7000000000000001E-3</v>
      </c>
      <c r="G1047" s="85">
        <f t="shared" ref="G1047:G1091" si="141">4/3*PI()*F1047*F1047*F1047</f>
        <v>8.2447957600810529E-8</v>
      </c>
      <c r="H1047" s="85">
        <v>7800</v>
      </c>
      <c r="I1047" s="85">
        <f t="shared" ref="I1047:I1110" si="142">H1047*G1047</f>
        <v>6.430940692863221E-4</v>
      </c>
      <c r="J1047" s="87">
        <v>1</v>
      </c>
      <c r="K1047" s="88">
        <f t="shared" ref="K1047:K1110" si="143">J1047/I1047</f>
        <v>1554.9824633117153</v>
      </c>
    </row>
    <row r="1048" spans="1:11" hidden="1" x14ac:dyDescent="0.25">
      <c r="A1048" t="str">
        <f t="shared" si="136"/>
        <v>52100Ø5,65625</v>
      </c>
      <c r="B1048" s="81">
        <v>52100</v>
      </c>
      <c r="C1048" s="101" t="s">
        <v>350</v>
      </c>
      <c r="D1048" s="86">
        <f>7/32*25.4+0.1</f>
        <v>5.6562499999999991</v>
      </c>
      <c r="E1048" s="85">
        <f t="shared" si="139"/>
        <v>5.656249999999999E-3</v>
      </c>
      <c r="F1048" s="85">
        <f t="shared" si="140"/>
        <v>2.8281249999999995E-3</v>
      </c>
      <c r="G1048" s="85">
        <f t="shared" si="141"/>
        <v>9.4751133032685246E-8</v>
      </c>
      <c r="H1048" s="85">
        <v>7800</v>
      </c>
      <c r="I1048" s="85">
        <f t="shared" si="142"/>
        <v>7.3905883765494488E-4</v>
      </c>
      <c r="J1048" s="87">
        <v>1</v>
      </c>
      <c r="K1048" s="88">
        <f t="shared" si="143"/>
        <v>1353.072244116624</v>
      </c>
    </row>
    <row r="1049" spans="1:11" hidden="1" x14ac:dyDescent="0.25">
      <c r="A1049" t="str">
        <f t="shared" si="136"/>
        <v>52100Ø1,2</v>
      </c>
      <c r="B1049" s="81">
        <v>52100</v>
      </c>
      <c r="D1049" s="86">
        <v>1.2</v>
      </c>
      <c r="E1049" s="85">
        <f t="shared" si="139"/>
        <v>1.1999999999999999E-3</v>
      </c>
      <c r="F1049" s="85">
        <f t="shared" si="140"/>
        <v>5.9999999999999995E-4</v>
      </c>
      <c r="G1049" s="85">
        <f t="shared" si="141"/>
        <v>9.0477868423386013E-10</v>
      </c>
      <c r="H1049" s="85">
        <v>7800</v>
      </c>
      <c r="I1049" s="85">
        <f t="shared" si="142"/>
        <v>7.0572737370241092E-6</v>
      </c>
      <c r="J1049" s="87">
        <v>1</v>
      </c>
      <c r="K1049" s="88">
        <f t="shared" si="143"/>
        <v>141697.77696928009</v>
      </c>
    </row>
    <row r="1050" spans="1:11" hidden="1" x14ac:dyDescent="0.25">
      <c r="A1050" t="str">
        <f t="shared" si="136"/>
        <v>Al2O3Ø1,5</v>
      </c>
      <c r="B1050" s="81" t="s">
        <v>217</v>
      </c>
      <c r="D1050" s="86">
        <v>1.5</v>
      </c>
      <c r="E1050" s="85">
        <f t="shared" si="139"/>
        <v>1.5E-3</v>
      </c>
      <c r="F1050" s="85">
        <f t="shared" si="140"/>
        <v>7.5000000000000002E-4</v>
      </c>
      <c r="G1050" s="85">
        <f t="shared" si="141"/>
        <v>1.7671458676442585E-9</v>
      </c>
      <c r="H1050" s="85">
        <v>3900</v>
      </c>
      <c r="I1050" s="85">
        <f t="shared" si="142"/>
        <v>6.8918688838126086E-6</v>
      </c>
      <c r="J1050" s="87">
        <v>1</v>
      </c>
      <c r="K1050" s="88">
        <f t="shared" si="143"/>
        <v>145098.52361654275</v>
      </c>
    </row>
    <row r="1051" spans="1:11" hidden="1" x14ac:dyDescent="0.25">
      <c r="A1051" t="str">
        <f t="shared" si="136"/>
        <v>316Ø11,90625</v>
      </c>
      <c r="B1051" s="81">
        <v>316</v>
      </c>
      <c r="C1051" s="101" t="s">
        <v>272</v>
      </c>
      <c r="D1051" s="86">
        <f>15/32*25.4</f>
        <v>11.90625</v>
      </c>
      <c r="E1051" s="85">
        <f t="shared" si="139"/>
        <v>1.190625E-2</v>
      </c>
      <c r="F1051" s="85">
        <f t="shared" si="140"/>
        <v>5.9531250000000001E-3</v>
      </c>
      <c r="G1051" s="85">
        <f t="shared" si="141"/>
        <v>8.837381723151244E-7</v>
      </c>
      <c r="H1051" s="85">
        <v>7950</v>
      </c>
      <c r="I1051" s="85">
        <f t="shared" si="142"/>
        <v>7.0257184699052391E-3</v>
      </c>
      <c r="J1051" s="87">
        <v>1</v>
      </c>
      <c r="K1051" s="88">
        <f t="shared" si="143"/>
        <v>142.33419746087372</v>
      </c>
    </row>
    <row r="1052" spans="1:11" hidden="1" x14ac:dyDescent="0.25">
      <c r="A1052" t="str">
        <f t="shared" si="136"/>
        <v>420CØ7,9375</v>
      </c>
      <c r="B1052" s="81" t="s">
        <v>295</v>
      </c>
      <c r="C1052" s="101" t="s">
        <v>252</v>
      </c>
      <c r="D1052" s="86">
        <f>5/16*25.4</f>
        <v>7.9375</v>
      </c>
      <c r="E1052" s="85">
        <f t="shared" si="139"/>
        <v>7.9375000000000001E-3</v>
      </c>
      <c r="F1052" s="85">
        <f t="shared" si="140"/>
        <v>3.9687500000000001E-3</v>
      </c>
      <c r="G1052" s="85">
        <f t="shared" si="141"/>
        <v>2.6184834735262947E-7</v>
      </c>
      <c r="H1052" s="85">
        <v>7700</v>
      </c>
      <c r="I1052" s="85">
        <f t="shared" si="142"/>
        <v>2.016232274615247E-3</v>
      </c>
      <c r="J1052" s="87">
        <v>1</v>
      </c>
      <c r="K1052" s="88">
        <f t="shared" si="143"/>
        <v>495.97460202884002</v>
      </c>
    </row>
    <row r="1053" spans="1:11" hidden="1" x14ac:dyDescent="0.25">
      <c r="A1053" t="str">
        <f t="shared" si="136"/>
        <v>420CØ11,1125</v>
      </c>
      <c r="B1053" s="81" t="s">
        <v>295</v>
      </c>
      <c r="C1053" s="101" t="s">
        <v>274</v>
      </c>
      <c r="D1053" s="86">
        <f>7/16*25.4</f>
        <v>11.112499999999999</v>
      </c>
      <c r="E1053" s="85">
        <f t="shared" si="139"/>
        <v>1.1112499999999999E-2</v>
      </c>
      <c r="F1053" s="85">
        <f t="shared" si="140"/>
        <v>5.5562499999999996E-3</v>
      </c>
      <c r="G1053" s="85">
        <f t="shared" si="141"/>
        <v>7.1851186513561499E-7</v>
      </c>
      <c r="H1053" s="85">
        <v>7700</v>
      </c>
      <c r="I1053" s="85">
        <f t="shared" si="142"/>
        <v>5.5325413615442357E-3</v>
      </c>
      <c r="J1053" s="87">
        <v>1</v>
      </c>
      <c r="K1053" s="88">
        <f t="shared" si="143"/>
        <v>180.74876167231787</v>
      </c>
    </row>
    <row r="1054" spans="1:11" hidden="1" x14ac:dyDescent="0.25">
      <c r="A1054" t="str">
        <f t="shared" si="136"/>
        <v>PA6.6Ø20</v>
      </c>
      <c r="B1054" s="81" t="s">
        <v>244</v>
      </c>
      <c r="D1054" s="86">
        <v>20</v>
      </c>
      <c r="E1054" s="85">
        <f t="shared" si="139"/>
        <v>0.02</v>
      </c>
      <c r="F1054" s="85">
        <f t="shared" si="140"/>
        <v>0.01</v>
      </c>
      <c r="G1054" s="85">
        <f t="shared" si="141"/>
        <v>4.1887902047863905E-6</v>
      </c>
      <c r="H1054" s="85">
        <v>1110</v>
      </c>
      <c r="I1054" s="85">
        <f t="shared" si="142"/>
        <v>4.6495571273128932E-3</v>
      </c>
      <c r="J1054" s="87">
        <v>1</v>
      </c>
      <c r="K1054" s="88">
        <f t="shared" si="143"/>
        <v>215.07424742148021</v>
      </c>
    </row>
    <row r="1055" spans="1:11" hidden="1" x14ac:dyDescent="0.25">
      <c r="A1055" t="str">
        <f t="shared" si="136"/>
        <v>52100Ø0,396875</v>
      </c>
      <c r="B1055" s="81">
        <v>52100</v>
      </c>
      <c r="C1055" s="101" t="s">
        <v>211</v>
      </c>
      <c r="D1055" s="86">
        <f>1/64*25.4</f>
        <v>0.39687499999999998</v>
      </c>
      <c r="E1055" s="85">
        <f t="shared" si="139"/>
        <v>3.9687499999999998E-4</v>
      </c>
      <c r="F1055" s="85">
        <f t="shared" si="140"/>
        <v>1.9843749999999999E-4</v>
      </c>
      <c r="G1055" s="85">
        <f t="shared" si="141"/>
        <v>3.273104341907867E-11</v>
      </c>
      <c r="H1055" s="85">
        <v>7800</v>
      </c>
      <c r="I1055" s="85">
        <f t="shared" si="142"/>
        <v>2.5530213866881361E-7</v>
      </c>
      <c r="J1055" s="87">
        <v>1</v>
      </c>
      <c r="K1055" s="88">
        <f t="shared" si="143"/>
        <v>3916927.6262790463</v>
      </c>
    </row>
    <row r="1056" spans="1:11" hidden="1" x14ac:dyDescent="0.25">
      <c r="A1056" t="str">
        <f t="shared" si="136"/>
        <v>PMMAØ1,5875</v>
      </c>
      <c r="B1056" s="81" t="s">
        <v>299</v>
      </c>
      <c r="C1056" s="101" t="s">
        <v>246</v>
      </c>
      <c r="D1056" s="86">
        <f>1/16*25.4</f>
        <v>1.5874999999999999</v>
      </c>
      <c r="E1056" s="85">
        <f t="shared" si="139"/>
        <v>1.5874999999999999E-3</v>
      </c>
      <c r="F1056" s="85">
        <f t="shared" si="140"/>
        <v>7.9374999999999997E-4</v>
      </c>
      <c r="G1056" s="85">
        <f t="shared" si="141"/>
        <v>2.0947867788210349E-9</v>
      </c>
      <c r="H1056" s="85">
        <v>1180</v>
      </c>
      <c r="I1056" s="85">
        <f t="shared" si="142"/>
        <v>2.4718483990088211E-6</v>
      </c>
      <c r="J1056" s="87">
        <v>1</v>
      </c>
      <c r="K1056" s="88">
        <f t="shared" si="143"/>
        <v>404555.55462098197</v>
      </c>
    </row>
    <row r="1057" spans="1:11" hidden="1" x14ac:dyDescent="0.25">
      <c r="A1057" t="str">
        <f t="shared" si="136"/>
        <v>PA6.6Ø19,05</v>
      </c>
      <c r="B1057" s="81" t="s">
        <v>244</v>
      </c>
      <c r="C1057" s="101" t="s">
        <v>262</v>
      </c>
      <c r="D1057" s="86">
        <f>3/4*25.4</f>
        <v>19.049999999999997</v>
      </c>
      <c r="E1057" s="85">
        <f t="shared" si="139"/>
        <v>1.9049999999999997E-2</v>
      </c>
      <c r="F1057" s="85">
        <f t="shared" si="140"/>
        <v>9.5249999999999987E-3</v>
      </c>
      <c r="G1057" s="85">
        <f t="shared" si="141"/>
        <v>3.6197915538027477E-6</v>
      </c>
      <c r="H1057" s="85">
        <v>1110</v>
      </c>
      <c r="I1057" s="85">
        <f t="shared" si="142"/>
        <v>4.0179686247210503E-3</v>
      </c>
      <c r="J1057" s="87">
        <v>1</v>
      </c>
      <c r="K1057" s="88">
        <f t="shared" si="143"/>
        <v>248.88198326073928</v>
      </c>
    </row>
    <row r="1058" spans="1:11" hidden="1" x14ac:dyDescent="0.25">
      <c r="A1058" t="str">
        <f t="shared" si="136"/>
        <v>PA6.6Ø22,225</v>
      </c>
      <c r="B1058" s="81" t="s">
        <v>244</v>
      </c>
      <c r="C1058" s="101" t="s">
        <v>258</v>
      </c>
      <c r="D1058" s="86">
        <f>7/8*25.4</f>
        <v>22.224999999999998</v>
      </c>
      <c r="E1058" s="85">
        <f t="shared" si="139"/>
        <v>2.2224999999999998E-2</v>
      </c>
      <c r="F1058" s="85">
        <f t="shared" si="140"/>
        <v>1.1112499999999999E-2</v>
      </c>
      <c r="G1058" s="85">
        <f t="shared" si="141"/>
        <v>5.7480949210849199E-6</v>
      </c>
      <c r="H1058" s="85">
        <v>1110</v>
      </c>
      <c r="I1058" s="85">
        <f t="shared" si="142"/>
        <v>6.3803853624042608E-3</v>
      </c>
      <c r="J1058" s="87">
        <v>1</v>
      </c>
      <c r="K1058" s="88">
        <f t="shared" si="143"/>
        <v>156.73034514378915</v>
      </c>
    </row>
    <row r="1059" spans="1:11" hidden="1" x14ac:dyDescent="0.25">
      <c r="A1059" t="str">
        <f t="shared" si="136"/>
        <v>POMØ19,05</v>
      </c>
      <c r="B1059" s="81" t="s">
        <v>201</v>
      </c>
      <c r="C1059" s="101" t="s">
        <v>262</v>
      </c>
      <c r="D1059" s="86">
        <f>3/4*25.4</f>
        <v>19.049999999999997</v>
      </c>
      <c r="E1059" s="85">
        <f t="shared" si="139"/>
        <v>1.9049999999999997E-2</v>
      </c>
      <c r="F1059" s="85">
        <f t="shared" si="140"/>
        <v>9.5249999999999987E-3</v>
      </c>
      <c r="G1059" s="85">
        <f t="shared" si="141"/>
        <v>3.6197915538027477E-6</v>
      </c>
      <c r="H1059" s="85">
        <v>1370</v>
      </c>
      <c r="I1059" s="85">
        <f t="shared" si="142"/>
        <v>4.9591144287097644E-3</v>
      </c>
      <c r="J1059" s="87">
        <v>1</v>
      </c>
      <c r="K1059" s="88">
        <f t="shared" si="143"/>
        <v>201.64890614556248</v>
      </c>
    </row>
    <row r="1060" spans="1:11" hidden="1" x14ac:dyDescent="0.25">
      <c r="A1060" t="str">
        <f t="shared" si="136"/>
        <v>POMØ22</v>
      </c>
      <c r="B1060" s="81" t="s">
        <v>201</v>
      </c>
      <c r="D1060" s="86">
        <v>22</v>
      </c>
      <c r="E1060" s="85">
        <f t="shared" si="139"/>
        <v>2.1999999999999999E-2</v>
      </c>
      <c r="F1060" s="85">
        <f t="shared" si="140"/>
        <v>1.0999999999999999E-2</v>
      </c>
      <c r="G1060" s="85">
        <f t="shared" si="141"/>
        <v>5.5752797625706841E-6</v>
      </c>
      <c r="H1060" s="85">
        <v>1370</v>
      </c>
      <c r="I1060" s="85">
        <f t="shared" si="142"/>
        <v>7.6381332747218374E-3</v>
      </c>
      <c r="J1060" s="87">
        <v>1</v>
      </c>
      <c r="K1060" s="88">
        <f t="shared" si="143"/>
        <v>130.92204129371095</v>
      </c>
    </row>
    <row r="1061" spans="1:11" hidden="1" x14ac:dyDescent="0.25">
      <c r="A1061" t="str">
        <f t="shared" si="136"/>
        <v>420CØ3,6</v>
      </c>
      <c r="B1061" s="81" t="s">
        <v>295</v>
      </c>
      <c r="D1061" s="86">
        <v>3.6</v>
      </c>
      <c r="E1061" s="85">
        <f t="shared" si="139"/>
        <v>3.5999999999999999E-3</v>
      </c>
      <c r="F1061" s="85">
        <f t="shared" si="140"/>
        <v>1.8E-3</v>
      </c>
      <c r="G1061" s="85">
        <f t="shared" si="141"/>
        <v>2.4429024474314225E-8</v>
      </c>
      <c r="H1061" s="85">
        <v>7700</v>
      </c>
      <c r="I1061" s="85">
        <f t="shared" si="142"/>
        <v>1.8810348845221952E-4</v>
      </c>
      <c r="J1061" s="87">
        <v>1</v>
      </c>
      <c r="K1061" s="88">
        <f t="shared" si="143"/>
        <v>5316.2225125559626</v>
      </c>
    </row>
    <row r="1062" spans="1:11" hidden="1" x14ac:dyDescent="0.25">
      <c r="A1062" t="str">
        <f t="shared" si="136"/>
        <v>Al2O3Ø2,38125</v>
      </c>
      <c r="B1062" s="81" t="s">
        <v>217</v>
      </c>
      <c r="C1062" s="101" t="s">
        <v>213</v>
      </c>
      <c r="D1062" s="86">
        <f>3/32*25.4</f>
        <v>2.3812499999999996</v>
      </c>
      <c r="E1062" s="85">
        <f t="shared" si="139"/>
        <v>2.3812499999999997E-3</v>
      </c>
      <c r="F1062" s="85">
        <f t="shared" si="140"/>
        <v>1.1906249999999998E-3</v>
      </c>
      <c r="G1062" s="85">
        <f t="shared" si="141"/>
        <v>7.0699053785209917E-9</v>
      </c>
      <c r="H1062" s="85">
        <v>3900</v>
      </c>
      <c r="I1062" s="85">
        <f t="shared" si="142"/>
        <v>2.7572630976231868E-5</v>
      </c>
      <c r="J1062" s="87">
        <v>1</v>
      </c>
      <c r="K1062" s="88">
        <f t="shared" si="143"/>
        <v>36267.848391472653</v>
      </c>
    </row>
    <row r="1063" spans="1:11" hidden="1" x14ac:dyDescent="0.25">
      <c r="A1063" t="str">
        <f t="shared" si="136"/>
        <v>52100Ø10,075</v>
      </c>
      <c r="B1063" s="81">
        <v>52100</v>
      </c>
      <c r="D1063" s="86">
        <v>10.074999999999999</v>
      </c>
      <c r="E1063" s="85">
        <f t="shared" si="139"/>
        <v>1.0074999999999999E-2</v>
      </c>
      <c r="F1063" s="85">
        <f t="shared" si="140"/>
        <v>5.0374999999999994E-3</v>
      </c>
      <c r="G1063" s="85">
        <f t="shared" si="141"/>
        <v>5.35468326235876E-7</v>
      </c>
      <c r="H1063" s="85">
        <v>7800</v>
      </c>
      <c r="I1063" s="85">
        <f t="shared" si="142"/>
        <v>4.1766529446398328E-3</v>
      </c>
      <c r="J1063" s="87">
        <v>1</v>
      </c>
      <c r="K1063" s="88">
        <f t="shared" si="143"/>
        <v>239.42616570126188</v>
      </c>
    </row>
    <row r="1064" spans="1:11" hidden="1" x14ac:dyDescent="0.25">
      <c r="A1064" t="str">
        <f t="shared" si="136"/>
        <v>316Ø0,5</v>
      </c>
      <c r="B1064" s="81">
        <v>316</v>
      </c>
      <c r="D1064" s="86">
        <v>0.5</v>
      </c>
      <c r="E1064" s="85">
        <f t="shared" si="139"/>
        <v>5.0000000000000001E-4</v>
      </c>
      <c r="F1064" s="85">
        <f t="shared" si="140"/>
        <v>2.5000000000000001E-4</v>
      </c>
      <c r="G1064" s="85">
        <f t="shared" si="141"/>
        <v>6.5449846949787358E-11</v>
      </c>
      <c r="H1064" s="85">
        <v>7950</v>
      </c>
      <c r="I1064" s="85">
        <f t="shared" si="142"/>
        <v>5.2032628325080949E-7</v>
      </c>
      <c r="J1064" s="87">
        <v>1</v>
      </c>
      <c r="K1064" s="88">
        <f t="shared" si="143"/>
        <v>1921871.0109210003</v>
      </c>
    </row>
    <row r="1065" spans="1:11" hidden="1" x14ac:dyDescent="0.25">
      <c r="A1065" t="str">
        <f t="shared" si="136"/>
        <v>Al2O3Ø0,5</v>
      </c>
      <c r="B1065" s="81" t="s">
        <v>217</v>
      </c>
      <c r="D1065" s="86">
        <v>0.5</v>
      </c>
      <c r="E1065" s="85">
        <f t="shared" si="139"/>
        <v>5.0000000000000001E-4</v>
      </c>
      <c r="F1065" s="85">
        <f t="shared" si="140"/>
        <v>2.5000000000000001E-4</v>
      </c>
      <c r="G1065" s="85">
        <f t="shared" si="141"/>
        <v>6.5449846949787358E-11</v>
      </c>
      <c r="H1065" s="85">
        <v>3900</v>
      </c>
      <c r="I1065" s="85">
        <f t="shared" si="142"/>
        <v>2.552544031041707E-7</v>
      </c>
      <c r="J1065" s="87">
        <v>1</v>
      </c>
      <c r="K1065" s="88">
        <f t="shared" si="143"/>
        <v>3917660.1376466546</v>
      </c>
    </row>
    <row r="1066" spans="1:11" hidden="1" x14ac:dyDescent="0.25">
      <c r="A1066" t="str">
        <f t="shared" si="136"/>
        <v>Al2O3Ø0,8</v>
      </c>
      <c r="B1066" s="81" t="s">
        <v>217</v>
      </c>
      <c r="D1066" s="86">
        <v>0.8</v>
      </c>
      <c r="E1066" s="85">
        <f t="shared" si="139"/>
        <v>8.0000000000000004E-4</v>
      </c>
      <c r="F1066" s="85">
        <f t="shared" si="140"/>
        <v>4.0000000000000002E-4</v>
      </c>
      <c r="G1066" s="85">
        <f t="shared" si="141"/>
        <v>2.6808257310632903E-10</v>
      </c>
      <c r="H1066" s="85">
        <v>3900</v>
      </c>
      <c r="I1066" s="85">
        <f t="shared" si="142"/>
        <v>1.0455220351146832E-6</v>
      </c>
      <c r="J1066" s="87">
        <v>1</v>
      </c>
      <c r="K1066" s="88">
        <f t="shared" si="143"/>
        <v>956459.99454264028</v>
      </c>
    </row>
    <row r="1067" spans="1:11" hidden="1" x14ac:dyDescent="0.25">
      <c r="A1067" t="str">
        <f t="shared" si="136"/>
        <v>Al2O3Ø1</v>
      </c>
      <c r="B1067" s="81" t="s">
        <v>217</v>
      </c>
      <c r="D1067" s="86">
        <v>1</v>
      </c>
      <c r="E1067" s="85">
        <f t="shared" si="139"/>
        <v>1E-3</v>
      </c>
      <c r="F1067" s="85">
        <f t="shared" si="140"/>
        <v>5.0000000000000001E-4</v>
      </c>
      <c r="G1067" s="85">
        <f t="shared" si="141"/>
        <v>5.2359877559829886E-10</v>
      </c>
      <c r="H1067" s="85">
        <v>3900</v>
      </c>
      <c r="I1067" s="85">
        <f t="shared" si="142"/>
        <v>2.0420352248333656E-6</v>
      </c>
      <c r="J1067" s="87">
        <v>1</v>
      </c>
      <c r="K1067" s="88">
        <f t="shared" si="143"/>
        <v>489707.51720583183</v>
      </c>
    </row>
    <row r="1068" spans="1:11" hidden="1" x14ac:dyDescent="0.25">
      <c r="A1068" t="str">
        <f t="shared" si="136"/>
        <v>Al2O3Ø1,5</v>
      </c>
      <c r="B1068" s="81" t="s">
        <v>217</v>
      </c>
      <c r="D1068" s="86">
        <v>1.5</v>
      </c>
      <c r="E1068" s="85">
        <f t="shared" si="139"/>
        <v>1.5E-3</v>
      </c>
      <c r="F1068" s="85">
        <f t="shared" si="140"/>
        <v>7.5000000000000002E-4</v>
      </c>
      <c r="G1068" s="85">
        <f t="shared" si="141"/>
        <v>1.7671458676442585E-9</v>
      </c>
      <c r="H1068" s="85">
        <v>3900</v>
      </c>
      <c r="I1068" s="85">
        <f t="shared" si="142"/>
        <v>6.8918688838126086E-6</v>
      </c>
      <c r="J1068" s="87">
        <v>1</v>
      </c>
      <c r="K1068" s="88">
        <f t="shared" si="143"/>
        <v>145098.52361654275</v>
      </c>
    </row>
    <row r="1069" spans="1:11" hidden="1" x14ac:dyDescent="0.25">
      <c r="A1069" t="str">
        <f t="shared" si="136"/>
        <v>Al2O3Ø2</v>
      </c>
      <c r="B1069" s="81" t="s">
        <v>217</v>
      </c>
      <c r="D1069" s="86">
        <v>2</v>
      </c>
      <c r="E1069" s="85">
        <f t="shared" si="139"/>
        <v>2E-3</v>
      </c>
      <c r="F1069" s="85">
        <f t="shared" si="140"/>
        <v>1E-3</v>
      </c>
      <c r="G1069" s="85">
        <f t="shared" si="141"/>
        <v>4.1887902047863909E-9</v>
      </c>
      <c r="H1069" s="85">
        <v>3900</v>
      </c>
      <c r="I1069" s="85">
        <f t="shared" si="142"/>
        <v>1.6336281798666925E-5</v>
      </c>
      <c r="J1069" s="87">
        <v>1</v>
      </c>
      <c r="K1069" s="88">
        <f t="shared" si="143"/>
        <v>61213.439650728978</v>
      </c>
    </row>
    <row r="1070" spans="1:11" hidden="1" x14ac:dyDescent="0.25">
      <c r="A1070" t="str">
        <f t="shared" si="136"/>
        <v>Al2O3Ø3</v>
      </c>
      <c r="B1070" s="81" t="s">
        <v>217</v>
      </c>
      <c r="D1070" s="86">
        <v>3</v>
      </c>
      <c r="E1070" s="85">
        <f t="shared" si="139"/>
        <v>3.0000000000000001E-3</v>
      </c>
      <c r="F1070" s="85">
        <f t="shared" si="140"/>
        <v>1.5E-3</v>
      </c>
      <c r="G1070" s="85">
        <f t="shared" si="141"/>
        <v>1.4137166941154068E-8</v>
      </c>
      <c r="H1070" s="85">
        <v>3900</v>
      </c>
      <c r="I1070" s="85">
        <f t="shared" si="142"/>
        <v>5.5134951070500869E-5</v>
      </c>
      <c r="J1070" s="87">
        <v>1</v>
      </c>
      <c r="K1070" s="88">
        <f t="shared" si="143"/>
        <v>18137.315452067844</v>
      </c>
    </row>
    <row r="1071" spans="1:11" hidden="1" x14ac:dyDescent="0.25">
      <c r="A1071" t="str">
        <f t="shared" si="136"/>
        <v>Al2O3Ø4</v>
      </c>
      <c r="B1071" s="81" t="s">
        <v>217</v>
      </c>
      <c r="D1071" s="86">
        <v>4</v>
      </c>
      <c r="E1071" s="85">
        <f t="shared" si="139"/>
        <v>4.0000000000000001E-3</v>
      </c>
      <c r="F1071" s="85">
        <f t="shared" si="140"/>
        <v>2E-3</v>
      </c>
      <c r="G1071" s="85">
        <f t="shared" si="141"/>
        <v>3.3510321638291127E-8</v>
      </c>
      <c r="H1071" s="85">
        <v>3900</v>
      </c>
      <c r="I1071" s="85">
        <f t="shared" si="142"/>
        <v>1.306902543893354E-4</v>
      </c>
      <c r="J1071" s="87">
        <v>1</v>
      </c>
      <c r="K1071" s="88">
        <f t="shared" si="143"/>
        <v>7651.6799563411223</v>
      </c>
    </row>
    <row r="1072" spans="1:11" hidden="1" x14ac:dyDescent="0.25">
      <c r="A1072" t="str">
        <f t="shared" si="136"/>
        <v>Al2O3Ø5</v>
      </c>
      <c r="B1072" s="81" t="s">
        <v>217</v>
      </c>
      <c r="D1072" s="86">
        <v>5</v>
      </c>
      <c r="E1072" s="85">
        <f t="shared" si="139"/>
        <v>5.0000000000000001E-3</v>
      </c>
      <c r="F1072" s="85">
        <f t="shared" si="140"/>
        <v>2.5000000000000001E-3</v>
      </c>
      <c r="G1072" s="85">
        <f t="shared" si="141"/>
        <v>6.5449846949787352E-8</v>
      </c>
      <c r="H1072" s="85">
        <v>3900</v>
      </c>
      <c r="I1072" s="85">
        <f t="shared" si="142"/>
        <v>2.5525440310417065E-4</v>
      </c>
      <c r="J1072" s="87">
        <v>1</v>
      </c>
      <c r="K1072" s="88">
        <f t="shared" si="143"/>
        <v>3917.6601376466551</v>
      </c>
    </row>
    <row r="1073" spans="1:11" hidden="1" x14ac:dyDescent="0.25">
      <c r="A1073" t="str">
        <f t="shared" si="136"/>
        <v>Al2O3Ø6</v>
      </c>
      <c r="B1073" s="81" t="s">
        <v>217</v>
      </c>
      <c r="D1073" s="86">
        <v>6</v>
      </c>
      <c r="E1073" s="85">
        <f t="shared" si="139"/>
        <v>6.0000000000000001E-3</v>
      </c>
      <c r="F1073" s="85">
        <f t="shared" si="140"/>
        <v>3.0000000000000001E-3</v>
      </c>
      <c r="G1073" s="85">
        <f t="shared" si="141"/>
        <v>1.1309733552923255E-7</v>
      </c>
      <c r="H1073" s="85">
        <v>3900</v>
      </c>
      <c r="I1073" s="85">
        <f t="shared" si="142"/>
        <v>4.4107960856400695E-4</v>
      </c>
      <c r="J1073" s="87">
        <v>1</v>
      </c>
      <c r="K1073" s="88">
        <f t="shared" si="143"/>
        <v>2267.1644315084804</v>
      </c>
    </row>
    <row r="1074" spans="1:11" hidden="1" x14ac:dyDescent="0.25">
      <c r="A1074" t="str">
        <f t="shared" si="136"/>
        <v>Al2O3Ø7</v>
      </c>
      <c r="B1074" s="81" t="s">
        <v>217</v>
      </c>
      <c r="D1074" s="86">
        <v>7</v>
      </c>
      <c r="E1074" s="85">
        <f t="shared" si="139"/>
        <v>7.0000000000000001E-3</v>
      </c>
      <c r="F1074" s="85">
        <f t="shared" si="140"/>
        <v>3.5000000000000001E-3</v>
      </c>
      <c r="G1074" s="85">
        <f t="shared" si="141"/>
        <v>1.7959438003021651E-7</v>
      </c>
      <c r="H1074" s="85">
        <v>3900</v>
      </c>
      <c r="I1074" s="85">
        <f t="shared" si="142"/>
        <v>7.0041808211784439E-4</v>
      </c>
      <c r="J1074" s="87">
        <v>1</v>
      </c>
      <c r="K1074" s="88">
        <f t="shared" si="143"/>
        <v>1427.7187090549032</v>
      </c>
    </row>
    <row r="1075" spans="1:11" hidden="1" x14ac:dyDescent="0.25">
      <c r="A1075" t="str">
        <f t="shared" si="136"/>
        <v>Al2O3Ø8</v>
      </c>
      <c r="B1075" s="81" t="s">
        <v>217</v>
      </c>
      <c r="D1075" s="86">
        <v>8</v>
      </c>
      <c r="E1075" s="85">
        <f t="shared" si="139"/>
        <v>8.0000000000000002E-3</v>
      </c>
      <c r="F1075" s="85">
        <f t="shared" si="140"/>
        <v>4.0000000000000001E-3</v>
      </c>
      <c r="G1075" s="85">
        <f t="shared" si="141"/>
        <v>2.6808257310632902E-7</v>
      </c>
      <c r="H1075" s="85">
        <v>3900</v>
      </c>
      <c r="I1075" s="85">
        <f t="shared" si="142"/>
        <v>1.0455220351146832E-3</v>
      </c>
      <c r="J1075" s="87">
        <v>1</v>
      </c>
      <c r="K1075" s="88">
        <f t="shared" si="143"/>
        <v>956.45999454264029</v>
      </c>
    </row>
    <row r="1076" spans="1:11" hidden="1" x14ac:dyDescent="0.25">
      <c r="A1076" t="str">
        <f t="shared" si="136"/>
        <v>Al2O3Ø9</v>
      </c>
      <c r="B1076" s="81" t="s">
        <v>217</v>
      </c>
      <c r="D1076" s="86">
        <v>9</v>
      </c>
      <c r="E1076" s="85">
        <f t="shared" si="139"/>
        <v>8.9999999999999993E-3</v>
      </c>
      <c r="F1076" s="85">
        <f t="shared" si="140"/>
        <v>4.4999999999999997E-3</v>
      </c>
      <c r="G1076" s="85">
        <f t="shared" si="141"/>
        <v>3.8170350741115974E-7</v>
      </c>
      <c r="H1076" s="85">
        <v>3900</v>
      </c>
      <c r="I1076" s="85">
        <f t="shared" si="142"/>
        <v>1.488643678903523E-3</v>
      </c>
      <c r="J1076" s="87">
        <v>1</v>
      </c>
      <c r="K1076" s="88">
        <f t="shared" si="143"/>
        <v>671.75242415066111</v>
      </c>
    </row>
    <row r="1077" spans="1:11" hidden="1" x14ac:dyDescent="0.25">
      <c r="A1077" t="str">
        <f t="shared" si="136"/>
        <v>Al2O3Ø10</v>
      </c>
      <c r="B1077" s="81" t="s">
        <v>217</v>
      </c>
      <c r="D1077" s="86">
        <v>10</v>
      </c>
      <c r="E1077" s="85">
        <f t="shared" si="139"/>
        <v>0.01</v>
      </c>
      <c r="F1077" s="85">
        <f t="shared" si="140"/>
        <v>5.0000000000000001E-3</v>
      </c>
      <c r="G1077" s="85">
        <f t="shared" si="141"/>
        <v>5.2359877559829882E-7</v>
      </c>
      <c r="H1077" s="85">
        <v>3900</v>
      </c>
      <c r="I1077" s="85">
        <f t="shared" si="142"/>
        <v>2.0420352248333652E-3</v>
      </c>
      <c r="J1077" s="87">
        <v>1</v>
      </c>
      <c r="K1077" s="88">
        <f t="shared" si="143"/>
        <v>489.70751720583189</v>
      </c>
    </row>
    <row r="1078" spans="1:11" hidden="1" x14ac:dyDescent="0.25">
      <c r="A1078" t="str">
        <f t="shared" si="136"/>
        <v>ZrO2Ø0,5</v>
      </c>
      <c r="B1078" s="81" t="s">
        <v>205</v>
      </c>
      <c r="D1078" s="86">
        <v>0.5</v>
      </c>
      <c r="E1078" s="85">
        <f t="shared" si="139"/>
        <v>5.0000000000000001E-4</v>
      </c>
      <c r="F1078" s="85">
        <f t="shared" si="140"/>
        <v>2.5000000000000001E-4</v>
      </c>
      <c r="G1078" s="85">
        <f t="shared" si="141"/>
        <v>6.5449846949787358E-11</v>
      </c>
      <c r="H1078" s="85">
        <v>6000</v>
      </c>
      <c r="I1078" s="85">
        <f t="shared" si="142"/>
        <v>3.9269908169872417E-7</v>
      </c>
      <c r="J1078" s="87">
        <v>1</v>
      </c>
      <c r="K1078" s="88">
        <f t="shared" si="143"/>
        <v>2546479.0894703255</v>
      </c>
    </row>
    <row r="1079" spans="1:11" hidden="1" x14ac:dyDescent="0.25">
      <c r="A1079" t="str">
        <f t="shared" si="136"/>
        <v>ZrO2Ø0,8</v>
      </c>
      <c r="B1079" s="81" t="s">
        <v>205</v>
      </c>
      <c r="D1079" s="86">
        <v>0.8</v>
      </c>
      <c r="E1079" s="85">
        <f t="shared" si="139"/>
        <v>8.0000000000000004E-4</v>
      </c>
      <c r="F1079" s="85">
        <f t="shared" si="140"/>
        <v>4.0000000000000002E-4</v>
      </c>
      <c r="G1079" s="85">
        <f t="shared" si="141"/>
        <v>2.6808257310632903E-10</v>
      </c>
      <c r="H1079" s="85">
        <v>6000</v>
      </c>
      <c r="I1079" s="85">
        <f t="shared" si="142"/>
        <v>1.6084954386379741E-6</v>
      </c>
      <c r="J1079" s="87">
        <v>1</v>
      </c>
      <c r="K1079" s="88">
        <f t="shared" si="143"/>
        <v>621698.99645271618</v>
      </c>
    </row>
    <row r="1080" spans="1:11" hidden="1" x14ac:dyDescent="0.25">
      <c r="A1080" t="str">
        <f t="shared" si="136"/>
        <v>ZrO2Ø1</v>
      </c>
      <c r="B1080" s="81" t="s">
        <v>205</v>
      </c>
      <c r="D1080" s="86">
        <v>1</v>
      </c>
      <c r="E1080" s="85">
        <f t="shared" si="139"/>
        <v>1E-3</v>
      </c>
      <c r="F1080" s="85">
        <f t="shared" si="140"/>
        <v>5.0000000000000001E-4</v>
      </c>
      <c r="G1080" s="85">
        <f t="shared" si="141"/>
        <v>5.2359877559829886E-10</v>
      </c>
      <c r="H1080" s="85">
        <v>6000</v>
      </c>
      <c r="I1080" s="85">
        <f t="shared" si="142"/>
        <v>3.1415926535897933E-6</v>
      </c>
      <c r="J1080" s="87">
        <v>1</v>
      </c>
      <c r="K1080" s="88">
        <f t="shared" si="143"/>
        <v>318309.88618379069</v>
      </c>
    </row>
    <row r="1081" spans="1:11" hidden="1" x14ac:dyDescent="0.25">
      <c r="A1081" t="str">
        <f t="shared" si="136"/>
        <v>ZrO2Ø1,5</v>
      </c>
      <c r="B1081" s="81" t="s">
        <v>205</v>
      </c>
      <c r="D1081" s="86">
        <v>1.5</v>
      </c>
      <c r="E1081" s="85">
        <f t="shared" si="139"/>
        <v>1.5E-3</v>
      </c>
      <c r="F1081" s="85">
        <f t="shared" si="140"/>
        <v>7.5000000000000002E-4</v>
      </c>
      <c r="G1081" s="85">
        <f t="shared" si="141"/>
        <v>1.7671458676442585E-9</v>
      </c>
      <c r="H1081" s="85">
        <v>6000</v>
      </c>
      <c r="I1081" s="85">
        <f t="shared" si="142"/>
        <v>1.0602875205865552E-5</v>
      </c>
      <c r="J1081" s="87">
        <v>1</v>
      </c>
      <c r="K1081" s="88">
        <f t="shared" si="143"/>
        <v>94314.040350752795</v>
      </c>
    </row>
    <row r="1082" spans="1:11" hidden="1" x14ac:dyDescent="0.25">
      <c r="A1082" t="str">
        <f t="shared" si="136"/>
        <v>ZrO2Ø2</v>
      </c>
      <c r="B1082" s="81" t="s">
        <v>205</v>
      </c>
      <c r="D1082" s="86">
        <v>2</v>
      </c>
      <c r="E1082" s="85">
        <f t="shared" si="139"/>
        <v>2E-3</v>
      </c>
      <c r="F1082" s="85">
        <f t="shared" si="140"/>
        <v>1E-3</v>
      </c>
      <c r="G1082" s="85">
        <f t="shared" si="141"/>
        <v>4.1887902047863909E-9</v>
      </c>
      <c r="H1082" s="85">
        <v>6000</v>
      </c>
      <c r="I1082" s="85">
        <f t="shared" si="142"/>
        <v>2.5132741228718347E-5</v>
      </c>
      <c r="J1082" s="87">
        <v>1</v>
      </c>
      <c r="K1082" s="88">
        <f t="shared" si="143"/>
        <v>39788.735772973836</v>
      </c>
    </row>
    <row r="1083" spans="1:11" hidden="1" x14ac:dyDescent="0.25">
      <c r="A1083" t="str">
        <f t="shared" si="136"/>
        <v>ZrO2Ø3</v>
      </c>
      <c r="B1083" s="81" t="s">
        <v>205</v>
      </c>
      <c r="D1083" s="86">
        <v>3</v>
      </c>
      <c r="E1083" s="85">
        <f t="shared" si="139"/>
        <v>3.0000000000000001E-3</v>
      </c>
      <c r="F1083" s="85">
        <f t="shared" si="140"/>
        <v>1.5E-3</v>
      </c>
      <c r="G1083" s="85">
        <f t="shared" si="141"/>
        <v>1.4137166941154068E-8</v>
      </c>
      <c r="H1083" s="85">
        <v>6000</v>
      </c>
      <c r="I1083" s="85">
        <f t="shared" si="142"/>
        <v>8.4823001646924416E-5</v>
      </c>
      <c r="J1083" s="87">
        <v>1</v>
      </c>
      <c r="K1083" s="88">
        <f t="shared" si="143"/>
        <v>11789.255043844099</v>
      </c>
    </row>
    <row r="1084" spans="1:11" hidden="1" x14ac:dyDescent="0.25">
      <c r="A1084" t="str">
        <f t="shared" si="136"/>
        <v>ZrO2Ø4</v>
      </c>
      <c r="B1084" s="81" t="s">
        <v>205</v>
      </c>
      <c r="D1084" s="86">
        <v>4</v>
      </c>
      <c r="E1084" s="85">
        <f t="shared" si="139"/>
        <v>4.0000000000000001E-3</v>
      </c>
      <c r="F1084" s="85">
        <f t="shared" si="140"/>
        <v>2E-3</v>
      </c>
      <c r="G1084" s="85">
        <f t="shared" si="141"/>
        <v>3.3510321638291127E-8</v>
      </c>
      <c r="H1084" s="85">
        <v>6000</v>
      </c>
      <c r="I1084" s="85">
        <f t="shared" si="142"/>
        <v>2.0106192982974677E-4</v>
      </c>
      <c r="J1084" s="87">
        <v>1</v>
      </c>
      <c r="K1084" s="88">
        <f t="shared" si="143"/>
        <v>4973.5919716217295</v>
      </c>
    </row>
    <row r="1085" spans="1:11" hidden="1" x14ac:dyDescent="0.25">
      <c r="A1085" t="str">
        <f t="shared" si="136"/>
        <v>ZrO2Ø5</v>
      </c>
      <c r="B1085" s="81" t="s">
        <v>205</v>
      </c>
      <c r="D1085" s="86">
        <v>5</v>
      </c>
      <c r="E1085" s="85">
        <f t="shared" si="139"/>
        <v>5.0000000000000001E-3</v>
      </c>
      <c r="F1085" s="85">
        <f t="shared" si="140"/>
        <v>2.5000000000000001E-3</v>
      </c>
      <c r="G1085" s="85">
        <f t="shared" si="141"/>
        <v>6.5449846949787352E-8</v>
      </c>
      <c r="H1085" s="85">
        <v>6000</v>
      </c>
      <c r="I1085" s="85">
        <f t="shared" si="142"/>
        <v>3.9269908169872411E-4</v>
      </c>
      <c r="J1085" s="87">
        <v>1</v>
      </c>
      <c r="K1085" s="88">
        <f t="shared" si="143"/>
        <v>2546.4790894703256</v>
      </c>
    </row>
    <row r="1086" spans="1:11" hidden="1" x14ac:dyDescent="0.25">
      <c r="A1086" t="str">
        <f t="shared" si="136"/>
        <v>ZrO2Ø6</v>
      </c>
      <c r="B1086" s="81" t="s">
        <v>205</v>
      </c>
      <c r="D1086" s="86">
        <v>6</v>
      </c>
      <c r="E1086" s="85">
        <f t="shared" si="139"/>
        <v>6.0000000000000001E-3</v>
      </c>
      <c r="F1086" s="85">
        <f t="shared" si="140"/>
        <v>3.0000000000000001E-3</v>
      </c>
      <c r="G1086" s="85">
        <f t="shared" si="141"/>
        <v>1.1309733552923255E-7</v>
      </c>
      <c r="H1086" s="85">
        <v>6000</v>
      </c>
      <c r="I1086" s="85">
        <f t="shared" si="142"/>
        <v>6.7858401317539532E-4</v>
      </c>
      <c r="J1086" s="87">
        <v>1</v>
      </c>
      <c r="K1086" s="88">
        <f t="shared" si="143"/>
        <v>1473.6568804805124</v>
      </c>
    </row>
    <row r="1087" spans="1:11" hidden="1" x14ac:dyDescent="0.25">
      <c r="A1087" t="str">
        <f t="shared" si="136"/>
        <v>ZrO2Ø7</v>
      </c>
      <c r="B1087" s="81" t="s">
        <v>205</v>
      </c>
      <c r="D1087" s="86">
        <v>7</v>
      </c>
      <c r="E1087" s="85">
        <f t="shared" si="139"/>
        <v>7.0000000000000001E-3</v>
      </c>
      <c r="F1087" s="85">
        <f t="shared" si="140"/>
        <v>3.5000000000000001E-3</v>
      </c>
      <c r="G1087" s="85">
        <f t="shared" si="141"/>
        <v>1.7959438003021651E-7</v>
      </c>
      <c r="H1087" s="85">
        <v>6000</v>
      </c>
      <c r="I1087" s="85">
        <f t="shared" si="142"/>
        <v>1.077566280181299E-3</v>
      </c>
      <c r="J1087" s="87">
        <v>1</v>
      </c>
      <c r="K1087" s="88">
        <f t="shared" si="143"/>
        <v>928.01716088568719</v>
      </c>
    </row>
    <row r="1088" spans="1:11" hidden="1" x14ac:dyDescent="0.25">
      <c r="A1088" t="str">
        <f t="shared" si="136"/>
        <v>ZrO2Ø8</v>
      </c>
      <c r="B1088" s="81" t="s">
        <v>205</v>
      </c>
      <c r="D1088" s="86">
        <v>8</v>
      </c>
      <c r="E1088" s="85">
        <f t="shared" si="139"/>
        <v>8.0000000000000002E-3</v>
      </c>
      <c r="F1088" s="85">
        <f t="shared" si="140"/>
        <v>4.0000000000000001E-3</v>
      </c>
      <c r="G1088" s="85">
        <f t="shared" si="141"/>
        <v>2.6808257310632902E-7</v>
      </c>
      <c r="H1088" s="85">
        <v>6000</v>
      </c>
      <c r="I1088" s="85">
        <f t="shared" si="142"/>
        <v>1.6084954386379742E-3</v>
      </c>
      <c r="J1088" s="87">
        <v>1</v>
      </c>
      <c r="K1088" s="88">
        <f t="shared" si="143"/>
        <v>621.69899645271619</v>
      </c>
    </row>
    <row r="1089" spans="1:11" hidden="1" x14ac:dyDescent="0.25">
      <c r="A1089" t="str">
        <f t="shared" si="136"/>
        <v>ZrO2Ø9</v>
      </c>
      <c r="B1089" s="81" t="s">
        <v>205</v>
      </c>
      <c r="D1089" s="86">
        <v>9</v>
      </c>
      <c r="E1089" s="85">
        <f t="shared" si="139"/>
        <v>8.9999999999999993E-3</v>
      </c>
      <c r="F1089" s="85">
        <f t="shared" si="140"/>
        <v>4.4999999999999997E-3</v>
      </c>
      <c r="G1089" s="85">
        <f t="shared" si="141"/>
        <v>3.8170350741115974E-7</v>
      </c>
      <c r="H1089" s="85">
        <v>6000</v>
      </c>
      <c r="I1089" s="85">
        <f t="shared" si="142"/>
        <v>2.2902210444669586E-3</v>
      </c>
      <c r="J1089" s="87">
        <v>1</v>
      </c>
      <c r="K1089" s="88">
        <f t="shared" si="143"/>
        <v>436.63907569792974</v>
      </c>
    </row>
    <row r="1090" spans="1:11" hidden="1" x14ac:dyDescent="0.25">
      <c r="A1090" t="str">
        <f t="shared" si="136"/>
        <v>ZrO2Ø10</v>
      </c>
      <c r="B1090" s="81" t="s">
        <v>205</v>
      </c>
      <c r="D1090" s="86">
        <v>10</v>
      </c>
      <c r="E1090" s="85">
        <f t="shared" si="139"/>
        <v>0.01</v>
      </c>
      <c r="F1090" s="85">
        <f t="shared" si="140"/>
        <v>5.0000000000000001E-3</v>
      </c>
      <c r="G1090" s="85">
        <f t="shared" si="141"/>
        <v>5.2359877559829882E-7</v>
      </c>
      <c r="H1090" s="85">
        <v>6000</v>
      </c>
      <c r="I1090" s="85">
        <f t="shared" si="142"/>
        <v>3.1415926535897929E-3</v>
      </c>
      <c r="J1090" s="87">
        <v>1</v>
      </c>
      <c r="K1090" s="88">
        <f t="shared" si="143"/>
        <v>318.3098861837907</v>
      </c>
    </row>
    <row r="1091" spans="1:11" hidden="1" x14ac:dyDescent="0.25">
      <c r="A1091" t="str">
        <f t="shared" si="136"/>
        <v>52100Ø11,925</v>
      </c>
      <c r="B1091" s="81">
        <v>52100</v>
      </c>
      <c r="D1091" s="86">
        <v>11.925000000000001</v>
      </c>
      <c r="E1091" s="85">
        <f t="shared" si="139"/>
        <v>1.1925000000000002E-2</v>
      </c>
      <c r="F1091" s="85">
        <f t="shared" si="140"/>
        <v>5.9625000000000008E-3</v>
      </c>
      <c r="G1091" s="85">
        <f t="shared" si="141"/>
        <v>8.8791989176330104E-7</v>
      </c>
      <c r="H1091" s="85">
        <v>7800</v>
      </c>
      <c r="I1091" s="85">
        <f t="shared" si="142"/>
        <v>6.9257751557537479E-3</v>
      </c>
      <c r="J1091" s="87">
        <v>1</v>
      </c>
      <c r="K1091" s="88">
        <f t="shared" si="143"/>
        <v>144.38816991759066</v>
      </c>
    </row>
    <row r="1092" spans="1:11" hidden="1" x14ac:dyDescent="0.25">
      <c r="A1092" t="str">
        <f t="shared" ref="A1092:A1155" si="144">CONCATENATE(B1092,"Ø",D1092)</f>
        <v>52100Ø12,075</v>
      </c>
      <c r="B1092" s="81">
        <v>52100</v>
      </c>
      <c r="D1092" s="86">
        <v>12.074999999999999</v>
      </c>
      <c r="E1092" s="85">
        <f>D1092/1000</f>
        <v>1.2074999999999999E-2</v>
      </c>
      <c r="F1092" s="85">
        <f>E1092/2</f>
        <v>6.0374999999999995E-3</v>
      </c>
      <c r="G1092" s="85">
        <f>4/3*PI()*F1092*F1092*F1092</f>
        <v>9.2184953420853699E-7</v>
      </c>
      <c r="H1092" s="85">
        <v>7800</v>
      </c>
      <c r="I1092" s="85">
        <f t="shared" si="142"/>
        <v>7.1904263668265888E-3</v>
      </c>
      <c r="J1092" s="87">
        <v>1</v>
      </c>
      <c r="K1092" s="88">
        <f t="shared" si="143"/>
        <v>139.07381134080626</v>
      </c>
    </row>
    <row r="1093" spans="1:11" hidden="1" x14ac:dyDescent="0.25">
      <c r="A1093" t="str">
        <f t="shared" si="144"/>
        <v>52100Ø12,125</v>
      </c>
      <c r="B1093" s="81">
        <v>52100</v>
      </c>
      <c r="D1093" s="86">
        <v>12.125</v>
      </c>
      <c r="E1093" s="85">
        <f>D1093/1000</f>
        <v>1.2125E-2</v>
      </c>
      <c r="F1093" s="85">
        <f>E1093/2</f>
        <v>6.0625000000000002E-3</v>
      </c>
      <c r="G1093" s="85">
        <f>4/3*PI()*F1093*F1093*F1093</f>
        <v>9.333485650813012E-7</v>
      </c>
      <c r="H1093" s="85">
        <v>7800</v>
      </c>
      <c r="I1093" s="85">
        <f t="shared" si="142"/>
        <v>7.2801188076341491E-3</v>
      </c>
      <c r="J1093" s="87">
        <v>1</v>
      </c>
      <c r="K1093" s="88">
        <f t="shared" si="143"/>
        <v>137.36039567807194</v>
      </c>
    </row>
    <row r="1094" spans="1:11" hidden="1" x14ac:dyDescent="0.25">
      <c r="A1094" t="str">
        <f t="shared" si="144"/>
        <v>52100Ø12,175</v>
      </c>
      <c r="B1094" s="81">
        <v>52100</v>
      </c>
      <c r="D1094" s="86">
        <v>12.175000000000001</v>
      </c>
      <c r="E1094" s="85">
        <f t="shared" ref="E1094:E1099" si="145">D1094/1000</f>
        <v>1.2175E-2</v>
      </c>
      <c r="F1094" s="85">
        <f t="shared" ref="F1094:F1099" si="146">E1094/2</f>
        <v>6.0875E-3</v>
      </c>
      <c r="G1094" s="85">
        <f t="shared" ref="G1094:G1099" si="147">4/3*PI()*F1094*F1094*F1094</f>
        <v>9.4494282548137673E-7</v>
      </c>
      <c r="H1094" s="85">
        <v>7800</v>
      </c>
      <c r="I1094" s="85">
        <f t="shared" si="142"/>
        <v>7.3705540387547386E-3</v>
      </c>
      <c r="J1094" s="87">
        <v>1</v>
      </c>
      <c r="K1094" s="88">
        <f t="shared" si="143"/>
        <v>135.67501096144881</v>
      </c>
    </row>
    <row r="1095" spans="1:11" hidden="1" x14ac:dyDescent="0.25">
      <c r="A1095" t="str">
        <f t="shared" si="144"/>
        <v>420CØ6</v>
      </c>
      <c r="B1095" s="81" t="s">
        <v>295</v>
      </c>
      <c r="D1095" s="86">
        <v>6</v>
      </c>
      <c r="E1095" s="85">
        <f t="shared" si="145"/>
        <v>6.0000000000000001E-3</v>
      </c>
      <c r="F1095" s="85">
        <f t="shared" si="146"/>
        <v>3.0000000000000001E-3</v>
      </c>
      <c r="G1095" s="85">
        <f t="shared" si="147"/>
        <v>1.1309733552923255E-7</v>
      </c>
      <c r="H1095" s="85">
        <v>7700</v>
      </c>
      <c r="I1095" s="85">
        <f t="shared" si="142"/>
        <v>8.708494835750906E-4</v>
      </c>
      <c r="J1095" s="87">
        <v>1</v>
      </c>
      <c r="K1095" s="88">
        <f t="shared" si="143"/>
        <v>1148.3040627120877</v>
      </c>
    </row>
    <row r="1096" spans="1:11" hidden="1" x14ac:dyDescent="0.25">
      <c r="A1096" t="str">
        <f t="shared" si="144"/>
        <v>PA6.6Ø2,38125</v>
      </c>
      <c r="B1096" s="81" t="s">
        <v>244</v>
      </c>
      <c r="C1096" s="101" t="s">
        <v>213</v>
      </c>
      <c r="D1096" s="86">
        <f>3/32*25.4</f>
        <v>2.3812499999999996</v>
      </c>
      <c r="E1096" s="85">
        <f t="shared" si="145"/>
        <v>2.3812499999999997E-3</v>
      </c>
      <c r="F1096" s="85">
        <f t="shared" si="146"/>
        <v>1.1906249999999998E-3</v>
      </c>
      <c r="G1096" s="85">
        <f t="shared" si="147"/>
        <v>7.0699053785209917E-9</v>
      </c>
      <c r="H1096" s="85">
        <v>1110</v>
      </c>
      <c r="I1096" s="85">
        <f t="shared" si="142"/>
        <v>7.8475949701583014E-6</v>
      </c>
      <c r="J1096" s="87">
        <v>1</v>
      </c>
      <c r="K1096" s="88">
        <f t="shared" si="143"/>
        <v>127427.57542949851</v>
      </c>
    </row>
    <row r="1097" spans="1:11" hidden="1" x14ac:dyDescent="0.25">
      <c r="A1097" t="str">
        <f t="shared" si="144"/>
        <v>PA6.6Ø3,175</v>
      </c>
      <c r="B1097" s="81" t="s">
        <v>244</v>
      </c>
      <c r="C1097" s="101" t="s">
        <v>214</v>
      </c>
      <c r="D1097" s="86">
        <f>1/8*25.4</f>
        <v>3.1749999999999998</v>
      </c>
      <c r="E1097" s="85">
        <f t="shared" si="145"/>
        <v>3.1749999999999999E-3</v>
      </c>
      <c r="F1097" s="85">
        <f t="shared" si="146"/>
        <v>1.5874999999999999E-3</v>
      </c>
      <c r="G1097" s="85">
        <f t="shared" si="147"/>
        <v>1.6758294230568279E-8</v>
      </c>
      <c r="H1097" s="85">
        <v>1110</v>
      </c>
      <c r="I1097" s="85">
        <f t="shared" si="142"/>
        <v>1.8601706595930791E-5</v>
      </c>
      <c r="J1097" s="87">
        <v>1</v>
      </c>
      <c r="K1097" s="88">
        <f t="shared" si="143"/>
        <v>53758.508384319677</v>
      </c>
    </row>
    <row r="1098" spans="1:11" hidden="1" x14ac:dyDescent="0.25">
      <c r="A1098" t="str">
        <f t="shared" si="144"/>
        <v>ZrO2Ø6</v>
      </c>
      <c r="B1098" s="81" t="s">
        <v>205</v>
      </c>
      <c r="D1098" s="86">
        <v>6</v>
      </c>
      <c r="E1098" s="85">
        <f t="shared" si="145"/>
        <v>6.0000000000000001E-3</v>
      </c>
      <c r="F1098" s="85">
        <f t="shared" si="146"/>
        <v>3.0000000000000001E-3</v>
      </c>
      <c r="G1098" s="85">
        <f t="shared" si="147"/>
        <v>1.1309733552923255E-7</v>
      </c>
      <c r="H1098" s="85">
        <v>6000</v>
      </c>
      <c r="I1098" s="85">
        <f t="shared" si="142"/>
        <v>6.7858401317539532E-4</v>
      </c>
      <c r="J1098" s="87">
        <v>1</v>
      </c>
      <c r="K1098" s="88">
        <f t="shared" si="143"/>
        <v>1473.6568804805124</v>
      </c>
    </row>
    <row r="1099" spans="1:11" hidden="1" x14ac:dyDescent="0.25">
      <c r="A1099" t="str">
        <f t="shared" si="144"/>
        <v>ZrO2Ø19,05</v>
      </c>
      <c r="B1099" s="81" t="s">
        <v>205</v>
      </c>
      <c r="C1099" s="101" t="s">
        <v>262</v>
      </c>
      <c r="D1099" s="86">
        <f>3/4*25.4</f>
        <v>19.049999999999997</v>
      </c>
      <c r="E1099" s="85">
        <f t="shared" si="145"/>
        <v>1.9049999999999997E-2</v>
      </c>
      <c r="F1099" s="85">
        <f t="shared" si="146"/>
        <v>9.5249999999999987E-3</v>
      </c>
      <c r="G1099" s="85">
        <f t="shared" si="147"/>
        <v>3.6197915538027477E-6</v>
      </c>
      <c r="H1099" s="85">
        <v>6000</v>
      </c>
      <c r="I1099" s="85">
        <f t="shared" si="142"/>
        <v>2.1718749322816488E-2</v>
      </c>
      <c r="J1099" s="87">
        <v>1</v>
      </c>
      <c r="K1099" s="88">
        <f t="shared" si="143"/>
        <v>46.043166903236767</v>
      </c>
    </row>
    <row r="1100" spans="1:11" hidden="1" x14ac:dyDescent="0.25">
      <c r="A1100" t="str">
        <f t="shared" si="144"/>
        <v>ZrO2Ø20</v>
      </c>
      <c r="B1100" s="81" t="s">
        <v>205</v>
      </c>
      <c r="D1100" s="86">
        <v>20</v>
      </c>
      <c r="E1100" s="85">
        <f>D1100/1000</f>
        <v>0.02</v>
      </c>
      <c r="F1100" s="85">
        <f>E1100/2</f>
        <v>0.01</v>
      </c>
      <c r="G1100" s="85">
        <f>4/3*PI()*F1100*F1100*F1100</f>
        <v>4.1887902047863905E-6</v>
      </c>
      <c r="H1100" s="85">
        <v>6000</v>
      </c>
      <c r="I1100" s="85">
        <f t="shared" si="142"/>
        <v>2.5132741228718343E-2</v>
      </c>
      <c r="J1100" s="87">
        <v>1</v>
      </c>
      <c r="K1100" s="88">
        <f t="shared" si="143"/>
        <v>39.788735772973837</v>
      </c>
    </row>
    <row r="1101" spans="1:11" hidden="1" x14ac:dyDescent="0.25">
      <c r="A1101" t="str">
        <f t="shared" si="144"/>
        <v>ZrO2Ø25,4</v>
      </c>
      <c r="B1101" s="81" t="s">
        <v>205</v>
      </c>
      <c r="C1101" s="101" t="s">
        <v>255</v>
      </c>
      <c r="D1101" s="86">
        <f>1*25.4</f>
        <v>25.4</v>
      </c>
      <c r="E1101" s="85">
        <f>D1101/1000</f>
        <v>2.5399999999999999E-2</v>
      </c>
      <c r="F1101" s="85">
        <f>E1101/2</f>
        <v>1.2699999999999999E-2</v>
      </c>
      <c r="G1101" s="85">
        <f>4/3*PI()*F1101*F1101*F1101</f>
        <v>8.5802466460509588E-6</v>
      </c>
      <c r="H1101" s="85">
        <v>6000</v>
      </c>
      <c r="I1101" s="85">
        <f t="shared" si="142"/>
        <v>5.1481479876305754E-2</v>
      </c>
      <c r="J1101" s="87">
        <v>1</v>
      </c>
      <c r="K1101" s="88">
        <f t="shared" si="143"/>
        <v>19.424461037303008</v>
      </c>
    </row>
    <row r="1102" spans="1:11" hidden="1" x14ac:dyDescent="0.25">
      <c r="A1102" t="str">
        <f t="shared" si="144"/>
        <v>Si3N4Ø8</v>
      </c>
      <c r="B1102" s="81" t="s">
        <v>207</v>
      </c>
      <c r="D1102" s="86">
        <v>8</v>
      </c>
      <c r="E1102" s="85">
        <f>D1102/1000</f>
        <v>8.0000000000000002E-3</v>
      </c>
      <c r="F1102" s="85">
        <f>E1102/2</f>
        <v>4.0000000000000001E-3</v>
      </c>
      <c r="G1102" s="85">
        <f>4/3*PI()*F1102*F1102*F1102</f>
        <v>2.6808257310632902E-7</v>
      </c>
      <c r="H1102" s="85">
        <v>3260</v>
      </c>
      <c r="I1102" s="85">
        <f t="shared" si="142"/>
        <v>8.7394918832663256E-4</v>
      </c>
      <c r="J1102" s="87">
        <v>1</v>
      </c>
      <c r="K1102" s="88">
        <f t="shared" si="143"/>
        <v>1144.231281814815</v>
      </c>
    </row>
    <row r="1103" spans="1:11" hidden="1" x14ac:dyDescent="0.25">
      <c r="A1103" t="str">
        <f t="shared" si="144"/>
        <v>Si3N4Ø8</v>
      </c>
      <c r="B1103" s="81" t="s">
        <v>207</v>
      </c>
      <c r="D1103" s="86">
        <v>8</v>
      </c>
      <c r="E1103" s="85">
        <f t="shared" ref="E1103:E1132" si="148">D1103/1000</f>
        <v>8.0000000000000002E-3</v>
      </c>
      <c r="F1103" s="85">
        <f t="shared" ref="F1103:F1132" si="149">E1103/2</f>
        <v>4.0000000000000001E-3</v>
      </c>
      <c r="G1103" s="85">
        <f t="shared" ref="G1103:G1132" si="150">4/3*PI()*F1103*F1103*F1103</f>
        <v>2.6808257310632902E-7</v>
      </c>
      <c r="H1103" s="85">
        <v>3260</v>
      </c>
      <c r="I1103" s="85">
        <f t="shared" si="142"/>
        <v>8.7394918832663256E-4</v>
      </c>
      <c r="J1103" s="87">
        <v>1</v>
      </c>
      <c r="K1103" s="88">
        <f t="shared" si="143"/>
        <v>1144.231281814815</v>
      </c>
    </row>
    <row r="1104" spans="1:11" hidden="1" x14ac:dyDescent="0.25">
      <c r="A1104" t="str">
        <f t="shared" si="144"/>
        <v>52100Ø1,5875</v>
      </c>
      <c r="B1104" s="81">
        <v>52100</v>
      </c>
      <c r="C1104" s="101" t="s">
        <v>246</v>
      </c>
      <c r="D1104" s="86">
        <f>1/16*25.4</f>
        <v>1.5874999999999999</v>
      </c>
      <c r="E1104" s="85">
        <f t="shared" si="148"/>
        <v>1.5874999999999999E-3</v>
      </c>
      <c r="F1104" s="85">
        <f t="shared" si="149"/>
        <v>7.9374999999999997E-4</v>
      </c>
      <c r="G1104" s="85">
        <f t="shared" si="150"/>
        <v>2.0947867788210349E-9</v>
      </c>
      <c r="H1104" s="85">
        <v>7800</v>
      </c>
      <c r="I1104" s="85">
        <f t="shared" si="142"/>
        <v>1.6339336874804071E-5</v>
      </c>
      <c r="J1104" s="87">
        <v>1</v>
      </c>
      <c r="K1104" s="88">
        <f t="shared" si="143"/>
        <v>61201.994160610098</v>
      </c>
    </row>
    <row r="1105" spans="1:11" hidden="1" x14ac:dyDescent="0.25">
      <c r="A1105" t="str">
        <f t="shared" si="144"/>
        <v>316Ø1</v>
      </c>
      <c r="B1105" s="81">
        <v>316</v>
      </c>
      <c r="D1105" s="86">
        <v>1</v>
      </c>
      <c r="E1105" s="85">
        <f t="shared" si="148"/>
        <v>1E-3</v>
      </c>
      <c r="F1105" s="85">
        <f t="shared" si="149"/>
        <v>5.0000000000000001E-4</v>
      </c>
      <c r="G1105" s="85">
        <f t="shared" si="150"/>
        <v>5.2359877559829886E-10</v>
      </c>
      <c r="H1105" s="85">
        <v>7950</v>
      </c>
      <c r="I1105" s="85">
        <f t="shared" si="142"/>
        <v>4.1626102660064759E-6</v>
      </c>
      <c r="J1105" s="87">
        <v>1</v>
      </c>
      <c r="K1105" s="88">
        <f t="shared" si="143"/>
        <v>240233.87636512503</v>
      </c>
    </row>
    <row r="1106" spans="1:11" hidden="1" x14ac:dyDescent="0.25">
      <c r="A1106" t="str">
        <f t="shared" si="144"/>
        <v>WC-CoØ2</v>
      </c>
      <c r="B1106" s="81" t="s">
        <v>297</v>
      </c>
      <c r="D1106" s="86">
        <v>2</v>
      </c>
      <c r="E1106" s="85">
        <f t="shared" si="148"/>
        <v>2E-3</v>
      </c>
      <c r="F1106" s="85">
        <f t="shared" si="149"/>
        <v>1E-3</v>
      </c>
      <c r="G1106" s="85">
        <f t="shared" si="150"/>
        <v>4.1887902047863909E-9</v>
      </c>
      <c r="H1106" s="85">
        <v>14950</v>
      </c>
      <c r="I1106" s="85">
        <f t="shared" si="142"/>
        <v>6.2622413561556539E-5</v>
      </c>
      <c r="J1106" s="87">
        <v>1</v>
      </c>
      <c r="K1106" s="88">
        <f t="shared" si="143"/>
        <v>15968.723387146691</v>
      </c>
    </row>
    <row r="1107" spans="1:11" hidden="1" x14ac:dyDescent="0.25">
      <c r="A1107" t="str">
        <f t="shared" si="144"/>
        <v>SiCØ50</v>
      </c>
      <c r="B1107" s="81" t="s">
        <v>326</v>
      </c>
      <c r="D1107" s="86">
        <v>50</v>
      </c>
      <c r="E1107" s="85">
        <f t="shared" si="148"/>
        <v>0.05</v>
      </c>
      <c r="F1107" s="85">
        <f t="shared" si="149"/>
        <v>2.5000000000000001E-2</v>
      </c>
      <c r="G1107" s="85">
        <f t="shared" si="150"/>
        <v>6.5449846949787365E-5</v>
      </c>
      <c r="H1107" s="85">
        <v>3150</v>
      </c>
      <c r="I1107" s="85">
        <f t="shared" si="142"/>
        <v>0.2061670178918302</v>
      </c>
      <c r="J1107" s="87">
        <v>1</v>
      </c>
      <c r="K1107" s="88">
        <f t="shared" si="143"/>
        <v>4.8504363608958574</v>
      </c>
    </row>
    <row r="1108" spans="1:11" hidden="1" x14ac:dyDescent="0.25">
      <c r="A1108" t="str">
        <f t="shared" si="144"/>
        <v>316Ø2,38125</v>
      </c>
      <c r="B1108" s="81">
        <v>316</v>
      </c>
      <c r="C1108" s="101" t="s">
        <v>213</v>
      </c>
      <c r="D1108" s="86">
        <f>3/32*25.4</f>
        <v>2.3812499999999996</v>
      </c>
      <c r="E1108" s="85">
        <f t="shared" si="148"/>
        <v>2.3812499999999997E-3</v>
      </c>
      <c r="F1108" s="85">
        <f t="shared" si="149"/>
        <v>1.1906249999999998E-3</v>
      </c>
      <c r="G1108" s="85">
        <f t="shared" si="150"/>
        <v>7.0699053785209917E-9</v>
      </c>
      <c r="H1108" s="85">
        <v>7950</v>
      </c>
      <c r="I1108" s="85">
        <f t="shared" si="142"/>
        <v>5.6205747759241884E-5</v>
      </c>
      <c r="J1108" s="87">
        <v>1</v>
      </c>
      <c r="K1108" s="88">
        <f t="shared" si="143"/>
        <v>17791.774682609226</v>
      </c>
    </row>
    <row r="1109" spans="1:11" hidden="1" x14ac:dyDescent="0.25">
      <c r="A1109" t="str">
        <f t="shared" si="144"/>
        <v>316Ø0,5</v>
      </c>
      <c r="B1109" s="81">
        <v>316</v>
      </c>
      <c r="D1109" s="86">
        <v>0.5</v>
      </c>
      <c r="E1109" s="85">
        <f t="shared" si="148"/>
        <v>5.0000000000000001E-4</v>
      </c>
      <c r="F1109" s="85">
        <f t="shared" si="149"/>
        <v>2.5000000000000001E-4</v>
      </c>
      <c r="G1109" s="85">
        <f t="shared" si="150"/>
        <v>6.5449846949787358E-11</v>
      </c>
      <c r="H1109" s="85">
        <v>7950</v>
      </c>
      <c r="I1109" s="85">
        <f t="shared" si="142"/>
        <v>5.2032628325080949E-7</v>
      </c>
      <c r="J1109" s="87">
        <v>1</v>
      </c>
      <c r="K1109" s="88">
        <f t="shared" si="143"/>
        <v>1921871.0109210003</v>
      </c>
    </row>
    <row r="1110" spans="1:11" hidden="1" x14ac:dyDescent="0.25">
      <c r="A1110" t="str">
        <f t="shared" si="144"/>
        <v>Al2O3Ø1,5</v>
      </c>
      <c r="B1110" s="81" t="s">
        <v>217</v>
      </c>
      <c r="D1110" s="86">
        <v>1.5</v>
      </c>
      <c r="E1110" s="85">
        <f t="shared" si="148"/>
        <v>1.5E-3</v>
      </c>
      <c r="F1110" s="85">
        <f t="shared" si="149"/>
        <v>7.5000000000000002E-4</v>
      </c>
      <c r="G1110" s="85">
        <f t="shared" si="150"/>
        <v>1.7671458676442585E-9</v>
      </c>
      <c r="H1110" s="85">
        <v>3900</v>
      </c>
      <c r="I1110" s="85">
        <f t="shared" si="142"/>
        <v>6.8918688838126086E-6</v>
      </c>
      <c r="J1110" s="87">
        <v>1</v>
      </c>
      <c r="K1110" s="88">
        <f t="shared" si="143"/>
        <v>145098.52361654275</v>
      </c>
    </row>
    <row r="1111" spans="1:11" hidden="1" x14ac:dyDescent="0.25">
      <c r="A1111" t="str">
        <f t="shared" si="144"/>
        <v>Al2O3Ø1,5</v>
      </c>
      <c r="B1111" s="81" t="s">
        <v>217</v>
      </c>
      <c r="D1111" s="86">
        <v>1.5</v>
      </c>
      <c r="E1111" s="85">
        <f t="shared" si="148"/>
        <v>1.5E-3</v>
      </c>
      <c r="F1111" s="85">
        <f t="shared" si="149"/>
        <v>7.5000000000000002E-4</v>
      </c>
      <c r="G1111" s="85">
        <f t="shared" si="150"/>
        <v>1.7671458676442585E-9</v>
      </c>
      <c r="H1111" s="85">
        <v>3900</v>
      </c>
      <c r="I1111" s="85">
        <f t="shared" ref="I1111:I1132" si="151">H1111*G1111</f>
        <v>6.8918688838126086E-6</v>
      </c>
      <c r="J1111" s="87">
        <v>1</v>
      </c>
      <c r="K1111" s="88">
        <f t="shared" ref="K1111:K1132" si="152">J1111/I1111</f>
        <v>145098.52361654275</v>
      </c>
    </row>
    <row r="1112" spans="1:11" hidden="1" x14ac:dyDescent="0.25">
      <c r="A1112" t="str">
        <f t="shared" si="144"/>
        <v>Al2O3Ø7</v>
      </c>
      <c r="B1112" s="81" t="s">
        <v>217</v>
      </c>
      <c r="D1112" s="86">
        <v>7</v>
      </c>
      <c r="E1112" s="85">
        <f t="shared" si="148"/>
        <v>7.0000000000000001E-3</v>
      </c>
      <c r="F1112" s="85">
        <f t="shared" si="149"/>
        <v>3.5000000000000001E-3</v>
      </c>
      <c r="G1112" s="85">
        <f t="shared" si="150"/>
        <v>1.7959438003021651E-7</v>
      </c>
      <c r="H1112" s="85">
        <v>3900</v>
      </c>
      <c r="I1112" s="85">
        <f t="shared" si="151"/>
        <v>7.0041808211784439E-4</v>
      </c>
      <c r="J1112" s="87">
        <v>1</v>
      </c>
      <c r="K1112" s="88">
        <f t="shared" si="152"/>
        <v>1427.7187090549032</v>
      </c>
    </row>
    <row r="1113" spans="1:11" hidden="1" x14ac:dyDescent="0.25">
      <c r="A1113" t="str">
        <f t="shared" si="144"/>
        <v>ZrO2Ø1,5875</v>
      </c>
      <c r="B1113" s="81" t="s">
        <v>205</v>
      </c>
      <c r="C1113" s="101" t="s">
        <v>246</v>
      </c>
      <c r="D1113" s="86">
        <f>1/16*25.4</f>
        <v>1.5874999999999999</v>
      </c>
      <c r="E1113" s="85">
        <f t="shared" si="148"/>
        <v>1.5874999999999999E-3</v>
      </c>
      <c r="F1113" s="85">
        <f t="shared" si="149"/>
        <v>7.9374999999999997E-4</v>
      </c>
      <c r="G1113" s="85">
        <f t="shared" si="150"/>
        <v>2.0947867788210349E-9</v>
      </c>
      <c r="H1113" s="85">
        <v>6000</v>
      </c>
      <c r="I1113" s="85">
        <f t="shared" si="151"/>
        <v>1.2568720672926209E-5</v>
      </c>
      <c r="J1113" s="87">
        <v>1</v>
      </c>
      <c r="K1113" s="88">
        <f t="shared" si="152"/>
        <v>79562.59240879312</v>
      </c>
    </row>
    <row r="1114" spans="1:11" hidden="1" x14ac:dyDescent="0.25">
      <c r="A1114" t="str">
        <f t="shared" si="144"/>
        <v>PA6.6Ø1,5</v>
      </c>
      <c r="B1114" s="81" t="s">
        <v>244</v>
      </c>
      <c r="D1114" s="86">
        <v>1.5</v>
      </c>
      <c r="E1114" s="85">
        <f t="shared" si="148"/>
        <v>1.5E-3</v>
      </c>
      <c r="F1114" s="85">
        <f t="shared" si="149"/>
        <v>7.5000000000000002E-4</v>
      </c>
      <c r="G1114" s="85">
        <f t="shared" si="150"/>
        <v>1.7671458676442585E-9</v>
      </c>
      <c r="H1114" s="85">
        <v>1110</v>
      </c>
      <c r="I1114" s="85">
        <f t="shared" si="151"/>
        <v>1.961531913085127E-6</v>
      </c>
      <c r="J1114" s="87">
        <v>1</v>
      </c>
      <c r="K1114" s="88">
        <f t="shared" si="152"/>
        <v>509805.62351758266</v>
      </c>
    </row>
    <row r="1115" spans="1:11" hidden="1" x14ac:dyDescent="0.25">
      <c r="A1115" t="str">
        <f t="shared" si="144"/>
        <v>PTFEØ1,5875</v>
      </c>
      <c r="B1115" s="81" t="s">
        <v>307</v>
      </c>
      <c r="C1115" s="101" t="s">
        <v>246</v>
      </c>
      <c r="D1115" s="86">
        <f>1/16*25.4</f>
        <v>1.5874999999999999</v>
      </c>
      <c r="E1115" s="85">
        <f t="shared" si="148"/>
        <v>1.5874999999999999E-3</v>
      </c>
      <c r="F1115" s="85">
        <f t="shared" si="149"/>
        <v>7.9374999999999997E-4</v>
      </c>
      <c r="G1115" s="85">
        <f t="shared" si="150"/>
        <v>2.0947867788210349E-9</v>
      </c>
      <c r="H1115" s="85">
        <v>2160</v>
      </c>
      <c r="I1115" s="85">
        <f t="shared" si="151"/>
        <v>4.5247394422534354E-6</v>
      </c>
      <c r="J1115" s="87">
        <v>1</v>
      </c>
      <c r="K1115" s="88">
        <f t="shared" si="152"/>
        <v>221007.20113553645</v>
      </c>
    </row>
    <row r="1116" spans="1:11" hidden="1" x14ac:dyDescent="0.25">
      <c r="A1116" t="str">
        <f t="shared" si="144"/>
        <v>PMMAØ1,5875</v>
      </c>
      <c r="B1116" s="81" t="s">
        <v>299</v>
      </c>
      <c r="C1116" s="101" t="s">
        <v>246</v>
      </c>
      <c r="D1116" s="86">
        <f>1/16*25.4</f>
        <v>1.5874999999999999</v>
      </c>
      <c r="E1116" s="85">
        <f t="shared" si="148"/>
        <v>1.5874999999999999E-3</v>
      </c>
      <c r="F1116" s="85">
        <f t="shared" si="149"/>
        <v>7.9374999999999997E-4</v>
      </c>
      <c r="G1116" s="85">
        <f t="shared" si="150"/>
        <v>2.0947867788210349E-9</v>
      </c>
      <c r="H1116" s="85">
        <v>1180</v>
      </c>
      <c r="I1116" s="85">
        <f t="shared" si="151"/>
        <v>2.4718483990088211E-6</v>
      </c>
      <c r="J1116" s="87">
        <v>1</v>
      </c>
      <c r="K1116" s="88">
        <f t="shared" si="152"/>
        <v>404555.55462098197</v>
      </c>
    </row>
    <row r="1117" spans="1:11" hidden="1" x14ac:dyDescent="0.25">
      <c r="A1117" t="str">
        <f t="shared" si="144"/>
        <v>PPHØ2,778125</v>
      </c>
      <c r="B1117" s="81" t="s">
        <v>202</v>
      </c>
      <c r="C1117" s="101" t="s">
        <v>247</v>
      </c>
      <c r="D1117" s="86">
        <f>7/64*25.4</f>
        <v>2.7781249999999997</v>
      </c>
      <c r="E1117" s="85">
        <f t="shared" si="148"/>
        <v>2.7781249999999998E-3</v>
      </c>
      <c r="F1117" s="85">
        <f t="shared" si="149"/>
        <v>1.3890624999999999E-3</v>
      </c>
      <c r="G1117" s="85">
        <f t="shared" si="150"/>
        <v>1.1226747892743984E-8</v>
      </c>
      <c r="H1117" s="85">
        <v>870</v>
      </c>
      <c r="I1117" s="85">
        <f t="shared" si="151"/>
        <v>9.7672706666872662E-6</v>
      </c>
      <c r="J1117" s="87">
        <v>1</v>
      </c>
      <c r="K1117" s="88">
        <f t="shared" si="152"/>
        <v>102382.74684151523</v>
      </c>
    </row>
    <row r="1118" spans="1:11" hidden="1" x14ac:dyDescent="0.25">
      <c r="A1118" t="str">
        <f t="shared" si="144"/>
        <v>316Ø0,5</v>
      </c>
      <c r="B1118" s="81">
        <v>316</v>
      </c>
      <c r="D1118" s="86">
        <v>0.5</v>
      </c>
      <c r="E1118" s="85">
        <f t="shared" si="148"/>
        <v>5.0000000000000001E-4</v>
      </c>
      <c r="F1118" s="85">
        <f t="shared" si="149"/>
        <v>2.5000000000000001E-4</v>
      </c>
      <c r="G1118" s="85">
        <f t="shared" si="150"/>
        <v>6.5449846949787358E-11</v>
      </c>
      <c r="H1118" s="85">
        <v>7950</v>
      </c>
      <c r="I1118" s="85">
        <f t="shared" si="151"/>
        <v>5.2032628325080949E-7</v>
      </c>
      <c r="J1118" s="87">
        <v>1</v>
      </c>
      <c r="K1118" s="88">
        <f t="shared" si="152"/>
        <v>1921871.0109210003</v>
      </c>
    </row>
    <row r="1119" spans="1:11" hidden="1" x14ac:dyDescent="0.25">
      <c r="A1119" t="str">
        <f t="shared" si="144"/>
        <v>52100Ø0,396875</v>
      </c>
      <c r="B1119" s="81">
        <v>52100</v>
      </c>
      <c r="C1119" s="101" t="s">
        <v>211</v>
      </c>
      <c r="D1119" s="86">
        <f>1/64*25.4</f>
        <v>0.39687499999999998</v>
      </c>
      <c r="E1119" s="85">
        <f t="shared" si="148"/>
        <v>3.9687499999999998E-4</v>
      </c>
      <c r="F1119" s="85">
        <f t="shared" si="149"/>
        <v>1.9843749999999999E-4</v>
      </c>
      <c r="G1119" s="85">
        <f t="shared" si="150"/>
        <v>3.273104341907867E-11</v>
      </c>
      <c r="H1119" s="85">
        <v>7800</v>
      </c>
      <c r="I1119" s="85">
        <f t="shared" si="151"/>
        <v>2.5530213866881361E-7</v>
      </c>
      <c r="J1119" s="87">
        <v>1</v>
      </c>
      <c r="K1119" s="88">
        <f t="shared" si="152"/>
        <v>3916927.6262790463</v>
      </c>
    </row>
    <row r="1120" spans="1:11" hidden="1" x14ac:dyDescent="0.25">
      <c r="A1120" t="str">
        <f t="shared" si="144"/>
        <v>52100Ø1</v>
      </c>
      <c r="B1120" s="81">
        <v>52100</v>
      </c>
      <c r="D1120" s="86">
        <v>1</v>
      </c>
      <c r="E1120" s="85">
        <f t="shared" si="148"/>
        <v>1E-3</v>
      </c>
      <c r="F1120" s="85">
        <f t="shared" si="149"/>
        <v>5.0000000000000001E-4</v>
      </c>
      <c r="G1120" s="85">
        <f t="shared" si="150"/>
        <v>5.2359877559829886E-10</v>
      </c>
      <c r="H1120" s="85">
        <v>7800</v>
      </c>
      <c r="I1120" s="85">
        <f t="shared" si="151"/>
        <v>4.0840704496667312E-6</v>
      </c>
      <c r="J1120" s="87">
        <v>1</v>
      </c>
      <c r="K1120" s="88">
        <f t="shared" si="152"/>
        <v>244853.75860291591</v>
      </c>
    </row>
    <row r="1121" spans="1:11" hidden="1" x14ac:dyDescent="0.25">
      <c r="A1121" t="str">
        <f t="shared" si="144"/>
        <v>316Ø0,1</v>
      </c>
      <c r="B1121" s="81">
        <v>316</v>
      </c>
      <c r="D1121" s="86">
        <v>0.1</v>
      </c>
      <c r="E1121" s="85">
        <f t="shared" si="148"/>
        <v>1E-4</v>
      </c>
      <c r="F1121" s="85">
        <f t="shared" si="149"/>
        <v>5.0000000000000002E-5</v>
      </c>
      <c r="G1121" s="85">
        <f t="shared" si="150"/>
        <v>5.2359877559829888E-13</v>
      </c>
      <c r="H1121" s="85">
        <v>7950</v>
      </c>
      <c r="I1121" s="85">
        <f t="shared" si="151"/>
        <v>4.1626102660064764E-9</v>
      </c>
      <c r="J1121" s="87">
        <v>1</v>
      </c>
      <c r="K1121" s="88">
        <f t="shared" si="152"/>
        <v>240233876.36512503</v>
      </c>
    </row>
    <row r="1122" spans="1:11" hidden="1" x14ac:dyDescent="0.25">
      <c r="A1122" t="str">
        <f t="shared" si="144"/>
        <v>316Ø0,1</v>
      </c>
      <c r="B1122" s="81">
        <v>316</v>
      </c>
      <c r="D1122" s="86">
        <v>0.1</v>
      </c>
      <c r="E1122" s="85">
        <f t="shared" si="148"/>
        <v>1E-4</v>
      </c>
      <c r="F1122" s="85">
        <f t="shared" si="149"/>
        <v>5.0000000000000002E-5</v>
      </c>
      <c r="G1122" s="85">
        <f t="shared" si="150"/>
        <v>5.2359877559829888E-13</v>
      </c>
      <c r="H1122" s="85">
        <v>7950</v>
      </c>
      <c r="I1122" s="85">
        <f t="shared" si="151"/>
        <v>4.1626102660064764E-9</v>
      </c>
      <c r="J1122" s="87">
        <v>1</v>
      </c>
      <c r="K1122" s="88">
        <f t="shared" si="152"/>
        <v>240233876.36512503</v>
      </c>
    </row>
    <row r="1123" spans="1:11" hidden="1" x14ac:dyDescent="0.25">
      <c r="A1123" t="str">
        <f t="shared" si="144"/>
        <v>316Ø0,25</v>
      </c>
      <c r="B1123" s="81">
        <v>316</v>
      </c>
      <c r="D1123" s="86">
        <v>0.25</v>
      </c>
      <c r="E1123" s="85">
        <f t="shared" si="148"/>
        <v>2.5000000000000001E-4</v>
      </c>
      <c r="F1123" s="85">
        <f t="shared" si="149"/>
        <v>1.25E-4</v>
      </c>
      <c r="G1123" s="85">
        <f t="shared" si="150"/>
        <v>8.1812308687234197E-12</v>
      </c>
      <c r="H1123" s="85">
        <v>7950</v>
      </c>
      <c r="I1123" s="85">
        <f t="shared" si="151"/>
        <v>6.5040785406351186E-8</v>
      </c>
      <c r="J1123" s="87">
        <v>1</v>
      </c>
      <c r="K1123" s="88">
        <f t="shared" si="152"/>
        <v>15374968.087368002</v>
      </c>
    </row>
    <row r="1124" spans="1:11" hidden="1" x14ac:dyDescent="0.25">
      <c r="A1124" t="str">
        <f t="shared" si="144"/>
        <v>316Ø0,25</v>
      </c>
      <c r="B1124" s="81">
        <v>316</v>
      </c>
      <c r="D1124" s="86">
        <v>0.25</v>
      </c>
      <c r="E1124" s="85">
        <f t="shared" si="148"/>
        <v>2.5000000000000001E-4</v>
      </c>
      <c r="F1124" s="85">
        <f t="shared" si="149"/>
        <v>1.25E-4</v>
      </c>
      <c r="G1124" s="85">
        <f t="shared" si="150"/>
        <v>8.1812308687234197E-12</v>
      </c>
      <c r="H1124" s="85">
        <v>7950</v>
      </c>
      <c r="I1124" s="85">
        <f t="shared" si="151"/>
        <v>6.5040785406351186E-8</v>
      </c>
      <c r="J1124" s="87">
        <v>1</v>
      </c>
      <c r="K1124" s="88">
        <f t="shared" si="152"/>
        <v>15374968.087368002</v>
      </c>
    </row>
    <row r="1125" spans="1:11" hidden="1" x14ac:dyDescent="0.25">
      <c r="A1125" t="str">
        <f t="shared" si="144"/>
        <v>316Ø0,5</v>
      </c>
      <c r="B1125" s="81">
        <v>316</v>
      </c>
      <c r="D1125" s="86">
        <v>0.5</v>
      </c>
      <c r="E1125" s="85">
        <f t="shared" si="148"/>
        <v>5.0000000000000001E-4</v>
      </c>
      <c r="F1125" s="85">
        <f t="shared" si="149"/>
        <v>2.5000000000000001E-4</v>
      </c>
      <c r="G1125" s="85">
        <f t="shared" si="150"/>
        <v>6.5449846949787358E-11</v>
      </c>
      <c r="H1125" s="85">
        <v>7950</v>
      </c>
      <c r="I1125" s="85">
        <f t="shared" si="151"/>
        <v>5.2032628325080949E-7</v>
      </c>
      <c r="J1125" s="87">
        <v>1</v>
      </c>
      <c r="K1125" s="88">
        <f t="shared" si="152"/>
        <v>1921871.0109210003</v>
      </c>
    </row>
    <row r="1126" spans="1:11" hidden="1" x14ac:dyDescent="0.25">
      <c r="A1126" t="str">
        <f t="shared" si="144"/>
        <v>316Ø0,5</v>
      </c>
      <c r="B1126" s="81">
        <v>316</v>
      </c>
      <c r="D1126" s="86">
        <v>0.5</v>
      </c>
      <c r="E1126" s="85">
        <f t="shared" si="148"/>
        <v>5.0000000000000001E-4</v>
      </c>
      <c r="F1126" s="85">
        <f t="shared" si="149"/>
        <v>2.5000000000000001E-4</v>
      </c>
      <c r="G1126" s="85">
        <f t="shared" si="150"/>
        <v>6.5449846949787358E-11</v>
      </c>
      <c r="H1126" s="85">
        <v>7950</v>
      </c>
      <c r="I1126" s="85">
        <f t="shared" si="151"/>
        <v>5.2032628325080949E-7</v>
      </c>
      <c r="J1126" s="87">
        <v>1</v>
      </c>
      <c r="K1126" s="88">
        <f t="shared" si="152"/>
        <v>1921871.0109210003</v>
      </c>
    </row>
    <row r="1127" spans="1:11" hidden="1" x14ac:dyDescent="0.25">
      <c r="A1127" t="str">
        <f t="shared" si="144"/>
        <v>POMØ1</v>
      </c>
      <c r="B1127" s="81" t="s">
        <v>201</v>
      </c>
      <c r="D1127" s="86">
        <v>1</v>
      </c>
      <c r="E1127" s="85">
        <f t="shared" si="148"/>
        <v>1E-3</v>
      </c>
      <c r="F1127" s="85">
        <f t="shared" si="149"/>
        <v>5.0000000000000001E-4</v>
      </c>
      <c r="G1127" s="85">
        <f t="shared" si="150"/>
        <v>5.2359877559829886E-10</v>
      </c>
      <c r="H1127" s="85">
        <v>1370</v>
      </c>
      <c r="I1127" s="85">
        <f t="shared" si="151"/>
        <v>7.1733032256966945E-7</v>
      </c>
      <c r="J1127" s="87">
        <v>1</v>
      </c>
      <c r="K1127" s="88">
        <f t="shared" si="152"/>
        <v>1394057.8956954337</v>
      </c>
    </row>
    <row r="1128" spans="1:11" hidden="1" x14ac:dyDescent="0.25">
      <c r="A1128" t="str">
        <f t="shared" si="144"/>
        <v>POMØ1</v>
      </c>
      <c r="B1128" s="81" t="s">
        <v>201</v>
      </c>
      <c r="D1128" s="86">
        <v>1</v>
      </c>
      <c r="E1128" s="85">
        <f t="shared" si="148"/>
        <v>1E-3</v>
      </c>
      <c r="F1128" s="85">
        <f t="shared" si="149"/>
        <v>5.0000000000000001E-4</v>
      </c>
      <c r="G1128" s="85">
        <f t="shared" si="150"/>
        <v>5.2359877559829886E-10</v>
      </c>
      <c r="H1128" s="85">
        <v>1370</v>
      </c>
      <c r="I1128" s="85">
        <f t="shared" si="151"/>
        <v>7.1733032256966945E-7</v>
      </c>
      <c r="J1128" s="87">
        <v>1</v>
      </c>
      <c r="K1128" s="88">
        <f t="shared" si="152"/>
        <v>1394057.8956954337</v>
      </c>
    </row>
    <row r="1129" spans="1:11" hidden="1" x14ac:dyDescent="0.25">
      <c r="A1129" t="str">
        <f t="shared" si="144"/>
        <v>POMØ1</v>
      </c>
      <c r="B1129" s="81" t="s">
        <v>201</v>
      </c>
      <c r="D1129" s="86">
        <v>1</v>
      </c>
      <c r="E1129" s="85">
        <f t="shared" si="148"/>
        <v>1E-3</v>
      </c>
      <c r="F1129" s="85">
        <f t="shared" si="149"/>
        <v>5.0000000000000001E-4</v>
      </c>
      <c r="G1129" s="85">
        <f t="shared" si="150"/>
        <v>5.2359877559829886E-10</v>
      </c>
      <c r="H1129" s="85">
        <v>1370</v>
      </c>
      <c r="I1129" s="85">
        <f t="shared" si="151"/>
        <v>7.1733032256966945E-7</v>
      </c>
      <c r="J1129" s="87">
        <v>1</v>
      </c>
      <c r="K1129" s="88">
        <f t="shared" si="152"/>
        <v>1394057.8956954337</v>
      </c>
    </row>
    <row r="1130" spans="1:11" hidden="1" x14ac:dyDescent="0.25">
      <c r="A1130" t="str">
        <f t="shared" si="144"/>
        <v>304Ø3,96875</v>
      </c>
      <c r="B1130" s="81">
        <v>304</v>
      </c>
      <c r="C1130" s="101" t="s">
        <v>215</v>
      </c>
      <c r="D1130" s="86">
        <f>5/32*25.4</f>
        <v>3.96875</v>
      </c>
      <c r="E1130" s="85">
        <f t="shared" si="148"/>
        <v>3.9687500000000001E-3</v>
      </c>
      <c r="F1130" s="85">
        <f t="shared" si="149"/>
        <v>1.984375E-3</v>
      </c>
      <c r="G1130" s="85">
        <f t="shared" si="150"/>
        <v>3.2731043419078684E-8</v>
      </c>
      <c r="H1130" s="85">
        <v>7950</v>
      </c>
      <c r="I1130" s="85">
        <f t="shared" si="151"/>
        <v>2.6021179518167554E-4</v>
      </c>
      <c r="J1130" s="87">
        <v>1</v>
      </c>
      <c r="K1130" s="88">
        <f t="shared" si="152"/>
        <v>3843.0233314435905</v>
      </c>
    </row>
    <row r="1131" spans="1:11" hidden="1" x14ac:dyDescent="0.25">
      <c r="A1131" t="str">
        <f t="shared" si="144"/>
        <v>420CØ0,9</v>
      </c>
      <c r="B1131" s="81" t="s">
        <v>295</v>
      </c>
      <c r="D1131" s="86">
        <v>0.9</v>
      </c>
      <c r="E1131" s="85">
        <f t="shared" si="148"/>
        <v>8.9999999999999998E-4</v>
      </c>
      <c r="F1131" s="85">
        <f t="shared" si="149"/>
        <v>4.4999999999999999E-4</v>
      </c>
      <c r="G1131" s="85">
        <f t="shared" si="150"/>
        <v>3.8170350741115976E-10</v>
      </c>
      <c r="H1131" s="85">
        <v>7700</v>
      </c>
      <c r="I1131" s="85">
        <f t="shared" si="151"/>
        <v>2.93911700706593E-6</v>
      </c>
      <c r="J1131" s="87">
        <v>1</v>
      </c>
      <c r="K1131" s="88">
        <f t="shared" si="152"/>
        <v>340238.2408035816</v>
      </c>
    </row>
    <row r="1132" spans="1:11" hidden="1" x14ac:dyDescent="0.25">
      <c r="A1132" t="str">
        <f t="shared" si="144"/>
        <v>VESCØ6</v>
      </c>
      <c r="B1132" s="81" t="s">
        <v>210</v>
      </c>
      <c r="D1132" s="86">
        <v>6</v>
      </c>
      <c r="E1132" s="85">
        <f t="shared" si="148"/>
        <v>6.0000000000000001E-3</v>
      </c>
      <c r="F1132" s="85">
        <f t="shared" si="149"/>
        <v>3.0000000000000001E-3</v>
      </c>
      <c r="G1132" s="85">
        <f t="shared" si="150"/>
        <v>1.1309733552923255E-7</v>
      </c>
      <c r="H1132" s="85">
        <v>2500</v>
      </c>
      <c r="I1132" s="85">
        <f t="shared" si="151"/>
        <v>2.8274333882308137E-4</v>
      </c>
      <c r="J1132" s="87">
        <v>1</v>
      </c>
      <c r="K1132" s="88">
        <f t="shared" si="152"/>
        <v>3536.7765131532301</v>
      </c>
    </row>
    <row r="1133" spans="1:11" hidden="1" x14ac:dyDescent="0.25">
      <c r="A1133" t="str">
        <f t="shared" si="144"/>
        <v>VESCØ8</v>
      </c>
      <c r="B1133" s="81" t="s">
        <v>210</v>
      </c>
      <c r="D1133" s="86">
        <v>8</v>
      </c>
      <c r="E1133" s="85">
        <f>D1133/1000</f>
        <v>8.0000000000000002E-3</v>
      </c>
      <c r="F1133" s="85">
        <f>E1133/2</f>
        <v>4.0000000000000001E-3</v>
      </c>
      <c r="G1133" s="85">
        <f>4/3*PI()*F1133*F1133*F1133</f>
        <v>2.6808257310632902E-7</v>
      </c>
      <c r="H1133" s="85">
        <v>2500</v>
      </c>
      <c r="I1133" s="85">
        <f>H1133*G1133</f>
        <v>6.7020643276582254E-4</v>
      </c>
      <c r="J1133" s="87">
        <v>1</v>
      </c>
      <c r="K1133" s="88">
        <f>J1133/I1133</f>
        <v>1492.0775914865187</v>
      </c>
    </row>
    <row r="1134" spans="1:11" hidden="1" x14ac:dyDescent="0.25">
      <c r="A1134" t="str">
        <f t="shared" si="144"/>
        <v>VESCØ10</v>
      </c>
      <c r="B1134" s="81" t="s">
        <v>210</v>
      </c>
      <c r="D1134" s="86">
        <v>10</v>
      </c>
      <c r="E1134" s="85">
        <f>D1134/1000</f>
        <v>0.01</v>
      </c>
      <c r="F1134" s="85">
        <f>E1134/2</f>
        <v>5.0000000000000001E-3</v>
      </c>
      <c r="G1134" s="85">
        <f>4/3*PI()*F1134*F1134*F1134</f>
        <v>5.2359877559829882E-7</v>
      </c>
      <c r="H1134" s="85">
        <v>2500</v>
      </c>
      <c r="I1134" s="85">
        <f>H1134*G1134</f>
        <v>1.308996938995747E-3</v>
      </c>
      <c r="J1134" s="87">
        <v>1</v>
      </c>
      <c r="K1134" s="88">
        <f>J1134/I1134</f>
        <v>763.94372684109771</v>
      </c>
    </row>
    <row r="1135" spans="1:11" hidden="1" x14ac:dyDescent="0.25">
      <c r="A1135" t="str">
        <f t="shared" si="144"/>
        <v>VESCØ12</v>
      </c>
      <c r="B1135" s="81" t="s">
        <v>210</v>
      </c>
      <c r="D1135" s="86">
        <v>12</v>
      </c>
      <c r="E1135" s="85">
        <f>D1135/1000</f>
        <v>1.2E-2</v>
      </c>
      <c r="F1135" s="85">
        <f>E1135/2</f>
        <v>6.0000000000000001E-3</v>
      </c>
      <c r="G1135" s="85">
        <f>4/3*PI()*F1135*F1135*F1135</f>
        <v>9.0477868423386037E-7</v>
      </c>
      <c r="H1135" s="85">
        <v>2500</v>
      </c>
      <c r="I1135" s="85">
        <f>H1135*G1135</f>
        <v>2.2619467105846509E-3</v>
      </c>
      <c r="J1135" s="87">
        <v>1</v>
      </c>
      <c r="K1135" s="88">
        <f>J1135/I1135</f>
        <v>442.09706414415376</v>
      </c>
    </row>
    <row r="1136" spans="1:11" hidden="1" x14ac:dyDescent="0.25">
      <c r="A1136" t="str">
        <f t="shared" si="144"/>
        <v>VESCØ14</v>
      </c>
      <c r="B1136" s="81" t="s">
        <v>210</v>
      </c>
      <c r="D1136" s="86">
        <v>14</v>
      </c>
      <c r="E1136" s="85">
        <f t="shared" ref="E1136:E1174" si="153">D1136/1000</f>
        <v>1.4E-2</v>
      </c>
      <c r="F1136" s="85">
        <f t="shared" ref="F1136:F1174" si="154">E1136/2</f>
        <v>7.0000000000000001E-3</v>
      </c>
      <c r="G1136" s="85">
        <f t="shared" ref="G1136:G1174" si="155">4/3*PI()*F1136*F1136*F1136</f>
        <v>1.4367550402417321E-6</v>
      </c>
      <c r="H1136" s="85">
        <v>2500</v>
      </c>
      <c r="I1136" s="85">
        <f t="shared" ref="I1136:I1184" si="156">H1136*G1136</f>
        <v>3.5918876006043304E-3</v>
      </c>
      <c r="J1136" s="87">
        <v>1</v>
      </c>
      <c r="K1136" s="88">
        <f t="shared" ref="K1136:K1184" si="157">J1136/I1136</f>
        <v>278.40514826570615</v>
      </c>
    </row>
    <row r="1137" spans="1:11" hidden="1" x14ac:dyDescent="0.25">
      <c r="A1137" t="str">
        <f t="shared" si="144"/>
        <v>WC-CoØ0,6</v>
      </c>
      <c r="B1137" s="81" t="s">
        <v>297</v>
      </c>
      <c r="D1137" s="86">
        <v>0.6</v>
      </c>
      <c r="E1137" s="85">
        <f t="shared" si="153"/>
        <v>5.9999999999999995E-4</v>
      </c>
      <c r="F1137" s="85">
        <f t="shared" si="154"/>
        <v>2.9999999999999997E-4</v>
      </c>
      <c r="G1137" s="85">
        <f t="shared" si="155"/>
        <v>1.1309733552923252E-10</v>
      </c>
      <c r="H1137" s="85">
        <v>14950</v>
      </c>
      <c r="I1137" s="85">
        <f t="shared" si="156"/>
        <v>1.690805166162026E-6</v>
      </c>
      <c r="J1137" s="87">
        <v>1</v>
      </c>
      <c r="K1137" s="88">
        <f t="shared" si="157"/>
        <v>591434.19952395174</v>
      </c>
    </row>
    <row r="1138" spans="1:11" hidden="1" x14ac:dyDescent="0.25">
      <c r="A1138" t="str">
        <f t="shared" si="144"/>
        <v>WC-CoØ0,6</v>
      </c>
      <c r="B1138" s="81" t="s">
        <v>297</v>
      </c>
      <c r="D1138" s="86">
        <v>0.6</v>
      </c>
      <c r="E1138" s="85">
        <f t="shared" si="153"/>
        <v>5.9999999999999995E-4</v>
      </c>
      <c r="F1138" s="85">
        <f t="shared" si="154"/>
        <v>2.9999999999999997E-4</v>
      </c>
      <c r="G1138" s="85">
        <f t="shared" si="155"/>
        <v>1.1309733552923252E-10</v>
      </c>
      <c r="H1138" s="85">
        <v>14600</v>
      </c>
      <c r="I1138" s="85">
        <f t="shared" si="156"/>
        <v>1.6512210987267948E-6</v>
      </c>
      <c r="J1138" s="87">
        <v>1</v>
      </c>
      <c r="K1138" s="88">
        <f t="shared" si="157"/>
        <v>605612.41663582716</v>
      </c>
    </row>
    <row r="1139" spans="1:11" hidden="1" x14ac:dyDescent="0.25">
      <c r="A1139" t="str">
        <f t="shared" si="144"/>
        <v>PMMAØ1,5875</v>
      </c>
      <c r="B1139" s="81" t="s">
        <v>299</v>
      </c>
      <c r="C1139" s="101" t="s">
        <v>246</v>
      </c>
      <c r="D1139" s="86">
        <f>1/16*25.4</f>
        <v>1.5874999999999999</v>
      </c>
      <c r="E1139" s="85">
        <f t="shared" si="153"/>
        <v>1.5874999999999999E-3</v>
      </c>
      <c r="F1139" s="85">
        <f t="shared" si="154"/>
        <v>7.9374999999999997E-4</v>
      </c>
      <c r="G1139" s="85">
        <f t="shared" si="155"/>
        <v>2.0947867788210349E-9</v>
      </c>
      <c r="H1139" s="85">
        <v>1180</v>
      </c>
      <c r="I1139" s="85">
        <f t="shared" si="156"/>
        <v>2.4718483990088211E-6</v>
      </c>
      <c r="J1139" s="87">
        <v>1</v>
      </c>
      <c r="K1139" s="88">
        <f t="shared" si="157"/>
        <v>404555.55462098197</v>
      </c>
    </row>
    <row r="1140" spans="1:11" hidden="1" x14ac:dyDescent="0.25">
      <c r="A1140" t="str">
        <f t="shared" si="144"/>
        <v>WC-CoØ1</v>
      </c>
      <c r="B1140" s="81" t="s">
        <v>297</v>
      </c>
      <c r="D1140" s="86">
        <v>1</v>
      </c>
      <c r="E1140" s="85">
        <f t="shared" si="153"/>
        <v>1E-3</v>
      </c>
      <c r="F1140" s="85">
        <f t="shared" si="154"/>
        <v>5.0000000000000001E-4</v>
      </c>
      <c r="G1140" s="85">
        <f t="shared" si="155"/>
        <v>5.2359877559829886E-10</v>
      </c>
      <c r="H1140" s="85">
        <v>14950</v>
      </c>
      <c r="I1140" s="85">
        <f t="shared" si="156"/>
        <v>7.8278016951945674E-6</v>
      </c>
      <c r="J1140" s="87">
        <v>1</v>
      </c>
      <c r="K1140" s="88">
        <f t="shared" si="157"/>
        <v>127749.78709717352</v>
      </c>
    </row>
    <row r="1141" spans="1:11" hidden="1" x14ac:dyDescent="0.25">
      <c r="A1141" t="str">
        <f t="shared" si="144"/>
        <v>WC-CoØ0,5</v>
      </c>
      <c r="B1141" s="81" t="s">
        <v>297</v>
      </c>
      <c r="D1141" s="86">
        <v>0.5</v>
      </c>
      <c r="E1141" s="85">
        <f t="shared" si="153"/>
        <v>5.0000000000000001E-4</v>
      </c>
      <c r="F1141" s="85">
        <f t="shared" si="154"/>
        <v>2.5000000000000001E-4</v>
      </c>
      <c r="G1141" s="85">
        <f t="shared" si="155"/>
        <v>6.5449846949787358E-11</v>
      </c>
      <c r="H1141" s="85">
        <v>14950</v>
      </c>
      <c r="I1141" s="85">
        <f t="shared" si="156"/>
        <v>9.7847521189932093E-7</v>
      </c>
      <c r="J1141" s="87">
        <v>1</v>
      </c>
      <c r="K1141" s="88">
        <f t="shared" si="157"/>
        <v>1021998.2967773882</v>
      </c>
    </row>
    <row r="1142" spans="1:11" hidden="1" x14ac:dyDescent="0.25">
      <c r="A1142" t="str">
        <f t="shared" si="144"/>
        <v>WC-CoØ0,5</v>
      </c>
      <c r="B1142" s="81" t="s">
        <v>297</v>
      </c>
      <c r="D1142" s="86">
        <v>0.5</v>
      </c>
      <c r="E1142" s="85">
        <f t="shared" si="153"/>
        <v>5.0000000000000001E-4</v>
      </c>
      <c r="F1142" s="85">
        <f t="shared" si="154"/>
        <v>2.5000000000000001E-4</v>
      </c>
      <c r="G1142" s="85">
        <f t="shared" si="155"/>
        <v>6.5449846949787358E-11</v>
      </c>
      <c r="H1142" s="85">
        <v>12300</v>
      </c>
      <c r="I1142" s="85">
        <f t="shared" si="156"/>
        <v>8.050331174823845E-7</v>
      </c>
      <c r="J1142" s="87">
        <v>1</v>
      </c>
      <c r="K1142" s="88">
        <f t="shared" si="157"/>
        <v>1242184.9216928417</v>
      </c>
    </row>
    <row r="1143" spans="1:11" hidden="1" x14ac:dyDescent="0.25">
      <c r="A1143" t="str">
        <f t="shared" si="144"/>
        <v>52100Ø1,2</v>
      </c>
      <c r="B1143" s="81">
        <v>52100</v>
      </c>
      <c r="D1143" s="86">
        <v>1.2</v>
      </c>
      <c r="E1143" s="85">
        <f t="shared" si="153"/>
        <v>1.1999999999999999E-3</v>
      </c>
      <c r="F1143" s="85">
        <f t="shared" si="154"/>
        <v>5.9999999999999995E-4</v>
      </c>
      <c r="G1143" s="85">
        <f t="shared" si="155"/>
        <v>9.0477868423386013E-10</v>
      </c>
      <c r="H1143" s="85">
        <v>7800</v>
      </c>
      <c r="I1143" s="85">
        <f t="shared" si="156"/>
        <v>7.0572737370241092E-6</v>
      </c>
      <c r="J1143" s="87">
        <v>1</v>
      </c>
      <c r="K1143" s="88">
        <f t="shared" si="157"/>
        <v>141697.77696928009</v>
      </c>
    </row>
    <row r="1144" spans="1:11" hidden="1" x14ac:dyDescent="0.25">
      <c r="A1144" t="str">
        <f t="shared" si="144"/>
        <v>304Ø1,5875</v>
      </c>
      <c r="B1144" s="81">
        <v>304</v>
      </c>
      <c r="C1144" s="101" t="s">
        <v>246</v>
      </c>
      <c r="D1144" s="86">
        <f>1/16*25.4</f>
        <v>1.5874999999999999</v>
      </c>
      <c r="E1144" s="85">
        <f t="shared" si="153"/>
        <v>1.5874999999999999E-3</v>
      </c>
      <c r="F1144" s="85">
        <f t="shared" si="154"/>
        <v>7.9374999999999997E-4</v>
      </c>
      <c r="G1144" s="85">
        <f t="shared" si="155"/>
        <v>2.0947867788210349E-9</v>
      </c>
      <c r="H1144" s="85">
        <v>7950</v>
      </c>
      <c r="I1144" s="85">
        <f t="shared" si="156"/>
        <v>1.6653554891627226E-5</v>
      </c>
      <c r="J1144" s="87">
        <v>1</v>
      </c>
      <c r="K1144" s="88">
        <f t="shared" si="157"/>
        <v>60047.239553806132</v>
      </c>
    </row>
    <row r="1145" spans="1:11" hidden="1" x14ac:dyDescent="0.25">
      <c r="A1145" t="str">
        <f t="shared" si="144"/>
        <v>Al2O3Ø1,5</v>
      </c>
      <c r="B1145" s="81" t="s">
        <v>217</v>
      </c>
      <c r="D1145" s="86">
        <v>1.5</v>
      </c>
      <c r="E1145" s="85">
        <f t="shared" si="153"/>
        <v>1.5E-3</v>
      </c>
      <c r="F1145" s="85">
        <f t="shared" si="154"/>
        <v>7.5000000000000002E-4</v>
      </c>
      <c r="G1145" s="85">
        <f t="shared" si="155"/>
        <v>1.7671458676442585E-9</v>
      </c>
      <c r="H1145" s="85">
        <v>3900</v>
      </c>
      <c r="I1145" s="85">
        <f t="shared" si="156"/>
        <v>6.8918688838126086E-6</v>
      </c>
      <c r="J1145" s="87">
        <v>1</v>
      </c>
      <c r="K1145" s="88">
        <f t="shared" si="157"/>
        <v>145098.52361654275</v>
      </c>
    </row>
    <row r="1146" spans="1:11" hidden="1" x14ac:dyDescent="0.25">
      <c r="A1146" t="str">
        <f t="shared" si="144"/>
        <v>Al2O3Ø1,5</v>
      </c>
      <c r="B1146" s="81" t="s">
        <v>217</v>
      </c>
      <c r="D1146" s="86">
        <v>1.5</v>
      </c>
      <c r="E1146" s="85">
        <f t="shared" si="153"/>
        <v>1.5E-3</v>
      </c>
      <c r="F1146" s="85">
        <f t="shared" si="154"/>
        <v>7.5000000000000002E-4</v>
      </c>
      <c r="G1146" s="85">
        <f t="shared" si="155"/>
        <v>1.7671458676442585E-9</v>
      </c>
      <c r="H1146" s="85">
        <v>3900</v>
      </c>
      <c r="I1146" s="85">
        <f t="shared" si="156"/>
        <v>6.8918688838126086E-6</v>
      </c>
      <c r="J1146" s="87">
        <v>1</v>
      </c>
      <c r="K1146" s="88">
        <f t="shared" si="157"/>
        <v>145098.52361654275</v>
      </c>
    </row>
    <row r="1147" spans="1:11" hidden="1" x14ac:dyDescent="0.25">
      <c r="A1147" t="str">
        <f t="shared" si="144"/>
        <v>100CrMn6Ø65,025</v>
      </c>
      <c r="B1147" s="81" t="s">
        <v>316</v>
      </c>
      <c r="D1147" s="86">
        <v>65.025000000000006</v>
      </c>
      <c r="E1147" s="85">
        <f t="shared" si="153"/>
        <v>6.5024999999999999E-2</v>
      </c>
      <c r="F1147" s="85">
        <f t="shared" si="154"/>
        <v>3.25125E-2</v>
      </c>
      <c r="G1147" s="85">
        <f t="shared" si="155"/>
        <v>1.4395929293248253E-4</v>
      </c>
      <c r="H1147" s="85">
        <v>7850</v>
      </c>
      <c r="I1147" s="85">
        <f t="shared" si="156"/>
        <v>1.1300804495199879</v>
      </c>
      <c r="J1147" s="87">
        <v>1</v>
      </c>
      <c r="K1147" s="95">
        <f t="shared" si="157"/>
        <v>0.88489275292281999</v>
      </c>
    </row>
    <row r="1148" spans="1:11" hidden="1" x14ac:dyDescent="0.25">
      <c r="A1148" t="str">
        <f t="shared" si="144"/>
        <v>100CrMn6Ø65,025</v>
      </c>
      <c r="B1148" s="81" t="s">
        <v>316</v>
      </c>
      <c r="D1148" s="86">
        <v>65.025000000000006</v>
      </c>
      <c r="E1148" s="85">
        <f t="shared" si="153"/>
        <v>6.5024999999999999E-2</v>
      </c>
      <c r="F1148" s="85">
        <f t="shared" si="154"/>
        <v>3.25125E-2</v>
      </c>
      <c r="G1148" s="85">
        <f t="shared" si="155"/>
        <v>1.4395929293248253E-4</v>
      </c>
      <c r="H1148" s="85">
        <v>7850</v>
      </c>
      <c r="I1148" s="85">
        <f t="shared" si="156"/>
        <v>1.1300804495199879</v>
      </c>
      <c r="J1148" s="87">
        <v>1</v>
      </c>
      <c r="K1148" s="88">
        <f t="shared" si="157"/>
        <v>0.88489275292281999</v>
      </c>
    </row>
    <row r="1149" spans="1:11" hidden="1" x14ac:dyDescent="0.25">
      <c r="A1149" t="str">
        <f t="shared" si="144"/>
        <v>316Ø10,31875</v>
      </c>
      <c r="B1149" s="81">
        <v>316</v>
      </c>
      <c r="C1149" s="101" t="s">
        <v>275</v>
      </c>
      <c r="D1149" s="86">
        <f>13/32*25.4</f>
        <v>10.31875</v>
      </c>
      <c r="E1149" s="85">
        <f t="shared" si="153"/>
        <v>1.031875E-2</v>
      </c>
      <c r="F1149" s="85">
        <f t="shared" si="154"/>
        <v>5.1593749999999999E-3</v>
      </c>
      <c r="G1149" s="85">
        <f t="shared" si="155"/>
        <v>5.7528081913372671E-7</v>
      </c>
      <c r="H1149" s="85">
        <v>7950</v>
      </c>
      <c r="I1149" s="85">
        <f t="shared" si="156"/>
        <v>4.5734825121131273E-3</v>
      </c>
      <c r="J1149" s="87">
        <v>1</v>
      </c>
      <c r="K1149" s="88">
        <f t="shared" si="157"/>
        <v>218.6517598682062</v>
      </c>
    </row>
    <row r="1150" spans="1:11" hidden="1" x14ac:dyDescent="0.25">
      <c r="A1150" t="str">
        <f t="shared" si="144"/>
        <v>52100Ø0,79375</v>
      </c>
      <c r="B1150" s="81">
        <v>52100</v>
      </c>
      <c r="C1150" s="101" t="s">
        <v>241</v>
      </c>
      <c r="D1150" s="86">
        <f>1/32*25.4</f>
        <v>0.79374999999999996</v>
      </c>
      <c r="E1150" s="85">
        <f t="shared" si="153"/>
        <v>7.9374999999999997E-4</v>
      </c>
      <c r="F1150" s="85">
        <f t="shared" si="154"/>
        <v>3.9687499999999998E-4</v>
      </c>
      <c r="G1150" s="85">
        <f t="shared" si="155"/>
        <v>2.6184834735262936E-10</v>
      </c>
      <c r="H1150" s="85">
        <v>7800</v>
      </c>
      <c r="I1150" s="85">
        <f t="shared" si="156"/>
        <v>2.0424171093505088E-6</v>
      </c>
      <c r="J1150" s="87">
        <v>1</v>
      </c>
      <c r="K1150" s="88">
        <f t="shared" si="157"/>
        <v>489615.95328488079</v>
      </c>
    </row>
    <row r="1151" spans="1:11" hidden="1" x14ac:dyDescent="0.25">
      <c r="A1151" t="str">
        <f t="shared" si="144"/>
        <v>52100Ø0,79375</v>
      </c>
      <c r="B1151" s="81">
        <v>52100</v>
      </c>
      <c r="C1151" s="101" t="s">
        <v>241</v>
      </c>
      <c r="D1151" s="86">
        <f>1/32*25.4</f>
        <v>0.79374999999999996</v>
      </c>
      <c r="E1151" s="85">
        <f t="shared" si="153"/>
        <v>7.9374999999999997E-4</v>
      </c>
      <c r="F1151" s="85">
        <f t="shared" si="154"/>
        <v>3.9687499999999998E-4</v>
      </c>
      <c r="G1151" s="85">
        <f t="shared" si="155"/>
        <v>2.6184834735262936E-10</v>
      </c>
      <c r="H1151" s="85">
        <v>7800</v>
      </c>
      <c r="I1151" s="85">
        <f t="shared" si="156"/>
        <v>2.0424171093505088E-6</v>
      </c>
      <c r="J1151" s="87">
        <v>1</v>
      </c>
      <c r="K1151" s="88">
        <f t="shared" si="157"/>
        <v>489615.95328488079</v>
      </c>
    </row>
    <row r="1152" spans="1:11" hidden="1" x14ac:dyDescent="0.25">
      <c r="A1152" t="str">
        <f t="shared" si="144"/>
        <v>POMØ1</v>
      </c>
      <c r="B1152" s="81" t="s">
        <v>201</v>
      </c>
      <c r="D1152" s="86">
        <v>1</v>
      </c>
      <c r="E1152" s="85">
        <f t="shared" si="153"/>
        <v>1E-3</v>
      </c>
      <c r="F1152" s="85">
        <f t="shared" si="154"/>
        <v>5.0000000000000001E-4</v>
      </c>
      <c r="G1152" s="85">
        <f t="shared" si="155"/>
        <v>5.2359877559829886E-10</v>
      </c>
      <c r="H1152" s="85">
        <v>1370</v>
      </c>
      <c r="I1152" s="85">
        <f t="shared" si="156"/>
        <v>7.1733032256966945E-7</v>
      </c>
      <c r="J1152" s="87">
        <v>1</v>
      </c>
      <c r="K1152" s="88">
        <f t="shared" si="157"/>
        <v>1394057.8956954337</v>
      </c>
    </row>
    <row r="1153" spans="1:11" hidden="1" x14ac:dyDescent="0.25">
      <c r="A1153" t="str">
        <f t="shared" si="144"/>
        <v>POMØ1,5875</v>
      </c>
      <c r="B1153" s="81" t="s">
        <v>201</v>
      </c>
      <c r="C1153" s="101" t="s">
        <v>246</v>
      </c>
      <c r="D1153" s="86">
        <f>1/16*25.4</f>
        <v>1.5874999999999999</v>
      </c>
      <c r="E1153" s="85">
        <f t="shared" si="153"/>
        <v>1.5874999999999999E-3</v>
      </c>
      <c r="F1153" s="85">
        <f t="shared" si="154"/>
        <v>7.9374999999999997E-4</v>
      </c>
      <c r="G1153" s="85">
        <f t="shared" si="155"/>
        <v>2.0947867788210349E-9</v>
      </c>
      <c r="H1153" s="85">
        <v>1370</v>
      </c>
      <c r="I1153" s="85">
        <f t="shared" si="156"/>
        <v>2.8698578869848178E-6</v>
      </c>
      <c r="J1153" s="87">
        <v>1</v>
      </c>
      <c r="K1153" s="88">
        <f t="shared" si="157"/>
        <v>348449.30981953192</v>
      </c>
    </row>
    <row r="1154" spans="1:11" hidden="1" x14ac:dyDescent="0.25">
      <c r="A1154" t="str">
        <f t="shared" si="144"/>
        <v>POMØ2</v>
      </c>
      <c r="B1154" s="81" t="s">
        <v>201</v>
      </c>
      <c r="D1154" s="86">
        <v>2</v>
      </c>
      <c r="E1154" s="85">
        <f t="shared" si="153"/>
        <v>2E-3</v>
      </c>
      <c r="F1154" s="85">
        <f t="shared" si="154"/>
        <v>1E-3</v>
      </c>
      <c r="G1154" s="85">
        <f t="shared" si="155"/>
        <v>4.1887902047863909E-9</v>
      </c>
      <c r="H1154" s="85">
        <v>1370</v>
      </c>
      <c r="I1154" s="85">
        <f t="shared" si="156"/>
        <v>5.7386425805573556E-6</v>
      </c>
      <c r="J1154" s="87">
        <v>1</v>
      </c>
      <c r="K1154" s="88">
        <f t="shared" si="157"/>
        <v>174257.23696192921</v>
      </c>
    </row>
    <row r="1155" spans="1:11" hidden="1" x14ac:dyDescent="0.25">
      <c r="A1155" t="str">
        <f t="shared" si="144"/>
        <v>POMØ2,5</v>
      </c>
      <c r="B1155" s="81" t="s">
        <v>201</v>
      </c>
      <c r="D1155" s="86">
        <v>2.5</v>
      </c>
      <c r="E1155" s="85">
        <f t="shared" si="153"/>
        <v>2.5000000000000001E-3</v>
      </c>
      <c r="F1155" s="85">
        <f t="shared" si="154"/>
        <v>1.25E-3</v>
      </c>
      <c r="G1155" s="85">
        <f t="shared" si="155"/>
        <v>8.181230868723419E-9</v>
      </c>
      <c r="H1155" s="85">
        <v>1370</v>
      </c>
      <c r="I1155" s="85">
        <f t="shared" si="156"/>
        <v>1.1208286290151084E-5</v>
      </c>
      <c r="J1155" s="87">
        <v>1</v>
      </c>
      <c r="K1155" s="88">
        <f t="shared" si="157"/>
        <v>89219.705324507755</v>
      </c>
    </row>
    <row r="1156" spans="1:11" hidden="1" x14ac:dyDescent="0.25">
      <c r="A1156" t="str">
        <f t="shared" ref="A1156:A1219" si="158">CONCATENATE(B1156,"Ø",D1156)</f>
        <v>POMØ3</v>
      </c>
      <c r="B1156" s="81" t="s">
        <v>201</v>
      </c>
      <c r="D1156" s="86">
        <v>3</v>
      </c>
      <c r="E1156" s="85">
        <f t="shared" si="153"/>
        <v>3.0000000000000001E-3</v>
      </c>
      <c r="F1156" s="85">
        <f t="shared" si="154"/>
        <v>1.5E-3</v>
      </c>
      <c r="G1156" s="85">
        <f t="shared" si="155"/>
        <v>1.4137166941154068E-8</v>
      </c>
      <c r="H1156" s="85">
        <v>1370</v>
      </c>
      <c r="I1156" s="85">
        <f t="shared" si="156"/>
        <v>1.9367918709381075E-5</v>
      </c>
      <c r="J1156" s="87">
        <v>1</v>
      </c>
      <c r="K1156" s="88">
        <f t="shared" si="157"/>
        <v>51631.773914645688</v>
      </c>
    </row>
    <row r="1157" spans="1:11" hidden="1" x14ac:dyDescent="0.25">
      <c r="A1157" t="str">
        <f t="shared" si="158"/>
        <v>POMØ3,5</v>
      </c>
      <c r="B1157" s="81" t="s">
        <v>201</v>
      </c>
      <c r="D1157" s="86">
        <v>3.5</v>
      </c>
      <c r="E1157" s="85">
        <f t="shared" si="153"/>
        <v>3.5000000000000001E-3</v>
      </c>
      <c r="F1157" s="85">
        <f t="shared" si="154"/>
        <v>1.75E-3</v>
      </c>
      <c r="G1157" s="85">
        <f t="shared" si="155"/>
        <v>2.2449297503777064E-8</v>
      </c>
      <c r="H1157" s="85">
        <v>1370</v>
      </c>
      <c r="I1157" s="85">
        <f t="shared" si="156"/>
        <v>3.0755537580174575E-5</v>
      </c>
      <c r="J1157" s="87">
        <v>1</v>
      </c>
      <c r="K1157" s="88">
        <f t="shared" si="157"/>
        <v>32514.469870447432</v>
      </c>
    </row>
    <row r="1158" spans="1:11" hidden="1" x14ac:dyDescent="0.25">
      <c r="A1158" t="str">
        <f t="shared" si="158"/>
        <v>POMØ4</v>
      </c>
      <c r="B1158" s="81" t="s">
        <v>201</v>
      </c>
      <c r="D1158" s="86">
        <v>4</v>
      </c>
      <c r="E1158" s="85">
        <f t="shared" si="153"/>
        <v>4.0000000000000001E-3</v>
      </c>
      <c r="F1158" s="85">
        <f t="shared" si="154"/>
        <v>2E-3</v>
      </c>
      <c r="G1158" s="85">
        <f t="shared" si="155"/>
        <v>3.3510321638291127E-8</v>
      </c>
      <c r="H1158" s="85">
        <v>1370</v>
      </c>
      <c r="I1158" s="85">
        <f t="shared" si="156"/>
        <v>4.5909140644458845E-5</v>
      </c>
      <c r="J1158" s="87">
        <v>1</v>
      </c>
      <c r="K1158" s="88">
        <f t="shared" si="157"/>
        <v>21782.154620241152</v>
      </c>
    </row>
    <row r="1159" spans="1:11" hidden="1" x14ac:dyDescent="0.25">
      <c r="A1159" t="str">
        <f t="shared" si="158"/>
        <v>POMØ4,5</v>
      </c>
      <c r="B1159" s="81" t="s">
        <v>201</v>
      </c>
      <c r="D1159" s="86">
        <v>4.5</v>
      </c>
      <c r="E1159" s="85">
        <f t="shared" si="153"/>
        <v>4.4999999999999997E-3</v>
      </c>
      <c r="F1159" s="85">
        <f t="shared" si="154"/>
        <v>2.2499999999999998E-3</v>
      </c>
      <c r="G1159" s="85">
        <f t="shared" si="155"/>
        <v>4.7712938426394968E-8</v>
      </c>
      <c r="H1159" s="85">
        <v>1370</v>
      </c>
      <c r="I1159" s="85">
        <f t="shared" si="156"/>
        <v>6.5366725644161103E-5</v>
      </c>
      <c r="J1159" s="87">
        <v>1</v>
      </c>
      <c r="K1159" s="88">
        <f t="shared" si="157"/>
        <v>15298.303382117247</v>
      </c>
    </row>
    <row r="1160" spans="1:11" hidden="1" x14ac:dyDescent="0.25">
      <c r="A1160" t="str">
        <f t="shared" si="158"/>
        <v>POMØ5</v>
      </c>
      <c r="B1160" s="81" t="s">
        <v>201</v>
      </c>
      <c r="D1160" s="86">
        <v>5</v>
      </c>
      <c r="E1160" s="85">
        <f t="shared" si="153"/>
        <v>5.0000000000000001E-3</v>
      </c>
      <c r="F1160" s="85">
        <f t="shared" si="154"/>
        <v>2.5000000000000001E-3</v>
      </c>
      <c r="G1160" s="85">
        <f t="shared" si="155"/>
        <v>6.5449846949787352E-8</v>
      </c>
      <c r="H1160" s="85">
        <v>1370</v>
      </c>
      <c r="I1160" s="85">
        <f t="shared" si="156"/>
        <v>8.9666290321208675E-5</v>
      </c>
      <c r="J1160" s="87">
        <v>1</v>
      </c>
      <c r="K1160" s="88">
        <f t="shared" si="157"/>
        <v>11152.463165563469</v>
      </c>
    </row>
    <row r="1161" spans="1:11" hidden="1" x14ac:dyDescent="0.25">
      <c r="A1161" t="str">
        <f t="shared" si="158"/>
        <v>POMØ5,55625</v>
      </c>
      <c r="B1161" s="81" t="s">
        <v>201</v>
      </c>
      <c r="C1161" s="101" t="s">
        <v>249</v>
      </c>
      <c r="D1161" s="86">
        <f>7/32*25.4</f>
        <v>5.5562499999999995</v>
      </c>
      <c r="E1161" s="85">
        <f t="shared" si="153"/>
        <v>5.5562499999999996E-3</v>
      </c>
      <c r="F1161" s="85">
        <f t="shared" si="154"/>
        <v>2.7781249999999998E-3</v>
      </c>
      <c r="G1161" s="85">
        <f t="shared" si="155"/>
        <v>8.9813983141951873E-8</v>
      </c>
      <c r="H1161" s="85">
        <v>1370</v>
      </c>
      <c r="I1161" s="85">
        <f t="shared" si="156"/>
        <v>1.2304515690447407E-4</v>
      </c>
      <c r="J1161" s="87">
        <v>1</v>
      </c>
      <c r="K1161" s="88">
        <f t="shared" si="157"/>
        <v>8127.0976051202779</v>
      </c>
    </row>
    <row r="1162" spans="1:11" hidden="1" x14ac:dyDescent="0.25">
      <c r="A1162" t="str">
        <f t="shared" si="158"/>
        <v>440CØ1,5875</v>
      </c>
      <c r="B1162" s="81" t="s">
        <v>314</v>
      </c>
      <c r="C1162" s="101" t="s">
        <v>246</v>
      </c>
      <c r="D1162" s="86">
        <f>1/16*25.4</f>
        <v>1.5874999999999999</v>
      </c>
      <c r="E1162" s="85">
        <f t="shared" si="153"/>
        <v>1.5874999999999999E-3</v>
      </c>
      <c r="F1162" s="85">
        <f t="shared" si="154"/>
        <v>7.9374999999999997E-4</v>
      </c>
      <c r="G1162" s="85">
        <f t="shared" si="155"/>
        <v>2.0947867788210349E-9</v>
      </c>
      <c r="H1162" s="85">
        <v>7700</v>
      </c>
      <c r="I1162" s="85">
        <f t="shared" si="156"/>
        <v>1.6129858196921968E-5</v>
      </c>
      <c r="J1162" s="87">
        <v>1</v>
      </c>
      <c r="K1162" s="88">
        <f t="shared" si="157"/>
        <v>61996.825253605035</v>
      </c>
    </row>
    <row r="1163" spans="1:11" hidden="1" x14ac:dyDescent="0.25">
      <c r="A1163" t="str">
        <f t="shared" si="158"/>
        <v>VESCØ1,2</v>
      </c>
      <c r="B1163" s="81" t="s">
        <v>210</v>
      </c>
      <c r="D1163" s="86">
        <v>1.2</v>
      </c>
      <c r="E1163" s="85">
        <f t="shared" si="153"/>
        <v>1.1999999999999999E-3</v>
      </c>
      <c r="F1163" s="85">
        <f t="shared" si="154"/>
        <v>5.9999999999999995E-4</v>
      </c>
      <c r="G1163" s="85">
        <f t="shared" si="155"/>
        <v>9.0477868423386013E-10</v>
      </c>
      <c r="H1163" s="85">
        <v>2500</v>
      </c>
      <c r="I1163" s="85">
        <f t="shared" si="156"/>
        <v>2.2619467105846502E-6</v>
      </c>
      <c r="J1163" s="87">
        <v>1</v>
      </c>
      <c r="K1163" s="88">
        <f t="shared" si="157"/>
        <v>442097.0641441539</v>
      </c>
    </row>
    <row r="1164" spans="1:11" hidden="1" x14ac:dyDescent="0.25">
      <c r="A1164" t="str">
        <f t="shared" si="158"/>
        <v>VESCØ1,2</v>
      </c>
      <c r="B1164" s="81" t="s">
        <v>210</v>
      </c>
      <c r="D1164" s="86">
        <v>1.2</v>
      </c>
      <c r="E1164" s="85">
        <f t="shared" si="153"/>
        <v>1.1999999999999999E-3</v>
      </c>
      <c r="F1164" s="85">
        <f t="shared" si="154"/>
        <v>5.9999999999999995E-4</v>
      </c>
      <c r="G1164" s="85">
        <f t="shared" si="155"/>
        <v>9.0477868423386013E-10</v>
      </c>
      <c r="H1164" s="85">
        <v>2500</v>
      </c>
      <c r="I1164" s="85">
        <f t="shared" si="156"/>
        <v>2.2619467105846502E-6</v>
      </c>
      <c r="J1164" s="87">
        <v>1</v>
      </c>
      <c r="K1164" s="88">
        <f t="shared" si="157"/>
        <v>442097.0641441539</v>
      </c>
    </row>
    <row r="1165" spans="1:11" hidden="1" x14ac:dyDescent="0.25">
      <c r="A1165" t="str">
        <f t="shared" si="158"/>
        <v>WC-CoØ2</v>
      </c>
      <c r="B1165" s="81" t="s">
        <v>297</v>
      </c>
      <c r="D1165" s="86">
        <v>2</v>
      </c>
      <c r="E1165" s="85">
        <f t="shared" si="153"/>
        <v>2E-3</v>
      </c>
      <c r="F1165" s="85">
        <f t="shared" si="154"/>
        <v>1E-3</v>
      </c>
      <c r="G1165" s="85">
        <f t="shared" si="155"/>
        <v>4.1887902047863909E-9</v>
      </c>
      <c r="H1165" s="85">
        <v>14950</v>
      </c>
      <c r="I1165" s="85">
        <f t="shared" si="156"/>
        <v>6.2622413561556539E-5</v>
      </c>
      <c r="J1165" s="87">
        <v>1</v>
      </c>
      <c r="K1165" s="88">
        <f t="shared" si="157"/>
        <v>15968.723387146691</v>
      </c>
    </row>
    <row r="1166" spans="1:11" hidden="1" x14ac:dyDescent="0.25">
      <c r="A1166" t="str">
        <f t="shared" si="158"/>
        <v>Al2O3Ø2,38125</v>
      </c>
      <c r="B1166" s="81" t="s">
        <v>217</v>
      </c>
      <c r="C1166" s="101" t="s">
        <v>213</v>
      </c>
      <c r="D1166" s="86">
        <f>3/32*25.4</f>
        <v>2.3812499999999996</v>
      </c>
      <c r="E1166" s="85">
        <f t="shared" si="153"/>
        <v>2.3812499999999997E-3</v>
      </c>
      <c r="F1166" s="85">
        <f t="shared" si="154"/>
        <v>1.1906249999999998E-3</v>
      </c>
      <c r="G1166" s="85">
        <f t="shared" si="155"/>
        <v>7.0699053785209917E-9</v>
      </c>
      <c r="H1166" s="85">
        <v>3900</v>
      </c>
      <c r="I1166" s="85">
        <f t="shared" si="156"/>
        <v>2.7572630976231868E-5</v>
      </c>
      <c r="J1166" s="87">
        <v>1</v>
      </c>
      <c r="K1166" s="88">
        <f t="shared" si="157"/>
        <v>36267.848391472653</v>
      </c>
    </row>
    <row r="1167" spans="1:11" hidden="1" x14ac:dyDescent="0.25">
      <c r="A1167" t="str">
        <f t="shared" si="158"/>
        <v>420CØ1</v>
      </c>
      <c r="B1167" s="81" t="s">
        <v>295</v>
      </c>
      <c r="D1167" s="86">
        <v>1</v>
      </c>
      <c r="E1167" s="85">
        <f t="shared" si="153"/>
        <v>1E-3</v>
      </c>
      <c r="F1167" s="85">
        <f t="shared" si="154"/>
        <v>5.0000000000000001E-4</v>
      </c>
      <c r="G1167" s="85">
        <f t="shared" si="155"/>
        <v>5.2359877559829886E-10</v>
      </c>
      <c r="H1167" s="85">
        <v>7700</v>
      </c>
      <c r="I1167" s="85">
        <f t="shared" si="156"/>
        <v>4.0317105721069012E-6</v>
      </c>
      <c r="J1167" s="87">
        <v>1</v>
      </c>
      <c r="K1167" s="88">
        <f t="shared" si="157"/>
        <v>248033.67754581093</v>
      </c>
    </row>
    <row r="1168" spans="1:11" hidden="1" x14ac:dyDescent="0.25">
      <c r="A1168" t="str">
        <f t="shared" si="158"/>
        <v>420CØ1</v>
      </c>
      <c r="B1168" s="81" t="s">
        <v>295</v>
      </c>
      <c r="D1168" s="86">
        <v>1</v>
      </c>
      <c r="E1168" s="85">
        <f t="shared" si="153"/>
        <v>1E-3</v>
      </c>
      <c r="F1168" s="85">
        <f t="shared" si="154"/>
        <v>5.0000000000000001E-4</v>
      </c>
      <c r="G1168" s="85">
        <f t="shared" si="155"/>
        <v>5.2359877559829886E-10</v>
      </c>
      <c r="H1168" s="85">
        <v>7700</v>
      </c>
      <c r="I1168" s="85">
        <f t="shared" si="156"/>
        <v>4.0317105721069012E-6</v>
      </c>
      <c r="J1168" s="87">
        <v>1</v>
      </c>
      <c r="K1168" s="88">
        <f t="shared" si="157"/>
        <v>248033.67754581093</v>
      </c>
    </row>
    <row r="1169" spans="1:11" hidden="1" x14ac:dyDescent="0.25">
      <c r="A1169" t="str">
        <f t="shared" si="158"/>
        <v>WC-CoØ1,5875</v>
      </c>
      <c r="B1169" s="81" t="s">
        <v>297</v>
      </c>
      <c r="C1169" s="101" t="s">
        <v>246</v>
      </c>
      <c r="D1169" s="86">
        <f>1/16*25.4</f>
        <v>1.5874999999999999</v>
      </c>
      <c r="E1169" s="85">
        <f t="shared" si="153"/>
        <v>1.5874999999999999E-3</v>
      </c>
      <c r="F1169" s="85">
        <f t="shared" si="154"/>
        <v>7.9374999999999997E-4</v>
      </c>
      <c r="G1169" s="85">
        <f t="shared" si="155"/>
        <v>2.0947867788210349E-9</v>
      </c>
      <c r="H1169" s="85">
        <v>14950</v>
      </c>
      <c r="I1169" s="85">
        <f t="shared" si="156"/>
        <v>3.1317062343374473E-5</v>
      </c>
      <c r="J1169" s="87">
        <v>1</v>
      </c>
      <c r="K1169" s="88">
        <f t="shared" si="157"/>
        <v>31931.475214231352</v>
      </c>
    </row>
    <row r="1170" spans="1:11" hidden="1" x14ac:dyDescent="0.25">
      <c r="A1170" t="str">
        <f t="shared" si="158"/>
        <v>420CØ0,79375</v>
      </c>
      <c r="B1170" s="81" t="s">
        <v>295</v>
      </c>
      <c r="C1170" s="101" t="s">
        <v>241</v>
      </c>
      <c r="D1170" s="86">
        <f>1/32*25.4</f>
        <v>0.79374999999999996</v>
      </c>
      <c r="E1170" s="85">
        <f t="shared" si="153"/>
        <v>7.9374999999999997E-4</v>
      </c>
      <c r="F1170" s="85">
        <f t="shared" si="154"/>
        <v>3.9687499999999998E-4</v>
      </c>
      <c r="G1170" s="85">
        <f t="shared" si="155"/>
        <v>2.6184834735262936E-10</v>
      </c>
      <c r="H1170" s="85">
        <v>7700</v>
      </c>
      <c r="I1170" s="85">
        <f t="shared" si="156"/>
        <v>2.016232274615246E-6</v>
      </c>
      <c r="J1170" s="87">
        <v>1</v>
      </c>
      <c r="K1170" s="88">
        <f t="shared" si="157"/>
        <v>495974.60202884028</v>
      </c>
    </row>
    <row r="1171" spans="1:11" hidden="1" x14ac:dyDescent="0.25">
      <c r="A1171" t="str">
        <f t="shared" si="158"/>
        <v>OttoneØ1</v>
      </c>
      <c r="B1171" s="81" t="s">
        <v>216</v>
      </c>
      <c r="D1171" s="86">
        <v>1</v>
      </c>
      <c r="E1171" s="85">
        <f t="shared" si="153"/>
        <v>1E-3</v>
      </c>
      <c r="F1171" s="85">
        <f t="shared" si="154"/>
        <v>5.0000000000000001E-4</v>
      </c>
      <c r="G1171" s="85">
        <f t="shared" si="155"/>
        <v>5.2359877559829886E-10</v>
      </c>
      <c r="H1171" s="85">
        <v>8490</v>
      </c>
      <c r="I1171" s="85">
        <f t="shared" si="156"/>
        <v>4.4453536048295575E-6</v>
      </c>
      <c r="J1171" s="87">
        <v>1</v>
      </c>
      <c r="K1171" s="88">
        <f t="shared" si="157"/>
        <v>224953.98316875665</v>
      </c>
    </row>
    <row r="1172" spans="1:11" hidden="1" x14ac:dyDescent="0.25">
      <c r="A1172" t="str">
        <f t="shared" si="158"/>
        <v>PPHØ3,96875</v>
      </c>
      <c r="B1172" s="81" t="s">
        <v>202</v>
      </c>
      <c r="C1172" s="101" t="s">
        <v>215</v>
      </c>
      <c r="D1172" s="86">
        <f>5/32*25.4</f>
        <v>3.96875</v>
      </c>
      <c r="E1172" s="85">
        <f t="shared" si="153"/>
        <v>3.9687500000000001E-3</v>
      </c>
      <c r="F1172" s="85">
        <f t="shared" si="154"/>
        <v>1.984375E-3</v>
      </c>
      <c r="G1172" s="85">
        <f t="shared" si="155"/>
        <v>3.2731043419078684E-8</v>
      </c>
      <c r="H1172" s="85">
        <v>870</v>
      </c>
      <c r="I1172" s="85">
        <f t="shared" si="156"/>
        <v>2.8476007774598456E-5</v>
      </c>
      <c r="J1172" s="87">
        <v>1</v>
      </c>
      <c r="K1172" s="88">
        <f t="shared" si="157"/>
        <v>35117.282166639707</v>
      </c>
    </row>
    <row r="1173" spans="1:11" hidden="1" x14ac:dyDescent="0.25">
      <c r="A1173" t="str">
        <f t="shared" si="158"/>
        <v>PPHØ4,7625</v>
      </c>
      <c r="B1173" s="81" t="s">
        <v>202</v>
      </c>
      <c r="C1173" s="101" t="s">
        <v>248</v>
      </c>
      <c r="D1173" s="86">
        <f>3/16*25.4</f>
        <v>4.7624999999999993</v>
      </c>
      <c r="E1173" s="85">
        <f t="shared" si="153"/>
        <v>4.7624999999999994E-3</v>
      </c>
      <c r="F1173" s="85">
        <f t="shared" si="154"/>
        <v>2.3812499999999997E-3</v>
      </c>
      <c r="G1173" s="85">
        <f t="shared" si="155"/>
        <v>5.6559243028167934E-8</v>
      </c>
      <c r="H1173" s="85">
        <v>870</v>
      </c>
      <c r="I1173" s="85">
        <f t="shared" si="156"/>
        <v>4.9206541434506105E-5</v>
      </c>
      <c r="J1173" s="87">
        <v>1</v>
      </c>
      <c r="K1173" s="88">
        <f t="shared" si="157"/>
        <v>20322.501253842434</v>
      </c>
    </row>
    <row r="1174" spans="1:11" hidden="1" x14ac:dyDescent="0.25">
      <c r="A1174" t="str">
        <f t="shared" si="158"/>
        <v>Alluminio serie 1Ø20</v>
      </c>
      <c r="B1174" s="81" t="s">
        <v>330</v>
      </c>
      <c r="D1174" s="86">
        <v>20</v>
      </c>
      <c r="E1174" s="85">
        <f t="shared" si="153"/>
        <v>0.02</v>
      </c>
      <c r="F1174" s="85">
        <f t="shared" si="154"/>
        <v>0.01</v>
      </c>
      <c r="G1174" s="85">
        <f t="shared" si="155"/>
        <v>4.1887902047863905E-6</v>
      </c>
      <c r="H1174" s="85">
        <v>2710</v>
      </c>
      <c r="I1174" s="85">
        <f t="shared" si="156"/>
        <v>1.1351621454971119E-2</v>
      </c>
      <c r="J1174" s="87">
        <v>1</v>
      </c>
      <c r="K1174" s="88">
        <f t="shared" si="157"/>
        <v>88.093141932783396</v>
      </c>
    </row>
    <row r="1175" spans="1:11" hidden="1" x14ac:dyDescent="0.25">
      <c r="A1175" t="str">
        <f t="shared" si="158"/>
        <v>Alluminio serie 1Ø25</v>
      </c>
      <c r="B1175" s="81" t="s">
        <v>330</v>
      </c>
      <c r="D1175" s="86">
        <v>25</v>
      </c>
      <c r="E1175" s="85">
        <f>D1175/1000</f>
        <v>2.5000000000000001E-2</v>
      </c>
      <c r="F1175" s="85">
        <f>E1175/2</f>
        <v>1.2500000000000001E-2</v>
      </c>
      <c r="G1175" s="85">
        <f>4/3*PI()*F1175*F1175*F1175</f>
        <v>8.1812308687234206E-6</v>
      </c>
      <c r="H1175" s="85">
        <v>2710</v>
      </c>
      <c r="I1175" s="85">
        <f t="shared" si="156"/>
        <v>2.2171135654240469E-2</v>
      </c>
      <c r="J1175" s="87">
        <v>1</v>
      </c>
      <c r="K1175" s="88">
        <f t="shared" si="157"/>
        <v>45.103688669585097</v>
      </c>
    </row>
    <row r="1176" spans="1:11" hidden="1" x14ac:dyDescent="0.25">
      <c r="A1176" t="str">
        <f t="shared" si="158"/>
        <v>Alluminio serie 1Ø30</v>
      </c>
      <c r="B1176" s="81" t="s">
        <v>330</v>
      </c>
      <c r="D1176" s="86">
        <v>30</v>
      </c>
      <c r="E1176" s="85">
        <f>D1176/1000</f>
        <v>0.03</v>
      </c>
      <c r="F1176" s="85">
        <f>E1176/2</f>
        <v>1.4999999999999999E-2</v>
      </c>
      <c r="G1176" s="85">
        <f>4/3*PI()*F1176*F1176*F1176</f>
        <v>1.4137166941154067E-5</v>
      </c>
      <c r="H1176" s="85">
        <v>2710</v>
      </c>
      <c r="I1176" s="85">
        <f t="shared" si="156"/>
        <v>3.8311722410527521E-2</v>
      </c>
      <c r="J1176" s="87">
        <v>1</v>
      </c>
      <c r="K1176" s="88">
        <f t="shared" si="157"/>
        <v>26.101671683787679</v>
      </c>
    </row>
    <row r="1177" spans="1:11" hidden="1" x14ac:dyDescent="0.25">
      <c r="A1177" t="str">
        <f t="shared" si="158"/>
        <v>Alluminio serie 1Ø35</v>
      </c>
      <c r="B1177" s="81" t="s">
        <v>330</v>
      </c>
      <c r="D1177" s="86">
        <v>35</v>
      </c>
      <c r="E1177" s="85">
        <f t="shared" ref="E1177:E1182" si="159">D1177/1000</f>
        <v>3.5000000000000003E-2</v>
      </c>
      <c r="F1177" s="85">
        <f t="shared" ref="F1177:F1182" si="160">E1177/2</f>
        <v>1.7500000000000002E-2</v>
      </c>
      <c r="G1177" s="85">
        <f t="shared" ref="G1177:G1182" si="161">4/3*PI()*F1177*F1177*F1177</f>
        <v>2.2449297503777071E-5</v>
      </c>
      <c r="H1177" s="85">
        <v>2710</v>
      </c>
      <c r="I1177" s="85">
        <f t="shared" si="156"/>
        <v>6.0837596235235859E-2</v>
      </c>
      <c r="J1177" s="87">
        <v>1</v>
      </c>
      <c r="K1177" s="88">
        <f t="shared" si="157"/>
        <v>16.437204325650541</v>
      </c>
    </row>
    <row r="1178" spans="1:11" hidden="1" x14ac:dyDescent="0.25">
      <c r="A1178" t="str">
        <f t="shared" si="158"/>
        <v>Resina fenolicaØ15,875</v>
      </c>
      <c r="B1178" s="81" t="s">
        <v>351</v>
      </c>
      <c r="C1178" s="101" t="s">
        <v>266</v>
      </c>
      <c r="D1178" s="86">
        <f>5/8*25.4</f>
        <v>15.875</v>
      </c>
      <c r="E1178" s="85">
        <f t="shared" si="159"/>
        <v>1.5875E-2</v>
      </c>
      <c r="F1178" s="85">
        <f t="shared" si="160"/>
        <v>7.9375000000000001E-3</v>
      </c>
      <c r="G1178" s="85">
        <f t="shared" si="161"/>
        <v>2.0947867788210358E-6</v>
      </c>
      <c r="H1178" s="85">
        <v>1700</v>
      </c>
      <c r="I1178" s="85">
        <f t="shared" si="156"/>
        <v>3.5611375239957607E-3</v>
      </c>
      <c r="J1178" s="87">
        <v>1</v>
      </c>
      <c r="K1178" s="88">
        <f t="shared" si="157"/>
        <v>280.80914967809326</v>
      </c>
    </row>
    <row r="1179" spans="1:11" hidden="1" x14ac:dyDescent="0.25">
      <c r="A1179" t="str">
        <f t="shared" si="158"/>
        <v>Resina fenolicaØ14,2875</v>
      </c>
      <c r="B1179" s="81" t="s">
        <v>351</v>
      </c>
      <c r="C1179" s="101" t="s">
        <v>268</v>
      </c>
      <c r="D1179" s="86">
        <f>9/16*25.4</f>
        <v>14.2875</v>
      </c>
      <c r="E1179" s="85">
        <f t="shared" si="159"/>
        <v>1.42875E-2</v>
      </c>
      <c r="F1179" s="85">
        <f t="shared" si="160"/>
        <v>7.1437499999999999E-3</v>
      </c>
      <c r="G1179" s="85">
        <f t="shared" si="161"/>
        <v>1.5270995617605347E-6</v>
      </c>
      <c r="H1179" s="85">
        <v>1700</v>
      </c>
      <c r="I1179" s="85">
        <f t="shared" si="156"/>
        <v>2.5960692549929091E-3</v>
      </c>
      <c r="J1179" s="87">
        <v>1</v>
      </c>
      <c r="K1179" s="88">
        <f t="shared" si="157"/>
        <v>385.19773618394146</v>
      </c>
    </row>
    <row r="1180" spans="1:11" hidden="1" x14ac:dyDescent="0.25">
      <c r="A1180" t="str">
        <f t="shared" si="158"/>
        <v>Alluminio serie 7Ø20</v>
      </c>
      <c r="B1180" s="81" t="s">
        <v>352</v>
      </c>
      <c r="D1180" s="86">
        <v>20</v>
      </c>
      <c r="E1180" s="85">
        <f t="shared" si="159"/>
        <v>0.02</v>
      </c>
      <c r="F1180" s="85">
        <f t="shared" si="160"/>
        <v>0.01</v>
      </c>
      <c r="G1180" s="85">
        <f t="shared" si="161"/>
        <v>4.1887902047863905E-6</v>
      </c>
      <c r="H1180" s="85">
        <v>2800</v>
      </c>
      <c r="I1180" s="85">
        <f t="shared" si="156"/>
        <v>1.1728612573401893E-2</v>
      </c>
      <c r="J1180" s="87">
        <v>1</v>
      </c>
      <c r="K1180" s="88">
        <f t="shared" si="157"/>
        <v>85.261576656372512</v>
      </c>
    </row>
    <row r="1181" spans="1:11" hidden="1" x14ac:dyDescent="0.25">
      <c r="A1181" t="str">
        <f t="shared" si="158"/>
        <v>Alluminio serie 7Ø25</v>
      </c>
      <c r="B1181" s="81" t="s">
        <v>352</v>
      </c>
      <c r="D1181" s="86">
        <v>25</v>
      </c>
      <c r="E1181" s="85">
        <f t="shared" si="159"/>
        <v>2.5000000000000001E-2</v>
      </c>
      <c r="F1181" s="85">
        <f t="shared" si="160"/>
        <v>1.2500000000000001E-2</v>
      </c>
      <c r="G1181" s="85">
        <f t="shared" si="161"/>
        <v>8.1812308687234206E-6</v>
      </c>
      <c r="H1181" s="85">
        <v>2800</v>
      </c>
      <c r="I1181" s="85">
        <f t="shared" si="156"/>
        <v>2.2907446432425579E-2</v>
      </c>
      <c r="J1181" s="87">
        <v>1</v>
      </c>
      <c r="K1181" s="88">
        <f t="shared" si="157"/>
        <v>43.653927248062715</v>
      </c>
    </row>
    <row r="1182" spans="1:11" hidden="1" x14ac:dyDescent="0.25">
      <c r="A1182" t="str">
        <f t="shared" si="158"/>
        <v>Alluminio serie 7Ø30</v>
      </c>
      <c r="B1182" s="81" t="s">
        <v>352</v>
      </c>
      <c r="D1182" s="86">
        <v>30</v>
      </c>
      <c r="E1182" s="85">
        <f t="shared" si="159"/>
        <v>0.03</v>
      </c>
      <c r="F1182" s="85">
        <f t="shared" si="160"/>
        <v>1.4999999999999999E-2</v>
      </c>
      <c r="G1182" s="85">
        <f t="shared" si="161"/>
        <v>1.4137166941154067E-5</v>
      </c>
      <c r="H1182" s="85">
        <v>2800</v>
      </c>
      <c r="I1182" s="85">
        <f t="shared" si="156"/>
        <v>3.9584067435231386E-2</v>
      </c>
      <c r="J1182" s="87">
        <v>1</v>
      </c>
      <c r="K1182" s="88">
        <f t="shared" si="157"/>
        <v>25.262689379665932</v>
      </c>
    </row>
    <row r="1183" spans="1:11" hidden="1" x14ac:dyDescent="0.25">
      <c r="A1183" t="str">
        <f t="shared" si="158"/>
        <v>Alluminio serie 7Ø35</v>
      </c>
      <c r="B1183" s="81" t="s">
        <v>352</v>
      </c>
      <c r="D1183" s="86">
        <v>35</v>
      </c>
      <c r="E1183" s="85">
        <f>D1183/1000</f>
        <v>3.5000000000000003E-2</v>
      </c>
      <c r="F1183" s="85">
        <f>E1183/2</f>
        <v>1.7500000000000002E-2</v>
      </c>
      <c r="G1183" s="85">
        <f>4/3*PI()*F1183*F1183*F1183</f>
        <v>2.2449297503777071E-5</v>
      </c>
      <c r="H1183" s="85">
        <v>2800</v>
      </c>
      <c r="I1183" s="85">
        <f t="shared" si="156"/>
        <v>6.2858033010575798E-2</v>
      </c>
      <c r="J1183" s="87">
        <v>1</v>
      </c>
      <c r="K1183" s="88">
        <f t="shared" si="157"/>
        <v>15.908865615183203</v>
      </c>
    </row>
    <row r="1184" spans="1:11" hidden="1" x14ac:dyDescent="0.25">
      <c r="A1184" t="str">
        <f t="shared" si="158"/>
        <v>POMØ1</v>
      </c>
      <c r="B1184" s="81" t="s">
        <v>201</v>
      </c>
      <c r="D1184" s="86">
        <v>1</v>
      </c>
      <c r="E1184" s="85">
        <f>D1184/1000</f>
        <v>1E-3</v>
      </c>
      <c r="F1184" s="85">
        <f>E1184/2</f>
        <v>5.0000000000000001E-4</v>
      </c>
      <c r="G1184" s="85">
        <f>4/3*PI()*F1184*F1184*F1184</f>
        <v>5.2359877559829886E-10</v>
      </c>
      <c r="H1184" s="85">
        <v>1370</v>
      </c>
      <c r="I1184" s="85">
        <f t="shared" si="156"/>
        <v>7.1733032256966945E-7</v>
      </c>
      <c r="J1184" s="87">
        <v>1</v>
      </c>
      <c r="K1184" s="88">
        <f t="shared" si="157"/>
        <v>1394057.8956954337</v>
      </c>
    </row>
    <row r="1185" spans="1:11" hidden="1" x14ac:dyDescent="0.25">
      <c r="A1185" t="str">
        <f t="shared" si="158"/>
        <v>POMØ1</v>
      </c>
      <c r="B1185" s="81" t="s">
        <v>201</v>
      </c>
      <c r="D1185" s="86">
        <v>1</v>
      </c>
      <c r="E1185" s="85">
        <f>D1185/1000</f>
        <v>1E-3</v>
      </c>
      <c r="F1185" s="85">
        <f>E1185/2</f>
        <v>5.0000000000000001E-4</v>
      </c>
      <c r="G1185" s="85">
        <f>4/3*PI()*F1185*F1185*F1185</f>
        <v>5.2359877559829886E-10</v>
      </c>
      <c r="H1185" s="85">
        <v>1370</v>
      </c>
      <c r="I1185" s="85">
        <f>H1185*G1185</f>
        <v>7.1733032256966945E-7</v>
      </c>
      <c r="J1185" s="87">
        <v>1</v>
      </c>
      <c r="K1185" s="88">
        <f>J1185/I1185</f>
        <v>1394057.8956954337</v>
      </c>
    </row>
    <row r="1186" spans="1:11" hidden="1" x14ac:dyDescent="0.25">
      <c r="A1186" t="str">
        <f t="shared" si="158"/>
        <v>POMØ1</v>
      </c>
      <c r="B1186" s="81" t="s">
        <v>201</v>
      </c>
      <c r="D1186" s="86">
        <v>1</v>
      </c>
      <c r="E1186" s="85">
        <f t="shared" ref="E1186:E1249" si="162">D1186/1000</f>
        <v>1E-3</v>
      </c>
      <c r="F1186" s="85">
        <f t="shared" ref="F1186:F1249" si="163">E1186/2</f>
        <v>5.0000000000000001E-4</v>
      </c>
      <c r="G1186" s="85">
        <f t="shared" ref="G1186:G1249" si="164">4/3*PI()*F1186*F1186*F1186</f>
        <v>5.2359877559829886E-10</v>
      </c>
      <c r="H1186" s="85">
        <v>1370</v>
      </c>
      <c r="I1186" s="85">
        <f t="shared" ref="I1186:I1249" si="165">H1186*G1186</f>
        <v>7.1733032256966945E-7</v>
      </c>
      <c r="J1186" s="87">
        <v>1</v>
      </c>
      <c r="K1186" s="88">
        <f t="shared" ref="K1186:K1249" si="166">J1186/I1186</f>
        <v>1394057.8956954337</v>
      </c>
    </row>
    <row r="1187" spans="1:11" hidden="1" x14ac:dyDescent="0.25">
      <c r="A1187" t="str">
        <f t="shared" si="158"/>
        <v>440CØ0,79375</v>
      </c>
      <c r="B1187" s="81" t="s">
        <v>314</v>
      </c>
      <c r="C1187" s="101" t="s">
        <v>241</v>
      </c>
      <c r="D1187" s="86">
        <f>1/32*25.4</f>
        <v>0.79374999999999996</v>
      </c>
      <c r="E1187" s="85">
        <f t="shared" si="162"/>
        <v>7.9374999999999997E-4</v>
      </c>
      <c r="F1187" s="85">
        <f t="shared" si="163"/>
        <v>3.9687499999999998E-4</v>
      </c>
      <c r="G1187" s="85">
        <f t="shared" si="164"/>
        <v>2.6184834735262936E-10</v>
      </c>
      <c r="H1187" s="85">
        <v>7600</v>
      </c>
      <c r="I1187" s="85">
        <f t="shared" si="165"/>
        <v>1.9900474398799832E-6</v>
      </c>
      <c r="J1187" s="87">
        <v>1</v>
      </c>
      <c r="K1187" s="88">
        <f t="shared" si="166"/>
        <v>502500.58363448287</v>
      </c>
    </row>
    <row r="1188" spans="1:11" hidden="1" x14ac:dyDescent="0.25">
      <c r="A1188" t="str">
        <f t="shared" si="158"/>
        <v>440CØ0,78675</v>
      </c>
      <c r="B1188" s="81" t="s">
        <v>314</v>
      </c>
      <c r="C1188" s="101" t="s">
        <v>353</v>
      </c>
      <c r="D1188" s="86">
        <f>1/32*25.4-0.007</f>
        <v>0.78674999999999995</v>
      </c>
      <c r="E1188" s="85">
        <f t="shared" si="162"/>
        <v>7.8674999999999991E-4</v>
      </c>
      <c r="F1188" s="85">
        <f t="shared" si="163"/>
        <v>3.9337499999999995E-4</v>
      </c>
      <c r="G1188" s="85">
        <f t="shared" si="164"/>
        <v>2.5498162060209847E-10</v>
      </c>
      <c r="H1188" s="85">
        <v>7700</v>
      </c>
      <c r="I1188" s="85">
        <f t="shared" si="165"/>
        <v>1.9633584786361582E-6</v>
      </c>
      <c r="J1188" s="87">
        <v>1</v>
      </c>
      <c r="K1188" s="88">
        <f t="shared" si="166"/>
        <v>509331.3375429266</v>
      </c>
    </row>
    <row r="1189" spans="1:11" hidden="1" x14ac:dyDescent="0.25">
      <c r="A1189" t="str">
        <f t="shared" si="158"/>
        <v>PTFEØ2,38125</v>
      </c>
      <c r="B1189" s="81" t="s">
        <v>307</v>
      </c>
      <c r="C1189" s="101" t="s">
        <v>213</v>
      </c>
      <c r="D1189" s="86">
        <f>3/32*25.4</f>
        <v>2.3812499999999996</v>
      </c>
      <c r="E1189" s="85">
        <f t="shared" si="162"/>
        <v>2.3812499999999997E-3</v>
      </c>
      <c r="F1189" s="85">
        <f t="shared" si="163"/>
        <v>1.1906249999999998E-3</v>
      </c>
      <c r="G1189" s="85">
        <f t="shared" si="164"/>
        <v>7.0699053785209917E-9</v>
      </c>
      <c r="H1189" s="85">
        <v>2160</v>
      </c>
      <c r="I1189" s="85">
        <f t="shared" si="165"/>
        <v>1.5270995617605342E-5</v>
      </c>
      <c r="J1189" s="87">
        <v>1</v>
      </c>
      <c r="K1189" s="88">
        <f t="shared" si="166"/>
        <v>65483.615151270067</v>
      </c>
    </row>
    <row r="1190" spans="1:11" hidden="1" x14ac:dyDescent="0.25">
      <c r="A1190" t="str">
        <f t="shared" si="158"/>
        <v>440CØ0,7</v>
      </c>
      <c r="B1190" s="81" t="s">
        <v>314</v>
      </c>
      <c r="D1190" s="86">
        <v>0.7</v>
      </c>
      <c r="E1190" s="85">
        <f t="shared" si="162"/>
        <v>6.9999999999999999E-4</v>
      </c>
      <c r="F1190" s="85">
        <f t="shared" si="163"/>
        <v>3.5E-4</v>
      </c>
      <c r="G1190" s="85">
        <f t="shared" si="164"/>
        <v>1.7959438003021649E-10</v>
      </c>
      <c r="H1190" s="85">
        <v>7700</v>
      </c>
      <c r="I1190" s="85">
        <f t="shared" si="165"/>
        <v>1.382876726232667E-6</v>
      </c>
      <c r="J1190" s="87">
        <v>1</v>
      </c>
      <c r="K1190" s="88">
        <f t="shared" si="166"/>
        <v>723130.2552356004</v>
      </c>
    </row>
    <row r="1191" spans="1:11" hidden="1" x14ac:dyDescent="0.25">
      <c r="A1191" t="str">
        <f t="shared" si="158"/>
        <v>440CØ0,7</v>
      </c>
      <c r="B1191" s="81" t="s">
        <v>314</v>
      </c>
      <c r="D1191" s="86">
        <v>0.7</v>
      </c>
      <c r="E1191" s="85">
        <f t="shared" si="162"/>
        <v>6.9999999999999999E-4</v>
      </c>
      <c r="F1191" s="85">
        <f t="shared" si="163"/>
        <v>3.5E-4</v>
      </c>
      <c r="G1191" s="85">
        <f t="shared" si="164"/>
        <v>1.7959438003021649E-10</v>
      </c>
      <c r="H1191" s="85">
        <v>7700</v>
      </c>
      <c r="I1191" s="85">
        <f t="shared" si="165"/>
        <v>1.382876726232667E-6</v>
      </c>
      <c r="J1191" s="87">
        <v>1</v>
      </c>
      <c r="K1191" s="88">
        <f t="shared" si="166"/>
        <v>723130.2552356004</v>
      </c>
    </row>
    <row r="1192" spans="1:11" hidden="1" x14ac:dyDescent="0.25">
      <c r="A1192" t="str">
        <f t="shared" si="158"/>
        <v>Al2O3Ø40</v>
      </c>
      <c r="B1192" s="81" t="s">
        <v>217</v>
      </c>
      <c r="D1192" s="86">
        <v>40</v>
      </c>
      <c r="E1192" s="85">
        <f t="shared" si="162"/>
        <v>0.04</v>
      </c>
      <c r="F1192" s="85">
        <f t="shared" si="163"/>
        <v>0.02</v>
      </c>
      <c r="G1192" s="85">
        <f t="shared" si="164"/>
        <v>3.3510321638291124E-5</v>
      </c>
      <c r="H1192" s="85">
        <v>3900</v>
      </c>
      <c r="I1192" s="85">
        <f t="shared" si="165"/>
        <v>0.13069025438933538</v>
      </c>
      <c r="J1192" s="87">
        <v>1</v>
      </c>
      <c r="K1192" s="88">
        <f t="shared" si="166"/>
        <v>7.6516799563411233</v>
      </c>
    </row>
    <row r="1193" spans="1:11" hidden="1" x14ac:dyDescent="0.25">
      <c r="A1193" t="str">
        <f t="shared" si="158"/>
        <v>52100Ø6,35</v>
      </c>
      <c r="B1193" s="81">
        <v>52100</v>
      </c>
      <c r="C1193" s="101" t="s">
        <v>218</v>
      </c>
      <c r="D1193" s="86">
        <f>1/4*25.4</f>
        <v>6.35</v>
      </c>
      <c r="E1193" s="85">
        <f t="shared" si="162"/>
        <v>6.3499999999999997E-3</v>
      </c>
      <c r="F1193" s="85">
        <f t="shared" si="163"/>
        <v>3.1749999999999999E-3</v>
      </c>
      <c r="G1193" s="85">
        <f t="shared" si="164"/>
        <v>1.3406635384454623E-7</v>
      </c>
      <c r="H1193" s="85">
        <v>7800</v>
      </c>
      <c r="I1193" s="85">
        <f t="shared" si="165"/>
        <v>1.0457175599874605E-3</v>
      </c>
      <c r="J1193" s="87">
        <v>1</v>
      </c>
      <c r="K1193" s="88">
        <f t="shared" si="166"/>
        <v>956.28115875953279</v>
      </c>
    </row>
    <row r="1194" spans="1:11" hidden="1" x14ac:dyDescent="0.25">
      <c r="A1194" t="str">
        <f t="shared" si="158"/>
        <v>Al2O3Ø2</v>
      </c>
      <c r="B1194" s="81" t="s">
        <v>217</v>
      </c>
      <c r="D1194" s="86">
        <v>2</v>
      </c>
      <c r="E1194" s="85">
        <f t="shared" si="162"/>
        <v>2E-3</v>
      </c>
      <c r="F1194" s="85">
        <f t="shared" si="163"/>
        <v>1E-3</v>
      </c>
      <c r="G1194" s="85">
        <f t="shared" si="164"/>
        <v>4.1887902047863909E-9</v>
      </c>
      <c r="H1194" s="85">
        <v>3900</v>
      </c>
      <c r="I1194" s="85">
        <f t="shared" si="165"/>
        <v>1.6336281798666925E-5</v>
      </c>
      <c r="J1194" s="87">
        <v>1</v>
      </c>
      <c r="K1194" s="88">
        <f t="shared" si="166"/>
        <v>61213.439650728978</v>
      </c>
    </row>
    <row r="1195" spans="1:11" hidden="1" x14ac:dyDescent="0.25">
      <c r="A1195" t="str">
        <f t="shared" si="158"/>
        <v>304Ø7</v>
      </c>
      <c r="B1195" s="81">
        <v>304</v>
      </c>
      <c r="D1195" s="86">
        <v>7</v>
      </c>
      <c r="E1195" s="85">
        <f t="shared" si="162"/>
        <v>7.0000000000000001E-3</v>
      </c>
      <c r="F1195" s="85">
        <f t="shared" si="163"/>
        <v>3.5000000000000001E-3</v>
      </c>
      <c r="G1195" s="85">
        <f t="shared" si="164"/>
        <v>1.7959438003021651E-7</v>
      </c>
      <c r="H1195" s="85">
        <v>7950</v>
      </c>
      <c r="I1195" s="85">
        <f t="shared" si="165"/>
        <v>1.4277753212402213E-3</v>
      </c>
      <c r="J1195" s="87">
        <v>1</v>
      </c>
      <c r="K1195" s="88">
        <f t="shared" si="166"/>
        <v>700.39031010240535</v>
      </c>
    </row>
    <row r="1196" spans="1:11" x14ac:dyDescent="0.25">
      <c r="A1196" t="str">
        <f t="shared" si="158"/>
        <v>1085Ø6</v>
      </c>
      <c r="B1196" s="81">
        <v>1085</v>
      </c>
      <c r="D1196" s="86">
        <v>6</v>
      </c>
      <c r="E1196" s="85">
        <f t="shared" si="162"/>
        <v>6.0000000000000001E-3</v>
      </c>
      <c r="F1196" s="85">
        <f t="shared" si="163"/>
        <v>3.0000000000000001E-3</v>
      </c>
      <c r="G1196" s="85">
        <f t="shared" si="164"/>
        <v>1.1309733552923255E-7</v>
      </c>
      <c r="H1196" s="85">
        <v>7850</v>
      </c>
      <c r="I1196" s="85">
        <f t="shared" si="165"/>
        <v>8.878140839044755E-4</v>
      </c>
      <c r="J1196" s="87">
        <v>1</v>
      </c>
      <c r="K1196" s="88">
        <f t="shared" si="166"/>
        <v>1126.3619468640859</v>
      </c>
    </row>
    <row r="1197" spans="1:11" x14ac:dyDescent="0.25">
      <c r="A1197" t="str">
        <f t="shared" si="158"/>
        <v>1085Ø6,01</v>
      </c>
      <c r="B1197" s="81">
        <v>1085</v>
      </c>
      <c r="D1197" s="86">
        <v>6.01</v>
      </c>
      <c r="E1197" s="85">
        <f t="shared" si="162"/>
        <v>6.0099999999999997E-3</v>
      </c>
      <c r="F1197" s="85">
        <f t="shared" si="163"/>
        <v>3.0049999999999999E-3</v>
      </c>
      <c r="G1197" s="85">
        <f t="shared" si="164"/>
        <v>1.1366376520827354E-7</v>
      </c>
      <c r="H1197" s="85">
        <v>7850</v>
      </c>
      <c r="I1197" s="85">
        <f t="shared" si="165"/>
        <v>8.9226055688494731E-4</v>
      </c>
      <c r="J1197" s="87">
        <v>1</v>
      </c>
      <c r="K1197" s="88">
        <f t="shared" si="166"/>
        <v>1120.7488578125563</v>
      </c>
    </row>
    <row r="1198" spans="1:11" x14ac:dyDescent="0.25">
      <c r="A1198" t="str">
        <f t="shared" si="158"/>
        <v>1085Ø6,02</v>
      </c>
      <c r="B1198" s="81">
        <v>1085</v>
      </c>
      <c r="D1198" s="86">
        <v>6.02</v>
      </c>
      <c r="E1198" s="85">
        <f t="shared" si="162"/>
        <v>6.0199999999999993E-3</v>
      </c>
      <c r="F1198" s="85">
        <f t="shared" si="163"/>
        <v>3.0099999999999997E-3</v>
      </c>
      <c r="G1198" s="85">
        <f t="shared" si="164"/>
        <v>1.1423208298449933E-7</v>
      </c>
      <c r="H1198" s="85">
        <v>7850</v>
      </c>
      <c r="I1198" s="85">
        <f t="shared" si="165"/>
        <v>8.9672185142831973E-4</v>
      </c>
      <c r="J1198" s="87">
        <v>1</v>
      </c>
      <c r="K1198" s="88">
        <f t="shared" si="166"/>
        <v>1115.1730030969763</v>
      </c>
    </row>
    <row r="1199" spans="1:11" x14ac:dyDescent="0.25">
      <c r="A1199" t="str">
        <f t="shared" si="158"/>
        <v>1085Ø6,03</v>
      </c>
      <c r="B1199" s="81">
        <v>1085</v>
      </c>
      <c r="D1199" s="86">
        <v>6.03</v>
      </c>
      <c r="E1199" s="85">
        <f t="shared" si="162"/>
        <v>6.0300000000000006E-3</v>
      </c>
      <c r="F1199" s="85">
        <f t="shared" si="163"/>
        <v>3.0150000000000003E-3</v>
      </c>
      <c r="G1199" s="85">
        <f t="shared" si="164"/>
        <v>1.148022919995027E-7</v>
      </c>
      <c r="H1199" s="85">
        <v>7850</v>
      </c>
      <c r="I1199" s="85">
        <f t="shared" si="165"/>
        <v>9.0119799219609618E-4</v>
      </c>
      <c r="J1199" s="87">
        <v>1</v>
      </c>
      <c r="K1199" s="88">
        <f t="shared" si="166"/>
        <v>1109.6340744869358</v>
      </c>
    </row>
    <row r="1200" spans="1:11" x14ac:dyDescent="0.25">
      <c r="A1200" t="str">
        <f t="shared" si="158"/>
        <v>1085Ø5,99</v>
      </c>
      <c r="B1200" s="81">
        <v>1085</v>
      </c>
      <c r="D1200" s="86">
        <v>5.99</v>
      </c>
      <c r="E1200" s="85">
        <f t="shared" si="162"/>
        <v>5.9900000000000005E-3</v>
      </c>
      <c r="F1200" s="85">
        <f t="shared" si="163"/>
        <v>2.9950000000000003E-3</v>
      </c>
      <c r="G1200" s="85">
        <f t="shared" si="164"/>
        <v>1.1253279080578372E-7</v>
      </c>
      <c r="H1200" s="85">
        <v>7850</v>
      </c>
      <c r="I1200" s="85">
        <f t="shared" si="165"/>
        <v>8.8338240782540229E-4</v>
      </c>
      <c r="J1200" s="87">
        <v>1</v>
      </c>
      <c r="K1200" s="88">
        <f t="shared" si="166"/>
        <v>1132.0125815745776</v>
      </c>
    </row>
    <row r="1201" spans="1:11" x14ac:dyDescent="0.25">
      <c r="A1201" t="str">
        <f t="shared" si="158"/>
        <v>1085Ø5,98</v>
      </c>
      <c r="B1201" s="81">
        <v>1085</v>
      </c>
      <c r="D1201" s="86">
        <v>5.98</v>
      </c>
      <c r="E1201" s="85">
        <f t="shared" si="162"/>
        <v>5.9800000000000001E-3</v>
      </c>
      <c r="F1201" s="85">
        <f t="shared" si="163"/>
        <v>2.99E-3</v>
      </c>
      <c r="G1201" s="85">
        <f t="shared" si="164"/>
        <v>1.1197012789633433E-7</v>
      </c>
      <c r="H1201" s="85">
        <v>7850</v>
      </c>
      <c r="I1201" s="85">
        <f t="shared" si="165"/>
        <v>8.789655039862245E-4</v>
      </c>
      <c r="J1201" s="87">
        <v>1</v>
      </c>
      <c r="K1201" s="88">
        <f t="shared" si="166"/>
        <v>1137.7010763959088</v>
      </c>
    </row>
    <row r="1202" spans="1:11" x14ac:dyDescent="0.25">
      <c r="A1202" t="str">
        <f t="shared" si="158"/>
        <v>1085Ø5,97</v>
      </c>
      <c r="B1202" s="81">
        <v>1085</v>
      </c>
      <c r="D1202" s="86">
        <v>5.97</v>
      </c>
      <c r="E1202" s="85">
        <f t="shared" si="162"/>
        <v>5.9699999999999996E-3</v>
      </c>
      <c r="F1202" s="85">
        <f t="shared" si="163"/>
        <v>2.9849999999999998E-3</v>
      </c>
      <c r="G1202" s="85">
        <f t="shared" si="164"/>
        <v>1.1140934365929179E-7</v>
      </c>
      <c r="H1202" s="85">
        <v>7850</v>
      </c>
      <c r="I1202" s="85">
        <f t="shared" si="165"/>
        <v>8.7456334772544053E-4</v>
      </c>
      <c r="J1202" s="87">
        <v>1</v>
      </c>
      <c r="K1202" s="88">
        <f t="shared" si="166"/>
        <v>1143.4277489455674</v>
      </c>
    </row>
    <row r="1203" spans="1:11" hidden="1" x14ac:dyDescent="0.25">
      <c r="A1203" t="str">
        <f t="shared" si="158"/>
        <v>PPHØ3</v>
      </c>
      <c r="B1203" s="81" t="s">
        <v>202</v>
      </c>
      <c r="D1203" s="86">
        <v>3</v>
      </c>
      <c r="E1203" s="85">
        <f t="shared" si="162"/>
        <v>3.0000000000000001E-3</v>
      </c>
      <c r="F1203" s="85">
        <f t="shared" si="163"/>
        <v>1.5E-3</v>
      </c>
      <c r="G1203" s="85">
        <f t="shared" si="164"/>
        <v>1.4137166941154068E-8</v>
      </c>
      <c r="H1203" s="85">
        <v>870</v>
      </c>
      <c r="I1203" s="85">
        <f t="shared" si="165"/>
        <v>1.229933523880404E-5</v>
      </c>
      <c r="J1203" s="87">
        <v>1</v>
      </c>
      <c r="K1203" s="88">
        <f t="shared" si="166"/>
        <v>81305.207198924822</v>
      </c>
    </row>
    <row r="1204" spans="1:11" hidden="1" x14ac:dyDescent="0.25">
      <c r="A1204" t="str">
        <f t="shared" si="158"/>
        <v>PPHØ3</v>
      </c>
      <c r="B1204" s="81" t="s">
        <v>202</v>
      </c>
      <c r="D1204" s="86">
        <v>3</v>
      </c>
      <c r="E1204" s="85">
        <f t="shared" si="162"/>
        <v>3.0000000000000001E-3</v>
      </c>
      <c r="F1204" s="85">
        <f t="shared" si="163"/>
        <v>1.5E-3</v>
      </c>
      <c r="G1204" s="85">
        <f t="shared" si="164"/>
        <v>1.4137166941154068E-8</v>
      </c>
      <c r="H1204" s="85">
        <v>870</v>
      </c>
      <c r="I1204" s="85">
        <f t="shared" si="165"/>
        <v>1.229933523880404E-5</v>
      </c>
      <c r="J1204" s="87">
        <v>1</v>
      </c>
      <c r="K1204" s="88">
        <f t="shared" si="166"/>
        <v>81305.207198924822</v>
      </c>
    </row>
    <row r="1205" spans="1:11" hidden="1" x14ac:dyDescent="0.25">
      <c r="A1205" t="str">
        <f t="shared" si="158"/>
        <v>52100Ø9,128</v>
      </c>
      <c r="B1205" s="81">
        <v>52100</v>
      </c>
      <c r="D1205" s="86">
        <v>9.1280000000000001</v>
      </c>
      <c r="E1205" s="85">
        <f t="shared" si="162"/>
        <v>9.1280000000000007E-3</v>
      </c>
      <c r="F1205" s="85">
        <f t="shared" si="163"/>
        <v>4.5640000000000003E-3</v>
      </c>
      <c r="G1205" s="85">
        <f t="shared" si="164"/>
        <v>3.9822224513675275E-7</v>
      </c>
      <c r="H1205" s="85">
        <v>7800</v>
      </c>
      <c r="I1205" s="85">
        <f t="shared" si="165"/>
        <v>3.1061335120666713E-3</v>
      </c>
      <c r="J1205" s="87">
        <v>1</v>
      </c>
      <c r="K1205" s="88">
        <f t="shared" si="166"/>
        <v>321.94366279337692</v>
      </c>
    </row>
    <row r="1206" spans="1:11" hidden="1" x14ac:dyDescent="0.25">
      <c r="A1206" t="str">
        <f t="shared" si="158"/>
        <v>Al2O3Ø14,2875</v>
      </c>
      <c r="B1206" s="81" t="s">
        <v>217</v>
      </c>
      <c r="C1206" s="101" t="s">
        <v>268</v>
      </c>
      <c r="D1206" s="86">
        <f>9/16*25.4</f>
        <v>14.2875</v>
      </c>
      <c r="E1206" s="85">
        <f t="shared" si="162"/>
        <v>1.42875E-2</v>
      </c>
      <c r="F1206" s="85">
        <f t="shared" si="163"/>
        <v>7.1437499999999999E-3</v>
      </c>
      <c r="G1206" s="85">
        <f t="shared" si="164"/>
        <v>1.5270995617605347E-6</v>
      </c>
      <c r="H1206" s="85">
        <v>3900</v>
      </c>
      <c r="I1206" s="85">
        <f t="shared" si="165"/>
        <v>5.9556882908660853E-3</v>
      </c>
      <c r="J1206" s="87">
        <v>1</v>
      </c>
      <c r="K1206" s="88">
        <f t="shared" si="166"/>
        <v>167.90670551607704</v>
      </c>
    </row>
    <row r="1207" spans="1:11" hidden="1" x14ac:dyDescent="0.25">
      <c r="A1207" t="str">
        <f t="shared" si="158"/>
        <v>440CØ0,78675</v>
      </c>
      <c r="B1207" s="81" t="s">
        <v>314</v>
      </c>
      <c r="C1207" s="101" t="s">
        <v>353</v>
      </c>
      <c r="D1207" s="86">
        <f>1/32*25.4-0.007</f>
        <v>0.78674999999999995</v>
      </c>
      <c r="E1207" s="85">
        <f t="shared" si="162"/>
        <v>7.8674999999999991E-4</v>
      </c>
      <c r="F1207" s="85">
        <f t="shared" si="163"/>
        <v>3.9337499999999995E-4</v>
      </c>
      <c r="G1207" s="85">
        <f t="shared" si="164"/>
        <v>2.5498162060209847E-10</v>
      </c>
      <c r="H1207" s="88">
        <v>7645.6293002277089</v>
      </c>
      <c r="I1207" s="85">
        <f t="shared" si="165"/>
        <v>1.9494949494949492E-6</v>
      </c>
      <c r="J1207" s="87">
        <v>1</v>
      </c>
      <c r="K1207" s="88">
        <f t="shared" si="166"/>
        <v>512953.36787564773</v>
      </c>
    </row>
    <row r="1208" spans="1:11" hidden="1" x14ac:dyDescent="0.25">
      <c r="A1208" t="str">
        <f t="shared" si="158"/>
        <v>440CØ0,78675</v>
      </c>
      <c r="B1208" s="81" t="s">
        <v>314</v>
      </c>
      <c r="C1208" s="101" t="s">
        <v>353</v>
      </c>
      <c r="D1208" s="86">
        <f>1/32*25.4-0.007</f>
        <v>0.78674999999999995</v>
      </c>
      <c r="E1208" s="85">
        <f t="shared" si="162"/>
        <v>7.8674999999999991E-4</v>
      </c>
      <c r="F1208" s="85">
        <f t="shared" si="163"/>
        <v>3.9337499999999995E-4</v>
      </c>
      <c r="G1208" s="85">
        <f t="shared" si="164"/>
        <v>2.5498162060209847E-10</v>
      </c>
      <c r="H1208" s="88">
        <v>7645.6293002277089</v>
      </c>
      <c r="I1208" s="85">
        <f t="shared" si="165"/>
        <v>1.9494949494949492E-6</v>
      </c>
      <c r="J1208" s="87">
        <v>1</v>
      </c>
      <c r="K1208" s="88">
        <f t="shared" si="166"/>
        <v>512953.36787564773</v>
      </c>
    </row>
    <row r="1209" spans="1:11" hidden="1" x14ac:dyDescent="0.25">
      <c r="A1209" t="str">
        <f t="shared" si="158"/>
        <v>440CØ0,78675</v>
      </c>
      <c r="B1209" s="81" t="s">
        <v>314</v>
      </c>
      <c r="C1209" s="101" t="s">
        <v>353</v>
      </c>
      <c r="D1209" s="86">
        <f>1/32*25.4-0.007</f>
        <v>0.78674999999999995</v>
      </c>
      <c r="E1209" s="85">
        <f t="shared" si="162"/>
        <v>7.8674999999999991E-4</v>
      </c>
      <c r="F1209" s="85">
        <f t="shared" si="163"/>
        <v>3.9337499999999995E-4</v>
      </c>
      <c r="G1209" s="85">
        <f t="shared" si="164"/>
        <v>2.5498162060209847E-10</v>
      </c>
      <c r="H1209" s="88">
        <v>7645.6293002277089</v>
      </c>
      <c r="I1209" s="85">
        <f t="shared" si="165"/>
        <v>1.9494949494949492E-6</v>
      </c>
      <c r="J1209" s="87">
        <v>1</v>
      </c>
      <c r="K1209" s="88">
        <f t="shared" si="166"/>
        <v>512953.36787564773</v>
      </c>
    </row>
    <row r="1210" spans="1:11" hidden="1" x14ac:dyDescent="0.25">
      <c r="A1210" t="str">
        <f t="shared" si="158"/>
        <v>440CØ0,6</v>
      </c>
      <c r="B1210" s="81" t="s">
        <v>314</v>
      </c>
      <c r="D1210" s="86">
        <v>0.6</v>
      </c>
      <c r="E1210" s="85">
        <f t="shared" si="162"/>
        <v>5.9999999999999995E-4</v>
      </c>
      <c r="F1210" s="85">
        <f t="shared" si="163"/>
        <v>2.9999999999999997E-4</v>
      </c>
      <c r="G1210" s="85">
        <f t="shared" si="164"/>
        <v>1.1309733552923252E-10</v>
      </c>
      <c r="H1210" s="85">
        <v>7700</v>
      </c>
      <c r="I1210" s="85">
        <f t="shared" si="165"/>
        <v>8.708494835750904E-7</v>
      </c>
      <c r="J1210" s="87">
        <v>1</v>
      </c>
      <c r="K1210" s="88">
        <f t="shared" si="166"/>
        <v>1148304.062712088</v>
      </c>
    </row>
    <row r="1211" spans="1:11" hidden="1" x14ac:dyDescent="0.25">
      <c r="A1211" t="str">
        <f t="shared" si="158"/>
        <v>Al2O3Ø1,5</v>
      </c>
      <c r="B1211" s="81" t="s">
        <v>217</v>
      </c>
      <c r="D1211" s="86">
        <v>1.5</v>
      </c>
      <c r="E1211" s="85">
        <f t="shared" si="162"/>
        <v>1.5E-3</v>
      </c>
      <c r="F1211" s="85">
        <f t="shared" si="163"/>
        <v>7.5000000000000002E-4</v>
      </c>
      <c r="G1211" s="85">
        <f t="shared" si="164"/>
        <v>1.7671458676442585E-9</v>
      </c>
      <c r="H1211" s="85">
        <v>3900</v>
      </c>
      <c r="I1211" s="85">
        <f t="shared" si="165"/>
        <v>6.8918688838126086E-6</v>
      </c>
      <c r="J1211" s="87">
        <v>1</v>
      </c>
      <c r="K1211" s="88">
        <f t="shared" si="166"/>
        <v>145098.52361654275</v>
      </c>
    </row>
    <row r="1212" spans="1:11" hidden="1" x14ac:dyDescent="0.25">
      <c r="A1212" t="str">
        <f t="shared" si="158"/>
        <v>OttoneØ4</v>
      </c>
      <c r="B1212" s="81" t="s">
        <v>216</v>
      </c>
      <c r="D1212" s="86">
        <v>4</v>
      </c>
      <c r="E1212" s="85">
        <f t="shared" si="162"/>
        <v>4.0000000000000001E-3</v>
      </c>
      <c r="F1212" s="85">
        <f t="shared" si="163"/>
        <v>2E-3</v>
      </c>
      <c r="G1212" s="85">
        <f t="shared" si="164"/>
        <v>3.3510321638291127E-8</v>
      </c>
      <c r="H1212" s="85">
        <v>8490</v>
      </c>
      <c r="I1212" s="85">
        <f t="shared" si="165"/>
        <v>2.8450263070909168E-4</v>
      </c>
      <c r="J1212" s="87">
        <v>1</v>
      </c>
      <c r="K1212" s="88">
        <f t="shared" si="166"/>
        <v>3514.9059870118226</v>
      </c>
    </row>
    <row r="1213" spans="1:11" hidden="1" x14ac:dyDescent="0.25">
      <c r="A1213" t="str">
        <f t="shared" si="158"/>
        <v>440CØ0,6</v>
      </c>
      <c r="B1213" s="81" t="s">
        <v>314</v>
      </c>
      <c r="D1213" s="86">
        <v>0.6</v>
      </c>
      <c r="E1213" s="85">
        <f t="shared" si="162"/>
        <v>5.9999999999999995E-4</v>
      </c>
      <c r="F1213" s="85">
        <f t="shared" si="163"/>
        <v>2.9999999999999997E-4</v>
      </c>
      <c r="G1213" s="85">
        <f t="shared" si="164"/>
        <v>1.1309733552923252E-10</v>
      </c>
      <c r="H1213" s="85">
        <v>7700</v>
      </c>
      <c r="I1213" s="85">
        <f t="shared" si="165"/>
        <v>8.708494835750904E-7</v>
      </c>
      <c r="J1213" s="87">
        <v>1</v>
      </c>
      <c r="K1213" s="88">
        <f t="shared" si="166"/>
        <v>1148304.062712088</v>
      </c>
    </row>
    <row r="1214" spans="1:11" hidden="1" x14ac:dyDescent="0.25">
      <c r="A1214" t="str">
        <f t="shared" si="158"/>
        <v>440CØ0,6</v>
      </c>
      <c r="B1214" s="81" t="s">
        <v>314</v>
      </c>
      <c r="D1214" s="86">
        <v>0.6</v>
      </c>
      <c r="E1214" s="85">
        <f t="shared" si="162"/>
        <v>5.9999999999999995E-4</v>
      </c>
      <c r="F1214" s="85">
        <f t="shared" si="163"/>
        <v>2.9999999999999997E-4</v>
      </c>
      <c r="G1214" s="85">
        <f t="shared" si="164"/>
        <v>1.1309733552923252E-10</v>
      </c>
      <c r="H1214" s="85">
        <v>7700</v>
      </c>
      <c r="I1214" s="85">
        <f t="shared" si="165"/>
        <v>8.708494835750904E-7</v>
      </c>
      <c r="J1214" s="87">
        <v>1</v>
      </c>
      <c r="K1214" s="88">
        <f t="shared" si="166"/>
        <v>1148304.062712088</v>
      </c>
    </row>
    <row r="1215" spans="1:11" hidden="1" x14ac:dyDescent="0.25">
      <c r="A1215" t="str">
        <f t="shared" si="158"/>
        <v>52100Ø1</v>
      </c>
      <c r="B1215" s="81">
        <v>52100</v>
      </c>
      <c r="D1215" s="86">
        <v>1</v>
      </c>
      <c r="E1215" s="85">
        <f t="shared" si="162"/>
        <v>1E-3</v>
      </c>
      <c r="F1215" s="85">
        <f t="shared" si="163"/>
        <v>5.0000000000000001E-4</v>
      </c>
      <c r="G1215" s="85">
        <f t="shared" si="164"/>
        <v>5.2359877559829886E-10</v>
      </c>
      <c r="H1215" s="85">
        <v>7800</v>
      </c>
      <c r="I1215" s="85">
        <f t="shared" si="165"/>
        <v>4.0840704496667312E-6</v>
      </c>
      <c r="J1215" s="87">
        <v>1</v>
      </c>
      <c r="K1215" s="88">
        <f t="shared" si="166"/>
        <v>244853.75860291591</v>
      </c>
    </row>
    <row r="1216" spans="1:11" hidden="1" x14ac:dyDescent="0.25">
      <c r="A1216" t="str">
        <f t="shared" si="158"/>
        <v>52100Ø1</v>
      </c>
      <c r="B1216" s="81">
        <v>52100</v>
      </c>
      <c r="D1216" s="86">
        <v>1</v>
      </c>
      <c r="E1216" s="85">
        <f t="shared" si="162"/>
        <v>1E-3</v>
      </c>
      <c r="F1216" s="85">
        <f t="shared" si="163"/>
        <v>5.0000000000000001E-4</v>
      </c>
      <c r="G1216" s="85">
        <f t="shared" si="164"/>
        <v>5.2359877559829886E-10</v>
      </c>
      <c r="H1216" s="85">
        <v>7800</v>
      </c>
      <c r="I1216" s="85">
        <f t="shared" si="165"/>
        <v>4.0840704496667312E-6</v>
      </c>
      <c r="J1216" s="87">
        <v>1</v>
      </c>
      <c r="K1216" s="88">
        <f t="shared" si="166"/>
        <v>244853.75860291591</v>
      </c>
    </row>
    <row r="1217" spans="1:11" hidden="1" x14ac:dyDescent="0.25">
      <c r="A1217" t="str">
        <f t="shared" si="158"/>
        <v>WC-CoØ0,6</v>
      </c>
      <c r="B1217" s="81" t="s">
        <v>297</v>
      </c>
      <c r="D1217" s="86">
        <v>0.6</v>
      </c>
      <c r="E1217" s="85">
        <f t="shared" si="162"/>
        <v>5.9999999999999995E-4</v>
      </c>
      <c r="F1217" s="85">
        <f t="shared" si="163"/>
        <v>2.9999999999999997E-4</v>
      </c>
      <c r="G1217" s="85">
        <f t="shared" si="164"/>
        <v>1.1309733552923252E-10</v>
      </c>
      <c r="H1217" s="85">
        <v>14950</v>
      </c>
      <c r="I1217" s="85">
        <f t="shared" si="165"/>
        <v>1.690805166162026E-6</v>
      </c>
      <c r="J1217" s="87">
        <v>1</v>
      </c>
      <c r="K1217" s="88">
        <f t="shared" si="166"/>
        <v>591434.19952395174</v>
      </c>
    </row>
    <row r="1218" spans="1:11" hidden="1" x14ac:dyDescent="0.25">
      <c r="A1218" t="str">
        <f t="shared" si="158"/>
        <v>52100Ø0,5</v>
      </c>
      <c r="B1218" s="81">
        <v>52100</v>
      </c>
      <c r="D1218" s="86">
        <v>0.5</v>
      </c>
      <c r="E1218" s="85">
        <f t="shared" si="162"/>
        <v>5.0000000000000001E-4</v>
      </c>
      <c r="F1218" s="85">
        <f t="shared" si="163"/>
        <v>2.5000000000000001E-4</v>
      </c>
      <c r="G1218" s="85">
        <f t="shared" si="164"/>
        <v>6.5449846949787358E-11</v>
      </c>
      <c r="H1218" s="85">
        <v>7800</v>
      </c>
      <c r="I1218" s="85">
        <f t="shared" si="165"/>
        <v>5.1050880620834141E-7</v>
      </c>
      <c r="J1218" s="87">
        <v>1</v>
      </c>
      <c r="K1218" s="88">
        <f t="shared" si="166"/>
        <v>1958830.0688233273</v>
      </c>
    </row>
    <row r="1219" spans="1:11" hidden="1" x14ac:dyDescent="0.25">
      <c r="A1219" t="str">
        <f t="shared" si="158"/>
        <v>440CØ1,2</v>
      </c>
      <c r="B1219" s="81" t="s">
        <v>314</v>
      </c>
      <c r="D1219" s="86">
        <v>1.2</v>
      </c>
      <c r="E1219" s="85">
        <f t="shared" si="162"/>
        <v>1.1999999999999999E-3</v>
      </c>
      <c r="F1219" s="85">
        <f t="shared" si="163"/>
        <v>5.9999999999999995E-4</v>
      </c>
      <c r="G1219" s="85">
        <f t="shared" si="164"/>
        <v>9.0477868423386013E-10</v>
      </c>
      <c r="H1219" s="85">
        <v>7700</v>
      </c>
      <c r="I1219" s="85">
        <f t="shared" si="165"/>
        <v>6.9667958686007232E-6</v>
      </c>
      <c r="J1219" s="87">
        <v>1</v>
      </c>
      <c r="K1219" s="88">
        <f t="shared" si="166"/>
        <v>143538.007839011</v>
      </c>
    </row>
    <row r="1220" spans="1:11" hidden="1" x14ac:dyDescent="0.25">
      <c r="A1220" t="str">
        <f t="shared" ref="A1220:A1283" si="167">CONCATENATE(B1220,"Ø",D1220)</f>
        <v>420CØ1</v>
      </c>
      <c r="B1220" s="81" t="s">
        <v>295</v>
      </c>
      <c r="D1220" s="86">
        <v>1</v>
      </c>
      <c r="E1220" s="85">
        <f t="shared" si="162"/>
        <v>1E-3</v>
      </c>
      <c r="F1220" s="85">
        <f t="shared" si="163"/>
        <v>5.0000000000000001E-4</v>
      </c>
      <c r="G1220" s="85">
        <f t="shared" si="164"/>
        <v>5.2359877559829886E-10</v>
      </c>
      <c r="H1220" s="85">
        <v>7700</v>
      </c>
      <c r="I1220" s="85">
        <f t="shared" si="165"/>
        <v>4.0317105721069012E-6</v>
      </c>
      <c r="J1220" s="87">
        <v>1</v>
      </c>
      <c r="K1220" s="88">
        <f t="shared" si="166"/>
        <v>248033.67754581093</v>
      </c>
    </row>
    <row r="1221" spans="1:11" hidden="1" x14ac:dyDescent="0.25">
      <c r="A1221" t="str">
        <f t="shared" si="167"/>
        <v>420CØ1</v>
      </c>
      <c r="B1221" s="81" t="s">
        <v>295</v>
      </c>
      <c r="D1221" s="86">
        <v>1</v>
      </c>
      <c r="E1221" s="85">
        <f t="shared" si="162"/>
        <v>1E-3</v>
      </c>
      <c r="F1221" s="85">
        <f t="shared" si="163"/>
        <v>5.0000000000000001E-4</v>
      </c>
      <c r="G1221" s="85">
        <f t="shared" si="164"/>
        <v>5.2359877559829886E-10</v>
      </c>
      <c r="H1221" s="85">
        <v>7700</v>
      </c>
      <c r="I1221" s="85">
        <f t="shared" si="165"/>
        <v>4.0317105721069012E-6</v>
      </c>
      <c r="J1221" s="87">
        <v>1</v>
      </c>
      <c r="K1221" s="88">
        <f t="shared" si="166"/>
        <v>248033.67754581093</v>
      </c>
    </row>
    <row r="1222" spans="1:11" hidden="1" x14ac:dyDescent="0.25">
      <c r="A1222" t="str">
        <f t="shared" si="167"/>
        <v>52100Ø0,68</v>
      </c>
      <c r="B1222" s="81">
        <v>52100</v>
      </c>
      <c r="D1222" s="86">
        <v>0.68</v>
      </c>
      <c r="E1222" s="85">
        <f t="shared" si="162"/>
        <v>6.8000000000000005E-4</v>
      </c>
      <c r="F1222" s="85">
        <f t="shared" si="163"/>
        <v>3.4000000000000002E-4</v>
      </c>
      <c r="G1222" s="85">
        <f t="shared" si="164"/>
        <v>1.6463621020892433E-10</v>
      </c>
      <c r="H1222" s="85">
        <v>7800</v>
      </c>
      <c r="I1222" s="85">
        <f t="shared" si="165"/>
        <v>1.2841624396296097E-6</v>
      </c>
      <c r="J1222" s="87">
        <v>1</v>
      </c>
      <c r="K1222" s="88">
        <f t="shared" si="166"/>
        <v>778717.68332394888</v>
      </c>
    </row>
    <row r="1223" spans="1:11" hidden="1" x14ac:dyDescent="0.25">
      <c r="A1223" t="str">
        <f t="shared" si="167"/>
        <v>POMØ2</v>
      </c>
      <c r="B1223" s="81" t="s">
        <v>201</v>
      </c>
      <c r="D1223" s="86">
        <v>2</v>
      </c>
      <c r="E1223" s="85">
        <f t="shared" si="162"/>
        <v>2E-3</v>
      </c>
      <c r="F1223" s="85">
        <f t="shared" si="163"/>
        <v>1E-3</v>
      </c>
      <c r="G1223" s="85">
        <f t="shared" si="164"/>
        <v>4.1887902047863909E-9</v>
      </c>
      <c r="H1223" s="85">
        <v>1370</v>
      </c>
      <c r="I1223" s="85">
        <f t="shared" si="165"/>
        <v>5.7386425805573556E-6</v>
      </c>
      <c r="J1223" s="87">
        <v>1</v>
      </c>
      <c r="K1223" s="88">
        <f t="shared" si="166"/>
        <v>174257.23696192921</v>
      </c>
    </row>
    <row r="1224" spans="1:11" hidden="1" x14ac:dyDescent="0.25">
      <c r="A1224" t="str">
        <f t="shared" si="167"/>
        <v>Si3N4Ø5</v>
      </c>
      <c r="B1224" s="81" t="s">
        <v>207</v>
      </c>
      <c r="D1224" s="86">
        <v>5</v>
      </c>
      <c r="E1224" s="85">
        <f t="shared" si="162"/>
        <v>5.0000000000000001E-3</v>
      </c>
      <c r="F1224" s="85">
        <f t="shared" si="163"/>
        <v>2.5000000000000001E-3</v>
      </c>
      <c r="G1224" s="85">
        <f t="shared" si="164"/>
        <v>6.5449846949787352E-8</v>
      </c>
      <c r="H1224" s="85">
        <v>3260</v>
      </c>
      <c r="I1224" s="85">
        <f t="shared" si="165"/>
        <v>2.1336650105630676E-4</v>
      </c>
      <c r="J1224" s="87">
        <v>1</v>
      </c>
      <c r="K1224" s="88">
        <f t="shared" si="166"/>
        <v>4686.7713303134833</v>
      </c>
    </row>
    <row r="1225" spans="1:11" hidden="1" x14ac:dyDescent="0.25">
      <c r="A1225" t="str">
        <f t="shared" si="167"/>
        <v>Al2O3Ø1,5</v>
      </c>
      <c r="B1225" s="81" t="s">
        <v>217</v>
      </c>
      <c r="D1225" s="86">
        <v>1.5</v>
      </c>
      <c r="E1225" s="85">
        <f t="shared" si="162"/>
        <v>1.5E-3</v>
      </c>
      <c r="F1225" s="85">
        <f t="shared" si="163"/>
        <v>7.5000000000000002E-4</v>
      </c>
      <c r="G1225" s="85">
        <f t="shared" si="164"/>
        <v>1.7671458676442585E-9</v>
      </c>
      <c r="H1225" s="85">
        <v>3900</v>
      </c>
      <c r="I1225" s="85">
        <f t="shared" si="165"/>
        <v>6.8918688838126086E-6</v>
      </c>
      <c r="J1225" s="87">
        <v>1</v>
      </c>
      <c r="K1225" s="88">
        <f t="shared" si="166"/>
        <v>145098.52361654275</v>
      </c>
    </row>
    <row r="1226" spans="1:11" hidden="1" x14ac:dyDescent="0.25">
      <c r="A1226" t="str">
        <f t="shared" si="167"/>
        <v>316Ø0,5</v>
      </c>
      <c r="B1226" s="81">
        <v>316</v>
      </c>
      <c r="D1226" s="86">
        <v>0.5</v>
      </c>
      <c r="E1226" s="85">
        <f t="shared" si="162"/>
        <v>5.0000000000000001E-4</v>
      </c>
      <c r="F1226" s="85">
        <f t="shared" si="163"/>
        <v>2.5000000000000001E-4</v>
      </c>
      <c r="G1226" s="85">
        <f t="shared" si="164"/>
        <v>6.5449846949787358E-11</v>
      </c>
      <c r="H1226" s="85">
        <v>7950</v>
      </c>
      <c r="I1226" s="85">
        <f t="shared" si="165"/>
        <v>5.2032628325080949E-7</v>
      </c>
      <c r="J1226" s="87">
        <v>1</v>
      </c>
      <c r="K1226" s="88">
        <f t="shared" si="166"/>
        <v>1921871.0109210003</v>
      </c>
    </row>
    <row r="1227" spans="1:11" hidden="1" x14ac:dyDescent="0.25">
      <c r="A1227" t="str">
        <f t="shared" si="167"/>
        <v>52100Ø0,68</v>
      </c>
      <c r="B1227" s="81">
        <v>52100</v>
      </c>
      <c r="D1227" s="86">
        <v>0.68</v>
      </c>
      <c r="E1227" s="85">
        <f t="shared" si="162"/>
        <v>6.8000000000000005E-4</v>
      </c>
      <c r="F1227" s="85">
        <f t="shared" si="163"/>
        <v>3.4000000000000002E-4</v>
      </c>
      <c r="G1227" s="85">
        <f t="shared" si="164"/>
        <v>1.6463621020892433E-10</v>
      </c>
      <c r="H1227" s="85">
        <v>7800</v>
      </c>
      <c r="I1227" s="85">
        <f t="shared" si="165"/>
        <v>1.2841624396296097E-6</v>
      </c>
      <c r="J1227" s="87">
        <v>1</v>
      </c>
      <c r="K1227" s="88">
        <f t="shared" si="166"/>
        <v>778717.68332394888</v>
      </c>
    </row>
    <row r="1228" spans="1:11" hidden="1" x14ac:dyDescent="0.25">
      <c r="A1228" t="str">
        <f t="shared" si="167"/>
        <v>VESCØ1,5875</v>
      </c>
      <c r="B1228" s="81" t="s">
        <v>210</v>
      </c>
      <c r="C1228" s="101" t="s">
        <v>246</v>
      </c>
      <c r="D1228" s="86">
        <f>1/16*25.4</f>
        <v>1.5874999999999999</v>
      </c>
      <c r="E1228" s="85">
        <f t="shared" si="162"/>
        <v>1.5874999999999999E-3</v>
      </c>
      <c r="F1228" s="85">
        <f t="shared" si="163"/>
        <v>7.9374999999999997E-4</v>
      </c>
      <c r="G1228" s="85">
        <f t="shared" si="164"/>
        <v>2.0947867788210349E-9</v>
      </c>
      <c r="H1228" s="85">
        <v>2500</v>
      </c>
      <c r="I1228" s="85">
        <f t="shared" si="165"/>
        <v>5.2369669470525868E-6</v>
      </c>
      <c r="J1228" s="87">
        <v>1</v>
      </c>
      <c r="K1228" s="88">
        <f t="shared" si="166"/>
        <v>190950.22178110349</v>
      </c>
    </row>
    <row r="1229" spans="1:11" hidden="1" x14ac:dyDescent="0.25">
      <c r="A1229" t="str">
        <f t="shared" si="167"/>
        <v>52100Ø4,5</v>
      </c>
      <c r="B1229" s="81">
        <v>52100</v>
      </c>
      <c r="D1229" s="86">
        <v>4.5</v>
      </c>
      <c r="E1229" s="85">
        <f t="shared" si="162"/>
        <v>4.4999999999999997E-3</v>
      </c>
      <c r="F1229" s="85">
        <f t="shared" si="163"/>
        <v>2.2499999999999998E-3</v>
      </c>
      <c r="G1229" s="85">
        <f t="shared" si="164"/>
        <v>4.7712938426394968E-8</v>
      </c>
      <c r="H1229" s="85">
        <v>7800</v>
      </c>
      <c r="I1229" s="85">
        <f t="shared" si="165"/>
        <v>3.7216091972588076E-4</v>
      </c>
      <c r="J1229" s="87">
        <v>1</v>
      </c>
      <c r="K1229" s="88">
        <f t="shared" si="166"/>
        <v>2687.0096966026445</v>
      </c>
    </row>
    <row r="1230" spans="1:11" hidden="1" x14ac:dyDescent="0.25">
      <c r="A1230" t="str">
        <f t="shared" si="167"/>
        <v>52100Ø2</v>
      </c>
      <c r="B1230" s="81">
        <v>52100</v>
      </c>
      <c r="D1230" s="86">
        <v>2</v>
      </c>
      <c r="E1230" s="85">
        <f t="shared" si="162"/>
        <v>2E-3</v>
      </c>
      <c r="F1230" s="85">
        <f t="shared" si="163"/>
        <v>1E-3</v>
      </c>
      <c r="G1230" s="85">
        <f t="shared" si="164"/>
        <v>4.1887902047863909E-9</v>
      </c>
      <c r="H1230" s="85">
        <v>7800</v>
      </c>
      <c r="I1230" s="85">
        <f t="shared" si="165"/>
        <v>3.267256359733385E-5</v>
      </c>
      <c r="J1230" s="87">
        <v>1</v>
      </c>
      <c r="K1230" s="88">
        <f t="shared" si="166"/>
        <v>30606.719825364489</v>
      </c>
    </row>
    <row r="1231" spans="1:11" hidden="1" x14ac:dyDescent="0.25">
      <c r="A1231" t="str">
        <f t="shared" si="167"/>
        <v>PA6.6Ø2</v>
      </c>
      <c r="B1231" s="81" t="s">
        <v>244</v>
      </c>
      <c r="D1231" s="86">
        <v>2</v>
      </c>
      <c r="E1231" s="85">
        <f t="shared" si="162"/>
        <v>2E-3</v>
      </c>
      <c r="F1231" s="85">
        <f t="shared" si="163"/>
        <v>1E-3</v>
      </c>
      <c r="G1231" s="85">
        <f t="shared" si="164"/>
        <v>4.1887902047863909E-9</v>
      </c>
      <c r="H1231" s="85">
        <v>1110</v>
      </c>
      <c r="I1231" s="85">
        <f t="shared" si="165"/>
        <v>4.6495571273128935E-6</v>
      </c>
      <c r="J1231" s="87">
        <v>1</v>
      </c>
      <c r="K1231" s="88">
        <f t="shared" si="166"/>
        <v>215074.24742148022</v>
      </c>
    </row>
    <row r="1232" spans="1:11" hidden="1" x14ac:dyDescent="0.25">
      <c r="A1232" t="str">
        <f t="shared" si="167"/>
        <v>PA6.6Ø3</v>
      </c>
      <c r="B1232" s="81" t="s">
        <v>244</v>
      </c>
      <c r="D1232" s="86">
        <v>3</v>
      </c>
      <c r="E1232" s="85">
        <f t="shared" si="162"/>
        <v>3.0000000000000001E-3</v>
      </c>
      <c r="F1232" s="85">
        <f t="shared" si="163"/>
        <v>1.5E-3</v>
      </c>
      <c r="G1232" s="85">
        <f t="shared" si="164"/>
        <v>1.4137166941154068E-8</v>
      </c>
      <c r="H1232" s="85">
        <v>1110</v>
      </c>
      <c r="I1232" s="85">
        <f t="shared" si="165"/>
        <v>1.5692255304681016E-5</v>
      </c>
      <c r="J1232" s="87">
        <v>1</v>
      </c>
      <c r="K1232" s="88">
        <f t="shared" si="166"/>
        <v>63725.702939697832</v>
      </c>
    </row>
    <row r="1233" spans="1:11" hidden="1" x14ac:dyDescent="0.25">
      <c r="A1233" t="str">
        <f t="shared" si="167"/>
        <v>PA6.6Ø5</v>
      </c>
      <c r="B1233" s="81" t="s">
        <v>244</v>
      </c>
      <c r="D1233" s="86">
        <v>5</v>
      </c>
      <c r="E1233" s="85">
        <f t="shared" si="162"/>
        <v>5.0000000000000001E-3</v>
      </c>
      <c r="F1233" s="85">
        <f t="shared" si="163"/>
        <v>2.5000000000000001E-3</v>
      </c>
      <c r="G1233" s="85">
        <f t="shared" si="164"/>
        <v>6.5449846949787352E-8</v>
      </c>
      <c r="H1233" s="85">
        <v>1110</v>
      </c>
      <c r="I1233" s="85">
        <f t="shared" si="165"/>
        <v>7.2649330114263956E-5</v>
      </c>
      <c r="J1233" s="87">
        <v>1</v>
      </c>
      <c r="K1233" s="88">
        <f t="shared" si="166"/>
        <v>13764.751834974733</v>
      </c>
    </row>
    <row r="1234" spans="1:11" hidden="1" x14ac:dyDescent="0.25">
      <c r="A1234" t="str">
        <f t="shared" si="167"/>
        <v>PA6.6Ø7</v>
      </c>
      <c r="B1234" s="81" t="s">
        <v>244</v>
      </c>
      <c r="D1234" s="86">
        <v>7</v>
      </c>
      <c r="E1234" s="85">
        <f t="shared" si="162"/>
        <v>7.0000000000000001E-3</v>
      </c>
      <c r="F1234" s="85">
        <f t="shared" si="163"/>
        <v>3.5000000000000001E-3</v>
      </c>
      <c r="G1234" s="85">
        <f t="shared" si="164"/>
        <v>1.7959438003021651E-7</v>
      </c>
      <c r="H1234" s="85">
        <v>1110</v>
      </c>
      <c r="I1234" s="85">
        <f t="shared" si="165"/>
        <v>1.9934976183354032E-4</v>
      </c>
      <c r="J1234" s="87">
        <v>1</v>
      </c>
      <c r="K1234" s="88">
        <f t="shared" si="166"/>
        <v>5016.308977760471</v>
      </c>
    </row>
    <row r="1235" spans="1:11" hidden="1" x14ac:dyDescent="0.25">
      <c r="A1235" t="str">
        <f t="shared" si="167"/>
        <v>PA6.6Ø10</v>
      </c>
      <c r="B1235" s="81" t="s">
        <v>244</v>
      </c>
      <c r="D1235" s="86">
        <v>10</v>
      </c>
      <c r="E1235" s="85">
        <f t="shared" si="162"/>
        <v>0.01</v>
      </c>
      <c r="F1235" s="85">
        <f t="shared" si="163"/>
        <v>5.0000000000000001E-3</v>
      </c>
      <c r="G1235" s="85">
        <f t="shared" si="164"/>
        <v>5.2359877559829882E-7</v>
      </c>
      <c r="H1235" s="85">
        <v>1110</v>
      </c>
      <c r="I1235" s="85">
        <f t="shared" si="165"/>
        <v>5.8119464091411165E-4</v>
      </c>
      <c r="J1235" s="87">
        <v>1</v>
      </c>
      <c r="K1235" s="88">
        <f t="shared" si="166"/>
        <v>1720.5939793718417</v>
      </c>
    </row>
    <row r="1236" spans="1:11" hidden="1" x14ac:dyDescent="0.25">
      <c r="A1236" t="str">
        <f t="shared" si="167"/>
        <v>PPHØ1,5875</v>
      </c>
      <c r="B1236" s="81" t="s">
        <v>202</v>
      </c>
      <c r="C1236" s="101" t="s">
        <v>246</v>
      </c>
      <c r="D1236" s="86">
        <f>1/16*25.4</f>
        <v>1.5874999999999999</v>
      </c>
      <c r="E1236" s="85">
        <f t="shared" si="162"/>
        <v>1.5874999999999999E-3</v>
      </c>
      <c r="F1236" s="85">
        <f t="shared" si="163"/>
        <v>7.9374999999999997E-4</v>
      </c>
      <c r="G1236" s="85">
        <f t="shared" si="164"/>
        <v>2.0947867788210349E-9</v>
      </c>
      <c r="H1236" s="85">
        <v>870</v>
      </c>
      <c r="I1236" s="85">
        <f t="shared" si="165"/>
        <v>1.8224644975743004E-6</v>
      </c>
      <c r="J1236" s="87">
        <v>1</v>
      </c>
      <c r="K1236" s="88">
        <f t="shared" si="166"/>
        <v>548707.53385374567</v>
      </c>
    </row>
    <row r="1237" spans="1:11" hidden="1" x14ac:dyDescent="0.25">
      <c r="A1237" t="str">
        <f t="shared" si="167"/>
        <v>PPHØ2</v>
      </c>
      <c r="B1237" s="81" t="s">
        <v>202</v>
      </c>
      <c r="D1237" s="86">
        <v>2</v>
      </c>
      <c r="E1237" s="85">
        <f t="shared" si="162"/>
        <v>2E-3</v>
      </c>
      <c r="F1237" s="85">
        <f t="shared" si="163"/>
        <v>1E-3</v>
      </c>
      <c r="G1237" s="85">
        <f t="shared" si="164"/>
        <v>4.1887902047863909E-9</v>
      </c>
      <c r="H1237" s="85">
        <v>870</v>
      </c>
      <c r="I1237" s="85">
        <f t="shared" si="165"/>
        <v>3.6442474781641599E-6</v>
      </c>
      <c r="J1237" s="87">
        <v>1</v>
      </c>
      <c r="K1237" s="88">
        <f t="shared" si="166"/>
        <v>274405.07429637131</v>
      </c>
    </row>
    <row r="1238" spans="1:11" hidden="1" x14ac:dyDescent="0.25">
      <c r="A1238" t="str">
        <f t="shared" si="167"/>
        <v>PPHØ3</v>
      </c>
      <c r="B1238" s="81" t="s">
        <v>202</v>
      </c>
      <c r="D1238" s="86">
        <v>3</v>
      </c>
      <c r="E1238" s="85">
        <f t="shared" si="162"/>
        <v>3.0000000000000001E-3</v>
      </c>
      <c r="F1238" s="85">
        <f t="shared" si="163"/>
        <v>1.5E-3</v>
      </c>
      <c r="G1238" s="85">
        <f t="shared" si="164"/>
        <v>1.4137166941154068E-8</v>
      </c>
      <c r="H1238" s="85">
        <v>870</v>
      </c>
      <c r="I1238" s="85">
        <f t="shared" si="165"/>
        <v>1.229933523880404E-5</v>
      </c>
      <c r="J1238" s="87">
        <v>1</v>
      </c>
      <c r="K1238" s="88">
        <f t="shared" si="166"/>
        <v>81305.207198924822</v>
      </c>
    </row>
    <row r="1239" spans="1:11" hidden="1" x14ac:dyDescent="0.25">
      <c r="A1239" t="str">
        <f t="shared" si="167"/>
        <v>PPHØ5</v>
      </c>
      <c r="B1239" s="81" t="s">
        <v>202</v>
      </c>
      <c r="D1239" s="86">
        <v>5</v>
      </c>
      <c r="E1239" s="85">
        <f t="shared" si="162"/>
        <v>5.0000000000000001E-3</v>
      </c>
      <c r="F1239" s="85">
        <f t="shared" si="163"/>
        <v>2.5000000000000001E-3</v>
      </c>
      <c r="G1239" s="85">
        <f t="shared" si="164"/>
        <v>6.5449846949787352E-8</v>
      </c>
      <c r="H1239" s="85">
        <v>870</v>
      </c>
      <c r="I1239" s="85">
        <f t="shared" si="165"/>
        <v>5.6941366846314999E-5</v>
      </c>
      <c r="J1239" s="87">
        <v>1</v>
      </c>
      <c r="K1239" s="88">
        <f t="shared" si="166"/>
        <v>17561.924754967764</v>
      </c>
    </row>
    <row r="1240" spans="1:11" hidden="1" x14ac:dyDescent="0.25">
      <c r="A1240" t="str">
        <f t="shared" si="167"/>
        <v>PPHØ7</v>
      </c>
      <c r="B1240" s="81" t="s">
        <v>202</v>
      </c>
      <c r="D1240" s="86">
        <v>7</v>
      </c>
      <c r="E1240" s="85">
        <f t="shared" si="162"/>
        <v>7.0000000000000001E-3</v>
      </c>
      <c r="F1240" s="85">
        <f t="shared" si="163"/>
        <v>3.5000000000000001E-3</v>
      </c>
      <c r="G1240" s="85">
        <f t="shared" si="164"/>
        <v>1.7959438003021651E-7</v>
      </c>
      <c r="H1240" s="85">
        <v>870</v>
      </c>
      <c r="I1240" s="85">
        <f t="shared" si="165"/>
        <v>1.5624711062628836E-4</v>
      </c>
      <c r="J1240" s="87">
        <v>1</v>
      </c>
      <c r="K1240" s="88">
        <f t="shared" si="166"/>
        <v>6400.1183509357734</v>
      </c>
    </row>
    <row r="1241" spans="1:11" hidden="1" x14ac:dyDescent="0.25">
      <c r="A1241" t="str">
        <f t="shared" si="167"/>
        <v>PPHØ10</v>
      </c>
      <c r="B1241" s="81" t="s">
        <v>202</v>
      </c>
      <c r="D1241" s="86">
        <v>10</v>
      </c>
      <c r="E1241" s="85">
        <f t="shared" si="162"/>
        <v>0.01</v>
      </c>
      <c r="F1241" s="85">
        <f t="shared" si="163"/>
        <v>5.0000000000000001E-3</v>
      </c>
      <c r="G1241" s="85">
        <f t="shared" si="164"/>
        <v>5.2359877559829882E-7</v>
      </c>
      <c r="H1241" s="85">
        <v>870</v>
      </c>
      <c r="I1241" s="85">
        <f t="shared" si="165"/>
        <v>4.5553093477051999E-4</v>
      </c>
      <c r="J1241" s="87">
        <v>1</v>
      </c>
      <c r="K1241" s="88">
        <f t="shared" si="166"/>
        <v>2195.2405943709705</v>
      </c>
    </row>
    <row r="1242" spans="1:11" hidden="1" x14ac:dyDescent="0.25">
      <c r="A1242" t="str">
        <f t="shared" si="167"/>
        <v>POMØ1</v>
      </c>
      <c r="B1242" s="81" t="s">
        <v>201</v>
      </c>
      <c r="D1242" s="86">
        <v>1</v>
      </c>
      <c r="E1242" s="85">
        <f t="shared" si="162"/>
        <v>1E-3</v>
      </c>
      <c r="F1242" s="85">
        <f t="shared" si="163"/>
        <v>5.0000000000000001E-4</v>
      </c>
      <c r="G1242" s="85">
        <f t="shared" si="164"/>
        <v>5.2359877559829886E-10</v>
      </c>
      <c r="H1242" s="85">
        <v>1370</v>
      </c>
      <c r="I1242" s="85">
        <f t="shared" si="165"/>
        <v>7.1733032256966945E-7</v>
      </c>
      <c r="J1242" s="87">
        <v>1</v>
      </c>
      <c r="K1242" s="88">
        <f t="shared" si="166"/>
        <v>1394057.8956954337</v>
      </c>
    </row>
    <row r="1243" spans="1:11" hidden="1" x14ac:dyDescent="0.25">
      <c r="A1243" t="str">
        <f t="shared" si="167"/>
        <v>POMØ2</v>
      </c>
      <c r="B1243" s="81" t="s">
        <v>201</v>
      </c>
      <c r="D1243" s="86">
        <v>2</v>
      </c>
      <c r="E1243" s="85">
        <f t="shared" si="162"/>
        <v>2E-3</v>
      </c>
      <c r="F1243" s="85">
        <f t="shared" si="163"/>
        <v>1E-3</v>
      </c>
      <c r="G1243" s="85">
        <f t="shared" si="164"/>
        <v>4.1887902047863909E-9</v>
      </c>
      <c r="H1243" s="85">
        <v>1370</v>
      </c>
      <c r="I1243" s="85">
        <f t="shared" si="165"/>
        <v>5.7386425805573556E-6</v>
      </c>
      <c r="J1243" s="87">
        <v>1</v>
      </c>
      <c r="K1243" s="88">
        <f t="shared" si="166"/>
        <v>174257.23696192921</v>
      </c>
    </row>
    <row r="1244" spans="1:11" hidden="1" x14ac:dyDescent="0.25">
      <c r="A1244" t="str">
        <f t="shared" si="167"/>
        <v>POMØ3</v>
      </c>
      <c r="B1244" s="81" t="s">
        <v>201</v>
      </c>
      <c r="D1244" s="86">
        <v>3</v>
      </c>
      <c r="E1244" s="85">
        <f t="shared" si="162"/>
        <v>3.0000000000000001E-3</v>
      </c>
      <c r="F1244" s="85">
        <f t="shared" si="163"/>
        <v>1.5E-3</v>
      </c>
      <c r="G1244" s="85">
        <f t="shared" si="164"/>
        <v>1.4137166941154068E-8</v>
      </c>
      <c r="H1244" s="85">
        <v>1370</v>
      </c>
      <c r="I1244" s="85">
        <f t="shared" si="165"/>
        <v>1.9367918709381075E-5</v>
      </c>
      <c r="J1244" s="87">
        <v>1</v>
      </c>
      <c r="K1244" s="88">
        <f t="shared" si="166"/>
        <v>51631.773914645688</v>
      </c>
    </row>
    <row r="1245" spans="1:11" hidden="1" x14ac:dyDescent="0.25">
      <c r="A1245" t="str">
        <f t="shared" si="167"/>
        <v>POMØ5</v>
      </c>
      <c r="B1245" s="81" t="s">
        <v>201</v>
      </c>
      <c r="D1245" s="86">
        <v>5</v>
      </c>
      <c r="E1245" s="85">
        <f t="shared" si="162"/>
        <v>5.0000000000000001E-3</v>
      </c>
      <c r="F1245" s="85">
        <f t="shared" si="163"/>
        <v>2.5000000000000001E-3</v>
      </c>
      <c r="G1245" s="85">
        <f t="shared" si="164"/>
        <v>6.5449846949787352E-8</v>
      </c>
      <c r="H1245" s="85">
        <v>1370</v>
      </c>
      <c r="I1245" s="85">
        <f t="shared" si="165"/>
        <v>8.9666290321208675E-5</v>
      </c>
      <c r="J1245" s="87">
        <v>1</v>
      </c>
      <c r="K1245" s="88">
        <f t="shared" si="166"/>
        <v>11152.463165563469</v>
      </c>
    </row>
    <row r="1246" spans="1:11" hidden="1" x14ac:dyDescent="0.25">
      <c r="A1246" t="str">
        <f t="shared" si="167"/>
        <v>POMØ7</v>
      </c>
      <c r="B1246" s="81" t="s">
        <v>201</v>
      </c>
      <c r="D1246" s="86">
        <v>7</v>
      </c>
      <c r="E1246" s="85">
        <f t="shared" si="162"/>
        <v>7.0000000000000001E-3</v>
      </c>
      <c r="F1246" s="85">
        <f t="shared" si="163"/>
        <v>3.5000000000000001E-3</v>
      </c>
      <c r="G1246" s="85">
        <f t="shared" si="164"/>
        <v>1.7959438003021651E-7</v>
      </c>
      <c r="H1246" s="85">
        <v>1370</v>
      </c>
      <c r="I1246" s="85">
        <f t="shared" si="165"/>
        <v>2.460443006413966E-4</v>
      </c>
      <c r="J1246" s="87">
        <v>1</v>
      </c>
      <c r="K1246" s="88">
        <f t="shared" si="166"/>
        <v>4064.308733805929</v>
      </c>
    </row>
    <row r="1247" spans="1:11" hidden="1" x14ac:dyDescent="0.25">
      <c r="A1247" t="str">
        <f t="shared" si="167"/>
        <v>POMØ10</v>
      </c>
      <c r="B1247" s="81" t="s">
        <v>201</v>
      </c>
      <c r="D1247" s="86">
        <v>10</v>
      </c>
      <c r="E1247" s="85">
        <f t="shared" si="162"/>
        <v>0.01</v>
      </c>
      <c r="F1247" s="85">
        <f t="shared" si="163"/>
        <v>5.0000000000000001E-3</v>
      </c>
      <c r="G1247" s="85">
        <f t="shared" si="164"/>
        <v>5.2359877559829882E-7</v>
      </c>
      <c r="H1247" s="85">
        <v>1370</v>
      </c>
      <c r="I1247" s="85">
        <f t="shared" si="165"/>
        <v>7.173303225696694E-4</v>
      </c>
      <c r="J1247" s="87">
        <v>1</v>
      </c>
      <c r="K1247" s="88">
        <f t="shared" si="166"/>
        <v>1394.0578956954337</v>
      </c>
    </row>
    <row r="1248" spans="1:11" hidden="1" x14ac:dyDescent="0.25">
      <c r="A1248" t="str">
        <f t="shared" si="167"/>
        <v>PTFEØ1,5875</v>
      </c>
      <c r="B1248" s="81" t="s">
        <v>307</v>
      </c>
      <c r="C1248" s="101" t="s">
        <v>246</v>
      </c>
      <c r="D1248" s="86">
        <f>1/16*25.4</f>
        <v>1.5874999999999999</v>
      </c>
      <c r="E1248" s="85">
        <f t="shared" si="162"/>
        <v>1.5874999999999999E-3</v>
      </c>
      <c r="F1248" s="85">
        <f t="shared" si="163"/>
        <v>7.9374999999999997E-4</v>
      </c>
      <c r="G1248" s="85">
        <f t="shared" si="164"/>
        <v>2.0947867788210349E-9</v>
      </c>
      <c r="H1248" s="85">
        <v>2160</v>
      </c>
      <c r="I1248" s="85">
        <f t="shared" si="165"/>
        <v>4.5247394422534354E-6</v>
      </c>
      <c r="J1248" s="87">
        <v>1</v>
      </c>
      <c r="K1248" s="88">
        <f t="shared" si="166"/>
        <v>221007.20113553645</v>
      </c>
    </row>
    <row r="1249" spans="1:11" hidden="1" x14ac:dyDescent="0.25">
      <c r="A1249" t="str">
        <f t="shared" si="167"/>
        <v>PTFEØ2</v>
      </c>
      <c r="B1249" s="81" t="s">
        <v>307</v>
      </c>
      <c r="D1249" s="86">
        <v>2</v>
      </c>
      <c r="E1249" s="85">
        <f t="shared" si="162"/>
        <v>2E-3</v>
      </c>
      <c r="F1249" s="85">
        <f t="shared" si="163"/>
        <v>1E-3</v>
      </c>
      <c r="G1249" s="85">
        <f t="shared" si="164"/>
        <v>4.1887902047863909E-9</v>
      </c>
      <c r="H1249" s="85">
        <v>2160</v>
      </c>
      <c r="I1249" s="85">
        <f t="shared" si="165"/>
        <v>9.0477868423386043E-6</v>
      </c>
      <c r="J1249" s="87">
        <v>1</v>
      </c>
      <c r="K1249" s="88">
        <f t="shared" si="166"/>
        <v>110524.26603603843</v>
      </c>
    </row>
    <row r="1250" spans="1:11" hidden="1" x14ac:dyDescent="0.25">
      <c r="A1250" t="str">
        <f t="shared" si="167"/>
        <v>PTFEØ3</v>
      </c>
      <c r="B1250" s="81" t="s">
        <v>307</v>
      </c>
      <c r="D1250" s="86">
        <v>3</v>
      </c>
      <c r="E1250" s="85">
        <f t="shared" ref="E1250:E1313" si="168">D1250/1000</f>
        <v>3.0000000000000001E-3</v>
      </c>
      <c r="F1250" s="85">
        <f t="shared" ref="F1250:F1313" si="169">E1250/2</f>
        <v>1.5E-3</v>
      </c>
      <c r="G1250" s="85">
        <f t="shared" ref="G1250:G1313" si="170">4/3*PI()*F1250*F1250*F1250</f>
        <v>1.4137166941154068E-8</v>
      </c>
      <c r="H1250" s="85">
        <v>2160</v>
      </c>
      <c r="I1250" s="85">
        <f t="shared" ref="I1250:I1313" si="171">H1250*G1250</f>
        <v>3.0536280592892786E-5</v>
      </c>
      <c r="J1250" s="87">
        <v>1</v>
      </c>
      <c r="K1250" s="88">
        <f t="shared" ref="K1250:K1313" si="172">J1250/I1250</f>
        <v>32747.930677344724</v>
      </c>
    </row>
    <row r="1251" spans="1:11" hidden="1" x14ac:dyDescent="0.25">
      <c r="A1251" t="str">
        <f t="shared" si="167"/>
        <v>PTFEØ5</v>
      </c>
      <c r="B1251" s="81" t="s">
        <v>307</v>
      </c>
      <c r="D1251" s="86">
        <v>5</v>
      </c>
      <c r="E1251" s="85">
        <f t="shared" si="168"/>
        <v>5.0000000000000001E-3</v>
      </c>
      <c r="F1251" s="85">
        <f t="shared" si="169"/>
        <v>2.5000000000000001E-3</v>
      </c>
      <c r="G1251" s="85">
        <f t="shared" si="170"/>
        <v>6.5449846949787352E-8</v>
      </c>
      <c r="H1251" s="85">
        <v>2160</v>
      </c>
      <c r="I1251" s="85">
        <f t="shared" si="171"/>
        <v>1.4137166941154068E-4</v>
      </c>
      <c r="J1251" s="87">
        <v>1</v>
      </c>
      <c r="K1251" s="88">
        <f t="shared" si="172"/>
        <v>7073.5530263064602</v>
      </c>
    </row>
    <row r="1252" spans="1:11" hidden="1" x14ac:dyDescent="0.25">
      <c r="A1252" t="str">
        <f t="shared" si="167"/>
        <v>PTFEØ6,35</v>
      </c>
      <c r="B1252" s="81" t="s">
        <v>307</v>
      </c>
      <c r="C1252" s="101" t="s">
        <v>218</v>
      </c>
      <c r="D1252" s="86">
        <f>1/4*25.4</f>
        <v>6.35</v>
      </c>
      <c r="E1252" s="85">
        <f t="shared" si="168"/>
        <v>6.3499999999999997E-3</v>
      </c>
      <c r="F1252" s="85">
        <f t="shared" si="169"/>
        <v>3.1749999999999999E-3</v>
      </c>
      <c r="G1252" s="85">
        <f t="shared" si="170"/>
        <v>1.3406635384454623E-7</v>
      </c>
      <c r="H1252" s="85">
        <v>2160</v>
      </c>
      <c r="I1252" s="85">
        <f t="shared" si="171"/>
        <v>2.8958332430421987E-4</v>
      </c>
      <c r="J1252" s="87">
        <v>1</v>
      </c>
      <c r="K1252" s="88">
        <f t="shared" si="172"/>
        <v>3453.2375177427571</v>
      </c>
    </row>
    <row r="1253" spans="1:11" hidden="1" x14ac:dyDescent="0.25">
      <c r="A1253" t="str">
        <f t="shared" si="167"/>
        <v>PTFEØ7,142</v>
      </c>
      <c r="B1253" s="81" t="s">
        <v>307</v>
      </c>
      <c r="D1253" s="86">
        <v>7.1420000000000003</v>
      </c>
      <c r="E1253" s="85">
        <f t="shared" si="168"/>
        <v>7.1420000000000008E-3</v>
      </c>
      <c r="F1253" s="85">
        <f t="shared" si="169"/>
        <v>3.5710000000000004E-3</v>
      </c>
      <c r="G1253" s="85">
        <f t="shared" si="170"/>
        <v>1.9074719484608088E-7</v>
      </c>
      <c r="H1253" s="85">
        <v>2160</v>
      </c>
      <c r="I1253" s="85">
        <f t="shared" si="171"/>
        <v>4.1201394086753468E-4</v>
      </c>
      <c r="J1253" s="87">
        <v>1</v>
      </c>
      <c r="K1253" s="88">
        <f t="shared" si="172"/>
        <v>2427.1023400188947</v>
      </c>
    </row>
    <row r="1254" spans="1:11" hidden="1" x14ac:dyDescent="0.25">
      <c r="A1254" t="str">
        <f t="shared" si="167"/>
        <v>PTFEØ10</v>
      </c>
      <c r="B1254" s="81" t="s">
        <v>307</v>
      </c>
      <c r="D1254" s="86">
        <v>10</v>
      </c>
      <c r="E1254" s="85">
        <f t="shared" si="168"/>
        <v>0.01</v>
      </c>
      <c r="F1254" s="85">
        <f t="shared" si="169"/>
        <v>5.0000000000000001E-3</v>
      </c>
      <c r="G1254" s="85">
        <f t="shared" si="170"/>
        <v>5.2359877559829882E-7</v>
      </c>
      <c r="H1254" s="85">
        <v>2160</v>
      </c>
      <c r="I1254" s="85">
        <f t="shared" si="171"/>
        <v>1.1309733552923255E-3</v>
      </c>
      <c r="J1254" s="87">
        <v>1</v>
      </c>
      <c r="K1254" s="88">
        <f t="shared" si="172"/>
        <v>884.19412828830752</v>
      </c>
    </row>
    <row r="1255" spans="1:11" hidden="1" x14ac:dyDescent="0.25">
      <c r="A1255" t="str">
        <f t="shared" si="167"/>
        <v>52100Ø4,8625</v>
      </c>
      <c r="B1255" s="81">
        <v>52100</v>
      </c>
      <c r="C1255" s="101" t="s">
        <v>354</v>
      </c>
      <c r="D1255" s="86">
        <f>3/16*25.4+0.1</f>
        <v>4.8624999999999989</v>
      </c>
      <c r="E1255" s="85">
        <f t="shared" si="168"/>
        <v>4.8624999999999988E-3</v>
      </c>
      <c r="F1255" s="85">
        <f t="shared" si="169"/>
        <v>2.4312499999999994E-3</v>
      </c>
      <c r="G1255" s="85">
        <f t="shared" si="170"/>
        <v>6.0197362764411391E-8</v>
      </c>
      <c r="H1255" s="85">
        <v>7800</v>
      </c>
      <c r="I1255" s="85">
        <f t="shared" si="171"/>
        <v>4.6953942956240886E-4</v>
      </c>
      <c r="J1255" s="87">
        <v>1</v>
      </c>
      <c r="K1255" s="88">
        <f t="shared" si="172"/>
        <v>2129.74659217003</v>
      </c>
    </row>
    <row r="1256" spans="1:11" hidden="1" x14ac:dyDescent="0.25">
      <c r="A1256" t="str">
        <f t="shared" si="167"/>
        <v>PTFEØ2</v>
      </c>
      <c r="B1256" s="81" t="s">
        <v>307</v>
      </c>
      <c r="D1256" s="86">
        <v>2</v>
      </c>
      <c r="E1256" s="85">
        <f t="shared" si="168"/>
        <v>2E-3</v>
      </c>
      <c r="F1256" s="85">
        <f t="shared" si="169"/>
        <v>1E-3</v>
      </c>
      <c r="G1256" s="85">
        <f t="shared" si="170"/>
        <v>4.1887902047863909E-9</v>
      </c>
      <c r="H1256" s="85">
        <v>2160</v>
      </c>
      <c r="I1256" s="85">
        <f t="shared" si="171"/>
        <v>9.0477868423386043E-6</v>
      </c>
      <c r="J1256" s="87">
        <v>1</v>
      </c>
      <c r="K1256" s="88">
        <f t="shared" si="172"/>
        <v>110524.26603603843</v>
      </c>
    </row>
    <row r="1257" spans="1:11" hidden="1" x14ac:dyDescent="0.25">
      <c r="A1257" t="str">
        <f t="shared" si="167"/>
        <v>Alluminio serie 1Ø1</v>
      </c>
      <c r="B1257" s="81" t="s">
        <v>330</v>
      </c>
      <c r="D1257" s="86">
        <v>1</v>
      </c>
      <c r="E1257" s="85">
        <f t="shared" si="168"/>
        <v>1E-3</v>
      </c>
      <c r="F1257" s="85">
        <f t="shared" si="169"/>
        <v>5.0000000000000001E-4</v>
      </c>
      <c r="G1257" s="85">
        <f t="shared" si="170"/>
        <v>5.2359877559829886E-10</v>
      </c>
      <c r="H1257" s="85">
        <v>2710</v>
      </c>
      <c r="I1257" s="85">
        <f t="shared" si="171"/>
        <v>1.4189526818713899E-6</v>
      </c>
      <c r="J1257" s="87">
        <v>1</v>
      </c>
      <c r="K1257" s="88">
        <f t="shared" si="172"/>
        <v>704745.13546226721</v>
      </c>
    </row>
    <row r="1258" spans="1:11" hidden="1" x14ac:dyDescent="0.25">
      <c r="A1258" t="str">
        <f t="shared" si="167"/>
        <v>Alluminio serie 1Ø1</v>
      </c>
      <c r="B1258" s="81" t="s">
        <v>330</v>
      </c>
      <c r="D1258" s="86">
        <v>1</v>
      </c>
      <c r="E1258" s="85">
        <f t="shared" si="168"/>
        <v>1E-3</v>
      </c>
      <c r="F1258" s="85">
        <f t="shared" si="169"/>
        <v>5.0000000000000001E-4</v>
      </c>
      <c r="G1258" s="85">
        <f t="shared" si="170"/>
        <v>5.2359877559829886E-10</v>
      </c>
      <c r="H1258" s="85">
        <v>2710</v>
      </c>
      <c r="I1258" s="85">
        <f t="shared" si="171"/>
        <v>1.4189526818713899E-6</v>
      </c>
      <c r="J1258" s="87">
        <v>1</v>
      </c>
      <c r="K1258" s="88">
        <f t="shared" si="172"/>
        <v>704745.13546226721</v>
      </c>
    </row>
    <row r="1259" spans="1:11" hidden="1" x14ac:dyDescent="0.25">
      <c r="A1259" t="str">
        <f t="shared" si="167"/>
        <v>Alluminio serie 1Ø1</v>
      </c>
      <c r="B1259" s="81" t="s">
        <v>330</v>
      </c>
      <c r="D1259" s="86">
        <v>1</v>
      </c>
      <c r="E1259" s="85">
        <f t="shared" si="168"/>
        <v>1E-3</v>
      </c>
      <c r="F1259" s="85">
        <f t="shared" si="169"/>
        <v>5.0000000000000001E-4</v>
      </c>
      <c r="G1259" s="85">
        <f t="shared" si="170"/>
        <v>5.2359877559829886E-10</v>
      </c>
      <c r="H1259" s="85">
        <v>2710</v>
      </c>
      <c r="I1259" s="85">
        <f t="shared" si="171"/>
        <v>1.4189526818713899E-6</v>
      </c>
      <c r="J1259" s="87">
        <v>1</v>
      </c>
      <c r="K1259" s="88">
        <f t="shared" si="172"/>
        <v>704745.13546226721</v>
      </c>
    </row>
    <row r="1260" spans="1:11" hidden="1" x14ac:dyDescent="0.25">
      <c r="A1260" t="str">
        <f t="shared" si="167"/>
        <v>52100Ø9,525</v>
      </c>
      <c r="B1260" s="81">
        <v>52100</v>
      </c>
      <c r="C1260" s="101" t="s">
        <v>254</v>
      </c>
      <c r="D1260" s="86">
        <f>3/8*25.4</f>
        <v>9.5249999999999986</v>
      </c>
      <c r="E1260" s="85">
        <f t="shared" si="168"/>
        <v>9.5249999999999987E-3</v>
      </c>
      <c r="F1260" s="85">
        <f t="shared" si="169"/>
        <v>4.7624999999999994E-3</v>
      </c>
      <c r="G1260" s="85">
        <f t="shared" si="170"/>
        <v>4.5247394422534347E-7</v>
      </c>
      <c r="H1260" s="85">
        <v>7800</v>
      </c>
      <c r="I1260" s="85">
        <f t="shared" si="171"/>
        <v>3.5292967649576791E-3</v>
      </c>
      <c r="J1260" s="87">
        <v>1</v>
      </c>
      <c r="K1260" s="88">
        <f t="shared" si="172"/>
        <v>283.3425655583801</v>
      </c>
    </row>
    <row r="1261" spans="1:11" hidden="1" x14ac:dyDescent="0.25">
      <c r="A1261" t="str">
        <f t="shared" si="167"/>
        <v>Al2O3Ø2</v>
      </c>
      <c r="B1261" s="81" t="s">
        <v>217</v>
      </c>
      <c r="D1261" s="86">
        <v>2</v>
      </c>
      <c r="E1261" s="85">
        <f t="shared" si="168"/>
        <v>2E-3</v>
      </c>
      <c r="F1261" s="85">
        <f t="shared" si="169"/>
        <v>1E-3</v>
      </c>
      <c r="G1261" s="85">
        <f t="shared" si="170"/>
        <v>4.1887902047863909E-9</v>
      </c>
      <c r="H1261" s="85">
        <v>3900</v>
      </c>
      <c r="I1261" s="85">
        <f t="shared" si="171"/>
        <v>1.6336281798666925E-5</v>
      </c>
      <c r="J1261" s="87">
        <v>1</v>
      </c>
      <c r="K1261" s="88">
        <f t="shared" si="172"/>
        <v>61213.439650728978</v>
      </c>
    </row>
    <row r="1262" spans="1:11" hidden="1" x14ac:dyDescent="0.25">
      <c r="A1262" t="str">
        <f t="shared" si="167"/>
        <v>PPHØ2,38125</v>
      </c>
      <c r="B1262" s="81" t="s">
        <v>202</v>
      </c>
      <c r="C1262" s="101" t="s">
        <v>213</v>
      </c>
      <c r="D1262" s="86">
        <f>3/32*25.4</f>
        <v>2.3812499999999996</v>
      </c>
      <c r="E1262" s="85">
        <f t="shared" si="168"/>
        <v>2.3812499999999997E-3</v>
      </c>
      <c r="F1262" s="85">
        <f t="shared" si="169"/>
        <v>1.1906249999999998E-3</v>
      </c>
      <c r="G1262" s="85">
        <f t="shared" si="170"/>
        <v>7.0699053785209917E-9</v>
      </c>
      <c r="H1262" s="85">
        <v>870</v>
      </c>
      <c r="I1262" s="85">
        <f t="shared" si="171"/>
        <v>6.1508176793132632E-6</v>
      </c>
      <c r="J1262" s="87">
        <v>1</v>
      </c>
      <c r="K1262" s="88">
        <f t="shared" si="172"/>
        <v>162580.01003073948</v>
      </c>
    </row>
    <row r="1263" spans="1:11" hidden="1" x14ac:dyDescent="0.25">
      <c r="A1263" t="str">
        <f t="shared" si="167"/>
        <v>PPHØ2,778125</v>
      </c>
      <c r="B1263" s="81" t="s">
        <v>202</v>
      </c>
      <c r="C1263" s="101" t="s">
        <v>247</v>
      </c>
      <c r="D1263" s="86">
        <f>7/64*25.4</f>
        <v>2.7781249999999997</v>
      </c>
      <c r="E1263" s="85">
        <f t="shared" si="168"/>
        <v>2.7781249999999998E-3</v>
      </c>
      <c r="F1263" s="85">
        <f t="shared" si="169"/>
        <v>1.3890624999999999E-3</v>
      </c>
      <c r="G1263" s="85">
        <f t="shared" si="170"/>
        <v>1.1226747892743984E-8</v>
      </c>
      <c r="H1263" s="85">
        <v>870</v>
      </c>
      <c r="I1263" s="85">
        <f t="shared" si="171"/>
        <v>9.7672706666872662E-6</v>
      </c>
      <c r="J1263" s="87">
        <v>1</v>
      </c>
      <c r="K1263" s="88">
        <f t="shared" si="172"/>
        <v>102382.74684151523</v>
      </c>
    </row>
    <row r="1264" spans="1:11" hidden="1" x14ac:dyDescent="0.25">
      <c r="A1264" t="str">
        <f t="shared" si="167"/>
        <v>VESCØ2,5</v>
      </c>
      <c r="B1264" s="81" t="s">
        <v>210</v>
      </c>
      <c r="D1264" s="86">
        <v>2.5</v>
      </c>
      <c r="E1264" s="85">
        <f t="shared" si="168"/>
        <v>2.5000000000000001E-3</v>
      </c>
      <c r="F1264" s="85">
        <f t="shared" si="169"/>
        <v>1.25E-3</v>
      </c>
      <c r="G1264" s="85">
        <f t="shared" si="170"/>
        <v>8.181230868723419E-9</v>
      </c>
      <c r="H1264" s="85">
        <v>2500</v>
      </c>
      <c r="I1264" s="85">
        <f t="shared" si="171"/>
        <v>2.0453077171808547E-5</v>
      </c>
      <c r="J1264" s="87">
        <v>1</v>
      </c>
      <c r="K1264" s="88">
        <f t="shared" si="172"/>
        <v>48892.398517830254</v>
      </c>
    </row>
    <row r="1265" spans="1:11" hidden="1" x14ac:dyDescent="0.25">
      <c r="A1265" t="str">
        <f t="shared" si="167"/>
        <v>304Ø5,55625</v>
      </c>
      <c r="B1265" s="81">
        <v>304</v>
      </c>
      <c r="C1265" s="101" t="s">
        <v>249</v>
      </c>
      <c r="D1265" s="86">
        <f>7/32*25.4</f>
        <v>5.5562499999999995</v>
      </c>
      <c r="E1265" s="85">
        <f t="shared" si="168"/>
        <v>5.5562499999999996E-3</v>
      </c>
      <c r="F1265" s="85">
        <f t="shared" si="169"/>
        <v>2.7781249999999998E-3</v>
      </c>
      <c r="G1265" s="85">
        <f t="shared" si="170"/>
        <v>8.9813983141951873E-8</v>
      </c>
      <c r="H1265" s="85">
        <v>7950</v>
      </c>
      <c r="I1265" s="85">
        <f t="shared" si="171"/>
        <v>7.140211659785174E-4</v>
      </c>
      <c r="J1265" s="87">
        <v>1</v>
      </c>
      <c r="K1265" s="88">
        <f t="shared" si="172"/>
        <v>1400.518706794312</v>
      </c>
    </row>
    <row r="1266" spans="1:11" hidden="1" x14ac:dyDescent="0.25">
      <c r="A1266" t="str">
        <f t="shared" si="167"/>
        <v>Al2O3Ø1,5</v>
      </c>
      <c r="B1266" s="81" t="s">
        <v>217</v>
      </c>
      <c r="D1266" s="86">
        <v>1.5</v>
      </c>
      <c r="E1266" s="85">
        <f t="shared" si="168"/>
        <v>1.5E-3</v>
      </c>
      <c r="F1266" s="85">
        <f t="shared" si="169"/>
        <v>7.5000000000000002E-4</v>
      </c>
      <c r="G1266" s="85">
        <f t="shared" si="170"/>
        <v>1.7671458676442585E-9</v>
      </c>
      <c r="H1266" s="85">
        <v>3900</v>
      </c>
      <c r="I1266" s="85">
        <f t="shared" si="171"/>
        <v>6.8918688838126086E-6</v>
      </c>
      <c r="J1266" s="87">
        <v>1</v>
      </c>
      <c r="K1266" s="88">
        <f t="shared" si="172"/>
        <v>145098.52361654275</v>
      </c>
    </row>
    <row r="1267" spans="1:11" hidden="1" x14ac:dyDescent="0.25">
      <c r="A1267" t="str">
        <f t="shared" si="167"/>
        <v>VESCØ10</v>
      </c>
      <c r="B1267" s="81" t="s">
        <v>210</v>
      </c>
      <c r="D1267" s="86">
        <v>10</v>
      </c>
      <c r="E1267" s="85">
        <f t="shared" si="168"/>
        <v>0.01</v>
      </c>
      <c r="F1267" s="85">
        <f t="shared" si="169"/>
        <v>5.0000000000000001E-3</v>
      </c>
      <c r="G1267" s="85">
        <f t="shared" si="170"/>
        <v>5.2359877559829882E-7</v>
      </c>
      <c r="H1267" s="85">
        <v>2500</v>
      </c>
      <c r="I1267" s="85">
        <f t="shared" si="171"/>
        <v>1.308996938995747E-3</v>
      </c>
      <c r="J1267" s="87">
        <v>1</v>
      </c>
      <c r="K1267" s="88">
        <f t="shared" si="172"/>
        <v>763.94372684109771</v>
      </c>
    </row>
    <row r="1268" spans="1:11" hidden="1" x14ac:dyDescent="0.25">
      <c r="A1268" t="str">
        <f t="shared" si="167"/>
        <v>VESCØ15</v>
      </c>
      <c r="B1268" s="81" t="s">
        <v>210</v>
      </c>
      <c r="D1268" s="86">
        <v>15</v>
      </c>
      <c r="E1268" s="85">
        <f t="shared" si="168"/>
        <v>1.4999999999999999E-2</v>
      </c>
      <c r="F1268" s="85">
        <f t="shared" si="169"/>
        <v>7.4999999999999997E-3</v>
      </c>
      <c r="G1268" s="85">
        <f t="shared" si="170"/>
        <v>1.7671458676442584E-6</v>
      </c>
      <c r="H1268" s="85">
        <v>2500</v>
      </c>
      <c r="I1268" s="85">
        <f t="shared" si="171"/>
        <v>4.4178646691106459E-3</v>
      </c>
      <c r="J1268" s="87">
        <v>1</v>
      </c>
      <c r="K1268" s="88">
        <f t="shared" si="172"/>
        <v>226.35369684180674</v>
      </c>
    </row>
    <row r="1269" spans="1:11" hidden="1" x14ac:dyDescent="0.25">
      <c r="A1269" t="str">
        <f t="shared" si="167"/>
        <v>VESCØ15,875</v>
      </c>
      <c r="B1269" s="81" t="s">
        <v>210</v>
      </c>
      <c r="C1269" s="101" t="s">
        <v>266</v>
      </c>
      <c r="D1269" s="86">
        <f>5/8*25.4</f>
        <v>15.875</v>
      </c>
      <c r="E1269" s="85">
        <f t="shared" si="168"/>
        <v>1.5875E-2</v>
      </c>
      <c r="F1269" s="85">
        <f t="shared" si="169"/>
        <v>7.9375000000000001E-3</v>
      </c>
      <c r="G1269" s="85">
        <f t="shared" si="170"/>
        <v>2.0947867788210358E-6</v>
      </c>
      <c r="H1269" s="85">
        <v>2500</v>
      </c>
      <c r="I1269" s="85">
        <f t="shared" si="171"/>
        <v>5.2369669470525891E-3</v>
      </c>
      <c r="J1269" s="87">
        <v>1</v>
      </c>
      <c r="K1269" s="88">
        <f t="shared" si="172"/>
        <v>190.95022178110341</v>
      </c>
    </row>
    <row r="1270" spans="1:11" hidden="1" x14ac:dyDescent="0.25">
      <c r="A1270" t="str">
        <f t="shared" si="167"/>
        <v>52100Ø55</v>
      </c>
      <c r="B1270" s="81">
        <v>52100</v>
      </c>
      <c r="D1270" s="86">
        <v>55</v>
      </c>
      <c r="E1270" s="85">
        <f t="shared" si="168"/>
        <v>5.5E-2</v>
      </c>
      <c r="F1270" s="85">
        <f t="shared" si="169"/>
        <v>2.75E-2</v>
      </c>
      <c r="G1270" s="85">
        <f t="shared" si="170"/>
        <v>8.711374629016697E-5</v>
      </c>
      <c r="H1270" s="85">
        <v>7800</v>
      </c>
      <c r="I1270" s="85">
        <f t="shared" si="171"/>
        <v>0.67948722106330239</v>
      </c>
      <c r="J1270" s="87">
        <v>1</v>
      </c>
      <c r="K1270" s="88">
        <f t="shared" si="172"/>
        <v>1.4716980231580219</v>
      </c>
    </row>
    <row r="1271" spans="1:11" hidden="1" x14ac:dyDescent="0.25">
      <c r="A1271" t="str">
        <f t="shared" si="167"/>
        <v>52100Ø35</v>
      </c>
      <c r="B1271" s="81">
        <v>52100</v>
      </c>
      <c r="D1271" s="86">
        <v>35</v>
      </c>
      <c r="E1271" s="85">
        <f t="shared" si="168"/>
        <v>3.5000000000000003E-2</v>
      </c>
      <c r="F1271" s="85">
        <f t="shared" si="169"/>
        <v>1.7500000000000002E-2</v>
      </c>
      <c r="G1271" s="85">
        <f t="shared" si="170"/>
        <v>2.2449297503777071E-5</v>
      </c>
      <c r="H1271" s="85">
        <v>7800</v>
      </c>
      <c r="I1271" s="85">
        <f t="shared" si="171"/>
        <v>0.17510452052946116</v>
      </c>
      <c r="J1271" s="87">
        <v>1</v>
      </c>
      <c r="K1271" s="95">
        <f t="shared" si="172"/>
        <v>5.7108748362196113</v>
      </c>
    </row>
    <row r="1272" spans="1:11" hidden="1" x14ac:dyDescent="0.25">
      <c r="A1272" t="str">
        <f t="shared" si="167"/>
        <v>52100Ø34,99</v>
      </c>
      <c r="B1272" s="81">
        <v>52100</v>
      </c>
      <c r="D1272" s="86">
        <v>34.99</v>
      </c>
      <c r="E1272" s="85">
        <f t="shared" si="168"/>
        <v>3.499E-2</v>
      </c>
      <c r="F1272" s="85">
        <f t="shared" si="169"/>
        <v>1.7495E-2</v>
      </c>
      <c r="G1272" s="85">
        <f t="shared" si="170"/>
        <v>2.2430060746037368E-5</v>
      </c>
      <c r="H1272" s="85">
        <v>7800</v>
      </c>
      <c r="I1272" s="85">
        <f t="shared" si="171"/>
        <v>0.17495447381909146</v>
      </c>
      <c r="J1272" s="87">
        <v>1</v>
      </c>
      <c r="K1272" s="95">
        <f t="shared" si="172"/>
        <v>5.7157726702892555</v>
      </c>
    </row>
    <row r="1273" spans="1:11" hidden="1" x14ac:dyDescent="0.25">
      <c r="A1273" t="str">
        <f t="shared" si="167"/>
        <v>52100Ø34,98</v>
      </c>
      <c r="B1273" s="81">
        <v>52100</v>
      </c>
      <c r="D1273" s="86">
        <v>34.979999999999997</v>
      </c>
      <c r="E1273" s="85">
        <f t="shared" si="168"/>
        <v>3.4979999999999997E-2</v>
      </c>
      <c r="F1273" s="85">
        <f t="shared" si="169"/>
        <v>1.7489999999999999E-2</v>
      </c>
      <c r="G1273" s="85">
        <f t="shared" si="170"/>
        <v>2.2410834980730368E-5</v>
      </c>
      <c r="H1273" s="85">
        <v>7800</v>
      </c>
      <c r="I1273" s="85">
        <f t="shared" si="171"/>
        <v>0.17480451284969686</v>
      </c>
      <c r="J1273" s="87">
        <v>1</v>
      </c>
      <c r="K1273" s="95">
        <f t="shared" si="172"/>
        <v>5.7206761066851604</v>
      </c>
    </row>
    <row r="1274" spans="1:11" hidden="1" x14ac:dyDescent="0.25">
      <c r="A1274" t="str">
        <f t="shared" si="167"/>
        <v>52100Ø34,96</v>
      </c>
      <c r="B1274" s="81">
        <v>52100</v>
      </c>
      <c r="D1274" s="86">
        <v>34.96</v>
      </c>
      <c r="E1274" s="85">
        <f t="shared" si="168"/>
        <v>3.4959999999999998E-2</v>
      </c>
      <c r="F1274" s="85">
        <f t="shared" si="169"/>
        <v>1.7479999999999999E-2</v>
      </c>
      <c r="G1274" s="85">
        <f t="shared" si="170"/>
        <v>2.2372416414848087E-5</v>
      </c>
      <c r="H1274" s="85">
        <v>7800</v>
      </c>
      <c r="I1274" s="85">
        <f t="shared" si="171"/>
        <v>0.17450484803581509</v>
      </c>
      <c r="J1274" s="87">
        <v>1</v>
      </c>
      <c r="K1274" s="95">
        <f t="shared" si="172"/>
        <v>5.7304998185194354</v>
      </c>
    </row>
    <row r="1275" spans="1:11" hidden="1" x14ac:dyDescent="0.25">
      <c r="A1275" t="str">
        <f t="shared" si="167"/>
        <v>52100Ø35,02</v>
      </c>
      <c r="B1275" s="81">
        <v>52100</v>
      </c>
      <c r="D1275" s="86">
        <v>35.020000000000003</v>
      </c>
      <c r="E1275" s="85">
        <f t="shared" si="168"/>
        <v>3.5020000000000003E-2</v>
      </c>
      <c r="F1275" s="85">
        <f t="shared" si="169"/>
        <v>1.7510000000000001E-2</v>
      </c>
      <c r="G1275" s="85">
        <f t="shared" si="170"/>
        <v>2.2487804009120908E-5</v>
      </c>
      <c r="H1275" s="85">
        <v>7800</v>
      </c>
      <c r="I1275" s="85">
        <f t="shared" si="171"/>
        <v>0.17540487127114307</v>
      </c>
      <c r="J1275" s="87">
        <v>1</v>
      </c>
      <c r="K1275" s="95">
        <f t="shared" si="172"/>
        <v>5.7010959430778145</v>
      </c>
    </row>
    <row r="1276" spans="1:11" hidden="1" x14ac:dyDescent="0.25">
      <c r="A1276" t="str">
        <f t="shared" si="167"/>
        <v>52100Ø35,04</v>
      </c>
      <c r="B1276" s="81">
        <v>52100</v>
      </c>
      <c r="D1276" s="86">
        <v>35.04</v>
      </c>
      <c r="E1276" s="85">
        <f t="shared" si="168"/>
        <v>3.5040000000000002E-2</v>
      </c>
      <c r="F1276" s="85">
        <f t="shared" si="169"/>
        <v>1.7520000000000001E-2</v>
      </c>
      <c r="G1276" s="85">
        <f t="shared" si="170"/>
        <v>2.2526354521894633E-5</v>
      </c>
      <c r="H1276" s="85">
        <v>7800</v>
      </c>
      <c r="I1276" s="85">
        <f t="shared" si="171"/>
        <v>0.17570556527077813</v>
      </c>
      <c r="J1276" s="87">
        <v>1</v>
      </c>
      <c r="K1276" s="95">
        <f t="shared" si="172"/>
        <v>5.6913393634339915</v>
      </c>
    </row>
    <row r="1277" spans="1:11" hidden="1" x14ac:dyDescent="0.25">
      <c r="A1277" t="str">
        <f t="shared" si="167"/>
        <v>VESCØ20</v>
      </c>
      <c r="B1277" s="81" t="s">
        <v>210</v>
      </c>
      <c r="D1277" s="86">
        <v>20</v>
      </c>
      <c r="E1277" s="85">
        <f t="shared" si="168"/>
        <v>0.02</v>
      </c>
      <c r="F1277" s="85">
        <f t="shared" si="169"/>
        <v>0.01</v>
      </c>
      <c r="G1277" s="85">
        <f t="shared" si="170"/>
        <v>4.1887902047863905E-6</v>
      </c>
      <c r="H1277" s="85">
        <v>2500</v>
      </c>
      <c r="I1277" s="85">
        <f t="shared" si="171"/>
        <v>1.0471975511965976E-2</v>
      </c>
      <c r="J1277" s="87">
        <v>1</v>
      </c>
      <c r="K1277" s="88">
        <f t="shared" si="172"/>
        <v>95.492965855137214</v>
      </c>
    </row>
    <row r="1278" spans="1:11" hidden="1" x14ac:dyDescent="0.25">
      <c r="A1278" t="str">
        <f t="shared" si="167"/>
        <v>SiCØ5</v>
      </c>
      <c r="B1278" s="81" t="s">
        <v>326</v>
      </c>
      <c r="D1278" s="86">
        <v>5</v>
      </c>
      <c r="E1278" s="85">
        <f t="shared" si="168"/>
        <v>5.0000000000000001E-3</v>
      </c>
      <c r="F1278" s="85">
        <f t="shared" si="169"/>
        <v>2.5000000000000001E-3</v>
      </c>
      <c r="G1278" s="85">
        <f t="shared" si="170"/>
        <v>6.5449846949787352E-8</v>
      </c>
      <c r="H1278" s="85">
        <v>3150</v>
      </c>
      <c r="I1278" s="85">
        <f t="shared" si="171"/>
        <v>2.0616701789183015E-4</v>
      </c>
      <c r="J1278" s="87">
        <v>1</v>
      </c>
      <c r="K1278" s="88">
        <f t="shared" si="172"/>
        <v>4850.4363608958583</v>
      </c>
    </row>
    <row r="1279" spans="1:11" hidden="1" x14ac:dyDescent="0.25">
      <c r="A1279" t="str">
        <f t="shared" si="167"/>
        <v>SiCØ10</v>
      </c>
      <c r="B1279" s="81" t="s">
        <v>326</v>
      </c>
      <c r="D1279" s="86">
        <v>10</v>
      </c>
      <c r="E1279" s="85">
        <f t="shared" si="168"/>
        <v>0.01</v>
      </c>
      <c r="F1279" s="85">
        <f t="shared" si="169"/>
        <v>5.0000000000000001E-3</v>
      </c>
      <c r="G1279" s="85">
        <f t="shared" si="170"/>
        <v>5.2359877559829882E-7</v>
      </c>
      <c r="H1279" s="85">
        <v>3150</v>
      </c>
      <c r="I1279" s="85">
        <f t="shared" si="171"/>
        <v>1.6493361431346412E-3</v>
      </c>
      <c r="J1279" s="87">
        <v>1</v>
      </c>
      <c r="K1279" s="88">
        <f t="shared" si="172"/>
        <v>606.30454511198229</v>
      </c>
    </row>
    <row r="1280" spans="1:11" hidden="1" x14ac:dyDescent="0.25">
      <c r="A1280" t="str">
        <f t="shared" si="167"/>
        <v>SiCØ15</v>
      </c>
      <c r="B1280" s="81" t="s">
        <v>326</v>
      </c>
      <c r="D1280" s="86">
        <v>15</v>
      </c>
      <c r="E1280" s="85">
        <f t="shared" si="168"/>
        <v>1.4999999999999999E-2</v>
      </c>
      <c r="F1280" s="85">
        <f t="shared" si="169"/>
        <v>7.4999999999999997E-3</v>
      </c>
      <c r="G1280" s="85">
        <f t="shared" si="170"/>
        <v>1.7671458676442584E-6</v>
      </c>
      <c r="H1280" s="85">
        <v>3150</v>
      </c>
      <c r="I1280" s="85">
        <f t="shared" si="171"/>
        <v>5.566509483079414E-3</v>
      </c>
      <c r="J1280" s="87">
        <v>1</v>
      </c>
      <c r="K1280" s="88">
        <f t="shared" si="172"/>
        <v>179.64579114429105</v>
      </c>
    </row>
    <row r="1281" spans="1:11" hidden="1" x14ac:dyDescent="0.25">
      <c r="A1281" t="str">
        <f t="shared" si="167"/>
        <v>WC-CoØ5</v>
      </c>
      <c r="B1281" s="81" t="s">
        <v>297</v>
      </c>
      <c r="D1281" s="86">
        <v>5</v>
      </c>
      <c r="E1281" s="85">
        <f t="shared" si="168"/>
        <v>5.0000000000000001E-3</v>
      </c>
      <c r="F1281" s="85">
        <f t="shared" si="169"/>
        <v>2.5000000000000001E-3</v>
      </c>
      <c r="G1281" s="85">
        <f t="shared" si="170"/>
        <v>6.5449846949787352E-8</v>
      </c>
      <c r="H1281" s="85">
        <v>14950</v>
      </c>
      <c r="I1281" s="85">
        <f t="shared" si="171"/>
        <v>9.7847521189932092E-4</v>
      </c>
      <c r="J1281" s="87">
        <v>1</v>
      </c>
      <c r="K1281" s="88">
        <f t="shared" si="172"/>
        <v>1021.9982967773882</v>
      </c>
    </row>
    <row r="1282" spans="1:11" hidden="1" x14ac:dyDescent="0.25">
      <c r="A1282" t="str">
        <f t="shared" si="167"/>
        <v>WC-CoØ10</v>
      </c>
      <c r="B1282" s="81" t="s">
        <v>297</v>
      </c>
      <c r="D1282" s="86">
        <v>10</v>
      </c>
      <c r="E1282" s="85">
        <f t="shared" si="168"/>
        <v>0.01</v>
      </c>
      <c r="F1282" s="85">
        <f t="shared" si="169"/>
        <v>5.0000000000000001E-3</v>
      </c>
      <c r="G1282" s="85">
        <f t="shared" si="170"/>
        <v>5.2359877559829882E-7</v>
      </c>
      <c r="H1282" s="85">
        <v>14950</v>
      </c>
      <c r="I1282" s="85">
        <f t="shared" si="171"/>
        <v>7.8278016951945674E-3</v>
      </c>
      <c r="J1282" s="87">
        <v>1</v>
      </c>
      <c r="K1282" s="88">
        <f t="shared" si="172"/>
        <v>127.74978709717352</v>
      </c>
    </row>
    <row r="1283" spans="1:11" hidden="1" x14ac:dyDescent="0.25">
      <c r="A1283" t="str">
        <f t="shared" si="167"/>
        <v>WC-CoØ15</v>
      </c>
      <c r="B1283" s="81" t="s">
        <v>297</v>
      </c>
      <c r="D1283" s="86">
        <v>15</v>
      </c>
      <c r="E1283" s="85">
        <f t="shared" si="168"/>
        <v>1.4999999999999999E-2</v>
      </c>
      <c r="F1283" s="85">
        <f t="shared" si="169"/>
        <v>7.4999999999999997E-3</v>
      </c>
      <c r="G1283" s="85">
        <f t="shared" si="170"/>
        <v>1.7671458676442584E-6</v>
      </c>
      <c r="H1283" s="85">
        <v>14950</v>
      </c>
      <c r="I1283" s="85">
        <f t="shared" si="171"/>
        <v>2.6418830721281664E-2</v>
      </c>
      <c r="J1283" s="87">
        <v>1</v>
      </c>
      <c r="K1283" s="88">
        <f t="shared" si="172"/>
        <v>37.851788769532895</v>
      </c>
    </row>
    <row r="1284" spans="1:11" hidden="1" x14ac:dyDescent="0.25">
      <c r="A1284" t="str">
        <f t="shared" ref="A1284:A1347" si="173">CONCATENATE(B1284,"Ø",D1284)</f>
        <v>52100Ø54,5</v>
      </c>
      <c r="B1284" s="81">
        <v>52100</v>
      </c>
      <c r="D1284" s="86">
        <v>54.5</v>
      </c>
      <c r="E1284" s="85">
        <f t="shared" si="168"/>
        <v>5.45E-2</v>
      </c>
      <c r="F1284" s="85">
        <f t="shared" si="169"/>
        <v>2.725E-2</v>
      </c>
      <c r="G1284" s="85">
        <f t="shared" si="170"/>
        <v>8.4759449845536167E-5</v>
      </c>
      <c r="H1284" s="85">
        <v>7800</v>
      </c>
      <c r="I1284" s="85">
        <f t="shared" si="171"/>
        <v>0.66112370879518212</v>
      </c>
      <c r="J1284" s="87">
        <v>1</v>
      </c>
      <c r="K1284" s="95">
        <f t="shared" si="172"/>
        <v>1.512576219392251</v>
      </c>
    </row>
    <row r="1285" spans="1:11" hidden="1" x14ac:dyDescent="0.25">
      <c r="A1285" t="str">
        <f t="shared" si="173"/>
        <v>52100Ø54,974</v>
      </c>
      <c r="B1285" s="81">
        <v>52100</v>
      </c>
      <c r="D1285" s="86">
        <v>54.973999999999997</v>
      </c>
      <c r="E1285" s="85">
        <f t="shared" si="168"/>
        <v>5.4973999999999995E-2</v>
      </c>
      <c r="F1285" s="85">
        <f t="shared" si="169"/>
        <v>2.7486999999999998E-2</v>
      </c>
      <c r="G1285" s="85">
        <f t="shared" si="170"/>
        <v>8.699026155206918E-5</v>
      </c>
      <c r="H1285" s="85">
        <v>7800</v>
      </c>
      <c r="I1285" s="85">
        <f t="shared" si="171"/>
        <v>0.67852404010613965</v>
      </c>
      <c r="J1285" s="87">
        <v>1</v>
      </c>
      <c r="K1285" s="95">
        <f t="shared" si="172"/>
        <v>1.4737871333837675</v>
      </c>
    </row>
    <row r="1286" spans="1:11" hidden="1" x14ac:dyDescent="0.25">
      <c r="A1286" t="str">
        <f t="shared" si="173"/>
        <v>52100Ø54,98</v>
      </c>
      <c r="B1286" s="81">
        <v>52100</v>
      </c>
      <c r="D1286" s="86">
        <v>54.98</v>
      </c>
      <c r="E1286" s="85">
        <f t="shared" si="168"/>
        <v>5.4979999999999994E-2</v>
      </c>
      <c r="F1286" s="85">
        <f t="shared" si="169"/>
        <v>2.7489999999999997E-2</v>
      </c>
      <c r="G1286" s="85">
        <f t="shared" si="170"/>
        <v>8.7018747665726232E-5</v>
      </c>
      <c r="H1286" s="85">
        <v>7800</v>
      </c>
      <c r="I1286" s="85">
        <f t="shared" si="171"/>
        <v>0.67874623179266458</v>
      </c>
      <c r="J1286" s="87">
        <v>1</v>
      </c>
      <c r="K1286" s="95">
        <f t="shared" si="172"/>
        <v>1.4733046802467822</v>
      </c>
    </row>
    <row r="1287" spans="1:11" hidden="1" x14ac:dyDescent="0.25">
      <c r="A1287" t="str">
        <f t="shared" si="173"/>
        <v>52100Ø55,3</v>
      </c>
      <c r="B1287" s="81">
        <v>52100</v>
      </c>
      <c r="D1287" s="86">
        <v>55.3</v>
      </c>
      <c r="E1287" s="85">
        <f t="shared" si="168"/>
        <v>5.5299999999999995E-2</v>
      </c>
      <c r="F1287" s="85">
        <f t="shared" si="169"/>
        <v>2.7649999999999997E-2</v>
      </c>
      <c r="G1287" s="85">
        <f t="shared" si="170"/>
        <v>8.8547033535717895E-5</v>
      </c>
      <c r="H1287" s="85">
        <v>7800</v>
      </c>
      <c r="I1287" s="85">
        <f t="shared" si="171"/>
        <v>0.69066686157859958</v>
      </c>
      <c r="J1287" s="87">
        <v>1</v>
      </c>
      <c r="K1287" s="95">
        <f t="shared" si="172"/>
        <v>1.4478760392736716</v>
      </c>
    </row>
    <row r="1288" spans="1:11" hidden="1" x14ac:dyDescent="0.25">
      <c r="A1288" t="str">
        <f t="shared" si="173"/>
        <v>52100Ø55,5</v>
      </c>
      <c r="B1288" s="81">
        <v>52100</v>
      </c>
      <c r="D1288" s="86">
        <v>55.5</v>
      </c>
      <c r="E1288" s="85">
        <f t="shared" si="168"/>
        <v>5.5500000000000001E-2</v>
      </c>
      <c r="F1288" s="85">
        <f t="shared" si="169"/>
        <v>2.775E-2</v>
      </c>
      <c r="G1288" s="85">
        <f t="shared" si="170"/>
        <v>8.9511239633784621E-5</v>
      </c>
      <c r="H1288" s="85">
        <v>7800</v>
      </c>
      <c r="I1288" s="85">
        <f t="shared" si="171"/>
        <v>0.69818766914352004</v>
      </c>
      <c r="J1288" s="87">
        <v>1</v>
      </c>
      <c r="K1288" s="95">
        <f t="shared" si="172"/>
        <v>1.4322796637567645</v>
      </c>
    </row>
    <row r="1289" spans="1:11" hidden="1" x14ac:dyDescent="0.25">
      <c r="A1289" t="str">
        <f t="shared" si="173"/>
        <v>52100Ø55,5625</v>
      </c>
      <c r="B1289" s="81">
        <v>52100</v>
      </c>
      <c r="C1289" s="101" t="s">
        <v>355</v>
      </c>
      <c r="D1289" s="86">
        <f>50.8+3/16*25.4</f>
        <v>55.5625</v>
      </c>
      <c r="E1289" s="85">
        <f t="shared" si="168"/>
        <v>5.5562500000000001E-2</v>
      </c>
      <c r="F1289" s="85">
        <f t="shared" si="169"/>
        <v>2.778125E-2</v>
      </c>
      <c r="G1289" s="85">
        <f t="shared" si="170"/>
        <v>8.9813983141951898E-5</v>
      </c>
      <c r="H1289" s="85">
        <v>7800</v>
      </c>
      <c r="I1289" s="85">
        <f t="shared" si="171"/>
        <v>0.70054906850722476</v>
      </c>
      <c r="J1289" s="87">
        <v>1</v>
      </c>
      <c r="K1289" s="95">
        <f t="shared" si="172"/>
        <v>1.4274517588480484</v>
      </c>
    </row>
    <row r="1290" spans="1:11" hidden="1" x14ac:dyDescent="0.25">
      <c r="A1290" t="str">
        <f t="shared" si="173"/>
        <v>52100Ø56</v>
      </c>
      <c r="B1290" s="81">
        <v>52100</v>
      </c>
      <c r="D1290" s="86">
        <v>56</v>
      </c>
      <c r="E1290" s="85">
        <f t="shared" si="168"/>
        <v>5.6000000000000001E-2</v>
      </c>
      <c r="F1290" s="85">
        <f t="shared" si="169"/>
        <v>2.8000000000000001E-2</v>
      </c>
      <c r="G1290" s="85">
        <f t="shared" si="170"/>
        <v>9.1952322575470855E-5</v>
      </c>
      <c r="H1290" s="85">
        <v>7800</v>
      </c>
      <c r="I1290" s="85">
        <f t="shared" si="171"/>
        <v>0.71722811608867265</v>
      </c>
      <c r="J1290" s="87">
        <v>1</v>
      </c>
      <c r="K1290" s="95">
        <f t="shared" si="172"/>
        <v>1.3942565518114289</v>
      </c>
    </row>
    <row r="1291" spans="1:11" hidden="1" x14ac:dyDescent="0.25">
      <c r="A1291" t="str">
        <f t="shared" si="173"/>
        <v>RameØ1</v>
      </c>
      <c r="B1291" s="81" t="s">
        <v>340</v>
      </c>
      <c r="D1291" s="86">
        <v>1</v>
      </c>
      <c r="E1291" s="85">
        <f t="shared" si="168"/>
        <v>1E-3</v>
      </c>
      <c r="F1291" s="85">
        <f t="shared" si="169"/>
        <v>5.0000000000000001E-4</v>
      </c>
      <c r="G1291" s="85">
        <f t="shared" si="170"/>
        <v>5.2359877559829886E-10</v>
      </c>
      <c r="H1291" s="85">
        <v>8910</v>
      </c>
      <c r="I1291" s="85">
        <f t="shared" si="171"/>
        <v>4.6652650905808429E-6</v>
      </c>
      <c r="J1291" s="87">
        <v>1</v>
      </c>
      <c r="K1291" s="88">
        <f t="shared" si="172"/>
        <v>214350.09170625635</v>
      </c>
    </row>
    <row r="1292" spans="1:11" hidden="1" x14ac:dyDescent="0.25">
      <c r="A1292" t="str">
        <f t="shared" si="173"/>
        <v>RameØ1,3</v>
      </c>
      <c r="B1292" s="81" t="s">
        <v>340</v>
      </c>
      <c r="D1292" s="86">
        <v>1.3</v>
      </c>
      <c r="E1292" s="85">
        <f t="shared" si="168"/>
        <v>1.2999999999999999E-3</v>
      </c>
      <c r="F1292" s="85">
        <f t="shared" si="169"/>
        <v>6.4999999999999997E-4</v>
      </c>
      <c r="G1292" s="85">
        <f t="shared" si="170"/>
        <v>1.1503465099894624E-9</v>
      </c>
      <c r="H1292" s="85">
        <v>8910</v>
      </c>
      <c r="I1292" s="85">
        <f t="shared" si="171"/>
        <v>1.024958740400611E-5</v>
      </c>
      <c r="J1292" s="87">
        <v>1</v>
      </c>
      <c r="K1292" s="88">
        <f t="shared" si="172"/>
        <v>97564.902915910963</v>
      </c>
    </row>
    <row r="1293" spans="1:11" hidden="1" x14ac:dyDescent="0.25">
      <c r="A1293" t="str">
        <f t="shared" si="173"/>
        <v>440CØ1</v>
      </c>
      <c r="B1293" s="81" t="s">
        <v>314</v>
      </c>
      <c r="D1293" s="86">
        <v>1</v>
      </c>
      <c r="E1293" s="85">
        <f t="shared" si="168"/>
        <v>1E-3</v>
      </c>
      <c r="F1293" s="85">
        <f t="shared" si="169"/>
        <v>5.0000000000000001E-4</v>
      </c>
      <c r="G1293" s="85">
        <f t="shared" si="170"/>
        <v>5.2359877559829886E-10</v>
      </c>
      <c r="H1293" s="85">
        <v>7700</v>
      </c>
      <c r="I1293" s="85">
        <f t="shared" si="171"/>
        <v>4.0317105721069012E-6</v>
      </c>
      <c r="J1293" s="87">
        <v>1</v>
      </c>
      <c r="K1293" s="88">
        <f t="shared" si="172"/>
        <v>248033.67754581093</v>
      </c>
    </row>
    <row r="1294" spans="1:11" hidden="1" x14ac:dyDescent="0.25">
      <c r="A1294" t="str">
        <f t="shared" si="173"/>
        <v>440CØ1</v>
      </c>
      <c r="B1294" s="81" t="s">
        <v>314</v>
      </c>
      <c r="D1294" s="86">
        <v>1</v>
      </c>
      <c r="E1294" s="85">
        <f t="shared" si="168"/>
        <v>1E-3</v>
      </c>
      <c r="F1294" s="85">
        <f t="shared" si="169"/>
        <v>5.0000000000000001E-4</v>
      </c>
      <c r="G1294" s="85">
        <f t="shared" si="170"/>
        <v>5.2359877559829886E-10</v>
      </c>
      <c r="H1294" s="85">
        <v>7700</v>
      </c>
      <c r="I1294" s="85">
        <f t="shared" si="171"/>
        <v>4.0317105721069012E-6</v>
      </c>
      <c r="J1294" s="87">
        <v>1</v>
      </c>
      <c r="K1294" s="88">
        <f t="shared" si="172"/>
        <v>248033.67754581093</v>
      </c>
    </row>
    <row r="1295" spans="1:11" hidden="1" x14ac:dyDescent="0.25">
      <c r="A1295" t="str">
        <f t="shared" si="173"/>
        <v>420CØ4</v>
      </c>
      <c r="B1295" s="81" t="s">
        <v>295</v>
      </c>
      <c r="D1295" s="86">
        <v>4</v>
      </c>
      <c r="E1295" s="85">
        <f t="shared" si="168"/>
        <v>4.0000000000000001E-3</v>
      </c>
      <c r="F1295" s="85">
        <f t="shared" si="169"/>
        <v>2E-3</v>
      </c>
      <c r="G1295" s="85">
        <f t="shared" si="170"/>
        <v>3.3510321638291127E-8</v>
      </c>
      <c r="H1295" s="85">
        <v>7700</v>
      </c>
      <c r="I1295" s="85">
        <f t="shared" si="171"/>
        <v>2.5802947661484167E-4</v>
      </c>
      <c r="J1295" s="87">
        <v>1</v>
      </c>
      <c r="K1295" s="88">
        <f t="shared" si="172"/>
        <v>3875.5262116532958</v>
      </c>
    </row>
    <row r="1296" spans="1:11" hidden="1" x14ac:dyDescent="0.25">
      <c r="A1296" t="str">
        <f t="shared" si="173"/>
        <v>316Ø4</v>
      </c>
      <c r="B1296" s="81">
        <v>316</v>
      </c>
      <c r="D1296" s="86">
        <v>4</v>
      </c>
      <c r="E1296" s="85">
        <f t="shared" si="168"/>
        <v>4.0000000000000001E-3</v>
      </c>
      <c r="F1296" s="85">
        <f t="shared" si="169"/>
        <v>2E-3</v>
      </c>
      <c r="G1296" s="85">
        <f t="shared" si="170"/>
        <v>3.3510321638291127E-8</v>
      </c>
      <c r="H1296" s="85">
        <v>7950</v>
      </c>
      <c r="I1296" s="85">
        <f t="shared" si="171"/>
        <v>2.6640705702441446E-4</v>
      </c>
      <c r="J1296" s="87">
        <v>1</v>
      </c>
      <c r="K1296" s="88">
        <f t="shared" si="172"/>
        <v>3753.6543182050787</v>
      </c>
    </row>
    <row r="1297" spans="1:11" hidden="1" x14ac:dyDescent="0.25">
      <c r="A1297" t="str">
        <f t="shared" si="173"/>
        <v>304Ø1,5875</v>
      </c>
      <c r="B1297" s="81">
        <v>304</v>
      </c>
      <c r="C1297" s="101" t="s">
        <v>246</v>
      </c>
      <c r="D1297" s="86">
        <f>1/16*25.4</f>
        <v>1.5874999999999999</v>
      </c>
      <c r="E1297" s="85">
        <f t="shared" si="168"/>
        <v>1.5874999999999999E-3</v>
      </c>
      <c r="F1297" s="85">
        <f t="shared" si="169"/>
        <v>7.9374999999999997E-4</v>
      </c>
      <c r="G1297" s="85">
        <f t="shared" si="170"/>
        <v>2.0947867788210349E-9</v>
      </c>
      <c r="H1297" s="85">
        <v>7950</v>
      </c>
      <c r="I1297" s="85">
        <f t="shared" si="171"/>
        <v>1.6653554891627226E-5</v>
      </c>
      <c r="J1297" s="87">
        <v>1</v>
      </c>
      <c r="K1297" s="88">
        <f t="shared" si="172"/>
        <v>60047.239553806132</v>
      </c>
    </row>
    <row r="1298" spans="1:11" hidden="1" x14ac:dyDescent="0.25">
      <c r="A1298" t="str">
        <f t="shared" si="173"/>
        <v>POMØ2,5</v>
      </c>
      <c r="B1298" s="81" t="s">
        <v>201</v>
      </c>
      <c r="D1298" s="86">
        <v>2.5</v>
      </c>
      <c r="E1298" s="85">
        <f t="shared" si="168"/>
        <v>2.5000000000000001E-3</v>
      </c>
      <c r="F1298" s="85">
        <f t="shared" si="169"/>
        <v>1.25E-3</v>
      </c>
      <c r="G1298" s="85">
        <f t="shared" si="170"/>
        <v>8.181230868723419E-9</v>
      </c>
      <c r="H1298" s="85">
        <v>1370</v>
      </c>
      <c r="I1298" s="85">
        <f t="shared" si="171"/>
        <v>1.1208286290151084E-5</v>
      </c>
      <c r="J1298" s="87">
        <v>1</v>
      </c>
      <c r="K1298" s="88">
        <f t="shared" si="172"/>
        <v>89219.705324507755</v>
      </c>
    </row>
    <row r="1299" spans="1:11" x14ac:dyDescent="0.25">
      <c r="A1299" t="str">
        <f t="shared" si="173"/>
        <v>1085Ø3</v>
      </c>
      <c r="B1299" s="81">
        <v>1085</v>
      </c>
      <c r="D1299" s="86">
        <v>3</v>
      </c>
      <c r="E1299" s="85">
        <f t="shared" si="168"/>
        <v>3.0000000000000001E-3</v>
      </c>
      <c r="F1299" s="85">
        <f t="shared" si="169"/>
        <v>1.5E-3</v>
      </c>
      <c r="G1299" s="85">
        <f t="shared" si="170"/>
        <v>1.4137166941154068E-8</v>
      </c>
      <c r="H1299" s="85">
        <v>7850</v>
      </c>
      <c r="I1299" s="85">
        <f t="shared" si="171"/>
        <v>1.1097676048805944E-4</v>
      </c>
      <c r="J1299" s="87">
        <v>1</v>
      </c>
      <c r="K1299" s="88">
        <f t="shared" si="172"/>
        <v>9010.8955749126872</v>
      </c>
    </row>
    <row r="1300" spans="1:11" hidden="1" x14ac:dyDescent="0.25">
      <c r="A1300" t="str">
        <f t="shared" si="173"/>
        <v>440CØ0,7</v>
      </c>
      <c r="B1300" s="81" t="s">
        <v>314</v>
      </c>
      <c r="D1300" s="86">
        <v>0.7</v>
      </c>
      <c r="E1300" s="85">
        <f t="shared" si="168"/>
        <v>6.9999999999999999E-4</v>
      </c>
      <c r="F1300" s="85">
        <f t="shared" si="169"/>
        <v>3.5E-4</v>
      </c>
      <c r="G1300" s="85">
        <f t="shared" si="170"/>
        <v>1.7959438003021649E-10</v>
      </c>
      <c r="H1300" s="85">
        <v>7700</v>
      </c>
      <c r="I1300" s="85">
        <f t="shared" si="171"/>
        <v>1.382876726232667E-6</v>
      </c>
      <c r="J1300" s="87">
        <v>1</v>
      </c>
      <c r="K1300" s="88">
        <f t="shared" si="172"/>
        <v>723130.2552356004</v>
      </c>
    </row>
    <row r="1301" spans="1:11" hidden="1" x14ac:dyDescent="0.25">
      <c r="A1301" t="str">
        <f t="shared" si="173"/>
        <v>POMØ2,38125</v>
      </c>
      <c r="B1301" s="81" t="s">
        <v>201</v>
      </c>
      <c r="C1301" s="101" t="s">
        <v>213</v>
      </c>
      <c r="D1301" s="86">
        <f>3/32*25.4</f>
        <v>2.3812499999999996</v>
      </c>
      <c r="E1301" s="85">
        <f t="shared" si="168"/>
        <v>2.3812499999999997E-3</v>
      </c>
      <c r="F1301" s="85">
        <f t="shared" si="169"/>
        <v>1.1906249999999998E-3</v>
      </c>
      <c r="G1301" s="85">
        <f t="shared" si="170"/>
        <v>7.0699053785209917E-9</v>
      </c>
      <c r="H1301" s="85">
        <v>1370</v>
      </c>
      <c r="I1301" s="85">
        <f t="shared" si="171"/>
        <v>9.6857703685737587E-6</v>
      </c>
      <c r="J1301" s="87">
        <v>1</v>
      </c>
      <c r="K1301" s="88">
        <f t="shared" si="172"/>
        <v>103244.23994652799</v>
      </c>
    </row>
    <row r="1302" spans="1:11" hidden="1" x14ac:dyDescent="0.25">
      <c r="A1302" t="str">
        <f t="shared" si="173"/>
        <v>1010Ø6</v>
      </c>
      <c r="B1302" s="81">
        <v>1010</v>
      </c>
      <c r="D1302" s="86">
        <v>6</v>
      </c>
      <c r="E1302" s="85">
        <f t="shared" si="168"/>
        <v>6.0000000000000001E-3</v>
      </c>
      <c r="F1302" s="85">
        <f t="shared" si="169"/>
        <v>3.0000000000000001E-3</v>
      </c>
      <c r="G1302" s="85">
        <f t="shared" si="170"/>
        <v>1.1309733552923255E-7</v>
      </c>
      <c r="H1302" s="85">
        <v>7820</v>
      </c>
      <c r="I1302" s="85">
        <f t="shared" si="171"/>
        <v>8.8442116383859854E-4</v>
      </c>
      <c r="J1302" s="87">
        <v>1</v>
      </c>
      <c r="K1302" s="88">
        <f t="shared" si="172"/>
        <v>1130.683028501672</v>
      </c>
    </row>
    <row r="1303" spans="1:11" hidden="1" x14ac:dyDescent="0.25">
      <c r="A1303" t="str">
        <f t="shared" si="173"/>
        <v>1010Ø9,525</v>
      </c>
      <c r="B1303" s="81">
        <v>1010</v>
      </c>
      <c r="C1303" s="101" t="s">
        <v>254</v>
      </c>
      <c r="D1303" s="86">
        <f>3/8*25.4</f>
        <v>9.5249999999999986</v>
      </c>
      <c r="E1303" s="85">
        <f t="shared" si="168"/>
        <v>9.5249999999999987E-3</v>
      </c>
      <c r="F1303" s="85">
        <f t="shared" si="169"/>
        <v>4.7624999999999994E-3</v>
      </c>
      <c r="G1303" s="85">
        <f t="shared" si="170"/>
        <v>4.5247394422534347E-7</v>
      </c>
      <c r="H1303" s="85">
        <v>7820</v>
      </c>
      <c r="I1303" s="85">
        <f t="shared" si="171"/>
        <v>3.538346243842186E-3</v>
      </c>
      <c r="J1303" s="87">
        <v>1</v>
      </c>
      <c r="K1303" s="88">
        <f t="shared" si="172"/>
        <v>282.61790426539193</v>
      </c>
    </row>
    <row r="1304" spans="1:11" hidden="1" x14ac:dyDescent="0.25">
      <c r="A1304" t="str">
        <f t="shared" si="173"/>
        <v>1010Ø8,73125</v>
      </c>
      <c r="B1304" s="81">
        <v>1010</v>
      </c>
      <c r="C1304" s="101" t="s">
        <v>253</v>
      </c>
      <c r="D1304" s="86">
        <f>11/32*25.4</f>
        <v>8.7312499999999993</v>
      </c>
      <c r="E1304" s="85">
        <f t="shared" si="168"/>
        <v>8.7312499999999994E-3</v>
      </c>
      <c r="F1304" s="85">
        <f t="shared" si="169"/>
        <v>4.3656249999999997E-3</v>
      </c>
      <c r="G1304" s="85">
        <f t="shared" si="170"/>
        <v>3.4852015032634969E-7</v>
      </c>
      <c r="H1304" s="85">
        <v>7820</v>
      </c>
      <c r="I1304" s="85">
        <f t="shared" si="171"/>
        <v>2.7254275755520547E-3</v>
      </c>
      <c r="J1304" s="87">
        <v>1</v>
      </c>
      <c r="K1304" s="88">
        <f t="shared" si="172"/>
        <v>366.91490501171836</v>
      </c>
    </row>
    <row r="1305" spans="1:11" hidden="1" x14ac:dyDescent="0.25">
      <c r="A1305" t="str">
        <f t="shared" si="173"/>
        <v>1010Ø8</v>
      </c>
      <c r="B1305" s="81">
        <v>1010</v>
      </c>
      <c r="D1305" s="86">
        <v>8</v>
      </c>
      <c r="E1305" s="85">
        <f t="shared" si="168"/>
        <v>8.0000000000000002E-3</v>
      </c>
      <c r="F1305" s="85">
        <f t="shared" si="169"/>
        <v>4.0000000000000001E-3</v>
      </c>
      <c r="G1305" s="85">
        <f t="shared" si="170"/>
        <v>2.6808257310632902E-7</v>
      </c>
      <c r="H1305" s="85">
        <v>7820</v>
      </c>
      <c r="I1305" s="85">
        <f t="shared" si="171"/>
        <v>2.096405721691493E-3</v>
      </c>
      <c r="J1305" s="87">
        <v>1</v>
      </c>
      <c r="K1305" s="88">
        <f t="shared" si="172"/>
        <v>477.00690264914283</v>
      </c>
    </row>
    <row r="1306" spans="1:11" hidden="1" x14ac:dyDescent="0.25">
      <c r="A1306" t="str">
        <f t="shared" si="173"/>
        <v>1010Ø6,04</v>
      </c>
      <c r="B1306" s="81">
        <v>1010</v>
      </c>
      <c r="D1306" s="86">
        <v>6.04</v>
      </c>
      <c r="E1306" s="85">
        <f t="shared" si="168"/>
        <v>6.0400000000000002E-3</v>
      </c>
      <c r="F1306" s="85">
        <f t="shared" si="169"/>
        <v>3.0200000000000001E-3</v>
      </c>
      <c r="G1306" s="85">
        <f t="shared" si="170"/>
        <v>1.1537439539487608E-7</v>
      </c>
      <c r="H1306" s="85">
        <v>7820</v>
      </c>
      <c r="I1306" s="85">
        <f t="shared" si="171"/>
        <v>9.0222777198793096E-4</v>
      </c>
      <c r="J1306" s="87">
        <v>1</v>
      </c>
      <c r="K1306" s="88">
        <f t="shared" si="172"/>
        <v>1108.3675664257617</v>
      </c>
    </row>
    <row r="1307" spans="1:11" hidden="1" x14ac:dyDescent="0.25">
      <c r="A1307" t="str">
        <f t="shared" si="173"/>
        <v>440CØ1</v>
      </c>
      <c r="B1307" s="81" t="s">
        <v>314</v>
      </c>
      <c r="D1307" s="86">
        <v>1</v>
      </c>
      <c r="E1307" s="85">
        <f t="shared" si="168"/>
        <v>1E-3</v>
      </c>
      <c r="F1307" s="85">
        <f t="shared" si="169"/>
        <v>5.0000000000000001E-4</v>
      </c>
      <c r="G1307" s="85">
        <f t="shared" si="170"/>
        <v>5.2359877559829886E-10</v>
      </c>
      <c r="H1307" s="85">
        <v>7700</v>
      </c>
      <c r="I1307" s="85">
        <f t="shared" si="171"/>
        <v>4.0317105721069012E-6</v>
      </c>
      <c r="J1307" s="87">
        <v>1</v>
      </c>
      <c r="K1307" s="88">
        <f t="shared" si="172"/>
        <v>248033.67754581093</v>
      </c>
    </row>
    <row r="1308" spans="1:11" hidden="1" x14ac:dyDescent="0.25">
      <c r="A1308" t="str">
        <f t="shared" si="173"/>
        <v>316Ø0,5</v>
      </c>
      <c r="B1308" s="81">
        <v>316</v>
      </c>
      <c r="D1308" s="86">
        <v>0.5</v>
      </c>
      <c r="E1308" s="85">
        <f t="shared" si="168"/>
        <v>5.0000000000000001E-4</v>
      </c>
      <c r="F1308" s="85">
        <f t="shared" si="169"/>
        <v>2.5000000000000001E-4</v>
      </c>
      <c r="G1308" s="85">
        <f t="shared" si="170"/>
        <v>6.5449846949787358E-11</v>
      </c>
      <c r="H1308" s="85">
        <v>7950</v>
      </c>
      <c r="I1308" s="85">
        <f t="shared" si="171"/>
        <v>5.2032628325080949E-7</v>
      </c>
      <c r="J1308" s="87">
        <v>1</v>
      </c>
      <c r="K1308" s="88">
        <f t="shared" si="172"/>
        <v>1921871.0109210003</v>
      </c>
    </row>
    <row r="1309" spans="1:11" x14ac:dyDescent="0.25">
      <c r="A1309" t="str">
        <f t="shared" si="173"/>
        <v>1085Ø4,2</v>
      </c>
      <c r="B1309" s="81">
        <v>1085</v>
      </c>
      <c r="D1309" s="86">
        <v>4.2</v>
      </c>
      <c r="E1309" s="85">
        <f t="shared" si="168"/>
        <v>4.2000000000000006E-3</v>
      </c>
      <c r="F1309" s="85">
        <f t="shared" si="169"/>
        <v>2.1000000000000003E-3</v>
      </c>
      <c r="G1309" s="85">
        <f t="shared" si="170"/>
        <v>3.8792386086526783E-8</v>
      </c>
      <c r="H1309" s="85">
        <v>7850</v>
      </c>
      <c r="I1309" s="85">
        <f t="shared" si="171"/>
        <v>3.0452023077923526E-4</v>
      </c>
      <c r="J1309" s="87">
        <v>1</v>
      </c>
      <c r="K1309" s="88">
        <f t="shared" si="172"/>
        <v>3283.8540724900449</v>
      </c>
    </row>
    <row r="1310" spans="1:11" hidden="1" x14ac:dyDescent="0.25">
      <c r="A1310" t="str">
        <f t="shared" si="173"/>
        <v>52100Ø1,34</v>
      </c>
      <c r="B1310" s="81">
        <v>52100</v>
      </c>
      <c r="D1310" s="86">
        <v>1.34</v>
      </c>
      <c r="E1310" s="85">
        <f t="shared" si="168"/>
        <v>1.34E-3</v>
      </c>
      <c r="F1310" s="85">
        <f t="shared" si="169"/>
        <v>6.7000000000000002E-4</v>
      </c>
      <c r="G1310" s="85">
        <f t="shared" si="170"/>
        <v>1.2598331083621693E-9</v>
      </c>
      <c r="H1310" s="85">
        <v>7800</v>
      </c>
      <c r="I1310" s="85">
        <f t="shared" si="171"/>
        <v>9.82669824522492E-6</v>
      </c>
      <c r="J1310" s="87">
        <v>1</v>
      </c>
      <c r="K1310" s="88">
        <f t="shared" si="172"/>
        <v>101763.58071094014</v>
      </c>
    </row>
    <row r="1311" spans="1:11" hidden="1" x14ac:dyDescent="0.25">
      <c r="A1311" t="str">
        <f t="shared" si="173"/>
        <v>52100Ø9,95</v>
      </c>
      <c r="B1311" s="81">
        <v>52100</v>
      </c>
      <c r="D1311" s="86">
        <v>9.9499999999999993</v>
      </c>
      <c r="E1311" s="85">
        <f t="shared" si="168"/>
        <v>9.9499999999999988E-3</v>
      </c>
      <c r="F1311" s="85">
        <f t="shared" si="169"/>
        <v>4.9749999999999994E-3</v>
      </c>
      <c r="G1311" s="85">
        <f t="shared" si="170"/>
        <v>5.1578399842264707E-7</v>
      </c>
      <c r="H1311" s="85">
        <v>7800</v>
      </c>
      <c r="I1311" s="85">
        <f t="shared" si="171"/>
        <v>4.0231151876966471E-3</v>
      </c>
      <c r="J1311" s="87">
        <v>1</v>
      </c>
      <c r="K1311" s="88">
        <f t="shared" si="172"/>
        <v>248.56360142462879</v>
      </c>
    </row>
    <row r="1312" spans="1:11" hidden="1" x14ac:dyDescent="0.25">
      <c r="A1312" t="str">
        <f t="shared" si="173"/>
        <v>440CØ0,6</v>
      </c>
      <c r="B1312" s="81" t="s">
        <v>314</v>
      </c>
      <c r="D1312" s="86">
        <v>0.6</v>
      </c>
      <c r="E1312" s="85">
        <f t="shared" si="168"/>
        <v>5.9999999999999995E-4</v>
      </c>
      <c r="F1312" s="85">
        <f t="shared" si="169"/>
        <v>2.9999999999999997E-4</v>
      </c>
      <c r="G1312" s="85">
        <f t="shared" si="170"/>
        <v>1.1309733552923252E-10</v>
      </c>
      <c r="H1312" s="85">
        <v>7700</v>
      </c>
      <c r="I1312" s="85">
        <f t="shared" si="171"/>
        <v>8.708494835750904E-7</v>
      </c>
      <c r="J1312" s="87">
        <v>1</v>
      </c>
      <c r="K1312" s="88">
        <f t="shared" si="172"/>
        <v>1148304.062712088</v>
      </c>
    </row>
    <row r="1313" spans="1:11" hidden="1" x14ac:dyDescent="0.25">
      <c r="A1313" t="str">
        <f t="shared" si="173"/>
        <v>52100Ø9,1</v>
      </c>
      <c r="B1313" s="81">
        <v>52100</v>
      </c>
      <c r="D1313" s="86">
        <v>9.1</v>
      </c>
      <c r="E1313" s="85">
        <f t="shared" si="168"/>
        <v>9.1000000000000004E-3</v>
      </c>
      <c r="F1313" s="85">
        <f t="shared" si="169"/>
        <v>4.5500000000000002E-3</v>
      </c>
      <c r="G1313" s="85">
        <f t="shared" si="170"/>
        <v>3.9456885292638568E-7</v>
      </c>
      <c r="H1313" s="85">
        <v>7800</v>
      </c>
      <c r="I1313" s="85">
        <f t="shared" si="171"/>
        <v>3.0776370528258082E-3</v>
      </c>
      <c r="J1313" s="87">
        <v>1</v>
      </c>
      <c r="K1313" s="88">
        <f t="shared" si="172"/>
        <v>324.92460379037396</v>
      </c>
    </row>
    <row r="1314" spans="1:11" hidden="1" x14ac:dyDescent="0.25">
      <c r="A1314" t="str">
        <f t="shared" si="173"/>
        <v>52100Ø13,95</v>
      </c>
      <c r="B1314" s="81">
        <v>52100</v>
      </c>
      <c r="D1314" s="86">
        <v>13.95</v>
      </c>
      <c r="E1314" s="85">
        <f t="shared" ref="E1314:E1349" si="174">D1314/1000</f>
        <v>1.3949999999999999E-2</v>
      </c>
      <c r="F1314" s="85">
        <f t="shared" ref="F1314:F1349" si="175">E1314/2</f>
        <v>6.9749999999999994E-3</v>
      </c>
      <c r="G1314" s="85">
        <f t="shared" ref="G1314:G1349" si="176">4/3*PI()*F1314*F1314*F1314</f>
        <v>1.4214161486607325E-6</v>
      </c>
      <c r="H1314" s="85">
        <v>7800</v>
      </c>
      <c r="I1314" s="85">
        <f t="shared" ref="I1314:I1349" si="177">H1314*G1314</f>
        <v>1.1087045959553713E-2</v>
      </c>
      <c r="J1314" s="87">
        <v>1</v>
      </c>
      <c r="K1314" s="88">
        <f t="shared" ref="K1314:K1349" si="178">J1314/I1314</f>
        <v>90.195350830876592</v>
      </c>
    </row>
    <row r="1315" spans="1:11" hidden="1" x14ac:dyDescent="0.25">
      <c r="A1315" t="str">
        <f t="shared" si="173"/>
        <v>52100Ø14,025</v>
      </c>
      <c r="B1315" s="81">
        <v>52100</v>
      </c>
      <c r="D1315" s="86">
        <v>14.025</v>
      </c>
      <c r="E1315" s="85">
        <f t="shared" si="174"/>
        <v>1.4025000000000001E-2</v>
      </c>
      <c r="F1315" s="85">
        <f t="shared" si="175"/>
        <v>7.0125000000000005E-3</v>
      </c>
      <c r="G1315" s="85">
        <f t="shared" si="176"/>
        <v>1.4444656948921177E-6</v>
      </c>
      <c r="H1315" s="85">
        <v>7800</v>
      </c>
      <c r="I1315" s="85">
        <f t="shared" si="177"/>
        <v>1.1266832420158518E-2</v>
      </c>
      <c r="J1315" s="87">
        <v>1</v>
      </c>
      <c r="K1315" s="88">
        <f t="shared" si="178"/>
        <v>88.75609068355439</v>
      </c>
    </row>
    <row r="1316" spans="1:11" hidden="1" x14ac:dyDescent="0.25">
      <c r="A1316" t="str">
        <f t="shared" si="173"/>
        <v>52100Ø15,96</v>
      </c>
      <c r="B1316" s="81">
        <v>52100</v>
      </c>
      <c r="D1316" s="86">
        <v>15.96</v>
      </c>
      <c r="E1316" s="85">
        <f t="shared" si="174"/>
        <v>1.5960000000000002E-2</v>
      </c>
      <c r="F1316" s="85">
        <f t="shared" si="175"/>
        <v>7.980000000000001E-3</v>
      </c>
      <c r="G1316" s="85">
        <f t="shared" si="176"/>
        <v>2.1286158093398973E-6</v>
      </c>
      <c r="H1316" s="85">
        <v>7800</v>
      </c>
      <c r="I1316" s="85">
        <f t="shared" si="177"/>
        <v>1.66032033128512E-2</v>
      </c>
      <c r="J1316" s="87">
        <v>1</v>
      </c>
      <c r="K1316" s="88">
        <f t="shared" si="178"/>
        <v>60.229341360048316</v>
      </c>
    </row>
    <row r="1317" spans="1:11" hidden="1" x14ac:dyDescent="0.25">
      <c r="A1317" t="str">
        <f t="shared" si="173"/>
        <v>52100Ø16,025</v>
      </c>
      <c r="B1317" s="81">
        <v>52100</v>
      </c>
      <c r="D1317" s="86">
        <v>16.024999999999999</v>
      </c>
      <c r="E1317" s="85">
        <f t="shared" si="174"/>
        <v>1.6024999999999998E-2</v>
      </c>
      <c r="F1317" s="85">
        <f t="shared" si="175"/>
        <v>8.0124999999999988E-3</v>
      </c>
      <c r="G1317" s="85">
        <f t="shared" si="176"/>
        <v>2.1547293974866172E-6</v>
      </c>
      <c r="H1317" s="85">
        <v>7800</v>
      </c>
      <c r="I1317" s="85">
        <f t="shared" si="177"/>
        <v>1.6806889300395613E-2</v>
      </c>
      <c r="J1317" s="87">
        <v>1</v>
      </c>
      <c r="K1317" s="94">
        <f t="shared" si="178"/>
        <v>59.499410160121734</v>
      </c>
    </row>
    <row r="1318" spans="1:11" hidden="1" x14ac:dyDescent="0.25">
      <c r="A1318" t="str">
        <f t="shared" si="173"/>
        <v>52100Ø16,0274</v>
      </c>
      <c r="B1318" s="81">
        <v>52100</v>
      </c>
      <c r="D1318" s="86">
        <v>16.0274</v>
      </c>
      <c r="E1318" s="85">
        <f t="shared" si="174"/>
        <v>1.6027400000000001E-2</v>
      </c>
      <c r="F1318" s="85">
        <f t="shared" si="175"/>
        <v>8.0137000000000003E-3</v>
      </c>
      <c r="G1318" s="85">
        <f t="shared" si="176"/>
        <v>2.1556976580329654E-6</v>
      </c>
      <c r="H1318" s="85">
        <v>7800</v>
      </c>
      <c r="I1318" s="85">
        <f t="shared" si="177"/>
        <v>1.6814441732657129E-2</v>
      </c>
      <c r="J1318" s="87">
        <v>1</v>
      </c>
      <c r="K1318" s="94">
        <f t="shared" si="178"/>
        <v>59.47268520118589</v>
      </c>
    </row>
    <row r="1319" spans="1:11" hidden="1" x14ac:dyDescent="0.25">
      <c r="A1319" t="str">
        <f t="shared" si="173"/>
        <v>52100Ø16,1036</v>
      </c>
      <c r="B1319" s="81">
        <v>52100</v>
      </c>
      <c r="D1319" s="86">
        <v>16.1036</v>
      </c>
      <c r="E1319" s="85">
        <f t="shared" si="174"/>
        <v>1.6103599999999999E-2</v>
      </c>
      <c r="F1319" s="85">
        <f t="shared" si="175"/>
        <v>8.0517999999999996E-3</v>
      </c>
      <c r="G1319" s="85">
        <f t="shared" si="176"/>
        <v>2.1865909476252779E-6</v>
      </c>
      <c r="H1319" s="85">
        <v>7800</v>
      </c>
      <c r="I1319" s="85">
        <f t="shared" si="177"/>
        <v>1.7055409391477167E-2</v>
      </c>
      <c r="J1319" s="87">
        <v>1</v>
      </c>
      <c r="K1319" s="94">
        <f t="shared" si="178"/>
        <v>58.632424296992504</v>
      </c>
    </row>
    <row r="1320" spans="1:11" hidden="1" x14ac:dyDescent="0.25">
      <c r="A1320" t="str">
        <f t="shared" si="173"/>
        <v>52100Ø16,1</v>
      </c>
      <c r="B1320" s="81">
        <v>52100</v>
      </c>
      <c r="D1320" s="86">
        <v>16.100000000000001</v>
      </c>
      <c r="E1320" s="85">
        <f t="shared" si="174"/>
        <v>1.61E-2</v>
      </c>
      <c r="F1320" s="85">
        <f t="shared" si="175"/>
        <v>8.0499999999999999E-3</v>
      </c>
      <c r="G1320" s="85">
        <f t="shared" si="176"/>
        <v>2.1851248218276441E-6</v>
      </c>
      <c r="H1320" s="85">
        <v>7800</v>
      </c>
      <c r="I1320" s="85">
        <f t="shared" si="177"/>
        <v>1.7043973610255624E-2</v>
      </c>
      <c r="J1320" s="87">
        <v>1</v>
      </c>
      <c r="K1320" s="94">
        <f t="shared" si="178"/>
        <v>58.67176415940262</v>
      </c>
    </row>
    <row r="1321" spans="1:11" hidden="1" x14ac:dyDescent="0.25">
      <c r="A1321" t="str">
        <f t="shared" si="173"/>
        <v>52100Ø16,125</v>
      </c>
      <c r="B1321" s="81">
        <v>52100</v>
      </c>
      <c r="D1321" s="86">
        <v>16.125</v>
      </c>
      <c r="E1321" s="85">
        <f t="shared" si="174"/>
        <v>1.6125E-2</v>
      </c>
      <c r="F1321" s="85">
        <f t="shared" si="175"/>
        <v>8.0625000000000002E-3</v>
      </c>
      <c r="G1321" s="85">
        <f t="shared" si="176"/>
        <v>2.1953197890436261E-6</v>
      </c>
      <c r="H1321" s="85">
        <v>7800</v>
      </c>
      <c r="I1321" s="85">
        <f t="shared" si="177"/>
        <v>1.7123494354540282E-2</v>
      </c>
      <c r="J1321" s="87">
        <v>1</v>
      </c>
      <c r="K1321" s="94">
        <f t="shared" si="178"/>
        <v>58.399295102687418</v>
      </c>
    </row>
    <row r="1322" spans="1:11" hidden="1" x14ac:dyDescent="0.25">
      <c r="A1322" t="str">
        <f t="shared" si="173"/>
        <v>52100Ø16,15</v>
      </c>
      <c r="B1322" s="81">
        <v>52100</v>
      </c>
      <c r="D1322" s="86">
        <v>16.149999999999999</v>
      </c>
      <c r="E1322" s="85">
        <f t="shared" si="174"/>
        <v>1.6149999999999998E-2</v>
      </c>
      <c r="F1322" s="85">
        <f t="shared" si="175"/>
        <v>8.0749999999999988E-3</v>
      </c>
      <c r="G1322" s="85">
        <f t="shared" si="176"/>
        <v>2.2055464176230686E-6</v>
      </c>
      <c r="H1322" s="85">
        <v>7800</v>
      </c>
      <c r="I1322" s="85">
        <f t="shared" si="177"/>
        <v>1.7203262057459937E-2</v>
      </c>
      <c r="J1322" s="87">
        <v>1</v>
      </c>
      <c r="K1322" s="94">
        <f t="shared" si="178"/>
        <v>58.128510549914282</v>
      </c>
    </row>
    <row r="1323" spans="1:11" hidden="1" x14ac:dyDescent="0.25">
      <c r="A1323" t="str">
        <f t="shared" si="173"/>
        <v>52100Ø16,2</v>
      </c>
      <c r="B1323" s="81">
        <v>52100</v>
      </c>
      <c r="D1323" s="86">
        <v>16.2</v>
      </c>
      <c r="E1323" s="85">
        <f t="shared" si="174"/>
        <v>1.6199999999999999E-2</v>
      </c>
      <c r="F1323" s="85">
        <f t="shared" si="175"/>
        <v>8.0999999999999996E-3</v>
      </c>
      <c r="G1323" s="85">
        <f t="shared" si="176"/>
        <v>2.2260948552218835E-6</v>
      </c>
      <c r="H1323" s="85">
        <v>7800</v>
      </c>
      <c r="I1323" s="85">
        <f t="shared" si="177"/>
        <v>1.736353987073069E-2</v>
      </c>
      <c r="J1323" s="87">
        <v>1</v>
      </c>
      <c r="K1323" s="94">
        <f t="shared" si="178"/>
        <v>57.591943085619107</v>
      </c>
    </row>
    <row r="1324" spans="1:11" hidden="1" x14ac:dyDescent="0.25">
      <c r="A1324" t="str">
        <f t="shared" si="173"/>
        <v>420CØ0,79375</v>
      </c>
      <c r="B1324" s="81" t="s">
        <v>295</v>
      </c>
      <c r="C1324" s="101" t="s">
        <v>241</v>
      </c>
      <c r="D1324" s="86">
        <f>1/32*25.4</f>
        <v>0.79374999999999996</v>
      </c>
      <c r="E1324" s="85">
        <f t="shared" si="174"/>
        <v>7.9374999999999997E-4</v>
      </c>
      <c r="F1324" s="85">
        <f t="shared" si="175"/>
        <v>3.9687499999999998E-4</v>
      </c>
      <c r="G1324" s="85">
        <f t="shared" si="176"/>
        <v>2.6184834735262936E-10</v>
      </c>
      <c r="H1324" s="85">
        <v>7700</v>
      </c>
      <c r="I1324" s="85">
        <f t="shared" si="177"/>
        <v>2.016232274615246E-6</v>
      </c>
      <c r="J1324" s="87">
        <v>1</v>
      </c>
      <c r="K1324" s="88">
        <f t="shared" si="178"/>
        <v>495974.60202884028</v>
      </c>
    </row>
    <row r="1325" spans="1:11" hidden="1" x14ac:dyDescent="0.25">
      <c r="A1325" t="str">
        <f t="shared" si="173"/>
        <v>POMØ14,2875</v>
      </c>
      <c r="B1325" s="81" t="s">
        <v>201</v>
      </c>
      <c r="C1325" s="101" t="s">
        <v>268</v>
      </c>
      <c r="D1325" s="86">
        <f>9/16*25.4</f>
        <v>14.2875</v>
      </c>
      <c r="E1325" s="85">
        <f t="shared" si="174"/>
        <v>1.42875E-2</v>
      </c>
      <c r="F1325" s="85">
        <f t="shared" si="175"/>
        <v>7.1437499999999999E-3</v>
      </c>
      <c r="G1325" s="85">
        <f t="shared" si="176"/>
        <v>1.5270995617605347E-6</v>
      </c>
      <c r="H1325" s="85">
        <v>1370</v>
      </c>
      <c r="I1325" s="85">
        <f t="shared" si="177"/>
        <v>2.0921263996119327E-3</v>
      </c>
      <c r="J1325" s="87">
        <v>1</v>
      </c>
      <c r="K1325" s="88">
        <f t="shared" si="178"/>
        <v>477.98259234503684</v>
      </c>
    </row>
    <row r="1326" spans="1:11" hidden="1" x14ac:dyDescent="0.25">
      <c r="A1326" t="str">
        <f t="shared" si="173"/>
        <v>POMØ15</v>
      </c>
      <c r="B1326" s="81" t="s">
        <v>201</v>
      </c>
      <c r="D1326" s="86">
        <v>15</v>
      </c>
      <c r="E1326" s="85">
        <f t="shared" si="174"/>
        <v>1.4999999999999999E-2</v>
      </c>
      <c r="F1326" s="85">
        <f t="shared" si="175"/>
        <v>7.4999999999999997E-3</v>
      </c>
      <c r="G1326" s="85">
        <f t="shared" si="176"/>
        <v>1.7671458676442584E-6</v>
      </c>
      <c r="H1326" s="85">
        <v>1370</v>
      </c>
      <c r="I1326" s="85">
        <f t="shared" si="177"/>
        <v>2.4209898386726341E-3</v>
      </c>
      <c r="J1326" s="87">
        <v>1</v>
      </c>
      <c r="K1326" s="88">
        <f t="shared" si="178"/>
        <v>413.05419131716559</v>
      </c>
    </row>
    <row r="1327" spans="1:11" hidden="1" x14ac:dyDescent="0.25">
      <c r="A1327" t="str">
        <f t="shared" si="173"/>
        <v>316 TiØ6</v>
      </c>
      <c r="B1327" s="81" t="s">
        <v>356</v>
      </c>
      <c r="D1327" s="86">
        <v>6</v>
      </c>
      <c r="E1327" s="85">
        <f t="shared" si="174"/>
        <v>6.0000000000000001E-3</v>
      </c>
      <c r="F1327" s="85">
        <f t="shared" si="175"/>
        <v>3.0000000000000001E-3</v>
      </c>
      <c r="G1327" s="85">
        <f t="shared" si="176"/>
        <v>1.1309733552923255E-7</v>
      </c>
      <c r="H1327" s="85">
        <v>7950</v>
      </c>
      <c r="I1327" s="85">
        <f t="shared" si="177"/>
        <v>8.9912381745739869E-4</v>
      </c>
      <c r="J1327" s="87">
        <v>1</v>
      </c>
      <c r="K1327" s="88">
        <f t="shared" si="178"/>
        <v>1112.1938720607643</v>
      </c>
    </row>
    <row r="1328" spans="1:11" hidden="1" x14ac:dyDescent="0.25">
      <c r="A1328" t="str">
        <f t="shared" si="173"/>
        <v>PA6.6Ø7,9375</v>
      </c>
      <c r="B1328" s="81" t="s">
        <v>244</v>
      </c>
      <c r="C1328" s="101" t="s">
        <v>252</v>
      </c>
      <c r="D1328" s="86">
        <f>5/16*25.4</f>
        <v>7.9375</v>
      </c>
      <c r="E1328" s="85">
        <f t="shared" si="174"/>
        <v>7.9375000000000001E-3</v>
      </c>
      <c r="F1328" s="85">
        <f t="shared" si="175"/>
        <v>3.9687500000000001E-3</v>
      </c>
      <c r="G1328" s="85">
        <f t="shared" si="176"/>
        <v>2.6184834735262947E-7</v>
      </c>
      <c r="H1328" s="85">
        <v>1110</v>
      </c>
      <c r="I1328" s="85">
        <f t="shared" si="177"/>
        <v>2.906516655614187E-4</v>
      </c>
      <c r="J1328" s="87">
        <v>1</v>
      </c>
      <c r="K1328" s="88">
        <f t="shared" si="178"/>
        <v>3440.5445365964579</v>
      </c>
    </row>
    <row r="1329" spans="1:11" hidden="1" x14ac:dyDescent="0.25">
      <c r="A1329" t="str">
        <f t="shared" si="173"/>
        <v>POMØ7,14375</v>
      </c>
      <c r="B1329" s="81" t="s">
        <v>201</v>
      </c>
      <c r="C1329" s="101" t="s">
        <v>250</v>
      </c>
      <c r="D1329" s="86">
        <f>9/32*25.4</f>
        <v>7.1437499999999998</v>
      </c>
      <c r="E1329" s="85">
        <f t="shared" si="174"/>
        <v>7.1437499999999999E-3</v>
      </c>
      <c r="F1329" s="85">
        <f t="shared" si="175"/>
        <v>3.571875E-3</v>
      </c>
      <c r="G1329" s="85">
        <f t="shared" si="176"/>
        <v>1.9088744522006684E-7</v>
      </c>
      <c r="H1329" s="85">
        <v>1370</v>
      </c>
      <c r="I1329" s="85">
        <f t="shared" si="177"/>
        <v>2.6151579995149158E-4</v>
      </c>
      <c r="J1329" s="87">
        <v>1</v>
      </c>
      <c r="K1329" s="88">
        <f t="shared" si="178"/>
        <v>3823.8607387602947</v>
      </c>
    </row>
    <row r="1330" spans="1:11" hidden="1" x14ac:dyDescent="0.25">
      <c r="A1330" t="str">
        <f t="shared" si="173"/>
        <v>420CØ11,90625</v>
      </c>
      <c r="B1330" s="81" t="s">
        <v>295</v>
      </c>
      <c r="C1330" s="101" t="s">
        <v>272</v>
      </c>
      <c r="D1330" s="86">
        <f>15/32*25.4</f>
        <v>11.90625</v>
      </c>
      <c r="E1330" s="85">
        <f t="shared" si="174"/>
        <v>1.190625E-2</v>
      </c>
      <c r="F1330" s="85">
        <f t="shared" si="175"/>
        <v>5.9531250000000001E-3</v>
      </c>
      <c r="G1330" s="85">
        <f t="shared" si="176"/>
        <v>8.837381723151244E-7</v>
      </c>
      <c r="H1330" s="85">
        <v>7700</v>
      </c>
      <c r="I1330" s="85">
        <f t="shared" si="177"/>
        <v>6.8047839268264576E-3</v>
      </c>
      <c r="J1330" s="87">
        <v>1</v>
      </c>
      <c r="K1330" s="88">
        <f t="shared" si="178"/>
        <v>146.95543763817483</v>
      </c>
    </row>
    <row r="1331" spans="1:11" hidden="1" x14ac:dyDescent="0.25">
      <c r="A1331" t="str">
        <f t="shared" si="173"/>
        <v>420CØ3,96875</v>
      </c>
      <c r="B1331" s="81" t="s">
        <v>295</v>
      </c>
      <c r="C1331" s="101" t="s">
        <v>215</v>
      </c>
      <c r="D1331" s="86">
        <f>5/32*25.4</f>
        <v>3.96875</v>
      </c>
      <c r="E1331" s="85">
        <f t="shared" si="174"/>
        <v>3.9687500000000001E-3</v>
      </c>
      <c r="F1331" s="85">
        <f t="shared" si="175"/>
        <v>1.984375E-3</v>
      </c>
      <c r="G1331" s="85">
        <f t="shared" si="176"/>
        <v>3.2731043419078684E-8</v>
      </c>
      <c r="H1331" s="85">
        <v>7700</v>
      </c>
      <c r="I1331" s="85">
        <f t="shared" si="177"/>
        <v>2.5202903432690587E-4</v>
      </c>
      <c r="J1331" s="87">
        <v>1</v>
      </c>
      <c r="K1331" s="88">
        <f t="shared" si="178"/>
        <v>3967.7968162307202</v>
      </c>
    </row>
    <row r="1332" spans="1:11" hidden="1" x14ac:dyDescent="0.25">
      <c r="A1332" t="str">
        <f t="shared" si="173"/>
        <v>440CØ1</v>
      </c>
      <c r="B1332" s="81" t="s">
        <v>314</v>
      </c>
      <c r="D1332" s="86">
        <v>1</v>
      </c>
      <c r="E1332" s="85">
        <f t="shared" si="174"/>
        <v>1E-3</v>
      </c>
      <c r="F1332" s="85">
        <f t="shared" si="175"/>
        <v>5.0000000000000001E-4</v>
      </c>
      <c r="G1332" s="85">
        <f t="shared" si="176"/>
        <v>5.2359877559829886E-10</v>
      </c>
      <c r="H1332" s="85">
        <v>7700</v>
      </c>
      <c r="I1332" s="85">
        <f t="shared" si="177"/>
        <v>4.0317105721069012E-6</v>
      </c>
      <c r="J1332" s="87">
        <v>1</v>
      </c>
      <c r="K1332" s="88">
        <f t="shared" si="178"/>
        <v>248033.67754581093</v>
      </c>
    </row>
    <row r="1333" spans="1:11" hidden="1" x14ac:dyDescent="0.25">
      <c r="A1333" t="str">
        <f t="shared" si="173"/>
        <v>440CØ1</v>
      </c>
      <c r="B1333" s="81" t="s">
        <v>314</v>
      </c>
      <c r="D1333" s="86">
        <v>1</v>
      </c>
      <c r="E1333" s="85">
        <f t="shared" si="174"/>
        <v>1E-3</v>
      </c>
      <c r="F1333" s="85">
        <f t="shared" si="175"/>
        <v>5.0000000000000001E-4</v>
      </c>
      <c r="G1333" s="85">
        <f t="shared" si="176"/>
        <v>5.2359877559829886E-10</v>
      </c>
      <c r="H1333" s="85">
        <v>7700</v>
      </c>
      <c r="I1333" s="85">
        <f t="shared" si="177"/>
        <v>4.0317105721069012E-6</v>
      </c>
      <c r="J1333" s="87">
        <v>1</v>
      </c>
      <c r="K1333" s="88">
        <f t="shared" si="178"/>
        <v>248033.67754581093</v>
      </c>
    </row>
    <row r="1334" spans="1:11" hidden="1" x14ac:dyDescent="0.25">
      <c r="A1334" t="str">
        <f t="shared" si="173"/>
        <v>440CØ1</v>
      </c>
      <c r="B1334" s="81" t="s">
        <v>314</v>
      </c>
      <c r="D1334" s="86">
        <v>1</v>
      </c>
      <c r="E1334" s="85">
        <f t="shared" si="174"/>
        <v>1E-3</v>
      </c>
      <c r="F1334" s="85">
        <f t="shared" si="175"/>
        <v>5.0000000000000001E-4</v>
      </c>
      <c r="G1334" s="85">
        <f t="shared" si="176"/>
        <v>5.2359877559829886E-10</v>
      </c>
      <c r="H1334" s="85">
        <v>7600</v>
      </c>
      <c r="I1334" s="85">
        <f t="shared" si="177"/>
        <v>3.9793506945470711E-6</v>
      </c>
      <c r="J1334" s="87">
        <v>1</v>
      </c>
      <c r="K1334" s="88">
        <f t="shared" si="178"/>
        <v>251297.27856615055</v>
      </c>
    </row>
    <row r="1335" spans="1:11" x14ac:dyDescent="0.25">
      <c r="A1335" t="str">
        <f t="shared" si="173"/>
        <v>1085Ø4,00875</v>
      </c>
      <c r="B1335" s="81">
        <v>1085</v>
      </c>
      <c r="C1335" s="101" t="s">
        <v>357</v>
      </c>
      <c r="D1335" s="86">
        <f>5/32*25.4+0.04</f>
        <v>4.00875</v>
      </c>
      <c r="E1335" s="85">
        <f t="shared" si="174"/>
        <v>4.0087500000000002E-3</v>
      </c>
      <c r="F1335" s="85">
        <f t="shared" si="175"/>
        <v>2.0043750000000001E-3</v>
      </c>
      <c r="G1335" s="85">
        <f t="shared" si="176"/>
        <v>3.3730714531187762E-8</v>
      </c>
      <c r="H1335" s="85">
        <v>7850</v>
      </c>
      <c r="I1335" s="85">
        <f t="shared" si="177"/>
        <v>2.6478610906982396E-4</v>
      </c>
      <c r="J1335" s="87">
        <v>1</v>
      </c>
      <c r="K1335" s="88">
        <f t="shared" si="178"/>
        <v>3776.6331606780041</v>
      </c>
    </row>
    <row r="1336" spans="1:11" hidden="1" x14ac:dyDescent="0.25">
      <c r="A1336" t="str">
        <f t="shared" si="173"/>
        <v>ZrO2Ø0,5</v>
      </c>
      <c r="B1336" s="81" t="s">
        <v>205</v>
      </c>
      <c r="D1336" s="86">
        <v>0.5</v>
      </c>
      <c r="E1336" s="85">
        <f t="shared" si="174"/>
        <v>5.0000000000000001E-4</v>
      </c>
      <c r="F1336" s="85">
        <f t="shared" si="175"/>
        <v>2.5000000000000001E-4</v>
      </c>
      <c r="G1336" s="85">
        <f t="shared" si="176"/>
        <v>6.5449846949787358E-11</v>
      </c>
      <c r="H1336" s="85">
        <v>6000</v>
      </c>
      <c r="I1336" s="85">
        <f t="shared" si="177"/>
        <v>3.9269908169872417E-7</v>
      </c>
      <c r="J1336" s="87">
        <v>1</v>
      </c>
      <c r="K1336" s="88">
        <f t="shared" si="178"/>
        <v>2546479.0894703255</v>
      </c>
    </row>
    <row r="1337" spans="1:11" hidden="1" x14ac:dyDescent="0.25">
      <c r="A1337" t="str">
        <f t="shared" si="173"/>
        <v>ZrO2Ø1</v>
      </c>
      <c r="B1337" s="81" t="s">
        <v>205</v>
      </c>
      <c r="D1337" s="86">
        <v>1</v>
      </c>
      <c r="E1337" s="85">
        <f t="shared" si="174"/>
        <v>1E-3</v>
      </c>
      <c r="F1337" s="85">
        <f t="shared" si="175"/>
        <v>5.0000000000000001E-4</v>
      </c>
      <c r="G1337" s="85">
        <f t="shared" si="176"/>
        <v>5.2359877559829886E-10</v>
      </c>
      <c r="H1337" s="85">
        <v>6000</v>
      </c>
      <c r="I1337" s="85">
        <f t="shared" si="177"/>
        <v>3.1415926535897933E-6</v>
      </c>
      <c r="J1337" s="87">
        <v>1</v>
      </c>
      <c r="K1337" s="88">
        <f t="shared" si="178"/>
        <v>318309.88618379069</v>
      </c>
    </row>
    <row r="1338" spans="1:11" hidden="1" x14ac:dyDescent="0.25">
      <c r="A1338" t="str">
        <f t="shared" si="173"/>
        <v>ZrO2Ø2</v>
      </c>
      <c r="B1338" s="81" t="s">
        <v>205</v>
      </c>
      <c r="D1338" s="86">
        <v>2</v>
      </c>
      <c r="E1338" s="85">
        <f t="shared" si="174"/>
        <v>2E-3</v>
      </c>
      <c r="F1338" s="85">
        <f t="shared" si="175"/>
        <v>1E-3</v>
      </c>
      <c r="G1338" s="85">
        <f t="shared" si="176"/>
        <v>4.1887902047863909E-9</v>
      </c>
      <c r="H1338" s="85">
        <v>6000</v>
      </c>
      <c r="I1338" s="85">
        <f t="shared" si="177"/>
        <v>2.5132741228718347E-5</v>
      </c>
      <c r="J1338" s="87">
        <v>1</v>
      </c>
      <c r="K1338" s="88">
        <f t="shared" si="178"/>
        <v>39788.735772973836</v>
      </c>
    </row>
    <row r="1339" spans="1:11" hidden="1" x14ac:dyDescent="0.25">
      <c r="A1339" t="str">
        <f t="shared" si="173"/>
        <v>ZrO2Ø3</v>
      </c>
      <c r="B1339" s="81" t="s">
        <v>205</v>
      </c>
      <c r="D1339" s="86">
        <v>3</v>
      </c>
      <c r="E1339" s="85">
        <f t="shared" si="174"/>
        <v>3.0000000000000001E-3</v>
      </c>
      <c r="F1339" s="85">
        <f t="shared" si="175"/>
        <v>1.5E-3</v>
      </c>
      <c r="G1339" s="85">
        <f t="shared" si="176"/>
        <v>1.4137166941154068E-8</v>
      </c>
      <c r="H1339" s="85">
        <v>6000</v>
      </c>
      <c r="I1339" s="85">
        <f t="shared" si="177"/>
        <v>8.4823001646924416E-5</v>
      </c>
      <c r="J1339" s="87">
        <v>1</v>
      </c>
      <c r="K1339" s="88">
        <f t="shared" si="178"/>
        <v>11789.255043844099</v>
      </c>
    </row>
    <row r="1340" spans="1:11" hidden="1" x14ac:dyDescent="0.25">
      <c r="A1340" t="str">
        <f t="shared" si="173"/>
        <v>Al2O3Ø1,5</v>
      </c>
      <c r="B1340" s="81" t="s">
        <v>217</v>
      </c>
      <c r="D1340" s="86">
        <v>1.5</v>
      </c>
      <c r="E1340" s="85">
        <f t="shared" si="174"/>
        <v>1.5E-3</v>
      </c>
      <c r="F1340" s="85">
        <f t="shared" si="175"/>
        <v>7.5000000000000002E-4</v>
      </c>
      <c r="G1340" s="85">
        <f t="shared" si="176"/>
        <v>1.7671458676442585E-9</v>
      </c>
      <c r="H1340" s="85">
        <v>3900</v>
      </c>
      <c r="I1340" s="85">
        <f t="shared" si="177"/>
        <v>6.8918688838126086E-6</v>
      </c>
      <c r="J1340" s="87">
        <v>1</v>
      </c>
      <c r="K1340" s="88">
        <f t="shared" si="178"/>
        <v>145098.52361654275</v>
      </c>
    </row>
    <row r="1341" spans="1:11" hidden="1" x14ac:dyDescent="0.25">
      <c r="A1341" t="str">
        <f t="shared" si="173"/>
        <v>POMØ30</v>
      </c>
      <c r="B1341" s="81" t="s">
        <v>201</v>
      </c>
      <c r="D1341" s="86">
        <v>30</v>
      </c>
      <c r="E1341" s="85">
        <f t="shared" si="174"/>
        <v>0.03</v>
      </c>
      <c r="F1341" s="85">
        <f t="shared" si="175"/>
        <v>1.4999999999999999E-2</v>
      </c>
      <c r="G1341" s="85">
        <f t="shared" si="176"/>
        <v>1.4137166941154067E-5</v>
      </c>
      <c r="H1341" s="85">
        <v>1340</v>
      </c>
      <c r="I1341" s="85">
        <f t="shared" si="177"/>
        <v>1.8943803701146449E-2</v>
      </c>
      <c r="J1341" s="87">
        <v>1</v>
      </c>
      <c r="K1341" s="88">
        <f t="shared" si="178"/>
        <v>52.787709151540753</v>
      </c>
    </row>
    <row r="1342" spans="1:11" hidden="1" x14ac:dyDescent="0.25">
      <c r="A1342" t="str">
        <f t="shared" si="173"/>
        <v>52100Ø2,878</v>
      </c>
      <c r="B1342" s="81">
        <v>52100</v>
      </c>
      <c r="D1342" s="86">
        <v>2.8780000000000001</v>
      </c>
      <c r="E1342" s="85">
        <f t="shared" si="174"/>
        <v>2.8779999999999999E-3</v>
      </c>
      <c r="F1342" s="85">
        <f t="shared" si="175"/>
        <v>1.439E-3</v>
      </c>
      <c r="G1342" s="85">
        <f t="shared" si="176"/>
        <v>1.2481620996127842E-8</v>
      </c>
      <c r="H1342" s="85">
        <v>7800</v>
      </c>
      <c r="I1342" s="85">
        <f t="shared" si="177"/>
        <v>9.7356643769797176E-5</v>
      </c>
      <c r="J1342" s="87">
        <v>1</v>
      </c>
      <c r="K1342" s="88">
        <f t="shared" si="178"/>
        <v>10271.512670101192</v>
      </c>
    </row>
    <row r="1343" spans="1:11" hidden="1" x14ac:dyDescent="0.25">
      <c r="A1343" t="str">
        <f t="shared" si="173"/>
        <v>NBRØ10</v>
      </c>
      <c r="B1343" s="81" t="s">
        <v>341</v>
      </c>
      <c r="D1343" s="86">
        <v>10</v>
      </c>
      <c r="E1343" s="85">
        <f t="shared" si="174"/>
        <v>0.01</v>
      </c>
      <c r="F1343" s="85">
        <f t="shared" si="175"/>
        <v>5.0000000000000001E-3</v>
      </c>
      <c r="G1343" s="85">
        <f t="shared" si="176"/>
        <v>5.2359877559829882E-7</v>
      </c>
      <c r="H1343" s="85">
        <v>1200</v>
      </c>
      <c r="I1343" s="85">
        <f t="shared" si="177"/>
        <v>6.2831853071795862E-4</v>
      </c>
      <c r="J1343" s="87">
        <v>1</v>
      </c>
      <c r="K1343" s="88">
        <f t="shared" si="178"/>
        <v>1591.5494309189535</v>
      </c>
    </row>
    <row r="1344" spans="1:11" hidden="1" x14ac:dyDescent="0.25">
      <c r="A1344" t="str">
        <f t="shared" si="173"/>
        <v>316LØ1</v>
      </c>
      <c r="B1344" s="81" t="s">
        <v>298</v>
      </c>
      <c r="D1344" s="86">
        <v>1</v>
      </c>
      <c r="E1344" s="85">
        <f t="shared" si="174"/>
        <v>1E-3</v>
      </c>
      <c r="F1344" s="85">
        <f t="shared" si="175"/>
        <v>5.0000000000000001E-4</v>
      </c>
      <c r="G1344" s="85">
        <f t="shared" si="176"/>
        <v>5.2359877559829886E-10</v>
      </c>
      <c r="H1344" s="85">
        <v>7950</v>
      </c>
      <c r="I1344" s="85">
        <f t="shared" si="177"/>
        <v>4.1626102660064759E-6</v>
      </c>
      <c r="J1344" s="87">
        <v>1</v>
      </c>
      <c r="K1344" s="88">
        <f t="shared" si="178"/>
        <v>240233.87636512503</v>
      </c>
    </row>
    <row r="1345" spans="1:11" hidden="1" x14ac:dyDescent="0.25">
      <c r="A1345" t="str">
        <f t="shared" si="173"/>
        <v>VESCØ1,2</v>
      </c>
      <c r="B1345" s="81" t="s">
        <v>210</v>
      </c>
      <c r="D1345" s="86">
        <v>1.2</v>
      </c>
      <c r="E1345" s="85">
        <f t="shared" si="174"/>
        <v>1.1999999999999999E-3</v>
      </c>
      <c r="F1345" s="85">
        <f t="shared" si="175"/>
        <v>5.9999999999999995E-4</v>
      </c>
      <c r="G1345" s="85">
        <f t="shared" si="176"/>
        <v>9.0477868423386013E-10</v>
      </c>
      <c r="H1345" s="85">
        <v>2500</v>
      </c>
      <c r="I1345" s="85">
        <f t="shared" si="177"/>
        <v>2.2619467105846502E-6</v>
      </c>
      <c r="J1345" s="87">
        <v>1</v>
      </c>
      <c r="K1345" s="88">
        <f t="shared" si="178"/>
        <v>442097.0641441539</v>
      </c>
    </row>
    <row r="1346" spans="1:11" hidden="1" x14ac:dyDescent="0.25">
      <c r="A1346" t="str">
        <f t="shared" si="173"/>
        <v>VESCØ1,2</v>
      </c>
      <c r="B1346" s="81" t="s">
        <v>210</v>
      </c>
      <c r="D1346" s="86">
        <v>1.2</v>
      </c>
      <c r="E1346" s="85">
        <f t="shared" si="174"/>
        <v>1.1999999999999999E-3</v>
      </c>
      <c r="F1346" s="85">
        <f t="shared" si="175"/>
        <v>5.9999999999999995E-4</v>
      </c>
      <c r="G1346" s="85">
        <f t="shared" si="176"/>
        <v>9.0477868423386013E-10</v>
      </c>
      <c r="H1346" s="85">
        <v>2600</v>
      </c>
      <c r="I1346" s="85">
        <f t="shared" si="177"/>
        <v>2.3524245790080363E-6</v>
      </c>
      <c r="J1346" s="87">
        <v>1</v>
      </c>
      <c r="K1346" s="88">
        <f t="shared" si="178"/>
        <v>425093.33090784028</v>
      </c>
    </row>
    <row r="1347" spans="1:11" hidden="1" x14ac:dyDescent="0.25">
      <c r="A1347" t="str">
        <f t="shared" si="173"/>
        <v>52100Ø0,5</v>
      </c>
      <c r="B1347" s="81">
        <v>52100</v>
      </c>
      <c r="D1347" s="86">
        <v>0.5</v>
      </c>
      <c r="E1347" s="85">
        <f t="shared" si="174"/>
        <v>5.0000000000000001E-4</v>
      </c>
      <c r="F1347" s="85">
        <f t="shared" si="175"/>
        <v>2.5000000000000001E-4</v>
      </c>
      <c r="G1347" s="85">
        <f t="shared" si="176"/>
        <v>6.5449846949787358E-11</v>
      </c>
      <c r="H1347" s="85">
        <v>7800</v>
      </c>
      <c r="I1347" s="85">
        <f t="shared" si="177"/>
        <v>5.1050880620834141E-7</v>
      </c>
      <c r="J1347" s="87">
        <v>1</v>
      </c>
      <c r="K1347" s="88">
        <f t="shared" si="178"/>
        <v>1958830.0688233273</v>
      </c>
    </row>
    <row r="1348" spans="1:11" hidden="1" x14ac:dyDescent="0.25">
      <c r="A1348" t="str">
        <f t="shared" ref="A1348:A1411" si="179">CONCATENATE(B1348,"Ø",D1348)</f>
        <v>52100Ø0,5</v>
      </c>
      <c r="B1348" s="81">
        <v>52100</v>
      </c>
      <c r="D1348" s="86">
        <v>0.5</v>
      </c>
      <c r="E1348" s="85">
        <f t="shared" si="174"/>
        <v>5.0000000000000001E-4</v>
      </c>
      <c r="F1348" s="85">
        <f t="shared" si="175"/>
        <v>2.5000000000000001E-4</v>
      </c>
      <c r="G1348" s="85">
        <f t="shared" si="176"/>
        <v>6.5449846949787358E-11</v>
      </c>
      <c r="H1348" s="85">
        <v>7800</v>
      </c>
      <c r="I1348" s="85">
        <f t="shared" si="177"/>
        <v>5.1050880620834141E-7</v>
      </c>
      <c r="J1348" s="87">
        <v>1</v>
      </c>
      <c r="K1348" s="88">
        <f t="shared" si="178"/>
        <v>1958830.0688233273</v>
      </c>
    </row>
    <row r="1349" spans="1:11" hidden="1" x14ac:dyDescent="0.25">
      <c r="A1349" t="str">
        <f t="shared" si="179"/>
        <v>HDPEØ7</v>
      </c>
      <c r="B1349" s="81" t="s">
        <v>322</v>
      </c>
      <c r="D1349" s="86">
        <v>7</v>
      </c>
      <c r="E1349" s="85">
        <f t="shared" si="174"/>
        <v>7.0000000000000001E-3</v>
      </c>
      <c r="F1349" s="85">
        <f t="shared" si="175"/>
        <v>3.5000000000000001E-3</v>
      </c>
      <c r="G1349" s="85">
        <f t="shared" si="176"/>
        <v>1.7959438003021651E-7</v>
      </c>
      <c r="H1349" s="85">
        <v>970</v>
      </c>
      <c r="I1349" s="85">
        <f t="shared" si="177"/>
        <v>1.7420654862931002E-4</v>
      </c>
      <c r="J1349" s="87">
        <v>1</v>
      </c>
      <c r="K1349" s="88">
        <f t="shared" si="178"/>
        <v>5740.3123353753836</v>
      </c>
    </row>
    <row r="1350" spans="1:11" hidden="1" x14ac:dyDescent="0.25">
      <c r="A1350" t="str">
        <f t="shared" si="179"/>
        <v>HDPEØ8</v>
      </c>
      <c r="B1350" s="81" t="s">
        <v>322</v>
      </c>
      <c r="D1350" s="86">
        <v>8</v>
      </c>
      <c r="E1350" s="85">
        <f>D1350/1000</f>
        <v>8.0000000000000002E-3</v>
      </c>
      <c r="F1350" s="85">
        <f>E1350/2</f>
        <v>4.0000000000000001E-3</v>
      </c>
      <c r="G1350" s="85">
        <f>4/3*PI()*F1350*F1350*F1350</f>
        <v>2.6808257310632902E-7</v>
      </c>
      <c r="H1350" s="85">
        <v>970</v>
      </c>
      <c r="I1350" s="85">
        <f>H1350*G1350</f>
        <v>2.6004009591313915E-4</v>
      </c>
      <c r="J1350" s="87">
        <v>1</v>
      </c>
      <c r="K1350" s="88">
        <f>J1350/I1350</f>
        <v>3845.5608028003062</v>
      </c>
    </row>
    <row r="1351" spans="1:11" hidden="1" x14ac:dyDescent="0.25">
      <c r="A1351" t="str">
        <f t="shared" si="179"/>
        <v>PVCØ7</v>
      </c>
      <c r="B1351" s="81" t="s">
        <v>358</v>
      </c>
      <c r="D1351" s="86">
        <v>7</v>
      </c>
      <c r="E1351" s="85">
        <f>D1351/1000</f>
        <v>7.0000000000000001E-3</v>
      </c>
      <c r="F1351" s="85">
        <f>E1351/2</f>
        <v>3.5000000000000001E-3</v>
      </c>
      <c r="G1351" s="85">
        <f>4/3*PI()*F1351*F1351*F1351</f>
        <v>1.7959438003021651E-7</v>
      </c>
      <c r="H1351" s="85">
        <v>1380</v>
      </c>
      <c r="I1351" s="85">
        <f>H1351*G1351</f>
        <v>2.478402444416988E-4</v>
      </c>
      <c r="J1351" s="87">
        <v>1</v>
      </c>
      <c r="K1351" s="88">
        <f>J1351/I1351</f>
        <v>4034.8572212421177</v>
      </c>
    </row>
    <row r="1352" spans="1:11" hidden="1" x14ac:dyDescent="0.25">
      <c r="A1352" t="str">
        <f t="shared" si="179"/>
        <v>PVCØ8</v>
      </c>
      <c r="B1352" s="81" t="s">
        <v>358</v>
      </c>
      <c r="D1352" s="86">
        <v>8</v>
      </c>
      <c r="E1352" s="85">
        <f t="shared" ref="E1352:E1357" si="180">D1352/1000</f>
        <v>8.0000000000000002E-3</v>
      </c>
      <c r="F1352" s="85">
        <f t="shared" ref="F1352:F1357" si="181">E1352/2</f>
        <v>4.0000000000000001E-3</v>
      </c>
      <c r="G1352" s="85">
        <f t="shared" ref="G1352:G1357" si="182">4/3*PI()*F1352*F1352*F1352</f>
        <v>2.6808257310632902E-7</v>
      </c>
      <c r="H1352" s="85">
        <v>1380</v>
      </c>
      <c r="I1352" s="85">
        <f t="shared" ref="I1352:I1357" si="183">H1352*G1352</f>
        <v>3.6995395088673406E-4</v>
      </c>
      <c r="J1352" s="87">
        <v>1</v>
      </c>
      <c r="K1352" s="88">
        <f t="shared" ref="K1352:K1357" si="184">J1352/I1352</f>
        <v>2703.0391150118094</v>
      </c>
    </row>
    <row r="1353" spans="1:11" hidden="1" x14ac:dyDescent="0.25">
      <c r="A1353" t="str">
        <f t="shared" si="179"/>
        <v>420CØ0,5</v>
      </c>
      <c r="B1353" s="81" t="s">
        <v>295</v>
      </c>
      <c r="D1353" s="86">
        <v>0.5</v>
      </c>
      <c r="E1353" s="85">
        <f t="shared" si="180"/>
        <v>5.0000000000000001E-4</v>
      </c>
      <c r="F1353" s="85">
        <f t="shared" si="181"/>
        <v>2.5000000000000001E-4</v>
      </c>
      <c r="G1353" s="85">
        <f t="shared" si="182"/>
        <v>6.5449846949787358E-11</v>
      </c>
      <c r="H1353" s="85">
        <v>7700</v>
      </c>
      <c r="I1353" s="85">
        <f t="shared" si="183"/>
        <v>5.0396382151336265E-7</v>
      </c>
      <c r="J1353" s="87">
        <v>1</v>
      </c>
      <c r="K1353" s="88">
        <f t="shared" si="184"/>
        <v>1984269.4203664875</v>
      </c>
    </row>
    <row r="1354" spans="1:11" hidden="1" x14ac:dyDescent="0.25">
      <c r="A1354" t="str">
        <f t="shared" si="179"/>
        <v>RameØ1</v>
      </c>
      <c r="B1354" s="81" t="s">
        <v>340</v>
      </c>
      <c r="D1354" s="86">
        <v>1</v>
      </c>
      <c r="E1354" s="85">
        <f t="shared" si="180"/>
        <v>1E-3</v>
      </c>
      <c r="F1354" s="85">
        <f t="shared" si="181"/>
        <v>5.0000000000000001E-4</v>
      </c>
      <c r="G1354" s="85">
        <f t="shared" si="182"/>
        <v>5.2359877559829886E-10</v>
      </c>
      <c r="H1354" s="85">
        <v>8910</v>
      </c>
      <c r="I1354" s="85">
        <f t="shared" si="183"/>
        <v>4.6652650905808429E-6</v>
      </c>
      <c r="J1354" s="87">
        <v>1</v>
      </c>
      <c r="K1354" s="88">
        <f t="shared" si="184"/>
        <v>214350.09170625635</v>
      </c>
    </row>
    <row r="1355" spans="1:11" hidden="1" x14ac:dyDescent="0.25">
      <c r="A1355" t="str">
        <f t="shared" si="179"/>
        <v>NBRØ3,175</v>
      </c>
      <c r="B1355" s="81" t="s">
        <v>341</v>
      </c>
      <c r="C1355" s="101" t="s">
        <v>214</v>
      </c>
      <c r="D1355" s="86">
        <f>1/8*25.4</f>
        <v>3.1749999999999998</v>
      </c>
      <c r="E1355" s="85">
        <f t="shared" si="180"/>
        <v>3.1749999999999999E-3</v>
      </c>
      <c r="F1355" s="85">
        <f t="shared" si="181"/>
        <v>1.5874999999999999E-3</v>
      </c>
      <c r="G1355" s="85">
        <f t="shared" si="182"/>
        <v>1.6758294230568279E-8</v>
      </c>
      <c r="H1355" s="85">
        <v>1200</v>
      </c>
      <c r="I1355" s="85">
        <f t="shared" si="183"/>
        <v>2.0109953076681934E-5</v>
      </c>
      <c r="J1355" s="87">
        <v>1</v>
      </c>
      <c r="K1355" s="88">
        <f t="shared" si="184"/>
        <v>49726.620255495705</v>
      </c>
    </row>
    <row r="1356" spans="1:11" hidden="1" x14ac:dyDescent="0.25">
      <c r="A1356" t="str">
        <f t="shared" si="179"/>
        <v>PPHØ10</v>
      </c>
      <c r="B1356" s="81" t="s">
        <v>202</v>
      </c>
      <c r="D1356" s="86">
        <v>10</v>
      </c>
      <c r="E1356" s="85">
        <f t="shared" si="180"/>
        <v>0.01</v>
      </c>
      <c r="F1356" s="85">
        <f t="shared" si="181"/>
        <v>5.0000000000000001E-3</v>
      </c>
      <c r="G1356" s="85">
        <f t="shared" si="182"/>
        <v>5.2359877559829882E-7</v>
      </c>
      <c r="H1356" s="85">
        <v>870</v>
      </c>
      <c r="I1356" s="85">
        <f t="shared" si="183"/>
        <v>4.5553093477051999E-4</v>
      </c>
      <c r="J1356" s="87">
        <v>1</v>
      </c>
      <c r="K1356" s="88">
        <f t="shared" si="184"/>
        <v>2195.2405943709705</v>
      </c>
    </row>
    <row r="1357" spans="1:11" hidden="1" x14ac:dyDescent="0.25">
      <c r="A1357" t="str">
        <f t="shared" si="179"/>
        <v>Al2O3Ø2</v>
      </c>
      <c r="B1357" s="81" t="s">
        <v>217</v>
      </c>
      <c r="D1357" s="86">
        <v>2</v>
      </c>
      <c r="E1357" s="85">
        <f t="shared" si="180"/>
        <v>2E-3</v>
      </c>
      <c r="F1357" s="85">
        <f t="shared" si="181"/>
        <v>1E-3</v>
      </c>
      <c r="G1357" s="85">
        <f t="shared" si="182"/>
        <v>4.1887902047863909E-9</v>
      </c>
      <c r="H1357" s="85">
        <v>3900</v>
      </c>
      <c r="I1357" s="85">
        <f t="shared" si="183"/>
        <v>1.6336281798666925E-5</v>
      </c>
      <c r="J1357" s="87">
        <v>1</v>
      </c>
      <c r="K1357" s="88">
        <f t="shared" si="184"/>
        <v>61213.439650728978</v>
      </c>
    </row>
    <row r="1358" spans="1:11" hidden="1" x14ac:dyDescent="0.25">
      <c r="A1358" t="str">
        <f t="shared" si="179"/>
        <v>Al2O3Ø2,5</v>
      </c>
      <c r="B1358" s="81" t="s">
        <v>217</v>
      </c>
      <c r="D1358" s="86">
        <v>2.5</v>
      </c>
      <c r="E1358" s="85">
        <f>D1358/1000</f>
        <v>2.5000000000000001E-3</v>
      </c>
      <c r="F1358" s="85">
        <f>E1358/2</f>
        <v>1.25E-3</v>
      </c>
      <c r="G1358" s="85">
        <f>4/3*PI()*F1358*F1358*F1358</f>
        <v>8.181230868723419E-9</v>
      </c>
      <c r="H1358" s="85">
        <v>3900</v>
      </c>
      <c r="I1358" s="85">
        <f>H1358*G1358</f>
        <v>3.1906800388021332E-5</v>
      </c>
      <c r="J1358" s="87">
        <v>1</v>
      </c>
      <c r="K1358" s="88">
        <f>J1358/I1358</f>
        <v>31341.281101173241</v>
      </c>
    </row>
    <row r="1359" spans="1:11" hidden="1" x14ac:dyDescent="0.25">
      <c r="A1359" t="str">
        <f t="shared" si="179"/>
        <v>Al2O3Ø3</v>
      </c>
      <c r="B1359" s="81" t="s">
        <v>217</v>
      </c>
      <c r="D1359" s="86">
        <v>3</v>
      </c>
      <c r="E1359" s="85">
        <f t="shared" ref="E1359:E1372" si="185">D1359/1000</f>
        <v>3.0000000000000001E-3</v>
      </c>
      <c r="F1359" s="85">
        <f t="shared" ref="F1359:F1372" si="186">E1359/2</f>
        <v>1.5E-3</v>
      </c>
      <c r="G1359" s="85">
        <f t="shared" ref="G1359:G1372" si="187">4/3*PI()*F1359*F1359*F1359</f>
        <v>1.4137166941154068E-8</v>
      </c>
      <c r="H1359" s="85">
        <v>3900</v>
      </c>
      <c r="I1359" s="85">
        <f t="shared" ref="I1359:I1372" si="188">H1359*G1359</f>
        <v>5.5134951070500869E-5</v>
      </c>
      <c r="J1359" s="87">
        <v>1</v>
      </c>
      <c r="K1359" s="88">
        <f t="shared" ref="K1359:K1372" si="189">J1359/I1359</f>
        <v>18137.315452067844</v>
      </c>
    </row>
    <row r="1360" spans="1:11" hidden="1" x14ac:dyDescent="0.25">
      <c r="A1360" t="str">
        <f t="shared" si="179"/>
        <v>RameØ1</v>
      </c>
      <c r="B1360" s="81" t="s">
        <v>340</v>
      </c>
      <c r="D1360" s="86">
        <v>1</v>
      </c>
      <c r="E1360" s="85">
        <f t="shared" si="185"/>
        <v>1E-3</v>
      </c>
      <c r="F1360" s="85">
        <f t="shared" si="186"/>
        <v>5.0000000000000001E-4</v>
      </c>
      <c r="G1360" s="85">
        <f t="shared" si="187"/>
        <v>5.2359877559829886E-10</v>
      </c>
      <c r="H1360" s="85">
        <v>8910</v>
      </c>
      <c r="I1360" s="85">
        <f t="shared" si="188"/>
        <v>4.6652650905808429E-6</v>
      </c>
      <c r="J1360" s="87">
        <v>1</v>
      </c>
      <c r="K1360" s="88">
        <f t="shared" si="189"/>
        <v>214350.09170625635</v>
      </c>
    </row>
    <row r="1361" spans="1:11" hidden="1" x14ac:dyDescent="0.25">
      <c r="A1361" t="str">
        <f t="shared" si="179"/>
        <v>Gomma poliur.Ø6</v>
      </c>
      <c r="B1361" s="81" t="s">
        <v>359</v>
      </c>
      <c r="D1361" s="86">
        <v>6</v>
      </c>
      <c r="E1361" s="85">
        <f t="shared" si="185"/>
        <v>6.0000000000000001E-3</v>
      </c>
      <c r="F1361" s="85">
        <f t="shared" si="186"/>
        <v>3.0000000000000001E-3</v>
      </c>
      <c r="G1361" s="85">
        <f t="shared" si="187"/>
        <v>1.1309733552923255E-7</v>
      </c>
      <c r="H1361" s="85">
        <v>1260</v>
      </c>
      <c r="I1361" s="85">
        <f t="shared" si="188"/>
        <v>1.42502642766833E-4</v>
      </c>
      <c r="J1361" s="87">
        <v>1</v>
      </c>
      <c r="K1361" s="88">
        <f t="shared" si="189"/>
        <v>7017.4137165738694</v>
      </c>
    </row>
    <row r="1362" spans="1:11" hidden="1" x14ac:dyDescent="0.25">
      <c r="A1362" t="str">
        <f t="shared" si="179"/>
        <v>52100Ø0,7</v>
      </c>
      <c r="B1362" s="81">
        <v>52100</v>
      </c>
      <c r="D1362" s="86">
        <v>0.7</v>
      </c>
      <c r="E1362" s="85">
        <f t="shared" si="185"/>
        <v>6.9999999999999999E-4</v>
      </c>
      <c r="F1362" s="85">
        <f t="shared" si="186"/>
        <v>3.5E-4</v>
      </c>
      <c r="G1362" s="85">
        <f t="shared" si="187"/>
        <v>1.7959438003021649E-10</v>
      </c>
      <c r="H1362" s="85">
        <v>7800</v>
      </c>
      <c r="I1362" s="85">
        <f t="shared" si="188"/>
        <v>1.4008361642356885E-6</v>
      </c>
      <c r="J1362" s="87">
        <v>1</v>
      </c>
      <c r="K1362" s="88">
        <f t="shared" si="189"/>
        <v>713859.3545274518</v>
      </c>
    </row>
    <row r="1363" spans="1:11" hidden="1" x14ac:dyDescent="0.25">
      <c r="A1363" t="str">
        <f t="shared" si="179"/>
        <v>52100Ø0,25</v>
      </c>
      <c r="B1363" s="81">
        <v>52100</v>
      </c>
      <c r="D1363" s="86">
        <v>0.25</v>
      </c>
      <c r="E1363" s="85">
        <f t="shared" si="185"/>
        <v>2.5000000000000001E-4</v>
      </c>
      <c r="F1363" s="85">
        <f t="shared" si="186"/>
        <v>1.25E-4</v>
      </c>
      <c r="G1363" s="85">
        <f t="shared" si="187"/>
        <v>8.1812308687234197E-12</v>
      </c>
      <c r="H1363" s="85">
        <v>7800</v>
      </c>
      <c r="I1363" s="85">
        <f t="shared" si="188"/>
        <v>6.3813600776042676E-8</v>
      </c>
      <c r="J1363" s="87">
        <v>1</v>
      </c>
      <c r="K1363" s="88">
        <f t="shared" si="189"/>
        <v>15670640.550586618</v>
      </c>
    </row>
    <row r="1364" spans="1:11" hidden="1" x14ac:dyDescent="0.25">
      <c r="A1364" t="str">
        <f t="shared" si="179"/>
        <v>52100Ø0,7</v>
      </c>
      <c r="B1364" s="81">
        <v>52100</v>
      </c>
      <c r="D1364" s="86">
        <v>0.7</v>
      </c>
      <c r="E1364" s="85">
        <f t="shared" si="185"/>
        <v>6.9999999999999999E-4</v>
      </c>
      <c r="F1364" s="85">
        <f t="shared" si="186"/>
        <v>3.5E-4</v>
      </c>
      <c r="G1364" s="85">
        <f t="shared" si="187"/>
        <v>1.7959438003021649E-10</v>
      </c>
      <c r="H1364" s="85">
        <v>7800</v>
      </c>
      <c r="I1364" s="85">
        <f t="shared" si="188"/>
        <v>1.4008361642356885E-6</v>
      </c>
      <c r="J1364" s="87">
        <v>1</v>
      </c>
      <c r="K1364" s="88">
        <f t="shared" si="189"/>
        <v>713859.3545274518</v>
      </c>
    </row>
    <row r="1365" spans="1:11" hidden="1" x14ac:dyDescent="0.25">
      <c r="A1365" t="str">
        <f t="shared" si="179"/>
        <v>52100Ø10,5</v>
      </c>
      <c r="B1365" s="81">
        <v>52100</v>
      </c>
      <c r="D1365" s="86">
        <v>10.5</v>
      </c>
      <c r="E1365" s="85">
        <f t="shared" si="185"/>
        <v>1.0500000000000001E-2</v>
      </c>
      <c r="F1365" s="85">
        <f t="shared" si="186"/>
        <v>5.2500000000000003E-3</v>
      </c>
      <c r="G1365" s="85">
        <f t="shared" si="187"/>
        <v>6.0613103260198073E-7</v>
      </c>
      <c r="H1365" s="85">
        <v>7800</v>
      </c>
      <c r="I1365" s="85">
        <f t="shared" si="188"/>
        <v>4.7278220542954497E-3</v>
      </c>
      <c r="J1365" s="87">
        <v>1</v>
      </c>
      <c r="K1365" s="88">
        <f t="shared" si="189"/>
        <v>211.51388282294863</v>
      </c>
    </row>
    <row r="1366" spans="1:11" hidden="1" x14ac:dyDescent="0.25">
      <c r="A1366" t="str">
        <f t="shared" si="179"/>
        <v>304Ø18</v>
      </c>
      <c r="B1366" s="81">
        <v>304</v>
      </c>
      <c r="D1366" s="86">
        <v>18</v>
      </c>
      <c r="E1366" s="85">
        <f t="shared" si="185"/>
        <v>1.7999999999999999E-2</v>
      </c>
      <c r="F1366" s="85">
        <f t="shared" si="186"/>
        <v>8.9999999999999993E-3</v>
      </c>
      <c r="G1366" s="85">
        <f t="shared" si="187"/>
        <v>3.053628059289278E-6</v>
      </c>
      <c r="H1366" s="85">
        <v>7950</v>
      </c>
      <c r="I1366" s="85">
        <f t="shared" si="188"/>
        <v>2.4276343071349758E-2</v>
      </c>
      <c r="J1366" s="87">
        <v>1</v>
      </c>
      <c r="K1366" s="88">
        <f t="shared" si="189"/>
        <v>41.192365631880165</v>
      </c>
    </row>
    <row r="1367" spans="1:11" hidden="1" x14ac:dyDescent="0.25">
      <c r="A1367" t="str">
        <f t="shared" si="179"/>
        <v>440CØ1,5875</v>
      </c>
      <c r="B1367" s="81" t="s">
        <v>314</v>
      </c>
      <c r="C1367" s="101" t="s">
        <v>246</v>
      </c>
      <c r="D1367" s="86">
        <f>1/16*25.4</f>
        <v>1.5874999999999999</v>
      </c>
      <c r="E1367" s="85">
        <f t="shared" si="185"/>
        <v>1.5874999999999999E-3</v>
      </c>
      <c r="F1367" s="85">
        <f t="shared" si="186"/>
        <v>7.9374999999999997E-4</v>
      </c>
      <c r="G1367" s="85">
        <f t="shared" si="187"/>
        <v>2.0947867788210349E-9</v>
      </c>
      <c r="H1367" s="85">
        <v>7700</v>
      </c>
      <c r="I1367" s="85">
        <f t="shared" si="188"/>
        <v>1.6129858196921968E-5</v>
      </c>
      <c r="J1367" s="87">
        <v>1</v>
      </c>
      <c r="K1367" s="88">
        <f t="shared" si="189"/>
        <v>61996.825253605035</v>
      </c>
    </row>
    <row r="1368" spans="1:11" hidden="1" x14ac:dyDescent="0.25">
      <c r="A1368" t="str">
        <f t="shared" si="179"/>
        <v>316LØ1,2</v>
      </c>
      <c r="B1368" s="81" t="s">
        <v>298</v>
      </c>
      <c r="D1368" s="86">
        <v>1.2</v>
      </c>
      <c r="E1368" s="85">
        <f t="shared" si="185"/>
        <v>1.1999999999999999E-3</v>
      </c>
      <c r="F1368" s="85">
        <f t="shared" si="186"/>
        <v>5.9999999999999995E-4</v>
      </c>
      <c r="G1368" s="85">
        <f t="shared" si="187"/>
        <v>9.0477868423386013E-10</v>
      </c>
      <c r="H1368" s="85">
        <v>7950</v>
      </c>
      <c r="I1368" s="85">
        <f t="shared" si="188"/>
        <v>7.1929905396591882E-6</v>
      </c>
      <c r="J1368" s="87">
        <v>1</v>
      </c>
      <c r="K1368" s="88">
        <f t="shared" si="189"/>
        <v>139024.23400759554</v>
      </c>
    </row>
    <row r="1369" spans="1:11" hidden="1" x14ac:dyDescent="0.25">
      <c r="A1369" t="str">
        <f t="shared" si="179"/>
        <v>WC-CoØ1,5875</v>
      </c>
      <c r="B1369" s="81" t="s">
        <v>297</v>
      </c>
      <c r="C1369" s="101" t="s">
        <v>246</v>
      </c>
      <c r="D1369" s="86">
        <f>1/16*25.4</f>
        <v>1.5874999999999999</v>
      </c>
      <c r="E1369" s="85">
        <f t="shared" si="185"/>
        <v>1.5874999999999999E-3</v>
      </c>
      <c r="F1369" s="85">
        <f t="shared" si="186"/>
        <v>7.9374999999999997E-4</v>
      </c>
      <c r="G1369" s="85">
        <f t="shared" si="187"/>
        <v>2.0947867788210349E-9</v>
      </c>
      <c r="H1369" s="85">
        <v>14950</v>
      </c>
      <c r="I1369" s="85">
        <f t="shared" si="188"/>
        <v>3.1317062343374473E-5</v>
      </c>
      <c r="J1369" s="87">
        <v>1</v>
      </c>
      <c r="K1369" s="88">
        <f t="shared" si="189"/>
        <v>31931.475214231352</v>
      </c>
    </row>
    <row r="1370" spans="1:11" hidden="1" x14ac:dyDescent="0.25">
      <c r="A1370" t="str">
        <f t="shared" si="179"/>
        <v>POMØ2,38125</v>
      </c>
      <c r="B1370" s="81" t="s">
        <v>201</v>
      </c>
      <c r="C1370" s="101" t="s">
        <v>213</v>
      </c>
      <c r="D1370" s="86">
        <f>3/32*25.4</f>
        <v>2.3812499999999996</v>
      </c>
      <c r="E1370" s="85">
        <f t="shared" si="185"/>
        <v>2.3812499999999997E-3</v>
      </c>
      <c r="F1370" s="85">
        <f t="shared" si="186"/>
        <v>1.1906249999999998E-3</v>
      </c>
      <c r="G1370" s="85">
        <f t="shared" si="187"/>
        <v>7.0699053785209917E-9</v>
      </c>
      <c r="H1370" s="85">
        <v>1370</v>
      </c>
      <c r="I1370" s="85">
        <f t="shared" si="188"/>
        <v>9.6857703685737587E-6</v>
      </c>
      <c r="J1370" s="87">
        <v>1</v>
      </c>
      <c r="K1370" s="88">
        <f t="shared" si="189"/>
        <v>103244.23994652799</v>
      </c>
    </row>
    <row r="1371" spans="1:11" hidden="1" x14ac:dyDescent="0.25">
      <c r="A1371" t="str">
        <f t="shared" si="179"/>
        <v>420CØ0,79375</v>
      </c>
      <c r="B1371" s="81" t="s">
        <v>295</v>
      </c>
      <c r="C1371" s="101" t="s">
        <v>241</v>
      </c>
      <c r="D1371" s="86">
        <f>1/32*25.4</f>
        <v>0.79374999999999996</v>
      </c>
      <c r="E1371" s="85">
        <f t="shared" si="185"/>
        <v>7.9374999999999997E-4</v>
      </c>
      <c r="F1371" s="85">
        <f t="shared" si="186"/>
        <v>3.9687499999999998E-4</v>
      </c>
      <c r="G1371" s="85">
        <f t="shared" si="187"/>
        <v>2.6184834735262936E-10</v>
      </c>
      <c r="H1371" s="85">
        <v>7700</v>
      </c>
      <c r="I1371" s="85">
        <f t="shared" si="188"/>
        <v>2.016232274615246E-6</v>
      </c>
      <c r="J1371" s="87">
        <v>1</v>
      </c>
      <c r="K1371" s="88">
        <f t="shared" si="189"/>
        <v>495974.60202884028</v>
      </c>
    </row>
    <row r="1372" spans="1:11" hidden="1" x14ac:dyDescent="0.25">
      <c r="A1372" t="str">
        <f t="shared" si="179"/>
        <v>316Ø1</v>
      </c>
      <c r="B1372" s="81">
        <v>316</v>
      </c>
      <c r="D1372" s="86">
        <v>1</v>
      </c>
      <c r="E1372" s="85">
        <f t="shared" si="185"/>
        <v>1E-3</v>
      </c>
      <c r="F1372" s="85">
        <f t="shared" si="186"/>
        <v>5.0000000000000001E-4</v>
      </c>
      <c r="G1372" s="85">
        <f t="shared" si="187"/>
        <v>5.2359877559829886E-10</v>
      </c>
      <c r="H1372" s="85">
        <v>7950</v>
      </c>
      <c r="I1372" s="85">
        <f t="shared" si="188"/>
        <v>4.1626102660064759E-6</v>
      </c>
      <c r="J1372" s="87">
        <v>1</v>
      </c>
      <c r="K1372" s="88">
        <f t="shared" si="189"/>
        <v>240233.87636512503</v>
      </c>
    </row>
    <row r="1373" spans="1:11" hidden="1" x14ac:dyDescent="0.25">
      <c r="A1373" t="str">
        <f t="shared" si="179"/>
        <v>316Ø2,5</v>
      </c>
      <c r="B1373" s="81">
        <v>316</v>
      </c>
      <c r="D1373" s="86">
        <v>2.5</v>
      </c>
      <c r="E1373" s="85">
        <f>D1373/1000</f>
        <v>2.5000000000000001E-3</v>
      </c>
      <c r="F1373" s="85">
        <f>E1373/2</f>
        <v>1.25E-3</v>
      </c>
      <c r="G1373" s="85">
        <f>4/3*PI()*F1373*F1373*F1373</f>
        <v>8.181230868723419E-9</v>
      </c>
      <c r="H1373" s="85">
        <v>7950</v>
      </c>
      <c r="I1373" s="85">
        <f>H1373*G1373</f>
        <v>6.5040785406351176E-5</v>
      </c>
      <c r="J1373" s="87">
        <v>1</v>
      </c>
      <c r="K1373" s="88">
        <f>J1373/I1373</f>
        <v>15374.968087368004</v>
      </c>
    </row>
    <row r="1374" spans="1:11" hidden="1" x14ac:dyDescent="0.25">
      <c r="A1374" t="str">
        <f t="shared" si="179"/>
        <v>316Ø3</v>
      </c>
      <c r="B1374" s="81">
        <v>316</v>
      </c>
      <c r="D1374" s="86">
        <v>3</v>
      </c>
      <c r="E1374" s="85">
        <f>D1374/1000</f>
        <v>3.0000000000000001E-3</v>
      </c>
      <c r="F1374" s="85">
        <f>E1374/2</f>
        <v>1.5E-3</v>
      </c>
      <c r="G1374" s="85">
        <f>4/3*PI()*F1374*F1374*F1374</f>
        <v>1.4137166941154068E-8</v>
      </c>
      <c r="H1374" s="85">
        <v>7950</v>
      </c>
      <c r="I1374" s="85">
        <f>H1374*G1374</f>
        <v>1.1239047718217484E-4</v>
      </c>
      <c r="J1374" s="87">
        <v>1</v>
      </c>
      <c r="K1374" s="88">
        <f>J1374/I1374</f>
        <v>8897.5509764861145</v>
      </c>
    </row>
    <row r="1375" spans="1:11" hidden="1" x14ac:dyDescent="0.25">
      <c r="A1375" t="str">
        <f t="shared" si="179"/>
        <v>316Ø10</v>
      </c>
      <c r="B1375" s="81">
        <v>316</v>
      </c>
      <c r="D1375" s="86">
        <v>10</v>
      </c>
      <c r="E1375" s="85">
        <f t="shared" ref="E1375:E1400" si="190">D1375/1000</f>
        <v>0.01</v>
      </c>
      <c r="F1375" s="85">
        <f t="shared" ref="F1375:F1400" si="191">E1375/2</f>
        <v>5.0000000000000001E-3</v>
      </c>
      <c r="G1375" s="85">
        <f t="shared" ref="G1375:G1400" si="192">4/3*PI()*F1375*F1375*F1375</f>
        <v>5.2359877559829882E-7</v>
      </c>
      <c r="H1375" s="85">
        <v>7950</v>
      </c>
      <c r="I1375" s="85">
        <f t="shared" ref="I1375:I1400" si="193">H1375*G1375</f>
        <v>4.1626102660064753E-3</v>
      </c>
      <c r="J1375" s="87">
        <v>1</v>
      </c>
      <c r="K1375" s="88">
        <f t="shared" ref="K1375:K1400" si="194">J1375/I1375</f>
        <v>240.23387636512507</v>
      </c>
    </row>
    <row r="1376" spans="1:11" hidden="1" x14ac:dyDescent="0.25">
      <c r="A1376" t="str">
        <f t="shared" si="179"/>
        <v>WC-CoØ1</v>
      </c>
      <c r="B1376" s="81" t="s">
        <v>297</v>
      </c>
      <c r="D1376" s="86">
        <v>1</v>
      </c>
      <c r="E1376" s="85">
        <f t="shared" si="190"/>
        <v>1E-3</v>
      </c>
      <c r="F1376" s="85">
        <f t="shared" si="191"/>
        <v>5.0000000000000001E-4</v>
      </c>
      <c r="G1376" s="85">
        <f t="shared" si="192"/>
        <v>5.2359877559829886E-10</v>
      </c>
      <c r="H1376" s="85">
        <v>14950</v>
      </c>
      <c r="I1376" s="85">
        <f t="shared" si="193"/>
        <v>7.8278016951945674E-6</v>
      </c>
      <c r="J1376" s="87">
        <v>1</v>
      </c>
      <c r="K1376" s="88">
        <f t="shared" si="194"/>
        <v>127749.78709717352</v>
      </c>
    </row>
    <row r="1377" spans="1:11" hidden="1" x14ac:dyDescent="0.25">
      <c r="A1377" t="str">
        <f t="shared" si="179"/>
        <v>WC-CoØ2,5</v>
      </c>
      <c r="B1377" s="81" t="s">
        <v>297</v>
      </c>
      <c r="D1377" s="86">
        <v>2.5</v>
      </c>
      <c r="E1377" s="85">
        <f t="shared" si="190"/>
        <v>2.5000000000000001E-3</v>
      </c>
      <c r="F1377" s="85">
        <f t="shared" si="191"/>
        <v>1.25E-3</v>
      </c>
      <c r="G1377" s="85">
        <f t="shared" si="192"/>
        <v>8.181230868723419E-9</v>
      </c>
      <c r="H1377" s="85">
        <v>14950</v>
      </c>
      <c r="I1377" s="85">
        <f t="shared" si="193"/>
        <v>1.2230940148741512E-4</v>
      </c>
      <c r="J1377" s="87">
        <v>1</v>
      </c>
      <c r="K1377" s="88">
        <f t="shared" si="194"/>
        <v>8175.9863742191055</v>
      </c>
    </row>
    <row r="1378" spans="1:11" hidden="1" x14ac:dyDescent="0.25">
      <c r="A1378" t="str">
        <f t="shared" si="179"/>
        <v>WC-CoØ3</v>
      </c>
      <c r="B1378" s="81" t="s">
        <v>297</v>
      </c>
      <c r="D1378" s="86">
        <v>3</v>
      </c>
      <c r="E1378" s="85">
        <f t="shared" si="190"/>
        <v>3.0000000000000001E-3</v>
      </c>
      <c r="F1378" s="85">
        <f t="shared" si="191"/>
        <v>1.5E-3</v>
      </c>
      <c r="G1378" s="85">
        <f t="shared" si="192"/>
        <v>1.4137166941154068E-8</v>
      </c>
      <c r="H1378" s="85">
        <v>14950</v>
      </c>
      <c r="I1378" s="85">
        <f t="shared" si="193"/>
        <v>2.1135064577025331E-4</v>
      </c>
      <c r="J1378" s="87">
        <v>1</v>
      </c>
      <c r="K1378" s="88">
        <f t="shared" si="194"/>
        <v>4731.4735961916122</v>
      </c>
    </row>
    <row r="1379" spans="1:11" hidden="1" x14ac:dyDescent="0.25">
      <c r="A1379" t="str">
        <f t="shared" si="179"/>
        <v>420CØ4,7625</v>
      </c>
      <c r="B1379" s="81" t="s">
        <v>295</v>
      </c>
      <c r="C1379" s="101" t="s">
        <v>248</v>
      </c>
      <c r="D1379" s="86">
        <f>3/16*25.4</f>
        <v>4.7624999999999993</v>
      </c>
      <c r="E1379" s="85">
        <f t="shared" si="190"/>
        <v>4.7624999999999994E-3</v>
      </c>
      <c r="F1379" s="85">
        <f t="shared" si="191"/>
        <v>2.3812499999999997E-3</v>
      </c>
      <c r="G1379" s="85">
        <f t="shared" si="192"/>
        <v>5.6559243028167934E-8</v>
      </c>
      <c r="H1379" s="85">
        <v>7700</v>
      </c>
      <c r="I1379" s="85">
        <f t="shared" si="193"/>
        <v>4.3550617131689307E-4</v>
      </c>
      <c r="J1379" s="87">
        <v>1</v>
      </c>
      <c r="K1379" s="88">
        <f t="shared" si="194"/>
        <v>2296.1787130964831</v>
      </c>
    </row>
    <row r="1380" spans="1:11" hidden="1" x14ac:dyDescent="0.25">
      <c r="A1380" t="str">
        <f t="shared" si="179"/>
        <v>52100Ø14,61</v>
      </c>
      <c r="B1380" s="81">
        <v>52100</v>
      </c>
      <c r="D1380" s="86">
        <v>14.61</v>
      </c>
      <c r="E1380" s="85">
        <f t="shared" si="190"/>
        <v>1.461E-2</v>
      </c>
      <c r="F1380" s="85">
        <f t="shared" si="191"/>
        <v>7.3049999999999999E-3</v>
      </c>
      <c r="G1380" s="85">
        <f t="shared" si="192"/>
        <v>1.632861202431819E-6</v>
      </c>
      <c r="H1380" s="85">
        <v>7800</v>
      </c>
      <c r="I1380" s="85">
        <f t="shared" si="193"/>
        <v>1.2736317378968189E-2</v>
      </c>
      <c r="J1380" s="87">
        <v>1</v>
      </c>
      <c r="K1380" s="97">
        <f t="shared" si="194"/>
        <v>78.515631343431025</v>
      </c>
    </row>
    <row r="1381" spans="1:11" hidden="1" x14ac:dyDescent="0.25">
      <c r="A1381" t="str">
        <f t="shared" si="179"/>
        <v>52100Ø14,59</v>
      </c>
      <c r="B1381" s="81">
        <v>52100</v>
      </c>
      <c r="D1381" s="86">
        <v>14.59</v>
      </c>
      <c r="E1381" s="85">
        <f t="shared" si="190"/>
        <v>1.4590000000000001E-2</v>
      </c>
      <c r="F1381" s="85">
        <f t="shared" si="191"/>
        <v>7.2950000000000003E-3</v>
      </c>
      <c r="G1381" s="85">
        <f t="shared" si="192"/>
        <v>1.6261645824842299E-6</v>
      </c>
      <c r="H1381" s="85">
        <v>7800</v>
      </c>
      <c r="I1381" s="85">
        <f t="shared" si="193"/>
        <v>1.2684083743376994E-2</v>
      </c>
      <c r="J1381" s="87">
        <v>1</v>
      </c>
      <c r="K1381" s="97">
        <f t="shared" si="194"/>
        <v>78.83896229573152</v>
      </c>
    </row>
    <row r="1382" spans="1:11" hidden="1" x14ac:dyDescent="0.25">
      <c r="A1382" t="str">
        <f t="shared" si="179"/>
        <v>52100Ø14,6</v>
      </c>
      <c r="B1382" s="81">
        <v>52100</v>
      </c>
      <c r="D1382" s="86">
        <v>14.6</v>
      </c>
      <c r="E1382" s="85">
        <f t="shared" si="190"/>
        <v>1.46E-2</v>
      </c>
      <c r="F1382" s="85">
        <f t="shared" si="191"/>
        <v>7.3000000000000001E-3</v>
      </c>
      <c r="G1382" s="85">
        <f t="shared" si="192"/>
        <v>1.6295105990953872E-6</v>
      </c>
      <c r="H1382" s="85">
        <v>7800</v>
      </c>
      <c r="I1382" s="85">
        <f t="shared" si="193"/>
        <v>1.271018267294402E-2</v>
      </c>
      <c r="J1382" s="87">
        <v>1</v>
      </c>
      <c r="K1382" s="97">
        <f t="shared" si="194"/>
        <v>78.677075360111488</v>
      </c>
    </row>
    <row r="1383" spans="1:11" hidden="1" x14ac:dyDescent="0.25">
      <c r="A1383" t="str">
        <f t="shared" si="179"/>
        <v>52100Ø15,65</v>
      </c>
      <c r="B1383" s="81">
        <v>52100</v>
      </c>
      <c r="D1383" s="86">
        <v>15.65</v>
      </c>
      <c r="E1383" s="85">
        <f t="shared" si="190"/>
        <v>1.5650000000000001E-2</v>
      </c>
      <c r="F1383" s="85">
        <f t="shared" si="191"/>
        <v>7.8250000000000004E-3</v>
      </c>
      <c r="G1383" s="85">
        <f t="shared" si="192"/>
        <v>2.0069735454728236E-6</v>
      </c>
      <c r="H1383" s="85">
        <v>7800</v>
      </c>
      <c r="I1383" s="85">
        <f t="shared" si="193"/>
        <v>1.5654393654688025E-2</v>
      </c>
      <c r="J1383" s="87">
        <v>1</v>
      </c>
      <c r="K1383" s="97">
        <f t="shared" si="194"/>
        <v>63.879829654119483</v>
      </c>
    </row>
    <row r="1384" spans="1:11" hidden="1" x14ac:dyDescent="0.25">
      <c r="A1384" t="str">
        <f t="shared" si="179"/>
        <v>52100Ø19,431</v>
      </c>
      <c r="B1384" s="81">
        <v>52100</v>
      </c>
      <c r="D1384" s="86">
        <v>19.431000000000001</v>
      </c>
      <c r="E1384" s="85">
        <f t="shared" si="190"/>
        <v>1.9431E-2</v>
      </c>
      <c r="F1384" s="85">
        <f t="shared" si="191"/>
        <v>9.7155000000000002E-3</v>
      </c>
      <c r="G1384" s="85">
        <f t="shared" si="192"/>
        <v>3.8413517552279075E-6</v>
      </c>
      <c r="H1384" s="85">
        <v>7800</v>
      </c>
      <c r="I1384" s="85">
        <f t="shared" si="193"/>
        <v>2.9962543690777679E-2</v>
      </c>
      <c r="J1384" s="87">
        <v>1</v>
      </c>
      <c r="K1384" s="97">
        <f t="shared" si="194"/>
        <v>33.375003481690207</v>
      </c>
    </row>
    <row r="1385" spans="1:11" hidden="1" x14ac:dyDescent="0.25">
      <c r="A1385" t="str">
        <f t="shared" si="179"/>
        <v>52100Ø19,5834</v>
      </c>
      <c r="B1385" s="81">
        <v>52100</v>
      </c>
      <c r="D1385" s="86">
        <v>19.583400000000001</v>
      </c>
      <c r="E1385" s="85">
        <f t="shared" si="190"/>
        <v>1.9583400000000001E-2</v>
      </c>
      <c r="F1385" s="85">
        <f t="shared" si="191"/>
        <v>9.7917000000000004E-3</v>
      </c>
      <c r="G1385" s="85">
        <f t="shared" si="192"/>
        <v>3.9324472557209138E-6</v>
      </c>
      <c r="H1385" s="85">
        <v>7800</v>
      </c>
      <c r="I1385" s="85">
        <f t="shared" si="193"/>
        <v>3.0673088594623126E-2</v>
      </c>
      <c r="J1385" s="87">
        <v>1</v>
      </c>
      <c r="K1385" s="97">
        <f t="shared" si="194"/>
        <v>32.601868472263867</v>
      </c>
    </row>
    <row r="1386" spans="1:11" hidden="1" x14ac:dyDescent="0.25">
      <c r="A1386" t="str">
        <f t="shared" si="179"/>
        <v>52100Ø19,86</v>
      </c>
      <c r="B1386" s="81">
        <v>52100</v>
      </c>
      <c r="D1386" s="86">
        <v>19.86</v>
      </c>
      <c r="E1386" s="85">
        <f t="shared" si="190"/>
        <v>1.9859999999999999E-2</v>
      </c>
      <c r="F1386" s="85">
        <f t="shared" si="191"/>
        <v>9.9299999999999996E-3</v>
      </c>
      <c r="G1386" s="85">
        <f t="shared" si="192"/>
        <v>4.101439925890939E-6</v>
      </c>
      <c r="H1386" s="85">
        <v>7800</v>
      </c>
      <c r="I1386" s="85">
        <f t="shared" si="193"/>
        <v>3.1991231421949325E-2</v>
      </c>
      <c r="J1386" s="87">
        <v>1</v>
      </c>
      <c r="K1386" s="97">
        <f t="shared" si="194"/>
        <v>31.258565411580111</v>
      </c>
    </row>
    <row r="1387" spans="1:11" hidden="1" x14ac:dyDescent="0.25">
      <c r="A1387" t="str">
        <f t="shared" si="179"/>
        <v>52100Ø19,88</v>
      </c>
      <c r="B1387" s="81">
        <v>52100</v>
      </c>
      <c r="D1387" s="86">
        <v>19.88</v>
      </c>
      <c r="E1387" s="85">
        <f t="shared" si="190"/>
        <v>1.9879999999999998E-2</v>
      </c>
      <c r="F1387" s="85">
        <f t="shared" si="191"/>
        <v>9.9399999999999992E-3</v>
      </c>
      <c r="G1387" s="85">
        <f t="shared" si="192"/>
        <v>4.1138434656636672E-6</v>
      </c>
      <c r="H1387" s="85">
        <v>7800</v>
      </c>
      <c r="I1387" s="85">
        <f t="shared" si="193"/>
        <v>3.2087979032176604E-2</v>
      </c>
      <c r="J1387" s="87">
        <v>1</v>
      </c>
      <c r="K1387" s="97">
        <f t="shared" si="194"/>
        <v>31.164318544251042</v>
      </c>
    </row>
    <row r="1388" spans="1:11" hidden="1" x14ac:dyDescent="0.25">
      <c r="A1388" t="str">
        <f t="shared" si="179"/>
        <v>52100Ø19,98</v>
      </c>
      <c r="B1388" s="81">
        <v>52100</v>
      </c>
      <c r="D1388" s="86">
        <v>19.98</v>
      </c>
      <c r="E1388" s="85">
        <f t="shared" si="190"/>
        <v>1.9980000000000001E-2</v>
      </c>
      <c r="F1388" s="85">
        <f t="shared" si="191"/>
        <v>9.9900000000000006E-3</v>
      </c>
      <c r="G1388" s="85">
        <f t="shared" si="192"/>
        <v>4.1762363963538559E-6</v>
      </c>
      <c r="H1388" s="85">
        <v>7800</v>
      </c>
      <c r="I1388" s="85">
        <f t="shared" si="193"/>
        <v>3.2574643891560076E-2</v>
      </c>
      <c r="J1388" s="87">
        <v>1</v>
      </c>
      <c r="K1388" s="97">
        <f t="shared" si="194"/>
        <v>30.698723931686477</v>
      </c>
    </row>
    <row r="1389" spans="1:11" hidden="1" x14ac:dyDescent="0.25">
      <c r="A1389" t="str">
        <f t="shared" si="179"/>
        <v>52100Ø20,01</v>
      </c>
      <c r="B1389" s="81">
        <v>52100</v>
      </c>
      <c r="D1389" s="86">
        <v>20.010000000000002</v>
      </c>
      <c r="E1389" s="85">
        <f t="shared" si="190"/>
        <v>2.001E-2</v>
      </c>
      <c r="F1389" s="85">
        <f t="shared" si="191"/>
        <v>1.0005E-2</v>
      </c>
      <c r="G1389" s="85">
        <f t="shared" si="192"/>
        <v>4.1950765322098226E-6</v>
      </c>
      <c r="H1389" s="85">
        <v>7800</v>
      </c>
      <c r="I1389" s="85">
        <f t="shared" si="193"/>
        <v>3.2721596951236616E-2</v>
      </c>
      <c r="J1389" s="87">
        <v>1</v>
      </c>
      <c r="K1389" s="97">
        <f t="shared" si="194"/>
        <v>30.560855617476456</v>
      </c>
    </row>
    <row r="1390" spans="1:11" hidden="1" x14ac:dyDescent="0.25">
      <c r="A1390" t="str">
        <f t="shared" si="179"/>
        <v>52100Ø20,12</v>
      </c>
      <c r="B1390" s="81">
        <v>52100</v>
      </c>
      <c r="D1390" s="86">
        <v>20.12</v>
      </c>
      <c r="E1390" s="85">
        <f t="shared" si="190"/>
        <v>2.0120000000000002E-2</v>
      </c>
      <c r="F1390" s="85">
        <f t="shared" si="191"/>
        <v>1.0060000000000001E-2</v>
      </c>
      <c r="G1390" s="85">
        <f t="shared" si="192"/>
        <v>4.2646417225933484E-6</v>
      </c>
      <c r="H1390" s="85">
        <v>7800</v>
      </c>
      <c r="I1390" s="85">
        <f t="shared" si="193"/>
        <v>3.3264205436228121E-2</v>
      </c>
      <c r="J1390" s="87">
        <v>1</v>
      </c>
      <c r="K1390" s="97">
        <f t="shared" si="194"/>
        <v>30.062344399511726</v>
      </c>
    </row>
    <row r="1391" spans="1:11" hidden="1" x14ac:dyDescent="0.25">
      <c r="A1391" t="str">
        <f t="shared" si="179"/>
        <v>52100Ø20,225</v>
      </c>
      <c r="B1391" s="81">
        <v>52100</v>
      </c>
      <c r="D1391" s="86">
        <v>20.225000000000001</v>
      </c>
      <c r="E1391" s="85">
        <f t="shared" si="190"/>
        <v>2.0225E-2</v>
      </c>
      <c r="F1391" s="85">
        <f t="shared" si="191"/>
        <v>1.01125E-2</v>
      </c>
      <c r="G1391" s="85">
        <f t="shared" si="192"/>
        <v>4.3317582695961146E-6</v>
      </c>
      <c r="H1391" s="85">
        <v>7800</v>
      </c>
      <c r="I1391" s="85">
        <f t="shared" si="193"/>
        <v>3.3787714502849696E-2</v>
      </c>
      <c r="J1391" s="87">
        <v>1</v>
      </c>
      <c r="K1391" s="97">
        <f t="shared" si="194"/>
        <v>29.596556461836411</v>
      </c>
    </row>
    <row r="1392" spans="1:11" hidden="1" x14ac:dyDescent="0.25">
      <c r="A1392" t="str">
        <f t="shared" si="179"/>
        <v>52100Ø20,325</v>
      </c>
      <c r="B1392" s="81">
        <v>52100</v>
      </c>
      <c r="D1392" s="86">
        <v>20.324999999999999</v>
      </c>
      <c r="E1392" s="85">
        <f t="shared" si="190"/>
        <v>2.0324999999999999E-2</v>
      </c>
      <c r="F1392" s="85">
        <f t="shared" si="191"/>
        <v>1.01625E-2</v>
      </c>
      <c r="G1392" s="85">
        <f t="shared" si="192"/>
        <v>4.3963300086743002E-6</v>
      </c>
      <c r="H1392" s="85">
        <v>7800</v>
      </c>
      <c r="I1392" s="85">
        <f t="shared" si="193"/>
        <v>3.4291374067659544E-2</v>
      </c>
      <c r="J1392" s="87">
        <v>1</v>
      </c>
      <c r="K1392" s="97">
        <f t="shared" si="194"/>
        <v>29.161852716281427</v>
      </c>
    </row>
    <row r="1393" spans="1:11" hidden="1" x14ac:dyDescent="0.25">
      <c r="A1393" t="str">
        <f t="shared" si="179"/>
        <v>52100Ø20,35</v>
      </c>
      <c r="B1393" s="81">
        <v>52100</v>
      </c>
      <c r="D1393" s="86">
        <v>20.350000000000001</v>
      </c>
      <c r="E1393" s="85">
        <f t="shared" si="190"/>
        <v>2.035E-2</v>
      </c>
      <c r="F1393" s="85">
        <f t="shared" si="191"/>
        <v>1.0175E-2</v>
      </c>
      <c r="G1393" s="85">
        <f t="shared" si="192"/>
        <v>4.4125725908358273E-6</v>
      </c>
      <c r="H1393" s="85">
        <v>7800</v>
      </c>
      <c r="I1393" s="85">
        <f t="shared" si="193"/>
        <v>3.4418066208519456E-2</v>
      </c>
      <c r="J1393" s="87">
        <v>1</v>
      </c>
      <c r="K1393" s="97">
        <f t="shared" si="194"/>
        <v>29.054508581091387</v>
      </c>
    </row>
    <row r="1394" spans="1:11" hidden="1" x14ac:dyDescent="0.25">
      <c r="A1394" t="str">
        <f t="shared" si="179"/>
        <v>52100Ø20,65</v>
      </c>
      <c r="B1394" s="81">
        <v>52100</v>
      </c>
      <c r="D1394" s="86">
        <v>20.65</v>
      </c>
      <c r="E1394" s="85">
        <f t="shared" si="190"/>
        <v>2.0649999999999998E-2</v>
      </c>
      <c r="F1394" s="85">
        <f t="shared" si="191"/>
        <v>1.0324999999999999E-2</v>
      </c>
      <c r="G1394" s="85">
        <f t="shared" si="192"/>
        <v>4.6106142720282279E-6</v>
      </c>
      <c r="H1394" s="85">
        <v>7800</v>
      </c>
      <c r="I1394" s="85">
        <f t="shared" si="193"/>
        <v>3.5962791321820176E-2</v>
      </c>
      <c r="J1394" s="87">
        <v>1</v>
      </c>
      <c r="K1394" s="97">
        <f t="shared" si="194"/>
        <v>27.806517882644357</v>
      </c>
    </row>
    <row r="1395" spans="1:11" hidden="1" x14ac:dyDescent="0.25">
      <c r="A1395" t="str">
        <f t="shared" si="179"/>
        <v>52100Ø20,7137</v>
      </c>
      <c r="B1395" s="81">
        <v>52100</v>
      </c>
      <c r="D1395" s="86">
        <v>20.713699999999999</v>
      </c>
      <c r="E1395" s="85">
        <f t="shared" si="190"/>
        <v>2.0713699999999998E-2</v>
      </c>
      <c r="F1395" s="85">
        <f t="shared" si="191"/>
        <v>1.0356849999999999E-2</v>
      </c>
      <c r="G1395" s="85">
        <f t="shared" si="192"/>
        <v>4.6534137449466594E-6</v>
      </c>
      <c r="H1395" s="85">
        <v>7800</v>
      </c>
      <c r="I1395" s="85">
        <f t="shared" si="193"/>
        <v>3.6296627210583944E-2</v>
      </c>
      <c r="J1395" s="87">
        <v>1</v>
      </c>
      <c r="K1395" s="97">
        <f t="shared" si="194"/>
        <v>27.550769227075847</v>
      </c>
    </row>
    <row r="1396" spans="1:11" hidden="1" x14ac:dyDescent="0.25">
      <c r="A1396" t="str">
        <f t="shared" si="179"/>
        <v>VESCØ8</v>
      </c>
      <c r="B1396" s="81" t="s">
        <v>210</v>
      </c>
      <c r="D1396" s="86">
        <v>8</v>
      </c>
      <c r="E1396" s="85">
        <f t="shared" si="190"/>
        <v>8.0000000000000002E-3</v>
      </c>
      <c r="F1396" s="85">
        <f t="shared" si="191"/>
        <v>4.0000000000000001E-3</v>
      </c>
      <c r="G1396" s="85">
        <f t="shared" si="192"/>
        <v>2.6808257310632902E-7</v>
      </c>
      <c r="H1396" s="85">
        <v>2500</v>
      </c>
      <c r="I1396" s="85">
        <f t="shared" si="193"/>
        <v>6.7020643276582254E-4</v>
      </c>
      <c r="J1396" s="87">
        <v>1</v>
      </c>
      <c r="K1396" s="88">
        <f t="shared" si="194"/>
        <v>1492.0775914865187</v>
      </c>
    </row>
    <row r="1397" spans="1:11" hidden="1" x14ac:dyDescent="0.25">
      <c r="A1397" t="str">
        <f t="shared" si="179"/>
        <v>VESCØ10</v>
      </c>
      <c r="B1397" s="81" t="s">
        <v>210</v>
      </c>
      <c r="D1397" s="86">
        <v>10</v>
      </c>
      <c r="E1397" s="85">
        <f t="shared" si="190"/>
        <v>0.01</v>
      </c>
      <c r="F1397" s="85">
        <f t="shared" si="191"/>
        <v>5.0000000000000001E-3</v>
      </c>
      <c r="G1397" s="85">
        <f t="shared" si="192"/>
        <v>5.2359877559829882E-7</v>
      </c>
      <c r="H1397" s="85">
        <v>2500</v>
      </c>
      <c r="I1397" s="85">
        <f t="shared" si="193"/>
        <v>1.308996938995747E-3</v>
      </c>
      <c r="J1397" s="87">
        <v>1</v>
      </c>
      <c r="K1397" s="88">
        <f t="shared" si="194"/>
        <v>763.94372684109771</v>
      </c>
    </row>
    <row r="1398" spans="1:11" hidden="1" x14ac:dyDescent="0.25">
      <c r="A1398" t="str">
        <f t="shared" si="179"/>
        <v>52100Ø3,94875</v>
      </c>
      <c r="B1398" s="81">
        <v>52100</v>
      </c>
      <c r="C1398" s="101" t="s">
        <v>349</v>
      </c>
      <c r="D1398" s="86">
        <f>5/32*25.4-0.02</f>
        <v>3.94875</v>
      </c>
      <c r="E1398" s="85">
        <f t="shared" si="190"/>
        <v>3.94875E-3</v>
      </c>
      <c r="F1398" s="85">
        <f t="shared" si="191"/>
        <v>1.974375E-3</v>
      </c>
      <c r="G1398" s="85">
        <f t="shared" si="192"/>
        <v>3.2238701346901108E-8</v>
      </c>
      <c r="H1398" s="85">
        <v>7800</v>
      </c>
      <c r="I1398" s="85">
        <f t="shared" si="193"/>
        <v>2.5146187050582863E-4</v>
      </c>
      <c r="J1398" s="87">
        <v>1</v>
      </c>
      <c r="K1398" s="88">
        <f t="shared" si="194"/>
        <v>3976.7460489673763</v>
      </c>
    </row>
    <row r="1399" spans="1:11" hidden="1" x14ac:dyDescent="0.25">
      <c r="A1399" t="str">
        <f t="shared" si="179"/>
        <v>PA6.6Ø3,96875</v>
      </c>
      <c r="B1399" s="81" t="s">
        <v>244</v>
      </c>
      <c r="C1399" s="101" t="s">
        <v>215</v>
      </c>
      <c r="D1399" s="86">
        <f>5/32*25.4</f>
        <v>3.96875</v>
      </c>
      <c r="E1399" s="85">
        <f t="shared" si="190"/>
        <v>3.9687500000000001E-3</v>
      </c>
      <c r="F1399" s="85">
        <f t="shared" si="191"/>
        <v>1.984375E-3</v>
      </c>
      <c r="G1399" s="85">
        <f t="shared" si="192"/>
        <v>3.2731043419078684E-8</v>
      </c>
      <c r="H1399" s="85">
        <v>1110</v>
      </c>
      <c r="I1399" s="85">
        <f t="shared" si="193"/>
        <v>3.6331458195177338E-5</v>
      </c>
      <c r="J1399" s="87">
        <v>1</v>
      </c>
      <c r="K1399" s="88">
        <f t="shared" si="194"/>
        <v>27524.356292771663</v>
      </c>
    </row>
    <row r="1400" spans="1:11" hidden="1" x14ac:dyDescent="0.25">
      <c r="A1400" t="str">
        <f t="shared" si="179"/>
        <v>POMØ1,5875</v>
      </c>
      <c r="B1400" s="81" t="s">
        <v>201</v>
      </c>
      <c r="C1400" s="101" t="s">
        <v>246</v>
      </c>
      <c r="D1400" s="86">
        <f>1/16*25.4</f>
        <v>1.5874999999999999</v>
      </c>
      <c r="E1400" s="85">
        <f t="shared" si="190"/>
        <v>1.5874999999999999E-3</v>
      </c>
      <c r="F1400" s="85">
        <f t="shared" si="191"/>
        <v>7.9374999999999997E-4</v>
      </c>
      <c r="G1400" s="85">
        <f t="shared" si="192"/>
        <v>2.0947867788210349E-9</v>
      </c>
      <c r="H1400" s="85">
        <v>1370</v>
      </c>
      <c r="I1400" s="85">
        <f t="shared" si="193"/>
        <v>2.8698578869848178E-6</v>
      </c>
      <c r="J1400" s="87">
        <v>1</v>
      </c>
      <c r="K1400" s="88">
        <f t="shared" si="194"/>
        <v>348449.30981953192</v>
      </c>
    </row>
    <row r="1401" spans="1:11" hidden="1" x14ac:dyDescent="0.25">
      <c r="A1401" t="str">
        <f t="shared" si="179"/>
        <v>52100Ø3,2</v>
      </c>
      <c r="B1401" s="81">
        <v>52100</v>
      </c>
      <c r="D1401" s="86">
        <v>3.2</v>
      </c>
      <c r="E1401" s="85">
        <f>D1401/1000</f>
        <v>3.2000000000000002E-3</v>
      </c>
      <c r="F1401" s="85">
        <f>E1401/2</f>
        <v>1.6000000000000001E-3</v>
      </c>
      <c r="G1401" s="85">
        <f>4/3*PI()*F1401*F1401*F1401</f>
        <v>1.7157284678805058E-8</v>
      </c>
      <c r="H1401" s="85">
        <v>7800</v>
      </c>
      <c r="I1401" s="85">
        <f>H1401*G1401</f>
        <v>1.3382682049467944E-4</v>
      </c>
      <c r="J1401" s="87">
        <v>1</v>
      </c>
      <c r="K1401" s="88">
        <f>J1401/I1401</f>
        <v>7472.3437073643772</v>
      </c>
    </row>
    <row r="1402" spans="1:11" hidden="1" x14ac:dyDescent="0.25">
      <c r="A1402" t="str">
        <f t="shared" si="179"/>
        <v>52100Ø3,275</v>
      </c>
      <c r="B1402" s="81">
        <v>52100</v>
      </c>
      <c r="D1402" s="86">
        <v>3.2749999999999999</v>
      </c>
      <c r="E1402" s="85">
        <f>D1402/1000</f>
        <v>3.2749999999999997E-3</v>
      </c>
      <c r="F1402" s="85">
        <f>E1402/2</f>
        <v>1.6374999999999998E-3</v>
      </c>
      <c r="G1402" s="85">
        <f>4/3*PI()*F1402*F1402*F1402</f>
        <v>1.8392151484899296E-8</v>
      </c>
      <c r="H1402" s="85">
        <v>7800</v>
      </c>
      <c r="I1402" s="85">
        <f>H1402*G1402</f>
        <v>1.4345878158221451E-4</v>
      </c>
      <c r="J1402" s="87">
        <v>1</v>
      </c>
      <c r="K1402" s="88">
        <f>J1402/I1402</f>
        <v>6970.6433372077117</v>
      </c>
    </row>
    <row r="1403" spans="1:11" hidden="1" x14ac:dyDescent="0.25">
      <c r="A1403" t="str">
        <f t="shared" si="179"/>
        <v>VESCØ16</v>
      </c>
      <c r="B1403" s="81" t="s">
        <v>210</v>
      </c>
      <c r="D1403" s="86">
        <v>16</v>
      </c>
      <c r="E1403" s="85">
        <f>D1403/1000</f>
        <v>1.6E-2</v>
      </c>
      <c r="F1403" s="85">
        <f>E1403/2</f>
        <v>8.0000000000000002E-3</v>
      </c>
      <c r="G1403" s="85">
        <f>4/3*PI()*F1403*F1403*F1403</f>
        <v>2.1446605848506321E-6</v>
      </c>
      <c r="H1403" s="85">
        <v>2500</v>
      </c>
      <c r="I1403" s="85">
        <f>H1403*G1403</f>
        <v>5.3616514621265803E-3</v>
      </c>
      <c r="J1403" s="87">
        <v>1</v>
      </c>
      <c r="K1403" s="88">
        <f>J1403/I1403</f>
        <v>186.50969893581484</v>
      </c>
    </row>
    <row r="1404" spans="1:11" hidden="1" x14ac:dyDescent="0.25">
      <c r="A1404" t="str">
        <f t="shared" si="179"/>
        <v>52100Ø40,15</v>
      </c>
      <c r="B1404" s="81">
        <v>52100</v>
      </c>
      <c r="D1404" s="86">
        <v>40.15</v>
      </c>
      <c r="E1404" s="85">
        <f>D1404/1000</f>
        <v>4.0149999999999998E-2</v>
      </c>
      <c r="F1404" s="85">
        <f>E1404/2</f>
        <v>2.0074999999999999E-2</v>
      </c>
      <c r="G1404" s="85">
        <f>4/3*PI()*F1404*F1404*F1404</f>
        <v>3.388872824056188E-5</v>
      </c>
      <c r="H1404" s="85">
        <v>7800</v>
      </c>
      <c r="I1404" s="85">
        <f>H1404*G1404</f>
        <v>0.26433208027638266</v>
      </c>
      <c r="J1404" s="87">
        <v>1</v>
      </c>
      <c r="K1404" s="97">
        <f>J1404/I1404</f>
        <v>3.783120077420838</v>
      </c>
    </row>
    <row r="1405" spans="1:11" hidden="1" x14ac:dyDescent="0.25">
      <c r="A1405" t="str">
        <f t="shared" si="179"/>
        <v>52100Ø3,1</v>
      </c>
      <c r="B1405" s="81">
        <v>52100</v>
      </c>
      <c r="D1405" s="86">
        <v>3.1</v>
      </c>
      <c r="E1405" s="85">
        <f>D1405/1000</f>
        <v>3.0999999999999999E-3</v>
      </c>
      <c r="F1405" s="85">
        <f>E1405/2</f>
        <v>1.5499999999999999E-3</v>
      </c>
      <c r="G1405" s="85">
        <f>4/3*PI()*F1405*F1405*F1405</f>
        <v>1.5598531123848918E-8</v>
      </c>
      <c r="H1405" s="85">
        <v>7800</v>
      </c>
      <c r="I1405" s="85">
        <f>H1405*G1405</f>
        <v>1.2166854276602155E-4</v>
      </c>
      <c r="J1405" s="87">
        <v>1</v>
      </c>
      <c r="K1405" s="88">
        <f>J1405/I1405</f>
        <v>8219.051344463629</v>
      </c>
    </row>
    <row r="1406" spans="1:11" hidden="1" x14ac:dyDescent="0.25">
      <c r="A1406" t="str">
        <f t="shared" si="179"/>
        <v>52100Ø5</v>
      </c>
      <c r="B1406" s="81">
        <v>52100</v>
      </c>
      <c r="D1406" s="86">
        <v>5</v>
      </c>
      <c r="E1406" s="85">
        <f t="shared" ref="E1406:E1414" si="195">D1406/1000</f>
        <v>5.0000000000000001E-3</v>
      </c>
      <c r="F1406" s="85">
        <f t="shared" ref="F1406:F1414" si="196">E1406/2</f>
        <v>2.5000000000000001E-3</v>
      </c>
      <c r="G1406" s="85">
        <f t="shared" ref="G1406:G1414" si="197">4/3*PI()*F1406*F1406*F1406</f>
        <v>6.5449846949787352E-8</v>
      </c>
      <c r="H1406" s="85">
        <v>7800</v>
      </c>
      <c r="I1406" s="85">
        <f t="shared" ref="I1406:I1414" si="198">H1406*G1406</f>
        <v>5.1050880620834131E-4</v>
      </c>
      <c r="J1406" s="87">
        <v>1</v>
      </c>
      <c r="K1406" s="88">
        <f t="shared" ref="K1406:K1414" si="199">J1406/I1406</f>
        <v>1958.8300688233276</v>
      </c>
    </row>
    <row r="1407" spans="1:11" hidden="1" x14ac:dyDescent="0.25">
      <c r="A1407" t="str">
        <f t="shared" si="179"/>
        <v>VESCØ5</v>
      </c>
      <c r="B1407" s="81" t="s">
        <v>210</v>
      </c>
      <c r="D1407" s="86">
        <v>5</v>
      </c>
      <c r="E1407" s="85">
        <f t="shared" si="195"/>
        <v>5.0000000000000001E-3</v>
      </c>
      <c r="F1407" s="85">
        <f t="shared" si="196"/>
        <v>2.5000000000000001E-3</v>
      </c>
      <c r="G1407" s="85">
        <f t="shared" si="197"/>
        <v>6.5449846949787352E-8</v>
      </c>
      <c r="H1407" s="85">
        <v>2500</v>
      </c>
      <c r="I1407" s="85">
        <f t="shared" si="198"/>
        <v>1.6362461737446838E-4</v>
      </c>
      <c r="J1407" s="87">
        <v>1</v>
      </c>
      <c r="K1407" s="88">
        <f t="shared" si="199"/>
        <v>6111.5498147287817</v>
      </c>
    </row>
    <row r="1408" spans="1:11" hidden="1" x14ac:dyDescent="0.25">
      <c r="A1408" t="str">
        <f t="shared" si="179"/>
        <v>OttoneØ1</v>
      </c>
      <c r="B1408" s="81" t="s">
        <v>216</v>
      </c>
      <c r="D1408" s="86">
        <v>1</v>
      </c>
      <c r="E1408" s="85">
        <f t="shared" si="195"/>
        <v>1E-3</v>
      </c>
      <c r="F1408" s="85">
        <f t="shared" si="196"/>
        <v>5.0000000000000001E-4</v>
      </c>
      <c r="G1408" s="85">
        <f t="shared" si="197"/>
        <v>5.2359877559829886E-10</v>
      </c>
      <c r="H1408" s="85">
        <v>8490</v>
      </c>
      <c r="I1408" s="85">
        <f t="shared" si="198"/>
        <v>4.4453536048295575E-6</v>
      </c>
      <c r="J1408" s="87">
        <v>1</v>
      </c>
      <c r="K1408" s="88">
        <f t="shared" si="199"/>
        <v>224953.98316875665</v>
      </c>
    </row>
    <row r="1409" spans="1:11" hidden="1" x14ac:dyDescent="0.25">
      <c r="A1409" t="str">
        <f t="shared" si="179"/>
        <v>OttoneØ1</v>
      </c>
      <c r="B1409" s="81" t="s">
        <v>216</v>
      </c>
      <c r="D1409" s="86">
        <v>1</v>
      </c>
      <c r="E1409" s="85">
        <f t="shared" si="195"/>
        <v>1E-3</v>
      </c>
      <c r="F1409" s="85">
        <f t="shared" si="196"/>
        <v>5.0000000000000001E-4</v>
      </c>
      <c r="G1409" s="85">
        <f t="shared" si="197"/>
        <v>5.2359877559829886E-10</v>
      </c>
      <c r="H1409" s="85">
        <v>8700</v>
      </c>
      <c r="I1409" s="85">
        <f t="shared" si="198"/>
        <v>4.5553093477052002E-6</v>
      </c>
      <c r="J1409" s="87">
        <v>1</v>
      </c>
      <c r="K1409" s="88">
        <f t="shared" si="199"/>
        <v>219524.05943709702</v>
      </c>
    </row>
    <row r="1410" spans="1:11" hidden="1" x14ac:dyDescent="0.25">
      <c r="A1410" t="str">
        <f t="shared" si="179"/>
        <v>Al2O3Ø1,5</v>
      </c>
      <c r="B1410" s="81" t="s">
        <v>217</v>
      </c>
      <c r="D1410" s="86">
        <v>1.5</v>
      </c>
      <c r="E1410" s="85">
        <f t="shared" si="195"/>
        <v>1.5E-3</v>
      </c>
      <c r="F1410" s="85">
        <f t="shared" si="196"/>
        <v>7.5000000000000002E-4</v>
      </c>
      <c r="G1410" s="85">
        <f t="shared" si="197"/>
        <v>1.7671458676442585E-9</v>
      </c>
      <c r="H1410" s="85">
        <v>3900</v>
      </c>
      <c r="I1410" s="85">
        <f t="shared" si="198"/>
        <v>6.8918688838126086E-6</v>
      </c>
      <c r="J1410" s="87">
        <v>1</v>
      </c>
      <c r="K1410" s="88">
        <f t="shared" si="199"/>
        <v>145098.52361654275</v>
      </c>
    </row>
    <row r="1411" spans="1:11" hidden="1" x14ac:dyDescent="0.25">
      <c r="A1411" t="str">
        <f t="shared" si="179"/>
        <v>Al2O3Ø1,5</v>
      </c>
      <c r="B1411" s="81" t="s">
        <v>217</v>
      </c>
      <c r="D1411" s="86">
        <v>1.5</v>
      </c>
      <c r="E1411" s="85">
        <f t="shared" si="195"/>
        <v>1.5E-3</v>
      </c>
      <c r="F1411" s="85">
        <f t="shared" si="196"/>
        <v>7.5000000000000002E-4</v>
      </c>
      <c r="G1411" s="85">
        <f t="shared" si="197"/>
        <v>1.7671458676442585E-9</v>
      </c>
      <c r="H1411" s="85">
        <v>3900</v>
      </c>
      <c r="I1411" s="85">
        <f t="shared" si="198"/>
        <v>6.8918688838126086E-6</v>
      </c>
      <c r="J1411" s="87">
        <v>1</v>
      </c>
      <c r="K1411" s="88">
        <f t="shared" si="199"/>
        <v>145098.52361654275</v>
      </c>
    </row>
    <row r="1412" spans="1:11" hidden="1" x14ac:dyDescent="0.25">
      <c r="A1412" t="str">
        <f t="shared" ref="A1412:A1475" si="200">CONCATENATE(B1412,"Ø",D1412)</f>
        <v>WC-CoØ2,9</v>
      </c>
      <c r="B1412" s="81" t="s">
        <v>297</v>
      </c>
      <c r="D1412" s="86">
        <v>2.9</v>
      </c>
      <c r="E1412" s="85">
        <f t="shared" si="195"/>
        <v>2.8999999999999998E-3</v>
      </c>
      <c r="F1412" s="85">
        <f t="shared" si="196"/>
        <v>1.4499999999999999E-3</v>
      </c>
      <c r="G1412" s="85">
        <f t="shared" si="197"/>
        <v>1.2770050538066907E-8</v>
      </c>
      <c r="H1412" s="85">
        <v>14950</v>
      </c>
      <c r="I1412" s="85">
        <f t="shared" si="198"/>
        <v>1.9091225554410026E-4</v>
      </c>
      <c r="J1412" s="87">
        <v>1</v>
      </c>
      <c r="K1412" s="88">
        <f t="shared" si="199"/>
        <v>5238.0084094129961</v>
      </c>
    </row>
    <row r="1413" spans="1:11" hidden="1" x14ac:dyDescent="0.25">
      <c r="A1413" t="str">
        <f t="shared" si="200"/>
        <v>304Ø0,3</v>
      </c>
      <c r="B1413" s="81">
        <v>304</v>
      </c>
      <c r="D1413" s="86">
        <v>0.3</v>
      </c>
      <c r="E1413" s="85">
        <f t="shared" si="195"/>
        <v>2.9999999999999997E-4</v>
      </c>
      <c r="F1413" s="85">
        <f t="shared" si="196"/>
        <v>1.4999999999999999E-4</v>
      </c>
      <c r="G1413" s="85">
        <f t="shared" si="197"/>
        <v>1.4137166941154065E-11</v>
      </c>
      <c r="H1413" s="85">
        <v>7950</v>
      </c>
      <c r="I1413" s="85">
        <f t="shared" si="198"/>
        <v>1.1239047718217482E-7</v>
      </c>
      <c r="J1413" s="87">
        <v>1</v>
      </c>
      <c r="K1413" s="88">
        <f t="shared" si="199"/>
        <v>8897550.9764861148</v>
      </c>
    </row>
    <row r="1414" spans="1:11" hidden="1" x14ac:dyDescent="0.25">
      <c r="A1414" t="str">
        <f t="shared" si="200"/>
        <v>420CØ30</v>
      </c>
      <c r="B1414" s="81" t="s">
        <v>295</v>
      </c>
      <c r="D1414" s="86">
        <v>30</v>
      </c>
      <c r="E1414" s="85">
        <f t="shared" si="195"/>
        <v>0.03</v>
      </c>
      <c r="F1414" s="85">
        <f t="shared" si="196"/>
        <v>1.4999999999999999E-2</v>
      </c>
      <c r="G1414" s="85">
        <f t="shared" si="197"/>
        <v>1.4137166941154067E-5</v>
      </c>
      <c r="H1414" s="85">
        <v>7700</v>
      </c>
      <c r="I1414" s="85">
        <f t="shared" si="198"/>
        <v>0.10885618544688631</v>
      </c>
      <c r="J1414" s="87">
        <v>1</v>
      </c>
      <c r="K1414" s="88">
        <f t="shared" si="199"/>
        <v>9.1864325016967019</v>
      </c>
    </row>
    <row r="1415" spans="1:11" hidden="1" x14ac:dyDescent="0.25">
      <c r="A1415" t="str">
        <f t="shared" si="200"/>
        <v>52100Ø30</v>
      </c>
      <c r="B1415" s="81">
        <v>52100</v>
      </c>
      <c r="D1415" s="86">
        <v>30</v>
      </c>
      <c r="E1415" s="85">
        <f>D1415/1000</f>
        <v>0.03</v>
      </c>
      <c r="F1415" s="85">
        <f>E1415/2</f>
        <v>1.4999999999999999E-2</v>
      </c>
      <c r="G1415" s="85">
        <f>4/3*PI()*F1415*F1415*F1415</f>
        <v>1.4137166941154067E-5</v>
      </c>
      <c r="H1415" s="85">
        <v>7800</v>
      </c>
      <c r="I1415" s="85">
        <f>H1415*G1415</f>
        <v>0.11026990214100173</v>
      </c>
      <c r="J1415" s="87">
        <v>1</v>
      </c>
      <c r="K1415" s="88">
        <f>J1415/I1415</f>
        <v>9.0686577260339227</v>
      </c>
    </row>
    <row r="1416" spans="1:11" hidden="1" x14ac:dyDescent="0.25">
      <c r="A1416" t="str">
        <f t="shared" si="200"/>
        <v>1010Ø15,08125</v>
      </c>
      <c r="B1416" s="81">
        <v>1010</v>
      </c>
      <c r="C1416" s="101" t="s">
        <v>267</v>
      </c>
      <c r="D1416" s="86">
        <f>19/32*25.4</f>
        <v>15.081249999999999</v>
      </c>
      <c r="E1416" s="85">
        <f>D1416/1000</f>
        <v>1.5081249999999999E-2</v>
      </c>
      <c r="F1416" s="85">
        <f>E1416/2</f>
        <v>7.5406249999999996E-3</v>
      </c>
      <c r="G1416" s="85">
        <f>4/3*PI()*F1416*F1416*F1416</f>
        <v>1.7960178144916849E-6</v>
      </c>
      <c r="H1416" s="85">
        <v>7820</v>
      </c>
      <c r="I1416" s="85">
        <f>H1416*G1416</f>
        <v>1.4044859309324975E-2</v>
      </c>
      <c r="J1416" s="87">
        <v>1</v>
      </c>
      <c r="K1416" s="88">
        <f>J1416/I1416</f>
        <v>71.200428425513508</v>
      </c>
    </row>
    <row r="1417" spans="1:11" hidden="1" x14ac:dyDescent="0.25">
      <c r="A1417" t="str">
        <f t="shared" si="200"/>
        <v>1010Ø16</v>
      </c>
      <c r="B1417" s="81">
        <v>1010</v>
      </c>
      <c r="D1417" s="86">
        <v>16</v>
      </c>
      <c r="E1417" s="85">
        <f t="shared" ref="E1417:E1449" si="201">D1417/1000</f>
        <v>1.6E-2</v>
      </c>
      <c r="F1417" s="85">
        <f t="shared" ref="F1417:F1449" si="202">E1417/2</f>
        <v>8.0000000000000002E-3</v>
      </c>
      <c r="G1417" s="85">
        <f t="shared" ref="G1417:G1449" si="203">4/3*PI()*F1417*F1417*F1417</f>
        <v>2.1446605848506321E-6</v>
      </c>
      <c r="H1417" s="85">
        <v>7820</v>
      </c>
      <c r="I1417" s="85">
        <f t="shared" ref="I1417:I1449" si="204">H1417*G1417</f>
        <v>1.6771245773531944E-2</v>
      </c>
      <c r="J1417" s="87">
        <v>1</v>
      </c>
      <c r="K1417" s="88">
        <f t="shared" ref="K1417:K1449" si="205">J1417/I1417</f>
        <v>59.625862831142854</v>
      </c>
    </row>
    <row r="1418" spans="1:11" hidden="1" x14ac:dyDescent="0.25">
      <c r="A1418" t="str">
        <f t="shared" si="200"/>
        <v>1010Ø17,4625</v>
      </c>
      <c r="B1418" s="81">
        <v>1010</v>
      </c>
      <c r="C1418" s="101" t="s">
        <v>264</v>
      </c>
      <c r="D1418" s="86">
        <f>11/16*25.4</f>
        <v>17.462499999999999</v>
      </c>
      <c r="E1418" s="85">
        <f t="shared" si="201"/>
        <v>1.7462499999999999E-2</v>
      </c>
      <c r="F1418" s="85">
        <f t="shared" si="202"/>
        <v>8.7312499999999994E-3</v>
      </c>
      <c r="G1418" s="85">
        <f t="shared" si="203"/>
        <v>2.7881612026107975E-6</v>
      </c>
      <c r="H1418" s="85">
        <v>7820</v>
      </c>
      <c r="I1418" s="85">
        <f t="shared" si="204"/>
        <v>2.1803420604416437E-2</v>
      </c>
      <c r="J1418" s="87">
        <v>1</v>
      </c>
      <c r="K1418" s="88">
        <f t="shared" si="205"/>
        <v>45.864363126464795</v>
      </c>
    </row>
    <row r="1419" spans="1:11" hidden="1" x14ac:dyDescent="0.25">
      <c r="A1419" t="str">
        <f t="shared" si="200"/>
        <v>440CØ1,5875</v>
      </c>
      <c r="B1419" s="81" t="s">
        <v>314</v>
      </c>
      <c r="C1419" s="101" t="s">
        <v>246</v>
      </c>
      <c r="D1419" s="86">
        <f>1/16*25.4</f>
        <v>1.5874999999999999</v>
      </c>
      <c r="E1419" s="85">
        <f t="shared" si="201"/>
        <v>1.5874999999999999E-3</v>
      </c>
      <c r="F1419" s="85">
        <f t="shared" si="202"/>
        <v>7.9374999999999997E-4</v>
      </c>
      <c r="G1419" s="85">
        <f t="shared" si="203"/>
        <v>2.0947867788210349E-9</v>
      </c>
      <c r="H1419" s="85">
        <v>7700</v>
      </c>
      <c r="I1419" s="85">
        <f t="shared" si="204"/>
        <v>1.6129858196921968E-5</v>
      </c>
      <c r="J1419" s="87">
        <v>1</v>
      </c>
      <c r="K1419" s="88">
        <f t="shared" si="205"/>
        <v>61996.825253605035</v>
      </c>
    </row>
    <row r="1420" spans="1:11" hidden="1" x14ac:dyDescent="0.25">
      <c r="A1420" t="str">
        <f t="shared" si="200"/>
        <v>420CØ1,5</v>
      </c>
      <c r="B1420" s="81" t="s">
        <v>295</v>
      </c>
      <c r="D1420" s="86">
        <v>1.5</v>
      </c>
      <c r="E1420" s="85">
        <f t="shared" si="201"/>
        <v>1.5E-3</v>
      </c>
      <c r="F1420" s="85">
        <f t="shared" si="202"/>
        <v>7.5000000000000002E-4</v>
      </c>
      <c r="G1420" s="85">
        <f t="shared" si="203"/>
        <v>1.7671458676442585E-9</v>
      </c>
      <c r="H1420" s="85">
        <v>7700</v>
      </c>
      <c r="I1420" s="85">
        <f t="shared" si="204"/>
        <v>1.3607023180860791E-5</v>
      </c>
      <c r="J1420" s="87">
        <v>1</v>
      </c>
      <c r="K1420" s="88">
        <f t="shared" si="205"/>
        <v>73491.460013573611</v>
      </c>
    </row>
    <row r="1421" spans="1:11" hidden="1" x14ac:dyDescent="0.25">
      <c r="A1421" t="str">
        <f t="shared" si="200"/>
        <v>316LØ0,7</v>
      </c>
      <c r="B1421" s="81" t="s">
        <v>298</v>
      </c>
      <c r="D1421" s="86">
        <v>0.7</v>
      </c>
      <c r="E1421" s="85">
        <f t="shared" si="201"/>
        <v>6.9999999999999999E-4</v>
      </c>
      <c r="F1421" s="85">
        <f t="shared" si="202"/>
        <v>3.5E-4</v>
      </c>
      <c r="G1421" s="85">
        <f t="shared" si="203"/>
        <v>1.7959438003021649E-10</v>
      </c>
      <c r="H1421" s="85">
        <v>7950</v>
      </c>
      <c r="I1421" s="85">
        <f t="shared" si="204"/>
        <v>1.4277753212402211E-6</v>
      </c>
      <c r="J1421" s="87">
        <v>1</v>
      </c>
      <c r="K1421" s="88">
        <f t="shared" si="205"/>
        <v>700390.31010240538</v>
      </c>
    </row>
    <row r="1422" spans="1:11" hidden="1" x14ac:dyDescent="0.25">
      <c r="A1422" t="str">
        <f t="shared" si="200"/>
        <v>VESCØ1,2</v>
      </c>
      <c r="B1422" s="81" t="s">
        <v>210</v>
      </c>
      <c r="D1422" s="86">
        <v>1.2</v>
      </c>
      <c r="E1422" s="85">
        <f t="shared" si="201"/>
        <v>1.1999999999999999E-3</v>
      </c>
      <c r="F1422" s="85">
        <f t="shared" si="202"/>
        <v>5.9999999999999995E-4</v>
      </c>
      <c r="G1422" s="85">
        <f t="shared" si="203"/>
        <v>9.0477868423386013E-10</v>
      </c>
      <c r="H1422" s="85">
        <v>2500</v>
      </c>
      <c r="I1422" s="85">
        <f t="shared" si="204"/>
        <v>2.2619467105846502E-6</v>
      </c>
      <c r="J1422" s="87">
        <v>1</v>
      </c>
      <c r="K1422" s="88">
        <f t="shared" si="205"/>
        <v>442097.0641441539</v>
      </c>
    </row>
    <row r="1423" spans="1:11" hidden="1" x14ac:dyDescent="0.25">
      <c r="A1423" t="str">
        <f t="shared" si="200"/>
        <v>VESCØ1,2</v>
      </c>
      <c r="B1423" s="81" t="s">
        <v>210</v>
      </c>
      <c r="D1423" s="86">
        <v>1.2</v>
      </c>
      <c r="E1423" s="85">
        <f t="shared" si="201"/>
        <v>1.1999999999999999E-3</v>
      </c>
      <c r="F1423" s="85">
        <f t="shared" si="202"/>
        <v>5.9999999999999995E-4</v>
      </c>
      <c r="G1423" s="85">
        <f t="shared" si="203"/>
        <v>9.0477868423386013E-10</v>
      </c>
      <c r="H1423" s="85">
        <v>2500</v>
      </c>
      <c r="I1423" s="85">
        <f t="shared" si="204"/>
        <v>2.2619467105846502E-6</v>
      </c>
      <c r="J1423" s="87">
        <v>1</v>
      </c>
      <c r="K1423" s="88">
        <f t="shared" si="205"/>
        <v>442097.0641441539</v>
      </c>
    </row>
    <row r="1424" spans="1:11" hidden="1" x14ac:dyDescent="0.25">
      <c r="A1424" t="str">
        <f t="shared" si="200"/>
        <v>VESCØ1,525</v>
      </c>
      <c r="B1424" s="81" t="s">
        <v>210</v>
      </c>
      <c r="D1424" s="86">
        <v>1.5249999999999999</v>
      </c>
      <c r="E1424" s="85">
        <f t="shared" si="201"/>
        <v>1.5249999999999999E-3</v>
      </c>
      <c r="F1424" s="85">
        <f t="shared" si="202"/>
        <v>7.6249999999999994E-4</v>
      </c>
      <c r="G1424" s="85">
        <f t="shared" si="203"/>
        <v>1.8569839638137098E-9</v>
      </c>
      <c r="H1424" s="85">
        <v>2500</v>
      </c>
      <c r="I1424" s="85">
        <f t="shared" si="204"/>
        <v>4.6424599095342747E-6</v>
      </c>
      <c r="J1424" s="87">
        <v>1</v>
      </c>
      <c r="K1424" s="88">
        <f t="shared" si="205"/>
        <v>215403.04482679284</v>
      </c>
    </row>
    <row r="1425" spans="1:11" hidden="1" x14ac:dyDescent="0.25">
      <c r="A1425" t="str">
        <f t="shared" si="200"/>
        <v>VESCØ1,525</v>
      </c>
      <c r="B1425" s="81" t="s">
        <v>210</v>
      </c>
      <c r="D1425" s="86">
        <v>1.5249999999999999</v>
      </c>
      <c r="E1425" s="85">
        <f t="shared" si="201"/>
        <v>1.5249999999999999E-3</v>
      </c>
      <c r="F1425" s="85">
        <f t="shared" si="202"/>
        <v>7.6249999999999994E-4</v>
      </c>
      <c r="G1425" s="85">
        <f t="shared" si="203"/>
        <v>1.8569839638137098E-9</v>
      </c>
      <c r="H1425" s="85">
        <v>2500</v>
      </c>
      <c r="I1425" s="85">
        <f t="shared" si="204"/>
        <v>4.6424599095342747E-6</v>
      </c>
      <c r="J1425" s="87">
        <v>1</v>
      </c>
      <c r="K1425" s="88">
        <f t="shared" si="205"/>
        <v>215403.04482679284</v>
      </c>
    </row>
    <row r="1426" spans="1:11" hidden="1" x14ac:dyDescent="0.25">
      <c r="A1426" t="str">
        <f t="shared" si="200"/>
        <v>PA6.6Ø19,5</v>
      </c>
      <c r="B1426" s="81" t="s">
        <v>244</v>
      </c>
      <c r="D1426" s="86">
        <v>19.5</v>
      </c>
      <c r="E1426" s="85">
        <f t="shared" si="201"/>
        <v>1.95E-2</v>
      </c>
      <c r="F1426" s="85">
        <f t="shared" si="202"/>
        <v>9.75E-3</v>
      </c>
      <c r="G1426" s="85">
        <f t="shared" si="203"/>
        <v>3.882419471214436E-6</v>
      </c>
      <c r="H1426" s="85">
        <v>1110</v>
      </c>
      <c r="I1426" s="85">
        <f t="shared" si="204"/>
        <v>4.3094856130480239E-3</v>
      </c>
      <c r="J1426" s="87">
        <v>1</v>
      </c>
      <c r="K1426" s="88">
        <f t="shared" si="205"/>
        <v>232.04625558378822</v>
      </c>
    </row>
    <row r="1427" spans="1:11" hidden="1" x14ac:dyDescent="0.25">
      <c r="A1427" t="str">
        <f t="shared" si="200"/>
        <v>PA6.6Ø19,05</v>
      </c>
      <c r="B1427" s="81" t="s">
        <v>244</v>
      </c>
      <c r="C1427" s="101" t="s">
        <v>262</v>
      </c>
      <c r="D1427" s="86">
        <f>3/4*25.4</f>
        <v>19.049999999999997</v>
      </c>
      <c r="E1427" s="85">
        <f t="shared" si="201"/>
        <v>1.9049999999999997E-2</v>
      </c>
      <c r="F1427" s="85">
        <f t="shared" si="202"/>
        <v>9.5249999999999987E-3</v>
      </c>
      <c r="G1427" s="85">
        <f t="shared" si="203"/>
        <v>3.6197915538027477E-6</v>
      </c>
      <c r="H1427" s="85">
        <v>1110</v>
      </c>
      <c r="I1427" s="85">
        <f t="shared" si="204"/>
        <v>4.0179686247210503E-3</v>
      </c>
      <c r="J1427" s="87">
        <v>1</v>
      </c>
      <c r="K1427" s="88">
        <f t="shared" si="205"/>
        <v>248.88198326073928</v>
      </c>
    </row>
    <row r="1428" spans="1:11" hidden="1" x14ac:dyDescent="0.25">
      <c r="A1428" t="str">
        <f t="shared" si="200"/>
        <v>PA6.6Ø20</v>
      </c>
      <c r="B1428" s="81" t="s">
        <v>244</v>
      </c>
      <c r="D1428" s="86">
        <v>20</v>
      </c>
      <c r="E1428" s="85">
        <f t="shared" si="201"/>
        <v>0.02</v>
      </c>
      <c r="F1428" s="85">
        <f t="shared" si="202"/>
        <v>0.01</v>
      </c>
      <c r="G1428" s="85">
        <f t="shared" si="203"/>
        <v>4.1887902047863905E-6</v>
      </c>
      <c r="H1428" s="85">
        <v>1110</v>
      </c>
      <c r="I1428" s="85">
        <f t="shared" si="204"/>
        <v>4.6495571273128932E-3</v>
      </c>
      <c r="J1428" s="87">
        <v>1</v>
      </c>
      <c r="K1428" s="88">
        <f t="shared" si="205"/>
        <v>215.07424742148021</v>
      </c>
    </row>
    <row r="1429" spans="1:11" hidden="1" x14ac:dyDescent="0.25">
      <c r="A1429" t="str">
        <f t="shared" si="200"/>
        <v>VESCØ3</v>
      </c>
      <c r="B1429" s="81" t="s">
        <v>210</v>
      </c>
      <c r="D1429" s="86">
        <v>3</v>
      </c>
      <c r="E1429" s="85">
        <f t="shared" si="201"/>
        <v>3.0000000000000001E-3</v>
      </c>
      <c r="F1429" s="85">
        <f t="shared" si="202"/>
        <v>1.5E-3</v>
      </c>
      <c r="G1429" s="85">
        <f t="shared" si="203"/>
        <v>1.4137166941154068E-8</v>
      </c>
      <c r="H1429" s="85">
        <v>2500</v>
      </c>
      <c r="I1429" s="85">
        <f t="shared" si="204"/>
        <v>3.5342917352885171E-5</v>
      </c>
      <c r="J1429" s="87">
        <v>1</v>
      </c>
      <c r="K1429" s="88">
        <f t="shared" si="205"/>
        <v>28294.212105225841</v>
      </c>
    </row>
    <row r="1430" spans="1:11" hidden="1" x14ac:dyDescent="0.25">
      <c r="A1430" t="str">
        <f t="shared" si="200"/>
        <v>440CØ1,5</v>
      </c>
      <c r="B1430" s="81" t="s">
        <v>314</v>
      </c>
      <c r="D1430" s="86">
        <v>1.5</v>
      </c>
      <c r="E1430" s="85">
        <f t="shared" si="201"/>
        <v>1.5E-3</v>
      </c>
      <c r="F1430" s="85">
        <f t="shared" si="202"/>
        <v>7.5000000000000002E-4</v>
      </c>
      <c r="G1430" s="85">
        <f t="shared" si="203"/>
        <v>1.7671458676442585E-9</v>
      </c>
      <c r="H1430" s="85">
        <v>7700</v>
      </c>
      <c r="I1430" s="85">
        <f t="shared" si="204"/>
        <v>1.3607023180860791E-5</v>
      </c>
      <c r="J1430" s="87">
        <v>1</v>
      </c>
      <c r="K1430" s="88">
        <f t="shared" si="205"/>
        <v>73491.460013573611</v>
      </c>
    </row>
    <row r="1431" spans="1:11" hidden="1" x14ac:dyDescent="0.25">
      <c r="A1431" t="str">
        <f t="shared" si="200"/>
        <v>PPHØ2,38125</v>
      </c>
      <c r="B1431" s="81" t="s">
        <v>202</v>
      </c>
      <c r="C1431" s="101" t="s">
        <v>213</v>
      </c>
      <c r="D1431" s="86">
        <f>3/32*25.4</f>
        <v>2.3812499999999996</v>
      </c>
      <c r="E1431" s="85">
        <f t="shared" si="201"/>
        <v>2.3812499999999997E-3</v>
      </c>
      <c r="F1431" s="85">
        <f t="shared" si="202"/>
        <v>1.1906249999999998E-3</v>
      </c>
      <c r="G1431" s="85">
        <f t="shared" si="203"/>
        <v>7.0699053785209917E-9</v>
      </c>
      <c r="H1431" s="85">
        <v>870</v>
      </c>
      <c r="I1431" s="85">
        <f t="shared" si="204"/>
        <v>6.1508176793132632E-6</v>
      </c>
      <c r="J1431" s="87">
        <v>1</v>
      </c>
      <c r="K1431" s="88">
        <f t="shared" si="205"/>
        <v>162580.01003073948</v>
      </c>
    </row>
    <row r="1432" spans="1:11" hidden="1" x14ac:dyDescent="0.25">
      <c r="A1432" t="str">
        <f t="shared" si="200"/>
        <v>OttoneØ1,5875</v>
      </c>
      <c r="B1432" s="81" t="s">
        <v>216</v>
      </c>
      <c r="C1432" s="101" t="s">
        <v>246</v>
      </c>
      <c r="D1432" s="86">
        <f>1/16*25.4</f>
        <v>1.5874999999999999</v>
      </c>
      <c r="E1432" s="85">
        <f t="shared" si="201"/>
        <v>1.5874999999999999E-3</v>
      </c>
      <c r="F1432" s="85">
        <f t="shared" si="202"/>
        <v>7.9374999999999997E-4</v>
      </c>
      <c r="G1432" s="85">
        <f t="shared" si="203"/>
        <v>2.0947867788210349E-9</v>
      </c>
      <c r="H1432" s="85">
        <v>8490</v>
      </c>
      <c r="I1432" s="85">
        <f t="shared" si="204"/>
        <v>1.7784739752190586E-5</v>
      </c>
      <c r="J1432" s="87">
        <v>1</v>
      </c>
      <c r="K1432" s="88">
        <f t="shared" si="205"/>
        <v>56227.980500913865</v>
      </c>
    </row>
    <row r="1433" spans="1:11" hidden="1" x14ac:dyDescent="0.25">
      <c r="A1433" t="str">
        <f t="shared" si="200"/>
        <v>POMØ3</v>
      </c>
      <c r="B1433" s="81" t="s">
        <v>201</v>
      </c>
      <c r="D1433" s="86">
        <v>3</v>
      </c>
      <c r="E1433" s="85">
        <f t="shared" si="201"/>
        <v>3.0000000000000001E-3</v>
      </c>
      <c r="F1433" s="85">
        <f t="shared" si="202"/>
        <v>1.5E-3</v>
      </c>
      <c r="G1433" s="85">
        <f t="shared" si="203"/>
        <v>1.4137166941154068E-8</v>
      </c>
      <c r="H1433" s="85">
        <v>1370</v>
      </c>
      <c r="I1433" s="85">
        <f t="shared" si="204"/>
        <v>1.9367918709381075E-5</v>
      </c>
      <c r="J1433" s="87">
        <v>1</v>
      </c>
      <c r="K1433" s="88">
        <f t="shared" si="205"/>
        <v>51631.773914645688</v>
      </c>
    </row>
    <row r="1434" spans="1:11" hidden="1" x14ac:dyDescent="0.25">
      <c r="A1434" t="str">
        <f t="shared" si="200"/>
        <v>52100Ø6,35</v>
      </c>
      <c r="B1434" s="81">
        <v>52100</v>
      </c>
      <c r="C1434" s="101" t="s">
        <v>218</v>
      </c>
      <c r="D1434" s="86">
        <f>1/4*25.4</f>
        <v>6.35</v>
      </c>
      <c r="E1434" s="85">
        <f t="shared" si="201"/>
        <v>6.3499999999999997E-3</v>
      </c>
      <c r="F1434" s="85">
        <f t="shared" si="202"/>
        <v>3.1749999999999999E-3</v>
      </c>
      <c r="G1434" s="85">
        <f t="shared" si="203"/>
        <v>1.3406635384454623E-7</v>
      </c>
      <c r="H1434" s="85">
        <v>7800</v>
      </c>
      <c r="I1434" s="85">
        <f t="shared" si="204"/>
        <v>1.0457175599874605E-3</v>
      </c>
      <c r="J1434" s="87">
        <v>1</v>
      </c>
      <c r="K1434" s="88">
        <f t="shared" si="205"/>
        <v>956.28115875953279</v>
      </c>
    </row>
    <row r="1435" spans="1:11" hidden="1" x14ac:dyDescent="0.25">
      <c r="A1435" t="str">
        <f t="shared" si="200"/>
        <v>304Ø3</v>
      </c>
      <c r="B1435" s="81">
        <v>304</v>
      </c>
      <c r="D1435" s="86">
        <v>3</v>
      </c>
      <c r="E1435" s="85">
        <f t="shared" si="201"/>
        <v>3.0000000000000001E-3</v>
      </c>
      <c r="F1435" s="85">
        <f t="shared" si="202"/>
        <v>1.5E-3</v>
      </c>
      <c r="G1435" s="85">
        <f t="shared" si="203"/>
        <v>1.4137166941154068E-8</v>
      </c>
      <c r="H1435" s="85">
        <v>7950</v>
      </c>
      <c r="I1435" s="85">
        <f t="shared" si="204"/>
        <v>1.1239047718217484E-4</v>
      </c>
      <c r="J1435" s="87">
        <v>1</v>
      </c>
      <c r="K1435" s="88">
        <f t="shared" si="205"/>
        <v>8897.5509764861145</v>
      </c>
    </row>
    <row r="1436" spans="1:11" hidden="1" x14ac:dyDescent="0.25">
      <c r="A1436" t="str">
        <f t="shared" si="200"/>
        <v>304Ø5</v>
      </c>
      <c r="B1436" s="81">
        <v>304</v>
      </c>
      <c r="D1436" s="86">
        <v>5</v>
      </c>
      <c r="E1436" s="85">
        <f t="shared" si="201"/>
        <v>5.0000000000000001E-3</v>
      </c>
      <c r="F1436" s="85">
        <f t="shared" si="202"/>
        <v>2.5000000000000001E-3</v>
      </c>
      <c r="G1436" s="85">
        <f t="shared" si="203"/>
        <v>6.5449846949787352E-8</v>
      </c>
      <c r="H1436" s="85">
        <v>7950</v>
      </c>
      <c r="I1436" s="85">
        <f t="shared" si="204"/>
        <v>5.2032628325080941E-4</v>
      </c>
      <c r="J1436" s="87">
        <v>1</v>
      </c>
      <c r="K1436" s="88">
        <f t="shared" si="205"/>
        <v>1921.8710109210006</v>
      </c>
    </row>
    <row r="1437" spans="1:11" hidden="1" x14ac:dyDescent="0.25">
      <c r="A1437" t="str">
        <f t="shared" si="200"/>
        <v>Al2O3Ø1,5</v>
      </c>
      <c r="B1437" s="81" t="s">
        <v>217</v>
      </c>
      <c r="D1437" s="86">
        <v>1.5</v>
      </c>
      <c r="E1437" s="85">
        <f t="shared" si="201"/>
        <v>1.5E-3</v>
      </c>
      <c r="F1437" s="85">
        <f t="shared" si="202"/>
        <v>7.5000000000000002E-4</v>
      </c>
      <c r="G1437" s="85">
        <f t="shared" si="203"/>
        <v>1.7671458676442585E-9</v>
      </c>
      <c r="H1437" s="85">
        <v>3900</v>
      </c>
      <c r="I1437" s="85">
        <f t="shared" si="204"/>
        <v>6.8918688838126086E-6</v>
      </c>
      <c r="J1437" s="87">
        <v>1</v>
      </c>
      <c r="K1437" s="88">
        <f t="shared" si="205"/>
        <v>145098.52361654275</v>
      </c>
    </row>
    <row r="1438" spans="1:11" hidden="1" x14ac:dyDescent="0.25">
      <c r="A1438" t="str">
        <f t="shared" si="200"/>
        <v>Al2O3Ø1,5</v>
      </c>
      <c r="B1438" s="81" t="s">
        <v>217</v>
      </c>
      <c r="D1438" s="86">
        <v>1.5</v>
      </c>
      <c r="E1438" s="85">
        <f t="shared" si="201"/>
        <v>1.5E-3</v>
      </c>
      <c r="F1438" s="85">
        <f t="shared" si="202"/>
        <v>7.5000000000000002E-4</v>
      </c>
      <c r="G1438" s="85">
        <f t="shared" si="203"/>
        <v>1.7671458676442585E-9</v>
      </c>
      <c r="H1438" s="85">
        <v>3900</v>
      </c>
      <c r="I1438" s="85">
        <f t="shared" si="204"/>
        <v>6.8918688838126086E-6</v>
      </c>
      <c r="J1438" s="87">
        <v>1</v>
      </c>
      <c r="K1438" s="88">
        <f t="shared" si="205"/>
        <v>145098.52361654275</v>
      </c>
    </row>
    <row r="1439" spans="1:11" hidden="1" x14ac:dyDescent="0.25">
      <c r="A1439" t="str">
        <f t="shared" si="200"/>
        <v>316LØ1</v>
      </c>
      <c r="B1439" s="81" t="s">
        <v>298</v>
      </c>
      <c r="D1439" s="86">
        <v>1</v>
      </c>
      <c r="E1439" s="85">
        <f t="shared" si="201"/>
        <v>1E-3</v>
      </c>
      <c r="F1439" s="85">
        <f t="shared" si="202"/>
        <v>5.0000000000000001E-4</v>
      </c>
      <c r="G1439" s="85">
        <f t="shared" si="203"/>
        <v>5.2359877559829886E-10</v>
      </c>
      <c r="H1439" s="85">
        <v>7950</v>
      </c>
      <c r="I1439" s="85">
        <f t="shared" si="204"/>
        <v>4.1626102660064759E-6</v>
      </c>
      <c r="J1439" s="87">
        <v>1</v>
      </c>
      <c r="K1439" s="88">
        <f t="shared" si="205"/>
        <v>240233.87636512503</v>
      </c>
    </row>
    <row r="1440" spans="1:11" hidden="1" x14ac:dyDescent="0.25">
      <c r="A1440" t="str">
        <f t="shared" si="200"/>
        <v>420CØ1,5875</v>
      </c>
      <c r="B1440" s="81" t="s">
        <v>295</v>
      </c>
      <c r="C1440" s="101" t="s">
        <v>246</v>
      </c>
      <c r="D1440" s="86">
        <f>1/16*25.4</f>
        <v>1.5874999999999999</v>
      </c>
      <c r="E1440" s="85">
        <f t="shared" si="201"/>
        <v>1.5874999999999999E-3</v>
      </c>
      <c r="F1440" s="85">
        <f t="shared" si="202"/>
        <v>7.9374999999999997E-4</v>
      </c>
      <c r="G1440" s="85">
        <f t="shared" si="203"/>
        <v>2.0947867788210349E-9</v>
      </c>
      <c r="H1440" s="85">
        <v>7700</v>
      </c>
      <c r="I1440" s="85">
        <f t="shared" si="204"/>
        <v>1.6129858196921968E-5</v>
      </c>
      <c r="J1440" s="87">
        <v>1</v>
      </c>
      <c r="K1440" s="88">
        <f t="shared" si="205"/>
        <v>61996.825253605035</v>
      </c>
    </row>
    <row r="1441" spans="1:11" hidden="1" x14ac:dyDescent="0.25">
      <c r="A1441" t="str">
        <f t="shared" si="200"/>
        <v>316Ø0,5</v>
      </c>
      <c r="B1441" s="81">
        <v>316</v>
      </c>
      <c r="D1441" s="86">
        <v>0.5</v>
      </c>
      <c r="E1441" s="85">
        <f t="shared" si="201"/>
        <v>5.0000000000000001E-4</v>
      </c>
      <c r="F1441" s="85">
        <f t="shared" si="202"/>
        <v>2.5000000000000001E-4</v>
      </c>
      <c r="G1441" s="85">
        <f t="shared" si="203"/>
        <v>6.5449846949787358E-11</v>
      </c>
      <c r="H1441" s="85">
        <v>7950</v>
      </c>
      <c r="I1441" s="85">
        <f t="shared" si="204"/>
        <v>5.2032628325080949E-7</v>
      </c>
      <c r="J1441" s="87">
        <v>1</v>
      </c>
      <c r="K1441" s="88">
        <f t="shared" si="205"/>
        <v>1921871.0109210003</v>
      </c>
    </row>
    <row r="1442" spans="1:11" hidden="1" x14ac:dyDescent="0.25">
      <c r="A1442" t="str">
        <f t="shared" si="200"/>
        <v>PPHØ2,5</v>
      </c>
      <c r="B1442" s="81" t="s">
        <v>202</v>
      </c>
      <c r="D1442" s="86">
        <v>2.5</v>
      </c>
      <c r="E1442" s="85">
        <f t="shared" si="201"/>
        <v>2.5000000000000001E-3</v>
      </c>
      <c r="F1442" s="85">
        <f t="shared" si="202"/>
        <v>1.25E-3</v>
      </c>
      <c r="G1442" s="85">
        <f t="shared" si="203"/>
        <v>8.181230868723419E-9</v>
      </c>
      <c r="H1442" s="85">
        <v>865</v>
      </c>
      <c r="I1442" s="85">
        <f t="shared" si="204"/>
        <v>7.0767647014457573E-6</v>
      </c>
      <c r="J1442" s="87">
        <v>1</v>
      </c>
      <c r="K1442" s="88">
        <f t="shared" si="205"/>
        <v>141307.51016713947</v>
      </c>
    </row>
    <row r="1443" spans="1:11" hidden="1" x14ac:dyDescent="0.25">
      <c r="A1443" t="str">
        <f t="shared" si="200"/>
        <v>420CØ1</v>
      </c>
      <c r="B1443" s="81" t="s">
        <v>295</v>
      </c>
      <c r="D1443" s="86">
        <v>1</v>
      </c>
      <c r="E1443" s="85">
        <f t="shared" si="201"/>
        <v>1E-3</v>
      </c>
      <c r="F1443" s="85">
        <f t="shared" si="202"/>
        <v>5.0000000000000001E-4</v>
      </c>
      <c r="G1443" s="85">
        <f t="shared" si="203"/>
        <v>5.2359877559829886E-10</v>
      </c>
      <c r="H1443" s="85">
        <v>7700</v>
      </c>
      <c r="I1443" s="85">
        <f t="shared" si="204"/>
        <v>4.0317105721069012E-6</v>
      </c>
      <c r="J1443" s="87">
        <v>1</v>
      </c>
      <c r="K1443" s="88">
        <f t="shared" si="205"/>
        <v>248033.67754581093</v>
      </c>
    </row>
    <row r="1444" spans="1:11" hidden="1" x14ac:dyDescent="0.25">
      <c r="A1444" t="str">
        <f t="shared" si="200"/>
        <v>420CØ1</v>
      </c>
      <c r="B1444" s="81" t="s">
        <v>295</v>
      </c>
      <c r="D1444" s="86">
        <v>1</v>
      </c>
      <c r="E1444" s="85">
        <f t="shared" si="201"/>
        <v>1E-3</v>
      </c>
      <c r="F1444" s="85">
        <f t="shared" si="202"/>
        <v>5.0000000000000001E-4</v>
      </c>
      <c r="G1444" s="85">
        <f t="shared" si="203"/>
        <v>5.2359877559829886E-10</v>
      </c>
      <c r="H1444" s="85">
        <v>7700</v>
      </c>
      <c r="I1444" s="85">
        <f t="shared" si="204"/>
        <v>4.0317105721069012E-6</v>
      </c>
      <c r="J1444" s="87">
        <v>1</v>
      </c>
      <c r="K1444" s="88">
        <f t="shared" si="205"/>
        <v>248033.67754581093</v>
      </c>
    </row>
    <row r="1445" spans="1:11" hidden="1" x14ac:dyDescent="0.25">
      <c r="A1445" t="str">
        <f t="shared" si="200"/>
        <v>52100Ø0,8</v>
      </c>
      <c r="B1445" s="81">
        <v>52100</v>
      </c>
      <c r="D1445" s="86">
        <v>0.8</v>
      </c>
      <c r="E1445" s="85">
        <f t="shared" si="201"/>
        <v>8.0000000000000004E-4</v>
      </c>
      <c r="F1445" s="85">
        <f t="shared" si="202"/>
        <v>4.0000000000000002E-4</v>
      </c>
      <c r="G1445" s="85">
        <f t="shared" si="203"/>
        <v>2.6808257310632903E-10</v>
      </c>
      <c r="H1445" s="85">
        <v>7800</v>
      </c>
      <c r="I1445" s="85">
        <f t="shared" si="204"/>
        <v>2.0910440702293663E-6</v>
      </c>
      <c r="J1445" s="87">
        <v>1</v>
      </c>
      <c r="K1445" s="88">
        <f t="shared" si="205"/>
        <v>478229.99727132014</v>
      </c>
    </row>
    <row r="1446" spans="1:11" hidden="1" x14ac:dyDescent="0.25">
      <c r="A1446" t="str">
        <f t="shared" si="200"/>
        <v>POMØ1,5875</v>
      </c>
      <c r="B1446" s="81" t="s">
        <v>201</v>
      </c>
      <c r="C1446" s="101" t="s">
        <v>246</v>
      </c>
      <c r="D1446" s="86">
        <f>1/16*25.4</f>
        <v>1.5874999999999999</v>
      </c>
      <c r="E1446" s="85">
        <f t="shared" si="201"/>
        <v>1.5874999999999999E-3</v>
      </c>
      <c r="F1446" s="85">
        <f t="shared" si="202"/>
        <v>7.9374999999999997E-4</v>
      </c>
      <c r="G1446" s="85">
        <f t="shared" si="203"/>
        <v>2.0947867788210349E-9</v>
      </c>
      <c r="H1446" s="85">
        <v>1370</v>
      </c>
      <c r="I1446" s="85">
        <f t="shared" si="204"/>
        <v>2.8698578869848178E-6</v>
      </c>
      <c r="J1446" s="87">
        <v>1</v>
      </c>
      <c r="K1446" s="88">
        <f t="shared" si="205"/>
        <v>348449.30981953192</v>
      </c>
    </row>
    <row r="1447" spans="1:11" hidden="1" x14ac:dyDescent="0.25">
      <c r="A1447" t="str">
        <f t="shared" si="200"/>
        <v>Monel K500Ø9,525</v>
      </c>
      <c r="B1447" s="81" t="s">
        <v>360</v>
      </c>
      <c r="C1447" s="101" t="s">
        <v>254</v>
      </c>
      <c r="D1447" s="86">
        <f>3/8*25.4</f>
        <v>9.5249999999999986</v>
      </c>
      <c r="E1447" s="85">
        <f t="shared" si="201"/>
        <v>9.5249999999999987E-3</v>
      </c>
      <c r="F1447" s="85">
        <f t="shared" si="202"/>
        <v>4.7624999999999994E-3</v>
      </c>
      <c r="G1447" s="85">
        <f t="shared" si="203"/>
        <v>4.5247394422534347E-7</v>
      </c>
      <c r="H1447" s="85">
        <v>8420</v>
      </c>
      <c r="I1447" s="85">
        <f t="shared" si="204"/>
        <v>3.809830610377392E-3</v>
      </c>
      <c r="J1447" s="87">
        <v>1</v>
      </c>
      <c r="K1447" s="88">
        <f t="shared" si="205"/>
        <v>262.47886120610036</v>
      </c>
    </row>
    <row r="1448" spans="1:11" hidden="1" x14ac:dyDescent="0.25">
      <c r="A1448" t="str">
        <f t="shared" si="200"/>
        <v>WC-CoØ3</v>
      </c>
      <c r="B1448" s="81" t="s">
        <v>297</v>
      </c>
      <c r="D1448" s="86">
        <v>3</v>
      </c>
      <c r="E1448" s="85">
        <f t="shared" si="201"/>
        <v>3.0000000000000001E-3</v>
      </c>
      <c r="F1448" s="85">
        <f t="shared" si="202"/>
        <v>1.5E-3</v>
      </c>
      <c r="G1448" s="85">
        <f t="shared" si="203"/>
        <v>1.4137166941154068E-8</v>
      </c>
      <c r="H1448" s="85">
        <v>14950</v>
      </c>
      <c r="I1448" s="85">
        <f t="shared" si="204"/>
        <v>2.1135064577025331E-4</v>
      </c>
      <c r="J1448" s="87">
        <v>1</v>
      </c>
      <c r="K1448" s="88">
        <f t="shared" si="205"/>
        <v>4731.4735961916122</v>
      </c>
    </row>
    <row r="1449" spans="1:11" hidden="1" x14ac:dyDescent="0.25">
      <c r="A1449" t="str">
        <f t="shared" si="200"/>
        <v>1010Ø7</v>
      </c>
      <c r="B1449" s="81">
        <v>1010</v>
      </c>
      <c r="D1449" s="86">
        <v>7</v>
      </c>
      <c r="E1449" s="85">
        <f t="shared" si="201"/>
        <v>7.0000000000000001E-3</v>
      </c>
      <c r="F1449" s="85">
        <f t="shared" si="202"/>
        <v>3.5000000000000001E-3</v>
      </c>
      <c r="G1449" s="85">
        <f t="shared" si="203"/>
        <v>1.7959438003021651E-7</v>
      </c>
      <c r="H1449" s="85">
        <v>7820</v>
      </c>
      <c r="I1449" s="85">
        <f t="shared" si="204"/>
        <v>1.4044280518362932E-3</v>
      </c>
      <c r="J1449" s="87">
        <v>1</v>
      </c>
      <c r="K1449" s="88">
        <f t="shared" si="205"/>
        <v>712.03362727802073</v>
      </c>
    </row>
    <row r="1450" spans="1:11" hidden="1" x14ac:dyDescent="0.25">
      <c r="A1450" t="str">
        <f t="shared" si="200"/>
        <v>1010Ø12</v>
      </c>
      <c r="B1450" s="81">
        <v>1010</v>
      </c>
      <c r="D1450" s="86">
        <v>12</v>
      </c>
      <c r="E1450" s="85">
        <f>D1450/1000</f>
        <v>1.2E-2</v>
      </c>
      <c r="F1450" s="85">
        <f>E1450/2</f>
        <v>6.0000000000000001E-3</v>
      </c>
      <c r="G1450" s="85">
        <f>4/3*PI()*F1450*F1450*F1450</f>
        <v>9.0477868423386037E-7</v>
      </c>
      <c r="H1450" s="85">
        <v>7820</v>
      </c>
      <c r="I1450" s="85">
        <f>H1450*G1450</f>
        <v>7.0753693107087883E-3</v>
      </c>
      <c r="J1450" s="87">
        <v>1</v>
      </c>
      <c r="K1450" s="88">
        <f>J1450/I1450</f>
        <v>141.335378562709</v>
      </c>
    </row>
    <row r="1451" spans="1:11" hidden="1" x14ac:dyDescent="0.25">
      <c r="A1451" t="str">
        <f t="shared" si="200"/>
        <v>1010Ø18</v>
      </c>
      <c r="B1451" s="81">
        <v>1010</v>
      </c>
      <c r="D1451" s="86">
        <v>18</v>
      </c>
      <c r="E1451" s="85">
        <f t="shared" ref="E1451:E1514" si="206">D1451/1000</f>
        <v>1.7999999999999999E-2</v>
      </c>
      <c r="F1451" s="85">
        <f t="shared" ref="F1451:F1514" si="207">E1451/2</f>
        <v>8.9999999999999993E-3</v>
      </c>
      <c r="G1451" s="85">
        <f t="shared" ref="G1451:G1514" si="208">4/3*PI()*F1451*F1451*F1451</f>
        <v>3.053628059289278E-6</v>
      </c>
      <c r="H1451" s="85">
        <v>7820</v>
      </c>
      <c r="I1451" s="85">
        <f t="shared" ref="I1451:I1483" si="209">H1451*G1451</f>
        <v>2.3879371423642153E-2</v>
      </c>
      <c r="J1451" s="87">
        <v>1</v>
      </c>
      <c r="K1451" s="88">
        <f t="shared" ref="K1451:K1483" si="210">J1451/I1451</f>
        <v>41.87714920376564</v>
      </c>
    </row>
    <row r="1452" spans="1:11" hidden="1" x14ac:dyDescent="0.25">
      <c r="A1452" t="str">
        <f t="shared" si="200"/>
        <v>440CØ0,6</v>
      </c>
      <c r="B1452" s="81" t="s">
        <v>314</v>
      </c>
      <c r="D1452" s="86">
        <v>0.6</v>
      </c>
      <c r="E1452" s="85">
        <f t="shared" si="206"/>
        <v>5.9999999999999995E-4</v>
      </c>
      <c r="F1452" s="85">
        <f t="shared" si="207"/>
        <v>2.9999999999999997E-4</v>
      </c>
      <c r="G1452" s="85">
        <f t="shared" si="208"/>
        <v>1.1309733552923252E-10</v>
      </c>
      <c r="H1452" s="85">
        <v>7700</v>
      </c>
      <c r="I1452" s="85">
        <f t="shared" si="209"/>
        <v>8.708494835750904E-7</v>
      </c>
      <c r="J1452" s="87">
        <v>1</v>
      </c>
      <c r="K1452" s="88">
        <f t="shared" si="210"/>
        <v>1148304.062712088</v>
      </c>
    </row>
    <row r="1453" spans="1:11" hidden="1" x14ac:dyDescent="0.25">
      <c r="A1453" t="str">
        <f t="shared" si="200"/>
        <v>440CØ0,6</v>
      </c>
      <c r="B1453" s="81" t="s">
        <v>314</v>
      </c>
      <c r="D1453" s="86">
        <v>0.6</v>
      </c>
      <c r="E1453" s="85">
        <f t="shared" si="206"/>
        <v>5.9999999999999995E-4</v>
      </c>
      <c r="F1453" s="85">
        <f t="shared" si="207"/>
        <v>2.9999999999999997E-4</v>
      </c>
      <c r="G1453" s="85">
        <f t="shared" si="208"/>
        <v>1.1309733552923252E-10</v>
      </c>
      <c r="H1453" s="85">
        <v>7750</v>
      </c>
      <c r="I1453" s="85">
        <f t="shared" si="209"/>
        <v>8.7650435035155202E-7</v>
      </c>
      <c r="J1453" s="87">
        <v>1</v>
      </c>
      <c r="K1453" s="88">
        <f t="shared" si="210"/>
        <v>1140895.649404268</v>
      </c>
    </row>
    <row r="1454" spans="1:11" hidden="1" x14ac:dyDescent="0.25">
      <c r="A1454" t="str">
        <f t="shared" si="200"/>
        <v>52100Ø2</v>
      </c>
      <c r="B1454" s="81">
        <v>52100</v>
      </c>
      <c r="D1454" s="86">
        <v>2</v>
      </c>
      <c r="E1454" s="85">
        <f t="shared" si="206"/>
        <v>2E-3</v>
      </c>
      <c r="F1454" s="85">
        <f t="shared" si="207"/>
        <v>1E-3</v>
      </c>
      <c r="G1454" s="85">
        <f t="shared" si="208"/>
        <v>4.1887902047863909E-9</v>
      </c>
      <c r="H1454" s="85">
        <v>7800</v>
      </c>
      <c r="I1454" s="85">
        <f t="shared" si="209"/>
        <v>3.267256359733385E-5</v>
      </c>
      <c r="J1454" s="87">
        <v>1</v>
      </c>
      <c r="K1454" s="88">
        <f t="shared" si="210"/>
        <v>30606.719825364489</v>
      </c>
    </row>
    <row r="1455" spans="1:11" hidden="1" x14ac:dyDescent="0.25">
      <c r="A1455" t="str">
        <f t="shared" si="200"/>
        <v>POMØ2,38125</v>
      </c>
      <c r="B1455" s="81" t="s">
        <v>201</v>
      </c>
      <c r="C1455" s="101" t="s">
        <v>213</v>
      </c>
      <c r="D1455" s="86">
        <f>3/32*25.4</f>
        <v>2.3812499999999996</v>
      </c>
      <c r="E1455" s="85">
        <f t="shared" si="206"/>
        <v>2.3812499999999997E-3</v>
      </c>
      <c r="F1455" s="85">
        <f t="shared" si="207"/>
        <v>1.1906249999999998E-3</v>
      </c>
      <c r="G1455" s="85">
        <f t="shared" si="208"/>
        <v>7.0699053785209917E-9</v>
      </c>
      <c r="H1455" s="85">
        <v>1370</v>
      </c>
      <c r="I1455" s="85">
        <f t="shared" si="209"/>
        <v>9.6857703685737587E-6</v>
      </c>
      <c r="J1455" s="87">
        <v>1</v>
      </c>
      <c r="K1455" s="88">
        <f t="shared" si="210"/>
        <v>103244.23994652799</v>
      </c>
    </row>
    <row r="1456" spans="1:11" hidden="1" x14ac:dyDescent="0.25">
      <c r="A1456" t="str">
        <f t="shared" si="200"/>
        <v>52100Ø2</v>
      </c>
      <c r="B1456" s="81">
        <v>52100</v>
      </c>
      <c r="D1456" s="86">
        <v>2</v>
      </c>
      <c r="E1456" s="85">
        <f t="shared" si="206"/>
        <v>2E-3</v>
      </c>
      <c r="F1456" s="85">
        <f t="shared" si="207"/>
        <v>1E-3</v>
      </c>
      <c r="G1456" s="85">
        <f t="shared" si="208"/>
        <v>4.1887902047863909E-9</v>
      </c>
      <c r="H1456" s="85">
        <v>7800</v>
      </c>
      <c r="I1456" s="85">
        <f t="shared" si="209"/>
        <v>3.267256359733385E-5</v>
      </c>
      <c r="J1456" s="87">
        <v>1</v>
      </c>
      <c r="K1456" s="88">
        <f t="shared" si="210"/>
        <v>30606.719825364489</v>
      </c>
    </row>
    <row r="1457" spans="1:11" hidden="1" x14ac:dyDescent="0.25">
      <c r="A1457" t="str">
        <f t="shared" si="200"/>
        <v>52100Ø2</v>
      </c>
      <c r="B1457" s="81">
        <v>52100</v>
      </c>
      <c r="D1457" s="86">
        <v>2</v>
      </c>
      <c r="E1457" s="85">
        <f t="shared" si="206"/>
        <v>2E-3</v>
      </c>
      <c r="F1457" s="85">
        <f t="shared" si="207"/>
        <v>1E-3</v>
      </c>
      <c r="G1457" s="85">
        <f t="shared" si="208"/>
        <v>4.1887902047863909E-9</v>
      </c>
      <c r="H1457" s="85">
        <v>7800</v>
      </c>
      <c r="I1457" s="85">
        <f t="shared" si="209"/>
        <v>3.267256359733385E-5</v>
      </c>
      <c r="J1457" s="87">
        <v>1</v>
      </c>
      <c r="K1457" s="88">
        <f t="shared" si="210"/>
        <v>30606.719825364489</v>
      </c>
    </row>
    <row r="1458" spans="1:11" hidden="1" x14ac:dyDescent="0.25">
      <c r="A1458" t="str">
        <f t="shared" si="200"/>
        <v>420CØ9,525</v>
      </c>
      <c r="B1458" s="81" t="s">
        <v>295</v>
      </c>
      <c r="C1458" s="101" t="s">
        <v>254</v>
      </c>
      <c r="D1458" s="86">
        <f>3/8*25.4</f>
        <v>9.5249999999999986</v>
      </c>
      <c r="E1458" s="85">
        <f t="shared" si="206"/>
        <v>9.5249999999999987E-3</v>
      </c>
      <c r="F1458" s="85">
        <f t="shared" si="207"/>
        <v>4.7624999999999994E-3</v>
      </c>
      <c r="G1458" s="85">
        <f t="shared" si="208"/>
        <v>4.5247394422534347E-7</v>
      </c>
      <c r="H1458" s="85">
        <v>7700</v>
      </c>
      <c r="I1458" s="85">
        <f t="shared" si="209"/>
        <v>3.4840493705351446E-3</v>
      </c>
      <c r="J1458" s="87">
        <v>1</v>
      </c>
      <c r="K1458" s="88">
        <f t="shared" si="210"/>
        <v>287.02233913706038</v>
      </c>
    </row>
    <row r="1459" spans="1:11" hidden="1" x14ac:dyDescent="0.25">
      <c r="A1459" t="str">
        <f t="shared" si="200"/>
        <v>304Ø0,5</v>
      </c>
      <c r="B1459" s="81">
        <v>304</v>
      </c>
      <c r="D1459" s="86">
        <v>0.5</v>
      </c>
      <c r="E1459" s="85">
        <f t="shared" si="206"/>
        <v>5.0000000000000001E-4</v>
      </c>
      <c r="F1459" s="85">
        <f t="shared" si="207"/>
        <v>2.5000000000000001E-4</v>
      </c>
      <c r="G1459" s="85">
        <f t="shared" si="208"/>
        <v>6.5449846949787358E-11</v>
      </c>
      <c r="H1459" s="85">
        <v>7950</v>
      </c>
      <c r="I1459" s="85">
        <f t="shared" si="209"/>
        <v>5.2032628325080949E-7</v>
      </c>
      <c r="J1459" s="87">
        <v>1</v>
      </c>
      <c r="K1459" s="88">
        <f t="shared" si="210"/>
        <v>1921871.0109210003</v>
      </c>
    </row>
    <row r="1460" spans="1:11" hidden="1" x14ac:dyDescent="0.25">
      <c r="A1460" t="str">
        <f t="shared" si="200"/>
        <v>304Ø0,5</v>
      </c>
      <c r="B1460" s="81">
        <v>304</v>
      </c>
      <c r="D1460" s="86">
        <v>0.5</v>
      </c>
      <c r="E1460" s="85">
        <f t="shared" si="206"/>
        <v>5.0000000000000001E-4</v>
      </c>
      <c r="F1460" s="85">
        <f t="shared" si="207"/>
        <v>2.5000000000000001E-4</v>
      </c>
      <c r="G1460" s="85">
        <f t="shared" si="208"/>
        <v>6.5449846949787358E-11</v>
      </c>
      <c r="H1460" s="85">
        <v>7950</v>
      </c>
      <c r="I1460" s="85">
        <f t="shared" si="209"/>
        <v>5.2032628325080949E-7</v>
      </c>
      <c r="J1460" s="87">
        <v>1</v>
      </c>
      <c r="K1460" s="88">
        <f t="shared" si="210"/>
        <v>1921871.0109210003</v>
      </c>
    </row>
    <row r="1461" spans="1:11" hidden="1" x14ac:dyDescent="0.25">
      <c r="A1461" t="str">
        <f t="shared" si="200"/>
        <v>316Ø0,5</v>
      </c>
      <c r="B1461" s="81">
        <v>316</v>
      </c>
      <c r="D1461" s="86">
        <v>0.5</v>
      </c>
      <c r="E1461" s="85">
        <f t="shared" si="206"/>
        <v>5.0000000000000001E-4</v>
      </c>
      <c r="F1461" s="85">
        <f t="shared" si="207"/>
        <v>2.5000000000000001E-4</v>
      </c>
      <c r="G1461" s="85">
        <f t="shared" si="208"/>
        <v>6.5449846949787358E-11</v>
      </c>
      <c r="H1461" s="85">
        <v>7950</v>
      </c>
      <c r="I1461" s="85">
        <f t="shared" si="209"/>
        <v>5.2032628325080949E-7</v>
      </c>
      <c r="J1461" s="87">
        <v>1</v>
      </c>
      <c r="K1461" s="88">
        <f t="shared" si="210"/>
        <v>1921871.0109210003</v>
      </c>
    </row>
    <row r="1462" spans="1:11" hidden="1" x14ac:dyDescent="0.25">
      <c r="A1462" t="str">
        <f t="shared" si="200"/>
        <v>PA6.6Ø9,525</v>
      </c>
      <c r="B1462" s="81" t="s">
        <v>244</v>
      </c>
      <c r="C1462" s="101" t="s">
        <v>254</v>
      </c>
      <c r="D1462" s="86">
        <f>3/8*25.4</f>
        <v>9.5249999999999986</v>
      </c>
      <c r="E1462" s="85">
        <f t="shared" si="206"/>
        <v>9.5249999999999987E-3</v>
      </c>
      <c r="F1462" s="85">
        <f t="shared" si="207"/>
        <v>4.7624999999999994E-3</v>
      </c>
      <c r="G1462" s="85">
        <f t="shared" si="208"/>
        <v>4.5247394422534347E-7</v>
      </c>
      <c r="H1462" s="85">
        <v>1110</v>
      </c>
      <c r="I1462" s="85">
        <f t="shared" si="209"/>
        <v>5.0224607809013129E-4</v>
      </c>
      <c r="J1462" s="87">
        <v>1</v>
      </c>
      <c r="K1462" s="88">
        <f t="shared" si="210"/>
        <v>1991.0558660859142</v>
      </c>
    </row>
    <row r="1463" spans="1:11" hidden="1" x14ac:dyDescent="0.25">
      <c r="A1463" t="str">
        <f t="shared" si="200"/>
        <v>420CØ2</v>
      </c>
      <c r="B1463" s="81" t="s">
        <v>295</v>
      </c>
      <c r="D1463" s="86">
        <v>2</v>
      </c>
      <c r="E1463" s="85">
        <f t="shared" si="206"/>
        <v>2E-3</v>
      </c>
      <c r="F1463" s="85">
        <f t="shared" si="207"/>
        <v>1E-3</v>
      </c>
      <c r="G1463" s="85">
        <f t="shared" si="208"/>
        <v>4.1887902047863909E-9</v>
      </c>
      <c r="H1463" s="85">
        <v>7700</v>
      </c>
      <c r="I1463" s="85">
        <f t="shared" si="209"/>
        <v>3.2253684576855209E-5</v>
      </c>
      <c r="J1463" s="87">
        <v>1</v>
      </c>
      <c r="K1463" s="88">
        <f t="shared" si="210"/>
        <v>31004.209693226367</v>
      </c>
    </row>
    <row r="1464" spans="1:11" hidden="1" x14ac:dyDescent="0.25">
      <c r="A1464" t="str">
        <f t="shared" si="200"/>
        <v>ZrO2Ø0,3</v>
      </c>
      <c r="B1464" s="81" t="s">
        <v>205</v>
      </c>
      <c r="D1464" s="86">
        <v>0.3</v>
      </c>
      <c r="E1464" s="85">
        <f t="shared" si="206"/>
        <v>2.9999999999999997E-4</v>
      </c>
      <c r="F1464" s="85">
        <f t="shared" si="207"/>
        <v>1.4999999999999999E-4</v>
      </c>
      <c r="G1464" s="85">
        <f t="shared" si="208"/>
        <v>1.4137166941154065E-11</v>
      </c>
      <c r="H1464" s="85">
        <v>6000</v>
      </c>
      <c r="I1464" s="85">
        <f t="shared" si="209"/>
        <v>8.4823001646924386E-8</v>
      </c>
      <c r="J1464" s="87">
        <v>1</v>
      </c>
      <c r="K1464" s="88">
        <f t="shared" si="210"/>
        <v>11789255.043844104</v>
      </c>
    </row>
    <row r="1465" spans="1:11" hidden="1" x14ac:dyDescent="0.25">
      <c r="A1465" t="str">
        <f t="shared" si="200"/>
        <v>316LØ1</v>
      </c>
      <c r="B1465" s="81" t="s">
        <v>298</v>
      </c>
      <c r="D1465" s="86">
        <v>1</v>
      </c>
      <c r="E1465" s="85">
        <f t="shared" si="206"/>
        <v>1E-3</v>
      </c>
      <c r="F1465" s="85">
        <f t="shared" si="207"/>
        <v>5.0000000000000001E-4</v>
      </c>
      <c r="G1465" s="85">
        <f t="shared" si="208"/>
        <v>5.2359877559829886E-10</v>
      </c>
      <c r="H1465" s="85">
        <v>7950</v>
      </c>
      <c r="I1465" s="85">
        <f t="shared" si="209"/>
        <v>4.1626102660064759E-6</v>
      </c>
      <c r="J1465" s="87">
        <v>1</v>
      </c>
      <c r="K1465" s="88">
        <f t="shared" si="210"/>
        <v>240233.87636512503</v>
      </c>
    </row>
    <row r="1466" spans="1:11" hidden="1" x14ac:dyDescent="0.25">
      <c r="A1466" t="str">
        <f t="shared" si="200"/>
        <v>POMØ2,38125</v>
      </c>
      <c r="B1466" s="81" t="s">
        <v>201</v>
      </c>
      <c r="C1466" s="101" t="s">
        <v>213</v>
      </c>
      <c r="D1466" s="86">
        <f>3/32*25.4</f>
        <v>2.3812499999999996</v>
      </c>
      <c r="E1466" s="85">
        <f t="shared" si="206"/>
        <v>2.3812499999999997E-3</v>
      </c>
      <c r="F1466" s="85">
        <f t="shared" si="207"/>
        <v>1.1906249999999998E-3</v>
      </c>
      <c r="G1466" s="85">
        <f t="shared" si="208"/>
        <v>7.0699053785209917E-9</v>
      </c>
      <c r="H1466" s="85">
        <v>1390</v>
      </c>
      <c r="I1466" s="85">
        <f t="shared" si="209"/>
        <v>9.8271684761441778E-6</v>
      </c>
      <c r="J1466" s="87">
        <v>1</v>
      </c>
      <c r="K1466" s="88">
        <f t="shared" si="210"/>
        <v>101758.71131420386</v>
      </c>
    </row>
    <row r="1467" spans="1:11" hidden="1" x14ac:dyDescent="0.25">
      <c r="A1467" t="str">
        <f t="shared" si="200"/>
        <v>POMØ2,38125</v>
      </c>
      <c r="B1467" s="81" t="s">
        <v>201</v>
      </c>
      <c r="C1467" s="101" t="s">
        <v>213</v>
      </c>
      <c r="D1467" s="86">
        <f>3/32*25.4</f>
        <v>2.3812499999999996</v>
      </c>
      <c r="E1467" s="85">
        <f t="shared" si="206"/>
        <v>2.3812499999999997E-3</v>
      </c>
      <c r="F1467" s="85">
        <f t="shared" si="207"/>
        <v>1.1906249999999998E-3</v>
      </c>
      <c r="G1467" s="85">
        <f t="shared" si="208"/>
        <v>7.0699053785209917E-9</v>
      </c>
      <c r="H1467" s="85">
        <v>1370</v>
      </c>
      <c r="I1467" s="85">
        <f t="shared" si="209"/>
        <v>9.6857703685737587E-6</v>
      </c>
      <c r="J1467" s="87">
        <v>1</v>
      </c>
      <c r="K1467" s="88">
        <f t="shared" si="210"/>
        <v>103244.23994652799</v>
      </c>
    </row>
    <row r="1468" spans="1:11" hidden="1" x14ac:dyDescent="0.25">
      <c r="A1468" t="str">
        <f t="shared" si="200"/>
        <v>NBRØ35</v>
      </c>
      <c r="B1468" s="81" t="s">
        <v>341</v>
      </c>
      <c r="D1468" s="86">
        <v>35</v>
      </c>
      <c r="E1468" s="85">
        <f t="shared" si="206"/>
        <v>3.5000000000000003E-2</v>
      </c>
      <c r="F1468" s="85">
        <f t="shared" si="207"/>
        <v>1.7500000000000002E-2</v>
      </c>
      <c r="G1468" s="85">
        <f t="shared" si="208"/>
        <v>2.2449297503777071E-5</v>
      </c>
      <c r="H1468" s="85">
        <v>1200</v>
      </c>
      <c r="I1468" s="85">
        <f t="shared" si="209"/>
        <v>2.6939157004532484E-2</v>
      </c>
      <c r="J1468" s="87">
        <v>1</v>
      </c>
      <c r="K1468" s="88">
        <f t="shared" si="210"/>
        <v>37.120686435427473</v>
      </c>
    </row>
    <row r="1469" spans="1:11" hidden="1" x14ac:dyDescent="0.25">
      <c r="A1469" t="str">
        <f t="shared" si="200"/>
        <v>NBRØ40</v>
      </c>
      <c r="B1469" s="81" t="s">
        <v>341</v>
      </c>
      <c r="D1469" s="86">
        <v>40</v>
      </c>
      <c r="E1469" s="85">
        <f t="shared" si="206"/>
        <v>0.04</v>
      </c>
      <c r="F1469" s="85">
        <f t="shared" si="207"/>
        <v>0.02</v>
      </c>
      <c r="G1469" s="85">
        <f t="shared" si="208"/>
        <v>3.3510321638291124E-5</v>
      </c>
      <c r="H1469" s="85">
        <v>1200</v>
      </c>
      <c r="I1469" s="85">
        <f t="shared" si="209"/>
        <v>4.0212385965949352E-2</v>
      </c>
      <c r="J1469" s="87">
        <v>1</v>
      </c>
      <c r="K1469" s="88">
        <f t="shared" si="210"/>
        <v>24.867959858108648</v>
      </c>
    </row>
    <row r="1470" spans="1:11" hidden="1" x14ac:dyDescent="0.25">
      <c r="A1470" t="str">
        <f t="shared" si="200"/>
        <v>52100Ø6,45</v>
      </c>
      <c r="B1470" s="81">
        <v>52100</v>
      </c>
      <c r="D1470" s="86">
        <v>6.45</v>
      </c>
      <c r="E1470" s="85">
        <f t="shared" si="206"/>
        <v>6.45E-3</v>
      </c>
      <c r="F1470" s="85">
        <f t="shared" si="207"/>
        <v>3.225E-3</v>
      </c>
      <c r="G1470" s="85">
        <f t="shared" si="208"/>
        <v>1.4050046649879204E-7</v>
      </c>
      <c r="H1470" s="85">
        <v>7800</v>
      </c>
      <c r="I1470" s="85">
        <f t="shared" si="209"/>
        <v>1.0959036386905779E-3</v>
      </c>
      <c r="J1470" s="87">
        <v>1</v>
      </c>
      <c r="K1470" s="88">
        <f t="shared" si="210"/>
        <v>912.48898597949108</v>
      </c>
    </row>
    <row r="1471" spans="1:11" hidden="1" x14ac:dyDescent="0.25">
      <c r="A1471" t="str">
        <f t="shared" si="200"/>
        <v>StelliteØ1</v>
      </c>
      <c r="B1471" s="81" t="s">
        <v>361</v>
      </c>
      <c r="D1471" s="86">
        <v>1</v>
      </c>
      <c r="E1471" s="85">
        <f t="shared" si="206"/>
        <v>1E-3</v>
      </c>
      <c r="F1471" s="85">
        <f t="shared" si="207"/>
        <v>5.0000000000000001E-4</v>
      </c>
      <c r="G1471" s="85">
        <f t="shared" si="208"/>
        <v>5.2359877559829886E-10</v>
      </c>
      <c r="H1471" s="85">
        <v>8570</v>
      </c>
      <c r="I1471" s="85">
        <f t="shared" si="209"/>
        <v>4.4872415068774215E-6</v>
      </c>
      <c r="J1471" s="87">
        <v>1</v>
      </c>
      <c r="K1471" s="88">
        <f t="shared" si="210"/>
        <v>222854.06267243219</v>
      </c>
    </row>
    <row r="1472" spans="1:11" hidden="1" x14ac:dyDescent="0.25">
      <c r="A1472" t="str">
        <f t="shared" si="200"/>
        <v>POMØ1</v>
      </c>
      <c r="B1472" s="81" t="s">
        <v>201</v>
      </c>
      <c r="D1472" s="86">
        <v>1</v>
      </c>
      <c r="E1472" s="85">
        <f t="shared" si="206"/>
        <v>1E-3</v>
      </c>
      <c r="F1472" s="85">
        <f t="shared" si="207"/>
        <v>5.0000000000000001E-4</v>
      </c>
      <c r="G1472" s="85">
        <f t="shared" si="208"/>
        <v>5.2359877559829886E-10</v>
      </c>
      <c r="H1472" s="85">
        <v>1370</v>
      </c>
      <c r="I1472" s="85">
        <f t="shared" si="209"/>
        <v>7.1733032256966945E-7</v>
      </c>
      <c r="J1472" s="87">
        <v>1</v>
      </c>
      <c r="K1472" s="88">
        <f t="shared" si="210"/>
        <v>1394057.8956954337</v>
      </c>
    </row>
    <row r="1473" spans="1:11" hidden="1" x14ac:dyDescent="0.25">
      <c r="A1473" t="str">
        <f t="shared" si="200"/>
        <v>POMØ2,38125</v>
      </c>
      <c r="B1473" s="81" t="s">
        <v>201</v>
      </c>
      <c r="C1473" s="101" t="s">
        <v>213</v>
      </c>
      <c r="D1473" s="86">
        <f>3/32*25.4</f>
        <v>2.3812499999999996</v>
      </c>
      <c r="E1473" s="85">
        <f t="shared" si="206"/>
        <v>2.3812499999999997E-3</v>
      </c>
      <c r="F1473" s="85">
        <f t="shared" si="207"/>
        <v>1.1906249999999998E-3</v>
      </c>
      <c r="G1473" s="85">
        <f t="shared" si="208"/>
        <v>7.0699053785209917E-9</v>
      </c>
      <c r="H1473" s="85">
        <v>1390</v>
      </c>
      <c r="I1473" s="85">
        <f t="shared" si="209"/>
        <v>9.8271684761441778E-6</v>
      </c>
      <c r="J1473" s="87">
        <v>1</v>
      </c>
      <c r="K1473" s="88">
        <f t="shared" si="210"/>
        <v>101758.71131420386</v>
      </c>
    </row>
    <row r="1474" spans="1:11" hidden="1" x14ac:dyDescent="0.25">
      <c r="A1474" t="str">
        <f t="shared" si="200"/>
        <v>POMØ2,38125</v>
      </c>
      <c r="B1474" s="81" t="s">
        <v>201</v>
      </c>
      <c r="C1474" s="101" t="s">
        <v>213</v>
      </c>
      <c r="D1474" s="86">
        <f>3/32*25.4</f>
        <v>2.3812499999999996</v>
      </c>
      <c r="E1474" s="85">
        <f t="shared" si="206"/>
        <v>2.3812499999999997E-3</v>
      </c>
      <c r="F1474" s="85">
        <f t="shared" si="207"/>
        <v>1.1906249999999998E-3</v>
      </c>
      <c r="G1474" s="85">
        <f t="shared" si="208"/>
        <v>7.0699053785209917E-9</v>
      </c>
      <c r="H1474" s="85">
        <v>1390</v>
      </c>
      <c r="I1474" s="85">
        <f t="shared" si="209"/>
        <v>9.8271684761441778E-6</v>
      </c>
      <c r="J1474" s="87">
        <v>1</v>
      </c>
      <c r="K1474" s="88">
        <f t="shared" si="210"/>
        <v>101758.71131420386</v>
      </c>
    </row>
    <row r="1475" spans="1:11" hidden="1" x14ac:dyDescent="0.25">
      <c r="A1475" t="str">
        <f t="shared" si="200"/>
        <v>POMØ2,38125</v>
      </c>
      <c r="B1475" s="81" t="s">
        <v>201</v>
      </c>
      <c r="C1475" s="101" t="s">
        <v>213</v>
      </c>
      <c r="D1475" s="86">
        <f>3/32*25.4</f>
        <v>2.3812499999999996</v>
      </c>
      <c r="E1475" s="85">
        <f t="shared" si="206"/>
        <v>2.3812499999999997E-3</v>
      </c>
      <c r="F1475" s="85">
        <f t="shared" si="207"/>
        <v>1.1906249999999998E-3</v>
      </c>
      <c r="G1475" s="85">
        <f t="shared" si="208"/>
        <v>7.0699053785209917E-9</v>
      </c>
      <c r="H1475" s="85">
        <v>1395</v>
      </c>
      <c r="I1475" s="85">
        <f t="shared" si="209"/>
        <v>9.8625180030367826E-6</v>
      </c>
      <c r="J1475" s="87">
        <v>1</v>
      </c>
      <c r="K1475" s="88">
        <f t="shared" si="210"/>
        <v>101393.98475035366</v>
      </c>
    </row>
    <row r="1476" spans="1:11" hidden="1" x14ac:dyDescent="0.25">
      <c r="A1476" t="str">
        <f t="shared" ref="A1476:A1539" si="211">CONCATENATE(B1476,"Ø",D1476)</f>
        <v>POMØ2</v>
      </c>
      <c r="B1476" s="81" t="s">
        <v>201</v>
      </c>
      <c r="D1476" s="86">
        <v>2</v>
      </c>
      <c r="E1476" s="85">
        <f t="shared" si="206"/>
        <v>2E-3</v>
      </c>
      <c r="F1476" s="85">
        <f t="shared" si="207"/>
        <v>1E-3</v>
      </c>
      <c r="G1476" s="85">
        <f t="shared" si="208"/>
        <v>4.1887902047863909E-9</v>
      </c>
      <c r="H1476" s="85">
        <v>1370</v>
      </c>
      <c r="I1476" s="85">
        <f t="shared" si="209"/>
        <v>5.7386425805573556E-6</v>
      </c>
      <c r="J1476" s="87">
        <v>1</v>
      </c>
      <c r="K1476" s="88">
        <f t="shared" si="210"/>
        <v>174257.23696192921</v>
      </c>
    </row>
    <row r="1477" spans="1:11" hidden="1" x14ac:dyDescent="0.25">
      <c r="A1477" t="str">
        <f t="shared" si="211"/>
        <v>POMØ2</v>
      </c>
      <c r="B1477" s="81" t="s">
        <v>201</v>
      </c>
      <c r="D1477" s="86">
        <v>2</v>
      </c>
      <c r="E1477" s="85">
        <f t="shared" si="206"/>
        <v>2E-3</v>
      </c>
      <c r="F1477" s="85">
        <f t="shared" si="207"/>
        <v>1E-3</v>
      </c>
      <c r="G1477" s="85">
        <f t="shared" si="208"/>
        <v>4.1887902047863909E-9</v>
      </c>
      <c r="H1477" s="85">
        <v>1370</v>
      </c>
      <c r="I1477" s="85">
        <f t="shared" si="209"/>
        <v>5.7386425805573556E-6</v>
      </c>
      <c r="J1477" s="87">
        <v>1</v>
      </c>
      <c r="K1477" s="88">
        <f t="shared" si="210"/>
        <v>174257.23696192921</v>
      </c>
    </row>
    <row r="1478" spans="1:11" hidden="1" x14ac:dyDescent="0.25">
      <c r="A1478" t="str">
        <f t="shared" si="211"/>
        <v>52100Ø2,6</v>
      </c>
      <c r="B1478" s="81">
        <v>52100</v>
      </c>
      <c r="D1478" s="86">
        <v>2.6</v>
      </c>
      <c r="E1478" s="85">
        <f t="shared" si="206"/>
        <v>2.5999999999999999E-3</v>
      </c>
      <c r="F1478" s="85">
        <f t="shared" si="207"/>
        <v>1.2999999999999999E-3</v>
      </c>
      <c r="G1478" s="85">
        <f t="shared" si="208"/>
        <v>9.2027720799156989E-9</v>
      </c>
      <c r="H1478" s="85">
        <v>7800</v>
      </c>
      <c r="I1478" s="85">
        <f t="shared" si="209"/>
        <v>7.1781622223342453E-5</v>
      </c>
      <c r="J1478" s="87">
        <v>1</v>
      </c>
      <c r="K1478" s="88">
        <f t="shared" si="210"/>
        <v>13931.142387512287</v>
      </c>
    </row>
    <row r="1479" spans="1:11" hidden="1" x14ac:dyDescent="0.25">
      <c r="A1479" t="str">
        <f t="shared" si="211"/>
        <v>PPHØ3</v>
      </c>
      <c r="B1479" s="81" t="s">
        <v>202</v>
      </c>
      <c r="D1479" s="86">
        <v>3</v>
      </c>
      <c r="E1479" s="85">
        <f t="shared" si="206"/>
        <v>3.0000000000000001E-3</v>
      </c>
      <c r="F1479" s="85">
        <f t="shared" si="207"/>
        <v>1.5E-3</v>
      </c>
      <c r="G1479" s="85">
        <f t="shared" si="208"/>
        <v>1.4137166941154068E-8</v>
      </c>
      <c r="H1479" s="85">
        <v>870</v>
      </c>
      <c r="I1479" s="85">
        <f t="shared" si="209"/>
        <v>1.229933523880404E-5</v>
      </c>
      <c r="J1479" s="87">
        <v>1</v>
      </c>
      <c r="K1479" s="88">
        <f t="shared" si="210"/>
        <v>81305.207198924822</v>
      </c>
    </row>
    <row r="1480" spans="1:11" hidden="1" x14ac:dyDescent="0.25">
      <c r="A1480" t="str">
        <f t="shared" si="211"/>
        <v>100CrMn6Ø45,125</v>
      </c>
      <c r="B1480" s="81" t="s">
        <v>316</v>
      </c>
      <c r="D1480" s="86">
        <v>45.125</v>
      </c>
      <c r="E1480" s="85">
        <f t="shared" si="206"/>
        <v>4.5124999999999998E-2</v>
      </c>
      <c r="F1480" s="85">
        <f t="shared" si="207"/>
        <v>2.2562499999999999E-2</v>
      </c>
      <c r="G1480" s="85">
        <f t="shared" si="208"/>
        <v>4.8111651735436067E-5</v>
      </c>
      <c r="H1480" s="85">
        <v>7850</v>
      </c>
      <c r="I1480" s="85">
        <f t="shared" si="209"/>
        <v>0.37767646612317313</v>
      </c>
      <c r="J1480" s="87">
        <v>1</v>
      </c>
      <c r="K1480" s="88">
        <f t="shared" si="210"/>
        <v>2.647768896656288</v>
      </c>
    </row>
    <row r="1481" spans="1:11" hidden="1" x14ac:dyDescent="0.25">
      <c r="A1481" t="str">
        <f t="shared" si="211"/>
        <v>430Ø1</v>
      </c>
      <c r="B1481" s="81">
        <v>430</v>
      </c>
      <c r="D1481" s="86">
        <v>1</v>
      </c>
      <c r="E1481" s="85">
        <f t="shared" si="206"/>
        <v>1E-3</v>
      </c>
      <c r="F1481" s="85">
        <f t="shared" si="207"/>
        <v>5.0000000000000001E-4</v>
      </c>
      <c r="G1481" s="85">
        <f t="shared" si="208"/>
        <v>5.2359877559829886E-10</v>
      </c>
      <c r="H1481" s="85">
        <v>7730</v>
      </c>
      <c r="I1481" s="85">
        <f t="shared" si="209"/>
        <v>4.0474185353748506E-6</v>
      </c>
      <c r="J1481" s="87">
        <v>1</v>
      </c>
      <c r="K1481" s="88">
        <f t="shared" si="210"/>
        <v>247071.06301458523</v>
      </c>
    </row>
    <row r="1482" spans="1:11" hidden="1" x14ac:dyDescent="0.25">
      <c r="A1482" t="str">
        <f t="shared" si="211"/>
        <v>PPHØ4</v>
      </c>
      <c r="B1482" s="81" t="s">
        <v>202</v>
      </c>
      <c r="D1482" s="86">
        <v>4</v>
      </c>
      <c r="E1482" s="85">
        <f t="shared" si="206"/>
        <v>4.0000000000000001E-3</v>
      </c>
      <c r="F1482" s="85">
        <f t="shared" si="207"/>
        <v>2E-3</v>
      </c>
      <c r="G1482" s="85">
        <f t="shared" si="208"/>
        <v>3.3510321638291127E-8</v>
      </c>
      <c r="H1482" s="85">
        <v>870</v>
      </c>
      <c r="I1482" s="85">
        <f t="shared" si="209"/>
        <v>2.9153979825313279E-5</v>
      </c>
      <c r="J1482" s="87">
        <v>1</v>
      </c>
      <c r="K1482" s="88">
        <f t="shared" si="210"/>
        <v>34300.634287046414</v>
      </c>
    </row>
    <row r="1483" spans="1:11" hidden="1" x14ac:dyDescent="0.25">
      <c r="A1483" t="str">
        <f t="shared" si="211"/>
        <v>PTFEØ5,55625</v>
      </c>
      <c r="B1483" s="81" t="s">
        <v>307</v>
      </c>
      <c r="C1483" s="101" t="s">
        <v>249</v>
      </c>
      <c r="D1483" s="86">
        <f>7/32*25.4</f>
        <v>5.5562499999999995</v>
      </c>
      <c r="E1483" s="85">
        <f t="shared" si="206"/>
        <v>5.5562499999999996E-3</v>
      </c>
      <c r="F1483" s="85">
        <f t="shared" si="207"/>
        <v>2.7781249999999998E-3</v>
      </c>
      <c r="G1483" s="85">
        <f t="shared" si="208"/>
        <v>8.9813983141951873E-8</v>
      </c>
      <c r="H1483" s="85">
        <v>2160</v>
      </c>
      <c r="I1483" s="85">
        <f t="shared" si="209"/>
        <v>1.9399820358661604E-4</v>
      </c>
      <c r="J1483" s="87">
        <v>1</v>
      </c>
      <c r="K1483" s="88">
        <f t="shared" si="210"/>
        <v>5154.6869069512877</v>
      </c>
    </row>
    <row r="1484" spans="1:11" hidden="1" x14ac:dyDescent="0.25">
      <c r="A1484" t="str">
        <f t="shared" si="211"/>
        <v>PTFEØ6,35</v>
      </c>
      <c r="B1484" s="81" t="s">
        <v>307</v>
      </c>
      <c r="C1484" s="101" t="s">
        <v>218</v>
      </c>
      <c r="D1484" s="86">
        <f>1/4*25.4</f>
        <v>6.35</v>
      </c>
      <c r="E1484" s="85">
        <f t="shared" si="206"/>
        <v>6.3499999999999997E-3</v>
      </c>
      <c r="F1484" s="85">
        <f t="shared" si="207"/>
        <v>3.1749999999999999E-3</v>
      </c>
      <c r="G1484" s="85">
        <f t="shared" si="208"/>
        <v>1.3406635384454623E-7</v>
      </c>
      <c r="H1484" s="85">
        <v>2160</v>
      </c>
      <c r="I1484" s="85">
        <f>H1484*G1484</f>
        <v>2.8958332430421987E-4</v>
      </c>
      <c r="J1484" s="87">
        <v>1</v>
      </c>
      <c r="K1484" s="88">
        <f>J1484/I1484</f>
        <v>3453.2375177427571</v>
      </c>
    </row>
    <row r="1485" spans="1:11" hidden="1" x14ac:dyDescent="0.25">
      <c r="A1485" t="str">
        <f t="shared" si="211"/>
        <v>PTFEØ7,9375</v>
      </c>
      <c r="B1485" s="81" t="s">
        <v>307</v>
      </c>
      <c r="C1485" s="101" t="s">
        <v>252</v>
      </c>
      <c r="D1485" s="86">
        <f>5/16*25.4</f>
        <v>7.9375</v>
      </c>
      <c r="E1485" s="85">
        <f t="shared" si="206"/>
        <v>7.9375000000000001E-3</v>
      </c>
      <c r="F1485" s="85">
        <f t="shared" si="207"/>
        <v>3.9687500000000001E-3</v>
      </c>
      <c r="G1485" s="85">
        <f t="shared" si="208"/>
        <v>2.6184834735262947E-7</v>
      </c>
      <c r="H1485" s="85">
        <v>2160</v>
      </c>
      <c r="I1485" s="85">
        <f>H1485*G1485</f>
        <v>5.6559243028167961E-4</v>
      </c>
      <c r="J1485" s="87">
        <v>1</v>
      </c>
      <c r="K1485" s="88">
        <f>J1485/I1485</f>
        <v>1768.057609084291</v>
      </c>
    </row>
    <row r="1486" spans="1:11" hidden="1" x14ac:dyDescent="0.25">
      <c r="A1486" t="str">
        <f t="shared" si="211"/>
        <v>PTFEØ9,525</v>
      </c>
      <c r="B1486" s="81" t="s">
        <v>307</v>
      </c>
      <c r="C1486" s="101" t="s">
        <v>254</v>
      </c>
      <c r="D1486" s="86">
        <f>3/8*25.4</f>
        <v>9.5249999999999986</v>
      </c>
      <c r="E1486" s="85">
        <f t="shared" si="206"/>
        <v>9.5249999999999987E-3</v>
      </c>
      <c r="F1486" s="85">
        <f t="shared" si="207"/>
        <v>4.7624999999999994E-3</v>
      </c>
      <c r="G1486" s="85">
        <f t="shared" si="208"/>
        <v>4.5247394422534347E-7</v>
      </c>
      <c r="H1486" s="85">
        <v>2160</v>
      </c>
      <c r="I1486" s="85">
        <f t="shared" ref="I1486:I1549" si="212">H1486*G1486</f>
        <v>9.7734371952674188E-4</v>
      </c>
      <c r="J1486" s="87">
        <v>1</v>
      </c>
      <c r="K1486" s="88">
        <f t="shared" ref="K1486:K1549" si="213">J1486/I1486</f>
        <v>1023.1814867385948</v>
      </c>
    </row>
    <row r="1487" spans="1:11" hidden="1" x14ac:dyDescent="0.25">
      <c r="A1487" t="str">
        <f t="shared" si="211"/>
        <v>POMØ2,38125</v>
      </c>
      <c r="B1487" s="81" t="s">
        <v>201</v>
      </c>
      <c r="C1487" s="101" t="s">
        <v>213</v>
      </c>
      <c r="D1487" s="86">
        <f>3/32*25.4</f>
        <v>2.3812499999999996</v>
      </c>
      <c r="E1487" s="85">
        <f t="shared" si="206"/>
        <v>2.3812499999999997E-3</v>
      </c>
      <c r="F1487" s="85">
        <f t="shared" si="207"/>
        <v>1.1906249999999998E-3</v>
      </c>
      <c r="G1487" s="85">
        <f t="shared" si="208"/>
        <v>7.0699053785209917E-9</v>
      </c>
      <c r="H1487" s="85">
        <v>1390</v>
      </c>
      <c r="I1487" s="85">
        <f t="shared" si="212"/>
        <v>9.8271684761441778E-6</v>
      </c>
      <c r="J1487" s="87">
        <v>1</v>
      </c>
      <c r="K1487" s="88">
        <f t="shared" si="213"/>
        <v>101758.71131420386</v>
      </c>
    </row>
    <row r="1488" spans="1:11" hidden="1" x14ac:dyDescent="0.25">
      <c r="A1488" t="str">
        <f t="shared" si="211"/>
        <v>POMØ2,38125</v>
      </c>
      <c r="B1488" s="81" t="s">
        <v>201</v>
      </c>
      <c r="C1488" s="101" t="s">
        <v>213</v>
      </c>
      <c r="D1488" s="86">
        <f>3/32*25.4</f>
        <v>2.3812499999999996</v>
      </c>
      <c r="E1488" s="85">
        <f t="shared" si="206"/>
        <v>2.3812499999999997E-3</v>
      </c>
      <c r="F1488" s="85">
        <f t="shared" si="207"/>
        <v>1.1906249999999998E-3</v>
      </c>
      <c r="G1488" s="85">
        <f t="shared" si="208"/>
        <v>7.0699053785209917E-9</v>
      </c>
      <c r="H1488" s="85">
        <v>1390</v>
      </c>
      <c r="I1488" s="85">
        <f t="shared" si="212"/>
        <v>9.8271684761441778E-6</v>
      </c>
      <c r="J1488" s="87">
        <v>1</v>
      </c>
      <c r="K1488" s="88">
        <f t="shared" si="213"/>
        <v>101758.71131420386</v>
      </c>
    </row>
    <row r="1489" spans="1:11" hidden="1" x14ac:dyDescent="0.25">
      <c r="A1489" t="str">
        <f t="shared" si="211"/>
        <v>POMØ2,38125</v>
      </c>
      <c r="B1489" s="81" t="s">
        <v>201</v>
      </c>
      <c r="C1489" s="101" t="s">
        <v>213</v>
      </c>
      <c r="D1489" s="86">
        <f>3/32*25.4</f>
        <v>2.3812499999999996</v>
      </c>
      <c r="E1489" s="85">
        <f t="shared" si="206"/>
        <v>2.3812499999999997E-3</v>
      </c>
      <c r="F1489" s="85">
        <f t="shared" si="207"/>
        <v>1.1906249999999998E-3</v>
      </c>
      <c r="G1489" s="85">
        <f t="shared" si="208"/>
        <v>7.0699053785209917E-9</v>
      </c>
      <c r="H1489" s="85">
        <v>1390</v>
      </c>
      <c r="I1489" s="85">
        <f t="shared" si="212"/>
        <v>9.8271684761441778E-6</v>
      </c>
      <c r="J1489" s="87">
        <v>1</v>
      </c>
      <c r="K1489" s="85">
        <f t="shared" si="213"/>
        <v>101758.71131420386</v>
      </c>
    </row>
    <row r="1490" spans="1:11" hidden="1" x14ac:dyDescent="0.25">
      <c r="A1490" t="str">
        <f t="shared" si="211"/>
        <v>POMØ1</v>
      </c>
      <c r="B1490" s="81" t="s">
        <v>201</v>
      </c>
      <c r="D1490" s="86">
        <v>1</v>
      </c>
      <c r="E1490" s="85">
        <f t="shared" si="206"/>
        <v>1E-3</v>
      </c>
      <c r="F1490" s="85">
        <f t="shared" si="207"/>
        <v>5.0000000000000001E-4</v>
      </c>
      <c r="G1490" s="85">
        <f t="shared" si="208"/>
        <v>5.2359877559829886E-10</v>
      </c>
      <c r="H1490" s="85">
        <v>1370</v>
      </c>
      <c r="I1490" s="85">
        <f t="shared" si="212"/>
        <v>7.1733032256966945E-7</v>
      </c>
      <c r="J1490" s="87">
        <v>1</v>
      </c>
      <c r="K1490" s="88">
        <f t="shared" si="213"/>
        <v>1394057.8956954337</v>
      </c>
    </row>
    <row r="1491" spans="1:11" hidden="1" x14ac:dyDescent="0.25">
      <c r="A1491" t="str">
        <f t="shared" si="211"/>
        <v>POMØ1</v>
      </c>
      <c r="B1491" s="81" t="s">
        <v>201</v>
      </c>
      <c r="D1491" s="86">
        <v>1</v>
      </c>
      <c r="E1491" s="85">
        <f t="shared" si="206"/>
        <v>1E-3</v>
      </c>
      <c r="F1491" s="85">
        <f t="shared" si="207"/>
        <v>5.0000000000000001E-4</v>
      </c>
      <c r="G1491" s="85">
        <f t="shared" si="208"/>
        <v>5.2359877559829886E-10</v>
      </c>
      <c r="H1491" s="85">
        <v>1370</v>
      </c>
      <c r="I1491" s="85">
        <f t="shared" si="212"/>
        <v>7.1733032256966945E-7</v>
      </c>
      <c r="J1491" s="87">
        <v>1</v>
      </c>
      <c r="K1491" s="88">
        <f t="shared" si="213"/>
        <v>1394057.8956954337</v>
      </c>
    </row>
    <row r="1492" spans="1:11" hidden="1" x14ac:dyDescent="0.25">
      <c r="A1492" t="str">
        <f t="shared" si="211"/>
        <v>PA6.6Ø2</v>
      </c>
      <c r="B1492" s="81" t="s">
        <v>244</v>
      </c>
      <c r="D1492" s="86">
        <v>2</v>
      </c>
      <c r="E1492" s="85">
        <f t="shared" si="206"/>
        <v>2E-3</v>
      </c>
      <c r="F1492" s="85">
        <f t="shared" si="207"/>
        <v>1E-3</v>
      </c>
      <c r="G1492" s="85">
        <f t="shared" si="208"/>
        <v>4.1887902047863909E-9</v>
      </c>
      <c r="H1492" s="85">
        <v>1110</v>
      </c>
      <c r="I1492" s="85">
        <f t="shared" si="212"/>
        <v>4.6495571273128935E-6</v>
      </c>
      <c r="J1492" s="87">
        <v>1</v>
      </c>
      <c r="K1492" s="88">
        <f t="shared" si="213"/>
        <v>215074.24742148022</v>
      </c>
    </row>
    <row r="1493" spans="1:11" hidden="1" x14ac:dyDescent="0.25">
      <c r="A1493" t="str">
        <f t="shared" si="211"/>
        <v>PPHØ2</v>
      </c>
      <c r="B1493" s="81" t="s">
        <v>202</v>
      </c>
      <c r="D1493" s="86">
        <v>2</v>
      </c>
      <c r="E1493" s="85">
        <f t="shared" si="206"/>
        <v>2E-3</v>
      </c>
      <c r="F1493" s="85">
        <f t="shared" si="207"/>
        <v>1E-3</v>
      </c>
      <c r="G1493" s="85">
        <f t="shared" si="208"/>
        <v>4.1887902047863909E-9</v>
      </c>
      <c r="H1493" s="85">
        <v>870</v>
      </c>
      <c r="I1493" s="85">
        <f t="shared" si="212"/>
        <v>3.6442474781641599E-6</v>
      </c>
      <c r="J1493" s="87">
        <v>1</v>
      </c>
      <c r="K1493" s="88">
        <f t="shared" si="213"/>
        <v>274405.07429637131</v>
      </c>
    </row>
    <row r="1494" spans="1:11" hidden="1" x14ac:dyDescent="0.25">
      <c r="A1494" t="str">
        <f t="shared" si="211"/>
        <v>LDPEØ2</v>
      </c>
      <c r="B1494" s="81" t="s">
        <v>321</v>
      </c>
      <c r="D1494" s="86">
        <v>2</v>
      </c>
      <c r="E1494" s="85">
        <f t="shared" si="206"/>
        <v>2E-3</v>
      </c>
      <c r="F1494" s="85">
        <f t="shared" si="207"/>
        <v>1E-3</v>
      </c>
      <c r="G1494" s="85">
        <f t="shared" si="208"/>
        <v>4.1887902047863909E-9</v>
      </c>
      <c r="H1494" s="85">
        <v>920</v>
      </c>
      <c r="I1494" s="85">
        <f t="shared" si="212"/>
        <v>3.8536869884034798E-6</v>
      </c>
      <c r="J1494" s="87">
        <v>1</v>
      </c>
      <c r="K1494" s="88">
        <f t="shared" si="213"/>
        <v>259491.7550411337</v>
      </c>
    </row>
    <row r="1495" spans="1:11" hidden="1" x14ac:dyDescent="0.25">
      <c r="A1495" t="str">
        <f t="shared" si="211"/>
        <v>52100Ø6,35</v>
      </c>
      <c r="B1495" s="81">
        <v>52100</v>
      </c>
      <c r="C1495" s="101" t="s">
        <v>218</v>
      </c>
      <c r="D1495" s="86">
        <f>1/4*25.4</f>
        <v>6.35</v>
      </c>
      <c r="E1495" s="85">
        <f t="shared" si="206"/>
        <v>6.3499999999999997E-3</v>
      </c>
      <c r="F1495" s="85">
        <f t="shared" si="207"/>
        <v>3.1749999999999999E-3</v>
      </c>
      <c r="G1495" s="85">
        <f t="shared" si="208"/>
        <v>1.3406635384454623E-7</v>
      </c>
      <c r="H1495" s="85">
        <v>7800</v>
      </c>
      <c r="I1495" s="85">
        <f t="shared" si="212"/>
        <v>1.0457175599874605E-3</v>
      </c>
      <c r="J1495" s="87">
        <v>1</v>
      </c>
      <c r="K1495" s="88">
        <f t="shared" si="213"/>
        <v>956.28115875953279</v>
      </c>
    </row>
    <row r="1496" spans="1:11" hidden="1" x14ac:dyDescent="0.25">
      <c r="A1496" t="str">
        <f t="shared" si="211"/>
        <v>52100Ø0,68</v>
      </c>
      <c r="B1496" s="81">
        <v>52100</v>
      </c>
      <c r="D1496" s="86">
        <v>0.68</v>
      </c>
      <c r="E1496" s="85">
        <f t="shared" si="206"/>
        <v>6.8000000000000005E-4</v>
      </c>
      <c r="F1496" s="85">
        <f t="shared" si="207"/>
        <v>3.4000000000000002E-4</v>
      </c>
      <c r="G1496" s="85">
        <f t="shared" si="208"/>
        <v>1.6463621020892433E-10</v>
      </c>
      <c r="H1496" s="85">
        <v>7800</v>
      </c>
      <c r="I1496" s="85">
        <f t="shared" si="212"/>
        <v>1.2841624396296097E-6</v>
      </c>
      <c r="J1496" s="87">
        <v>1</v>
      </c>
      <c r="K1496" s="88">
        <f t="shared" si="213"/>
        <v>778717.68332394888</v>
      </c>
    </row>
    <row r="1497" spans="1:11" hidden="1" x14ac:dyDescent="0.25">
      <c r="A1497" t="str">
        <f t="shared" si="211"/>
        <v>52100Ø0,68</v>
      </c>
      <c r="B1497" s="81">
        <v>52100</v>
      </c>
      <c r="D1497" s="86">
        <v>0.68</v>
      </c>
      <c r="E1497" s="85">
        <f t="shared" si="206"/>
        <v>6.8000000000000005E-4</v>
      </c>
      <c r="F1497" s="85">
        <f t="shared" si="207"/>
        <v>3.4000000000000002E-4</v>
      </c>
      <c r="G1497" s="85">
        <f t="shared" si="208"/>
        <v>1.6463621020892433E-10</v>
      </c>
      <c r="H1497" s="85">
        <v>7800</v>
      </c>
      <c r="I1497" s="85">
        <f t="shared" si="212"/>
        <v>1.2841624396296097E-6</v>
      </c>
      <c r="J1497" s="87">
        <v>1</v>
      </c>
      <c r="K1497" s="88">
        <f t="shared" si="213"/>
        <v>778717.68332394888</v>
      </c>
    </row>
    <row r="1498" spans="1:11" hidden="1" x14ac:dyDescent="0.25">
      <c r="A1498" t="str">
        <f t="shared" si="211"/>
        <v>440CØ0,7</v>
      </c>
      <c r="B1498" s="81" t="s">
        <v>314</v>
      </c>
      <c r="D1498" s="86">
        <v>0.7</v>
      </c>
      <c r="E1498" s="85">
        <f t="shared" si="206"/>
        <v>6.9999999999999999E-4</v>
      </c>
      <c r="F1498" s="85">
        <f t="shared" si="207"/>
        <v>3.5E-4</v>
      </c>
      <c r="G1498" s="85">
        <f t="shared" si="208"/>
        <v>1.7959438003021649E-10</v>
      </c>
      <c r="H1498" s="85">
        <v>7700</v>
      </c>
      <c r="I1498" s="85">
        <f t="shared" si="212"/>
        <v>1.382876726232667E-6</v>
      </c>
      <c r="J1498" s="87">
        <v>1</v>
      </c>
      <c r="K1498" s="88">
        <f t="shared" si="213"/>
        <v>723130.2552356004</v>
      </c>
    </row>
    <row r="1499" spans="1:11" hidden="1" x14ac:dyDescent="0.25">
      <c r="A1499" t="str">
        <f t="shared" si="211"/>
        <v>52100Ø1,5875</v>
      </c>
      <c r="B1499" s="81">
        <v>52100</v>
      </c>
      <c r="C1499" s="101" t="s">
        <v>246</v>
      </c>
      <c r="D1499" s="86">
        <f>1/16*25.4</f>
        <v>1.5874999999999999</v>
      </c>
      <c r="E1499" s="85">
        <f t="shared" si="206"/>
        <v>1.5874999999999999E-3</v>
      </c>
      <c r="F1499" s="85">
        <f t="shared" si="207"/>
        <v>7.9374999999999997E-4</v>
      </c>
      <c r="G1499" s="85">
        <f t="shared" si="208"/>
        <v>2.0947867788210349E-9</v>
      </c>
      <c r="H1499" s="85">
        <v>7800</v>
      </c>
      <c r="I1499" s="85">
        <f t="shared" si="212"/>
        <v>1.6339336874804071E-5</v>
      </c>
      <c r="J1499" s="87">
        <v>1</v>
      </c>
      <c r="K1499" s="88">
        <f t="shared" si="213"/>
        <v>61201.994160610098</v>
      </c>
    </row>
    <row r="1500" spans="1:11" hidden="1" x14ac:dyDescent="0.25">
      <c r="A1500" t="str">
        <f t="shared" si="211"/>
        <v>52100Ø1,5875</v>
      </c>
      <c r="B1500" s="81">
        <v>52100</v>
      </c>
      <c r="C1500" s="101" t="s">
        <v>246</v>
      </c>
      <c r="D1500" s="86">
        <f>1/16*25.4</f>
        <v>1.5874999999999999</v>
      </c>
      <c r="E1500" s="85">
        <f t="shared" si="206"/>
        <v>1.5874999999999999E-3</v>
      </c>
      <c r="F1500" s="85">
        <f t="shared" si="207"/>
        <v>7.9374999999999997E-4</v>
      </c>
      <c r="G1500" s="85">
        <f t="shared" si="208"/>
        <v>2.0947867788210349E-9</v>
      </c>
      <c r="H1500" s="85">
        <v>7800</v>
      </c>
      <c r="I1500" s="85">
        <f t="shared" si="212"/>
        <v>1.6339336874804071E-5</v>
      </c>
      <c r="J1500" s="87">
        <v>1</v>
      </c>
      <c r="K1500" s="88">
        <f t="shared" si="213"/>
        <v>61201.994160610098</v>
      </c>
    </row>
    <row r="1501" spans="1:11" hidden="1" x14ac:dyDescent="0.25">
      <c r="A1501" t="str">
        <f t="shared" si="211"/>
        <v>52100Ø1,5875</v>
      </c>
      <c r="B1501" s="81">
        <v>52100</v>
      </c>
      <c r="C1501" s="101" t="s">
        <v>246</v>
      </c>
      <c r="D1501" s="86">
        <f>1/16*25.4</f>
        <v>1.5874999999999999</v>
      </c>
      <c r="E1501" s="85">
        <f t="shared" si="206"/>
        <v>1.5874999999999999E-3</v>
      </c>
      <c r="F1501" s="85">
        <f t="shared" si="207"/>
        <v>7.9374999999999997E-4</v>
      </c>
      <c r="G1501" s="85">
        <f t="shared" si="208"/>
        <v>2.0947867788210349E-9</v>
      </c>
      <c r="H1501" s="85">
        <v>7800</v>
      </c>
      <c r="I1501" s="85">
        <f t="shared" si="212"/>
        <v>1.6339336874804071E-5</v>
      </c>
      <c r="J1501" s="87">
        <v>1</v>
      </c>
      <c r="K1501" s="88">
        <f t="shared" si="213"/>
        <v>61201.994160610098</v>
      </c>
    </row>
    <row r="1502" spans="1:11" hidden="1" x14ac:dyDescent="0.25">
      <c r="A1502" t="str">
        <f t="shared" si="211"/>
        <v>POMØ6,35</v>
      </c>
      <c r="B1502" s="81" t="s">
        <v>201</v>
      </c>
      <c r="C1502" s="101" t="s">
        <v>218</v>
      </c>
      <c r="D1502" s="86">
        <f>1/4*25.4</f>
        <v>6.35</v>
      </c>
      <c r="E1502" s="85">
        <f t="shared" si="206"/>
        <v>6.3499999999999997E-3</v>
      </c>
      <c r="F1502" s="85">
        <f t="shared" si="207"/>
        <v>3.1749999999999999E-3</v>
      </c>
      <c r="G1502" s="85">
        <f t="shared" si="208"/>
        <v>1.3406635384454623E-7</v>
      </c>
      <c r="H1502" s="85">
        <v>1370</v>
      </c>
      <c r="I1502" s="85">
        <f t="shared" si="212"/>
        <v>1.8367090476702834E-4</v>
      </c>
      <c r="J1502" s="87">
        <v>1</v>
      </c>
      <c r="K1502" s="88">
        <f t="shared" si="213"/>
        <v>5444.5204659301862</v>
      </c>
    </row>
    <row r="1503" spans="1:11" hidden="1" x14ac:dyDescent="0.25">
      <c r="A1503" t="str">
        <f t="shared" si="211"/>
        <v>Al2O3Ø1</v>
      </c>
      <c r="B1503" s="81" t="s">
        <v>217</v>
      </c>
      <c r="D1503" s="86">
        <v>1</v>
      </c>
      <c r="E1503" s="85">
        <f t="shared" si="206"/>
        <v>1E-3</v>
      </c>
      <c r="F1503" s="85">
        <f t="shared" si="207"/>
        <v>5.0000000000000001E-4</v>
      </c>
      <c r="G1503" s="85">
        <f t="shared" si="208"/>
        <v>5.2359877559829886E-10</v>
      </c>
      <c r="H1503" s="85">
        <v>3900</v>
      </c>
      <c r="I1503" s="85">
        <f t="shared" si="212"/>
        <v>2.0420352248333656E-6</v>
      </c>
      <c r="J1503" s="87">
        <v>1</v>
      </c>
      <c r="K1503" s="88">
        <f t="shared" si="213"/>
        <v>489707.51720583183</v>
      </c>
    </row>
    <row r="1504" spans="1:11" hidden="1" x14ac:dyDescent="0.25">
      <c r="A1504" t="str">
        <f t="shared" si="211"/>
        <v>Al2O3Ø1</v>
      </c>
      <c r="B1504" s="81" t="s">
        <v>217</v>
      </c>
      <c r="D1504" s="86">
        <v>1</v>
      </c>
      <c r="E1504" s="85">
        <f t="shared" si="206"/>
        <v>1E-3</v>
      </c>
      <c r="F1504" s="85">
        <f t="shared" si="207"/>
        <v>5.0000000000000001E-4</v>
      </c>
      <c r="G1504" s="85">
        <f t="shared" si="208"/>
        <v>5.2359877559829886E-10</v>
      </c>
      <c r="H1504" s="85">
        <v>3900</v>
      </c>
      <c r="I1504" s="85">
        <f t="shared" si="212"/>
        <v>2.0420352248333656E-6</v>
      </c>
      <c r="J1504" s="87">
        <v>1</v>
      </c>
      <c r="K1504" s="88">
        <f t="shared" si="213"/>
        <v>489707.51720583183</v>
      </c>
    </row>
    <row r="1505" spans="1:11" hidden="1" x14ac:dyDescent="0.25">
      <c r="A1505" t="str">
        <f t="shared" si="211"/>
        <v>Al2O3Ø1</v>
      </c>
      <c r="B1505" s="81" t="s">
        <v>217</v>
      </c>
      <c r="D1505" s="86">
        <v>1</v>
      </c>
      <c r="E1505" s="85">
        <f t="shared" si="206"/>
        <v>1E-3</v>
      </c>
      <c r="F1505" s="85">
        <f t="shared" si="207"/>
        <v>5.0000000000000001E-4</v>
      </c>
      <c r="G1505" s="85">
        <f t="shared" si="208"/>
        <v>5.2359877559829886E-10</v>
      </c>
      <c r="H1505" s="85">
        <v>3700</v>
      </c>
      <c r="I1505" s="85">
        <f t="shared" si="212"/>
        <v>1.9373154697137059E-6</v>
      </c>
      <c r="J1505" s="87">
        <v>1</v>
      </c>
      <c r="K1505" s="88">
        <f t="shared" si="213"/>
        <v>516178.19381155242</v>
      </c>
    </row>
    <row r="1506" spans="1:11" hidden="1" x14ac:dyDescent="0.25">
      <c r="A1506" t="str">
        <f t="shared" si="211"/>
        <v>52100Ø0,8</v>
      </c>
      <c r="B1506" s="81">
        <v>52100</v>
      </c>
      <c r="D1506" s="86">
        <v>0.8</v>
      </c>
      <c r="E1506" s="85">
        <f t="shared" si="206"/>
        <v>8.0000000000000004E-4</v>
      </c>
      <c r="F1506" s="85">
        <f t="shared" si="207"/>
        <v>4.0000000000000002E-4</v>
      </c>
      <c r="G1506" s="85">
        <f t="shared" si="208"/>
        <v>2.6808257310632903E-10</v>
      </c>
      <c r="H1506" s="85">
        <v>7800</v>
      </c>
      <c r="I1506" s="85">
        <f t="shared" si="212"/>
        <v>2.0910440702293663E-6</v>
      </c>
      <c r="J1506" s="87">
        <v>1</v>
      </c>
      <c r="K1506" s="88">
        <f t="shared" si="213"/>
        <v>478229.99727132014</v>
      </c>
    </row>
    <row r="1507" spans="1:11" hidden="1" x14ac:dyDescent="0.25">
      <c r="A1507" t="str">
        <f t="shared" si="211"/>
        <v>WC-CoØ2</v>
      </c>
      <c r="B1507" s="81" t="s">
        <v>297</v>
      </c>
      <c r="D1507" s="86">
        <v>2</v>
      </c>
      <c r="E1507" s="85">
        <f t="shared" si="206"/>
        <v>2E-3</v>
      </c>
      <c r="F1507" s="85">
        <f t="shared" si="207"/>
        <v>1E-3</v>
      </c>
      <c r="G1507" s="85">
        <f t="shared" si="208"/>
        <v>4.1887902047863909E-9</v>
      </c>
      <c r="H1507" s="85">
        <v>14950</v>
      </c>
      <c r="I1507" s="85">
        <f t="shared" si="212"/>
        <v>6.2622413561556539E-5</v>
      </c>
      <c r="J1507" s="87">
        <v>1</v>
      </c>
      <c r="K1507" s="88">
        <f t="shared" si="213"/>
        <v>15968.723387146691</v>
      </c>
    </row>
    <row r="1508" spans="1:11" hidden="1" x14ac:dyDescent="0.25">
      <c r="A1508" t="str">
        <f t="shared" si="211"/>
        <v>PPHØ10</v>
      </c>
      <c r="B1508" s="81" t="s">
        <v>202</v>
      </c>
      <c r="D1508" s="86">
        <v>10</v>
      </c>
      <c r="E1508" s="85">
        <f t="shared" si="206"/>
        <v>0.01</v>
      </c>
      <c r="F1508" s="85">
        <f t="shared" si="207"/>
        <v>5.0000000000000001E-3</v>
      </c>
      <c r="G1508" s="85">
        <f t="shared" si="208"/>
        <v>5.2359877559829882E-7</v>
      </c>
      <c r="H1508" s="85">
        <v>870</v>
      </c>
      <c r="I1508" s="85">
        <f t="shared" si="212"/>
        <v>4.5553093477051999E-4</v>
      </c>
      <c r="J1508" s="87">
        <v>1</v>
      </c>
      <c r="K1508" s="88">
        <f t="shared" si="213"/>
        <v>2195.2405943709705</v>
      </c>
    </row>
    <row r="1509" spans="1:11" hidden="1" x14ac:dyDescent="0.25">
      <c r="A1509" t="str">
        <f t="shared" si="211"/>
        <v>1010Ø9,128</v>
      </c>
      <c r="B1509" s="81">
        <v>1010</v>
      </c>
      <c r="D1509" s="86">
        <v>9.1280000000000001</v>
      </c>
      <c r="E1509" s="85">
        <f t="shared" si="206"/>
        <v>9.1280000000000007E-3</v>
      </c>
      <c r="F1509" s="85">
        <f t="shared" si="207"/>
        <v>4.5640000000000003E-3</v>
      </c>
      <c r="G1509" s="85">
        <f t="shared" si="208"/>
        <v>3.9822224513675275E-7</v>
      </c>
      <c r="H1509" s="85">
        <v>7820</v>
      </c>
      <c r="I1509" s="85">
        <f t="shared" si="212"/>
        <v>3.1140979569694066E-3</v>
      </c>
      <c r="J1509" s="87">
        <v>1</v>
      </c>
      <c r="K1509" s="88">
        <f t="shared" si="213"/>
        <v>321.12027746653962</v>
      </c>
    </row>
    <row r="1510" spans="1:11" hidden="1" x14ac:dyDescent="0.25">
      <c r="A1510" t="str">
        <f t="shared" si="211"/>
        <v>52100Ø6,426</v>
      </c>
      <c r="B1510" s="81">
        <v>52100</v>
      </c>
      <c r="D1510" s="86">
        <v>6.4260000000000002</v>
      </c>
      <c r="E1510" s="85">
        <f t="shared" si="206"/>
        <v>6.4260000000000003E-3</v>
      </c>
      <c r="F1510" s="85">
        <f t="shared" si="207"/>
        <v>3.2130000000000001E-3</v>
      </c>
      <c r="G1510" s="85">
        <f t="shared" si="208"/>
        <v>1.3893791778262428E-7</v>
      </c>
      <c r="H1510" s="85">
        <v>7800</v>
      </c>
      <c r="I1510" s="85">
        <f t="shared" si="212"/>
        <v>1.0837157587044693E-3</v>
      </c>
      <c r="J1510" s="87">
        <v>1</v>
      </c>
      <c r="K1510" s="88">
        <f t="shared" si="213"/>
        <v>922.75118449458785</v>
      </c>
    </row>
    <row r="1511" spans="1:11" hidden="1" x14ac:dyDescent="0.25">
      <c r="A1511" t="str">
        <f t="shared" si="211"/>
        <v>52100Ø6,45</v>
      </c>
      <c r="B1511" s="81">
        <v>52100</v>
      </c>
      <c r="D1511" s="86">
        <v>6.45</v>
      </c>
      <c r="E1511" s="85">
        <f t="shared" si="206"/>
        <v>6.45E-3</v>
      </c>
      <c r="F1511" s="85">
        <f t="shared" si="207"/>
        <v>3.225E-3</v>
      </c>
      <c r="G1511" s="85">
        <f t="shared" si="208"/>
        <v>1.4050046649879204E-7</v>
      </c>
      <c r="H1511" s="85">
        <v>7800</v>
      </c>
      <c r="I1511" s="85">
        <f t="shared" si="212"/>
        <v>1.0959036386905779E-3</v>
      </c>
      <c r="J1511" s="87">
        <v>1</v>
      </c>
      <c r="K1511" s="88">
        <f t="shared" si="213"/>
        <v>912.48898597949108</v>
      </c>
    </row>
    <row r="1512" spans="1:11" hidden="1" x14ac:dyDescent="0.25">
      <c r="A1512" t="str">
        <f t="shared" si="211"/>
        <v>PPHØ2,5</v>
      </c>
      <c r="B1512" s="81" t="s">
        <v>202</v>
      </c>
      <c r="D1512" s="86">
        <v>2.5</v>
      </c>
      <c r="E1512" s="85">
        <f t="shared" si="206"/>
        <v>2.5000000000000001E-3</v>
      </c>
      <c r="F1512" s="85">
        <f t="shared" si="207"/>
        <v>1.25E-3</v>
      </c>
      <c r="G1512" s="85">
        <f t="shared" si="208"/>
        <v>8.181230868723419E-9</v>
      </c>
      <c r="H1512" s="85">
        <v>870</v>
      </c>
      <c r="I1512" s="85">
        <f t="shared" si="212"/>
        <v>7.1176708557893749E-6</v>
      </c>
      <c r="J1512" s="87">
        <v>1</v>
      </c>
      <c r="K1512" s="88">
        <f t="shared" si="213"/>
        <v>140495.39803974211</v>
      </c>
    </row>
    <row r="1513" spans="1:11" hidden="1" x14ac:dyDescent="0.25">
      <c r="A1513" t="str">
        <f t="shared" si="211"/>
        <v>420CØ0,5</v>
      </c>
      <c r="B1513" s="81" t="s">
        <v>295</v>
      </c>
      <c r="D1513" s="86">
        <v>0.5</v>
      </c>
      <c r="E1513" s="85">
        <f t="shared" si="206"/>
        <v>5.0000000000000001E-4</v>
      </c>
      <c r="F1513" s="85">
        <f t="shared" si="207"/>
        <v>2.5000000000000001E-4</v>
      </c>
      <c r="G1513" s="85">
        <f t="shared" si="208"/>
        <v>6.5449846949787358E-11</v>
      </c>
      <c r="H1513" s="85">
        <v>7700</v>
      </c>
      <c r="I1513" s="85">
        <f t="shared" si="212"/>
        <v>5.0396382151336265E-7</v>
      </c>
      <c r="J1513" s="87">
        <v>1</v>
      </c>
      <c r="K1513" s="88">
        <f t="shared" si="213"/>
        <v>1984269.4203664875</v>
      </c>
    </row>
    <row r="1514" spans="1:11" hidden="1" x14ac:dyDescent="0.25">
      <c r="A1514" t="str">
        <f t="shared" si="211"/>
        <v>420CØ0,5</v>
      </c>
      <c r="B1514" s="81" t="s">
        <v>295</v>
      </c>
      <c r="D1514" s="86">
        <v>0.5</v>
      </c>
      <c r="E1514" s="85">
        <f t="shared" si="206"/>
        <v>5.0000000000000001E-4</v>
      </c>
      <c r="F1514" s="85">
        <f t="shared" si="207"/>
        <v>2.5000000000000001E-4</v>
      </c>
      <c r="G1514" s="85">
        <f t="shared" si="208"/>
        <v>6.5449846949787358E-11</v>
      </c>
      <c r="H1514" s="85">
        <v>7700</v>
      </c>
      <c r="I1514" s="85">
        <f t="shared" si="212"/>
        <v>5.0396382151336265E-7</v>
      </c>
      <c r="J1514" s="87">
        <v>1</v>
      </c>
      <c r="K1514" s="88">
        <f t="shared" si="213"/>
        <v>1984269.4203664875</v>
      </c>
    </row>
    <row r="1515" spans="1:11" hidden="1" x14ac:dyDescent="0.25">
      <c r="A1515" t="str">
        <f t="shared" si="211"/>
        <v>420CØ2</v>
      </c>
      <c r="B1515" s="81" t="s">
        <v>295</v>
      </c>
      <c r="D1515" s="86">
        <v>2</v>
      </c>
      <c r="E1515" s="85">
        <f t="shared" ref="E1515:E1551" si="214">D1515/1000</f>
        <v>2E-3</v>
      </c>
      <c r="F1515" s="85">
        <f t="shared" ref="F1515:F1551" si="215">E1515/2</f>
        <v>1E-3</v>
      </c>
      <c r="G1515" s="85">
        <f t="shared" ref="G1515:G1551" si="216">4/3*PI()*F1515*F1515*F1515</f>
        <v>4.1887902047863909E-9</v>
      </c>
      <c r="H1515" s="85">
        <v>7700</v>
      </c>
      <c r="I1515" s="85">
        <f t="shared" si="212"/>
        <v>3.2253684576855209E-5</v>
      </c>
      <c r="J1515" s="87">
        <v>1</v>
      </c>
      <c r="K1515" s="88">
        <f t="shared" si="213"/>
        <v>31004.209693226367</v>
      </c>
    </row>
    <row r="1516" spans="1:11" hidden="1" x14ac:dyDescent="0.25">
      <c r="A1516" t="str">
        <f t="shared" si="211"/>
        <v>304Ø4</v>
      </c>
      <c r="B1516" s="81">
        <v>304</v>
      </c>
      <c r="D1516" s="86">
        <v>4</v>
      </c>
      <c r="E1516" s="85">
        <f t="shared" si="214"/>
        <v>4.0000000000000001E-3</v>
      </c>
      <c r="F1516" s="85">
        <f t="shared" si="215"/>
        <v>2E-3</v>
      </c>
      <c r="G1516" s="85">
        <f t="shared" si="216"/>
        <v>3.3510321638291127E-8</v>
      </c>
      <c r="H1516" s="85">
        <v>7950</v>
      </c>
      <c r="I1516" s="85">
        <f t="shared" si="212"/>
        <v>2.6640705702441446E-4</v>
      </c>
      <c r="J1516" s="87">
        <v>1</v>
      </c>
      <c r="K1516" s="88">
        <f t="shared" si="213"/>
        <v>3753.6543182050787</v>
      </c>
    </row>
    <row r="1517" spans="1:11" hidden="1" x14ac:dyDescent="0.25">
      <c r="A1517" t="str">
        <f t="shared" si="211"/>
        <v>316Ø4,5</v>
      </c>
      <c r="B1517" s="81">
        <v>316</v>
      </c>
      <c r="D1517" s="86">
        <v>4.5</v>
      </c>
      <c r="E1517" s="85">
        <f t="shared" si="214"/>
        <v>4.4999999999999997E-3</v>
      </c>
      <c r="F1517" s="85">
        <f t="shared" si="215"/>
        <v>2.2499999999999998E-3</v>
      </c>
      <c r="G1517" s="85">
        <f t="shared" si="216"/>
        <v>4.7712938426394968E-8</v>
      </c>
      <c r="H1517" s="85">
        <v>7950</v>
      </c>
      <c r="I1517" s="85">
        <f t="shared" si="212"/>
        <v>3.7931786048983997E-4</v>
      </c>
      <c r="J1517" s="87">
        <v>1</v>
      </c>
      <c r="K1517" s="88">
        <f t="shared" si="213"/>
        <v>2636.3114004403305</v>
      </c>
    </row>
    <row r="1518" spans="1:11" hidden="1" x14ac:dyDescent="0.25">
      <c r="A1518" t="str">
        <f t="shared" si="211"/>
        <v>304Ø3,175</v>
      </c>
      <c r="B1518" s="81">
        <v>304</v>
      </c>
      <c r="C1518" s="101" t="s">
        <v>214</v>
      </c>
      <c r="D1518" s="86">
        <f>1/8*25.4</f>
        <v>3.1749999999999998</v>
      </c>
      <c r="E1518" s="85">
        <f t="shared" si="214"/>
        <v>3.1749999999999999E-3</v>
      </c>
      <c r="F1518" s="85">
        <f t="shared" si="215"/>
        <v>1.5874999999999999E-3</v>
      </c>
      <c r="G1518" s="85">
        <f t="shared" si="216"/>
        <v>1.6758294230568279E-8</v>
      </c>
      <c r="H1518" s="85">
        <v>7950</v>
      </c>
      <c r="I1518" s="85">
        <f t="shared" si="212"/>
        <v>1.3322843913301781E-4</v>
      </c>
      <c r="J1518" s="87">
        <v>1</v>
      </c>
      <c r="K1518" s="88">
        <f t="shared" si="213"/>
        <v>7505.9049442257665</v>
      </c>
    </row>
    <row r="1519" spans="1:11" hidden="1" x14ac:dyDescent="0.25">
      <c r="A1519" t="str">
        <f t="shared" si="211"/>
        <v>52100Ø3,175</v>
      </c>
      <c r="B1519" s="81">
        <v>52100</v>
      </c>
      <c r="C1519" s="101" t="s">
        <v>214</v>
      </c>
      <c r="D1519" s="86">
        <f>1/8*25.4</f>
        <v>3.1749999999999998</v>
      </c>
      <c r="E1519" s="85">
        <f t="shared" si="214"/>
        <v>3.1749999999999999E-3</v>
      </c>
      <c r="F1519" s="85">
        <f t="shared" si="215"/>
        <v>1.5874999999999999E-3</v>
      </c>
      <c r="G1519" s="85">
        <f t="shared" si="216"/>
        <v>1.6758294230568279E-8</v>
      </c>
      <c r="H1519" s="85">
        <v>7800</v>
      </c>
      <c r="I1519" s="85">
        <f t="shared" si="212"/>
        <v>1.3071469499843257E-4</v>
      </c>
      <c r="J1519" s="87">
        <v>1</v>
      </c>
      <c r="K1519" s="88">
        <f t="shared" si="213"/>
        <v>7650.2492700762623</v>
      </c>
    </row>
    <row r="1520" spans="1:11" hidden="1" x14ac:dyDescent="0.25">
      <c r="A1520" t="str">
        <f t="shared" si="211"/>
        <v>ZrO2Ø7</v>
      </c>
      <c r="B1520" s="81" t="s">
        <v>205</v>
      </c>
      <c r="D1520" s="86">
        <v>7</v>
      </c>
      <c r="E1520" s="85">
        <f t="shared" si="214"/>
        <v>7.0000000000000001E-3</v>
      </c>
      <c r="F1520" s="85">
        <f t="shared" si="215"/>
        <v>3.5000000000000001E-3</v>
      </c>
      <c r="G1520" s="85">
        <f t="shared" si="216"/>
        <v>1.7959438003021651E-7</v>
      </c>
      <c r="H1520" s="85">
        <v>6000</v>
      </c>
      <c r="I1520" s="85">
        <f t="shared" si="212"/>
        <v>1.077566280181299E-3</v>
      </c>
      <c r="J1520" s="87">
        <v>1</v>
      </c>
      <c r="K1520" s="88">
        <f t="shared" si="213"/>
        <v>928.01716088568719</v>
      </c>
    </row>
    <row r="1521" spans="1:11" hidden="1" x14ac:dyDescent="0.25">
      <c r="A1521" t="str">
        <f t="shared" si="211"/>
        <v>ZrO2Ø15</v>
      </c>
      <c r="B1521" s="81" t="s">
        <v>205</v>
      </c>
      <c r="D1521" s="86">
        <v>15</v>
      </c>
      <c r="E1521" s="85">
        <f t="shared" si="214"/>
        <v>1.4999999999999999E-2</v>
      </c>
      <c r="F1521" s="85">
        <f t="shared" si="215"/>
        <v>7.4999999999999997E-3</v>
      </c>
      <c r="G1521" s="85">
        <f t="shared" si="216"/>
        <v>1.7671458676442584E-6</v>
      </c>
      <c r="H1521" s="85">
        <v>6000</v>
      </c>
      <c r="I1521" s="85">
        <f t="shared" si="212"/>
        <v>1.060287520586555E-2</v>
      </c>
      <c r="J1521" s="87">
        <v>1</v>
      </c>
      <c r="K1521" s="88">
        <f t="shared" si="213"/>
        <v>94.314040350752819</v>
      </c>
    </row>
    <row r="1522" spans="1:11" hidden="1" x14ac:dyDescent="0.25">
      <c r="A1522" t="str">
        <f t="shared" si="211"/>
        <v>VESCØ11,1</v>
      </c>
      <c r="B1522" s="81" t="s">
        <v>210</v>
      </c>
      <c r="D1522" s="86">
        <v>11.1</v>
      </c>
      <c r="E1522" s="85">
        <f t="shared" si="214"/>
        <v>1.11E-2</v>
      </c>
      <c r="F1522" s="85">
        <f t="shared" si="215"/>
        <v>5.5500000000000002E-3</v>
      </c>
      <c r="G1522" s="85">
        <f t="shared" si="216"/>
        <v>7.1608991707027712E-7</v>
      </c>
      <c r="H1522" s="85">
        <v>2500</v>
      </c>
      <c r="I1522" s="85">
        <f t="shared" si="212"/>
        <v>1.7902247926756929E-3</v>
      </c>
      <c r="J1522" s="87">
        <v>1</v>
      </c>
      <c r="K1522" s="88">
        <f t="shared" si="213"/>
        <v>558.58906886513796</v>
      </c>
    </row>
    <row r="1523" spans="1:11" hidden="1" x14ac:dyDescent="0.25">
      <c r="A1523" t="str">
        <f t="shared" si="211"/>
        <v>420CØ3,6</v>
      </c>
      <c r="B1523" s="81" t="s">
        <v>295</v>
      </c>
      <c r="D1523" s="86">
        <v>3.6</v>
      </c>
      <c r="E1523" s="85">
        <f t="shared" si="214"/>
        <v>3.5999999999999999E-3</v>
      </c>
      <c r="F1523" s="85">
        <f t="shared" si="215"/>
        <v>1.8E-3</v>
      </c>
      <c r="G1523" s="85">
        <f t="shared" si="216"/>
        <v>2.4429024474314225E-8</v>
      </c>
      <c r="H1523" s="85">
        <v>7700</v>
      </c>
      <c r="I1523" s="85">
        <f t="shared" si="212"/>
        <v>1.8810348845221952E-4</v>
      </c>
      <c r="J1523" s="87">
        <v>1</v>
      </c>
      <c r="K1523" s="88">
        <f t="shared" si="213"/>
        <v>5316.2225125559626</v>
      </c>
    </row>
    <row r="1524" spans="1:11" hidden="1" x14ac:dyDescent="0.25">
      <c r="A1524" t="str">
        <f t="shared" si="211"/>
        <v>304Ø3,5</v>
      </c>
      <c r="B1524" s="81">
        <v>304</v>
      </c>
      <c r="D1524" s="86">
        <v>3.5</v>
      </c>
      <c r="E1524" s="85">
        <f t="shared" si="214"/>
        <v>3.5000000000000001E-3</v>
      </c>
      <c r="F1524" s="85">
        <f t="shared" si="215"/>
        <v>1.75E-3</v>
      </c>
      <c r="G1524" s="85">
        <f t="shared" si="216"/>
        <v>2.2449297503777064E-8</v>
      </c>
      <c r="H1524" s="85">
        <v>7950</v>
      </c>
      <c r="I1524" s="85">
        <f t="shared" si="212"/>
        <v>1.7847191515502767E-4</v>
      </c>
      <c r="J1524" s="87">
        <v>1</v>
      </c>
      <c r="K1524" s="88">
        <f t="shared" si="213"/>
        <v>5603.1224808192428</v>
      </c>
    </row>
    <row r="1525" spans="1:11" hidden="1" x14ac:dyDescent="0.25">
      <c r="A1525" t="str">
        <f t="shared" si="211"/>
        <v>52100Ø40,125</v>
      </c>
      <c r="B1525" s="81">
        <v>52100</v>
      </c>
      <c r="D1525" s="86">
        <v>40.125</v>
      </c>
      <c r="E1525" s="85">
        <f t="shared" si="214"/>
        <v>4.0125000000000001E-2</v>
      </c>
      <c r="F1525" s="85">
        <f t="shared" si="215"/>
        <v>2.00625E-2</v>
      </c>
      <c r="G1525" s="85">
        <f t="shared" si="216"/>
        <v>3.3825463674008208E-5</v>
      </c>
      <c r="H1525" s="85">
        <v>7800</v>
      </c>
      <c r="I1525" s="85">
        <f t="shared" si="212"/>
        <v>0.26383861665726405</v>
      </c>
      <c r="J1525" s="87">
        <v>1</v>
      </c>
      <c r="K1525" s="94">
        <f t="shared" si="213"/>
        <v>3.7901957365817922</v>
      </c>
    </row>
    <row r="1526" spans="1:11" hidden="1" x14ac:dyDescent="0.25">
      <c r="A1526" t="str">
        <f t="shared" si="211"/>
        <v>52100Ø40,15</v>
      </c>
      <c r="B1526" s="81">
        <v>52100</v>
      </c>
      <c r="D1526" s="86">
        <v>40.15</v>
      </c>
      <c r="E1526" s="85">
        <f t="shared" si="214"/>
        <v>4.0149999999999998E-2</v>
      </c>
      <c r="F1526" s="85">
        <f t="shared" si="215"/>
        <v>2.0074999999999999E-2</v>
      </c>
      <c r="G1526" s="85">
        <f t="shared" si="216"/>
        <v>3.388872824056188E-5</v>
      </c>
      <c r="H1526" s="85">
        <v>7800</v>
      </c>
      <c r="I1526" s="85">
        <f t="shared" si="212"/>
        <v>0.26433208027638266</v>
      </c>
      <c r="J1526" s="87">
        <v>1</v>
      </c>
      <c r="K1526" s="94">
        <f t="shared" si="213"/>
        <v>3.783120077420838</v>
      </c>
    </row>
    <row r="1527" spans="1:11" hidden="1" x14ac:dyDescent="0.25">
      <c r="A1527" t="str">
        <f t="shared" si="211"/>
        <v>52100Ø5,4</v>
      </c>
      <c r="B1527" s="81">
        <v>52100</v>
      </c>
      <c r="D1527" s="86">
        <v>5.4</v>
      </c>
      <c r="E1527" s="85">
        <f t="shared" si="214"/>
        <v>5.4000000000000003E-3</v>
      </c>
      <c r="F1527" s="85">
        <f t="shared" si="215"/>
        <v>2.7000000000000001E-3</v>
      </c>
      <c r="G1527" s="85">
        <f t="shared" si="216"/>
        <v>8.2447957600810529E-8</v>
      </c>
      <c r="H1527" s="85">
        <v>7800</v>
      </c>
      <c r="I1527" s="85">
        <f t="shared" si="212"/>
        <v>6.430940692863221E-4</v>
      </c>
      <c r="J1527" s="87">
        <v>1</v>
      </c>
      <c r="K1527" s="88">
        <f t="shared" si="213"/>
        <v>1554.9824633117153</v>
      </c>
    </row>
    <row r="1528" spans="1:11" hidden="1" x14ac:dyDescent="0.25">
      <c r="A1528" t="str">
        <f t="shared" si="211"/>
        <v>420CØ6,746875</v>
      </c>
      <c r="B1528" s="81" t="s">
        <v>295</v>
      </c>
      <c r="C1528" s="101" t="s">
        <v>325</v>
      </c>
      <c r="D1528" s="86">
        <f>17/64*25.4</f>
        <v>6.7468749999999993</v>
      </c>
      <c r="E1528" s="85">
        <f t="shared" si="214"/>
        <v>6.7468749999999994E-3</v>
      </c>
      <c r="F1528" s="85">
        <f t="shared" si="215"/>
        <v>3.3734374999999997E-3</v>
      </c>
      <c r="G1528" s="85">
        <f t="shared" si="216"/>
        <v>1.6080761631793353E-7</v>
      </c>
      <c r="H1528" s="85">
        <v>7750</v>
      </c>
      <c r="I1528" s="85">
        <f t="shared" si="212"/>
        <v>1.2462590264639849E-3</v>
      </c>
      <c r="J1528" s="87">
        <v>1</v>
      </c>
      <c r="K1528" s="88">
        <f t="shared" si="213"/>
        <v>802.40140995191302</v>
      </c>
    </row>
    <row r="1529" spans="1:11" hidden="1" x14ac:dyDescent="0.25">
      <c r="A1529" t="str">
        <f t="shared" si="211"/>
        <v>420CØ7,65</v>
      </c>
      <c r="B1529" s="81" t="s">
        <v>295</v>
      </c>
      <c r="D1529" s="86">
        <v>7.65</v>
      </c>
      <c r="E1529" s="85">
        <f t="shared" si="214"/>
        <v>7.6500000000000005E-3</v>
      </c>
      <c r="F1529" s="85">
        <f t="shared" si="215"/>
        <v>3.8250000000000003E-3</v>
      </c>
      <c r="G1529" s="85">
        <f t="shared" si="216"/>
        <v>2.3441366648887862E-7</v>
      </c>
      <c r="H1529" s="85">
        <v>7700</v>
      </c>
      <c r="I1529" s="85">
        <f t="shared" si="212"/>
        <v>1.8049852319643653E-3</v>
      </c>
      <c r="J1529" s="87">
        <v>1</v>
      </c>
      <c r="K1529" s="88">
        <f t="shared" si="213"/>
        <v>554.02115335409144</v>
      </c>
    </row>
    <row r="1530" spans="1:11" hidden="1" x14ac:dyDescent="0.25">
      <c r="A1530" t="str">
        <f t="shared" si="211"/>
        <v>420CØ7,7</v>
      </c>
      <c r="B1530" s="81" t="s">
        <v>295</v>
      </c>
      <c r="D1530" s="86">
        <v>7.7</v>
      </c>
      <c r="E1530" s="85">
        <f t="shared" si="214"/>
        <v>7.7000000000000002E-3</v>
      </c>
      <c r="F1530" s="85">
        <f t="shared" si="215"/>
        <v>3.8500000000000001E-3</v>
      </c>
      <c r="G1530" s="85">
        <f t="shared" si="216"/>
        <v>2.3904011982021817E-7</v>
      </c>
      <c r="H1530" s="85">
        <v>7700</v>
      </c>
      <c r="I1530" s="85">
        <f t="shared" si="212"/>
        <v>1.8406089226156799E-3</v>
      </c>
      <c r="J1530" s="87">
        <v>1</v>
      </c>
      <c r="K1530" s="88">
        <f t="shared" si="213"/>
        <v>543.29846373824216</v>
      </c>
    </row>
    <row r="1531" spans="1:11" hidden="1" x14ac:dyDescent="0.25">
      <c r="A1531" t="str">
        <f t="shared" si="211"/>
        <v>420CØ7,8</v>
      </c>
      <c r="B1531" s="81" t="s">
        <v>295</v>
      </c>
      <c r="D1531" s="86">
        <v>7.8</v>
      </c>
      <c r="E1531" s="85">
        <f t="shared" si="214"/>
        <v>7.7999999999999996E-3</v>
      </c>
      <c r="F1531" s="85">
        <f t="shared" si="215"/>
        <v>3.8999999999999998E-3</v>
      </c>
      <c r="G1531" s="85">
        <f t="shared" si="216"/>
        <v>2.4847484615772389E-7</v>
      </c>
      <c r="H1531" s="85">
        <v>7700</v>
      </c>
      <c r="I1531" s="85">
        <f t="shared" si="212"/>
        <v>1.913256315414474E-3</v>
      </c>
      <c r="J1531" s="87">
        <v>1</v>
      </c>
      <c r="K1531" s="88">
        <f t="shared" si="213"/>
        <v>522.66912276380867</v>
      </c>
    </row>
    <row r="1532" spans="1:11" hidden="1" x14ac:dyDescent="0.25">
      <c r="A1532" t="str">
        <f t="shared" si="211"/>
        <v>420CØ8,05</v>
      </c>
      <c r="B1532" s="81" t="s">
        <v>295</v>
      </c>
      <c r="D1532" s="86">
        <v>8.0500000000000007</v>
      </c>
      <c r="E1532" s="85">
        <f t="shared" si="214"/>
        <v>8.0499999999999999E-3</v>
      </c>
      <c r="F1532" s="85">
        <f t="shared" si="215"/>
        <v>4.0249999999999999E-3</v>
      </c>
      <c r="G1532" s="85">
        <f t="shared" si="216"/>
        <v>2.7314060272845552E-7</v>
      </c>
      <c r="H1532" s="85">
        <v>7700</v>
      </c>
      <c r="I1532" s="85">
        <f t="shared" si="212"/>
        <v>2.1031826410091077E-3</v>
      </c>
      <c r="J1532" s="87">
        <v>1</v>
      </c>
      <c r="K1532" s="88">
        <f t="shared" si="213"/>
        <v>475.46988098009393</v>
      </c>
    </row>
    <row r="1533" spans="1:11" hidden="1" x14ac:dyDescent="0.25">
      <c r="A1533" t="str">
        <f t="shared" si="211"/>
        <v>420CØ8,1</v>
      </c>
      <c r="B1533" s="81" t="s">
        <v>295</v>
      </c>
      <c r="D1533" s="86">
        <v>8.1</v>
      </c>
      <c r="E1533" s="85">
        <f t="shared" si="214"/>
        <v>8.0999999999999996E-3</v>
      </c>
      <c r="F1533" s="85">
        <f t="shared" si="215"/>
        <v>4.0499999999999998E-3</v>
      </c>
      <c r="G1533" s="85">
        <f t="shared" si="216"/>
        <v>2.7826185690273544E-7</v>
      </c>
      <c r="H1533" s="85">
        <v>7700</v>
      </c>
      <c r="I1533" s="85">
        <f t="shared" si="212"/>
        <v>2.1426162981510628E-3</v>
      </c>
      <c r="J1533" s="87">
        <v>1</v>
      </c>
      <c r="K1533" s="88">
        <f t="shared" si="213"/>
        <v>466.7191231873548</v>
      </c>
    </row>
    <row r="1534" spans="1:11" hidden="1" x14ac:dyDescent="0.25">
      <c r="A1534" t="str">
        <f t="shared" si="211"/>
        <v>420CØ8,15</v>
      </c>
      <c r="B1534" s="81" t="s">
        <v>295</v>
      </c>
      <c r="D1534" s="86">
        <v>8.15</v>
      </c>
      <c r="E1534" s="85">
        <f t="shared" si="214"/>
        <v>8.150000000000001E-3</v>
      </c>
      <c r="F1534" s="85">
        <f t="shared" si="215"/>
        <v>4.0750000000000005E-3</v>
      </c>
      <c r="G1534" s="85">
        <f t="shared" si="216"/>
        <v>2.8344672832825084E-7</v>
      </c>
      <c r="H1534" s="85">
        <v>7700</v>
      </c>
      <c r="I1534" s="85">
        <f t="shared" si="212"/>
        <v>2.1825398081275313E-3</v>
      </c>
      <c r="J1534" s="87">
        <v>1</v>
      </c>
      <c r="K1534" s="88">
        <f t="shared" si="213"/>
        <v>458.18179181708996</v>
      </c>
    </row>
    <row r="1535" spans="1:11" hidden="1" x14ac:dyDescent="0.25">
      <c r="A1535" t="str">
        <f t="shared" si="211"/>
        <v>420CØ8,2</v>
      </c>
      <c r="B1535" s="81" t="s">
        <v>295</v>
      </c>
      <c r="D1535" s="86">
        <v>8.1999999999999993</v>
      </c>
      <c r="E1535" s="85">
        <f t="shared" si="214"/>
        <v>8.199999999999999E-3</v>
      </c>
      <c r="F1535" s="85">
        <f t="shared" si="215"/>
        <v>4.0999999999999995E-3</v>
      </c>
      <c r="G1535" s="85">
        <f t="shared" si="216"/>
        <v>2.8869560970408273E-7</v>
      </c>
      <c r="H1535" s="85">
        <v>7700</v>
      </c>
      <c r="I1535" s="85">
        <f t="shared" si="212"/>
        <v>2.2229561947214372E-3</v>
      </c>
      <c r="J1535" s="87">
        <v>1</v>
      </c>
      <c r="K1535" s="88">
        <f t="shared" si="213"/>
        <v>449.8514196431621</v>
      </c>
    </row>
    <row r="1536" spans="1:11" hidden="1" x14ac:dyDescent="0.25">
      <c r="A1536" t="str">
        <f t="shared" si="211"/>
        <v>304LØ3,96875</v>
      </c>
      <c r="B1536" s="81" t="s">
        <v>362</v>
      </c>
      <c r="C1536" s="101" t="s">
        <v>215</v>
      </c>
      <c r="D1536" s="86">
        <f>5/32*25.4</f>
        <v>3.96875</v>
      </c>
      <c r="E1536" s="85">
        <f t="shared" si="214"/>
        <v>3.9687500000000001E-3</v>
      </c>
      <c r="F1536" s="85">
        <f t="shared" si="215"/>
        <v>1.984375E-3</v>
      </c>
      <c r="G1536" s="85">
        <f t="shared" si="216"/>
        <v>3.2731043419078684E-8</v>
      </c>
      <c r="H1536" s="85">
        <v>7950</v>
      </c>
      <c r="I1536" s="85">
        <f t="shared" si="212"/>
        <v>2.6021179518167554E-4</v>
      </c>
      <c r="J1536" s="87">
        <v>1</v>
      </c>
      <c r="K1536" s="88">
        <f t="shared" si="213"/>
        <v>3843.0233314435905</v>
      </c>
    </row>
    <row r="1537" spans="1:11" hidden="1" x14ac:dyDescent="0.25">
      <c r="A1537" t="str">
        <f t="shared" si="211"/>
        <v>420CØ4,7625</v>
      </c>
      <c r="B1537" s="81" t="s">
        <v>295</v>
      </c>
      <c r="C1537" s="101" t="s">
        <v>248</v>
      </c>
      <c r="D1537" s="86">
        <f>3/16*25.4</f>
        <v>4.7624999999999993</v>
      </c>
      <c r="E1537" s="85">
        <f t="shared" si="214"/>
        <v>4.7624999999999994E-3</v>
      </c>
      <c r="F1537" s="85">
        <f t="shared" si="215"/>
        <v>2.3812499999999997E-3</v>
      </c>
      <c r="G1537" s="85">
        <f t="shared" si="216"/>
        <v>5.6559243028167934E-8</v>
      </c>
      <c r="H1537" s="85">
        <v>7700</v>
      </c>
      <c r="I1537" s="85">
        <f t="shared" si="212"/>
        <v>4.3550617131689307E-4</v>
      </c>
      <c r="J1537" s="87">
        <v>1</v>
      </c>
      <c r="K1537" s="88">
        <f t="shared" si="213"/>
        <v>2296.1787130964831</v>
      </c>
    </row>
    <row r="1538" spans="1:11" hidden="1" x14ac:dyDescent="0.25">
      <c r="A1538" t="str">
        <f t="shared" si="211"/>
        <v>420CØ1,5</v>
      </c>
      <c r="B1538" s="81" t="s">
        <v>295</v>
      </c>
      <c r="D1538" s="86">
        <v>1.5</v>
      </c>
      <c r="E1538" s="85">
        <f t="shared" si="214"/>
        <v>1.5E-3</v>
      </c>
      <c r="F1538" s="85">
        <f t="shared" si="215"/>
        <v>7.5000000000000002E-4</v>
      </c>
      <c r="G1538" s="85">
        <f t="shared" si="216"/>
        <v>1.7671458676442585E-9</v>
      </c>
      <c r="H1538" s="85">
        <v>7700</v>
      </c>
      <c r="I1538" s="85">
        <f t="shared" si="212"/>
        <v>1.3607023180860791E-5</v>
      </c>
      <c r="J1538" s="87">
        <v>1</v>
      </c>
      <c r="K1538" s="88">
        <f t="shared" si="213"/>
        <v>73491.460013573611</v>
      </c>
    </row>
    <row r="1539" spans="1:11" hidden="1" x14ac:dyDescent="0.25">
      <c r="A1539" t="str">
        <f t="shared" si="211"/>
        <v>POMØ2</v>
      </c>
      <c r="B1539" s="81" t="s">
        <v>201</v>
      </c>
      <c r="D1539" s="86">
        <v>2</v>
      </c>
      <c r="E1539" s="85">
        <f t="shared" si="214"/>
        <v>2E-3</v>
      </c>
      <c r="F1539" s="85">
        <f t="shared" si="215"/>
        <v>1E-3</v>
      </c>
      <c r="G1539" s="85">
        <f t="shared" si="216"/>
        <v>4.1887902047863909E-9</v>
      </c>
      <c r="H1539" s="85">
        <v>1370</v>
      </c>
      <c r="I1539" s="85">
        <f t="shared" si="212"/>
        <v>5.7386425805573556E-6</v>
      </c>
      <c r="J1539" s="87">
        <v>1</v>
      </c>
      <c r="K1539" s="88">
        <f t="shared" si="213"/>
        <v>174257.23696192921</v>
      </c>
    </row>
    <row r="1540" spans="1:11" hidden="1" x14ac:dyDescent="0.25">
      <c r="A1540" t="str">
        <f t="shared" ref="A1540:A1603" si="217">CONCATENATE(B1540,"Ø",D1540)</f>
        <v>440CØ0,6</v>
      </c>
      <c r="B1540" s="81" t="s">
        <v>314</v>
      </c>
      <c r="D1540" s="86">
        <v>0.6</v>
      </c>
      <c r="E1540" s="85">
        <f t="shared" si="214"/>
        <v>5.9999999999999995E-4</v>
      </c>
      <c r="F1540" s="85">
        <f t="shared" si="215"/>
        <v>2.9999999999999997E-4</v>
      </c>
      <c r="G1540" s="85">
        <f t="shared" si="216"/>
        <v>1.1309733552923252E-10</v>
      </c>
      <c r="H1540" s="85">
        <v>7700</v>
      </c>
      <c r="I1540" s="85">
        <f t="shared" si="212"/>
        <v>8.708494835750904E-7</v>
      </c>
      <c r="J1540" s="87">
        <v>1</v>
      </c>
      <c r="K1540" s="88">
        <f t="shared" si="213"/>
        <v>1148304.062712088</v>
      </c>
    </row>
    <row r="1541" spans="1:11" hidden="1" x14ac:dyDescent="0.25">
      <c r="A1541" t="str">
        <f t="shared" si="217"/>
        <v>440CØ1</v>
      </c>
      <c r="B1541" s="81" t="s">
        <v>314</v>
      </c>
      <c r="D1541" s="86">
        <v>1</v>
      </c>
      <c r="E1541" s="85">
        <f t="shared" si="214"/>
        <v>1E-3</v>
      </c>
      <c r="F1541" s="85">
        <f t="shared" si="215"/>
        <v>5.0000000000000001E-4</v>
      </c>
      <c r="G1541" s="85">
        <f t="shared" si="216"/>
        <v>5.2359877559829886E-10</v>
      </c>
      <c r="H1541" s="85">
        <v>7700</v>
      </c>
      <c r="I1541" s="85">
        <f t="shared" si="212"/>
        <v>4.0317105721069012E-6</v>
      </c>
      <c r="J1541" s="87">
        <v>1</v>
      </c>
      <c r="K1541" s="88">
        <f t="shared" si="213"/>
        <v>248033.67754581093</v>
      </c>
    </row>
    <row r="1542" spans="1:11" hidden="1" x14ac:dyDescent="0.25">
      <c r="A1542" t="str">
        <f t="shared" si="217"/>
        <v>440CØ1</v>
      </c>
      <c r="B1542" s="81" t="s">
        <v>314</v>
      </c>
      <c r="D1542" s="86">
        <v>1</v>
      </c>
      <c r="E1542" s="85">
        <f t="shared" si="214"/>
        <v>1E-3</v>
      </c>
      <c r="F1542" s="85">
        <f t="shared" si="215"/>
        <v>5.0000000000000001E-4</v>
      </c>
      <c r="G1542" s="85">
        <f t="shared" si="216"/>
        <v>5.2359877559829886E-10</v>
      </c>
      <c r="H1542" s="85">
        <v>7700</v>
      </c>
      <c r="I1542" s="85">
        <f t="shared" si="212"/>
        <v>4.0317105721069012E-6</v>
      </c>
      <c r="J1542" s="87">
        <v>1</v>
      </c>
      <c r="K1542" s="88">
        <f t="shared" si="213"/>
        <v>248033.67754581093</v>
      </c>
    </row>
    <row r="1543" spans="1:11" hidden="1" x14ac:dyDescent="0.25">
      <c r="A1543" t="str">
        <f t="shared" si="217"/>
        <v>440CØ1</v>
      </c>
      <c r="B1543" s="81" t="s">
        <v>314</v>
      </c>
      <c r="D1543" s="86">
        <v>1</v>
      </c>
      <c r="E1543" s="85">
        <f t="shared" si="214"/>
        <v>1E-3</v>
      </c>
      <c r="F1543" s="85">
        <f t="shared" si="215"/>
        <v>5.0000000000000001E-4</v>
      </c>
      <c r="G1543" s="85">
        <f t="shared" si="216"/>
        <v>5.2359877559829886E-10</v>
      </c>
      <c r="H1543" s="85">
        <v>7600</v>
      </c>
      <c r="I1543" s="85">
        <f t="shared" si="212"/>
        <v>3.9793506945470711E-6</v>
      </c>
      <c r="J1543" s="87">
        <v>1</v>
      </c>
      <c r="K1543" s="88">
        <f t="shared" si="213"/>
        <v>251297.27856615055</v>
      </c>
    </row>
    <row r="1544" spans="1:11" hidden="1" x14ac:dyDescent="0.25">
      <c r="A1544" t="str">
        <f t="shared" si="217"/>
        <v>420CØ6,35</v>
      </c>
      <c r="B1544" s="81" t="s">
        <v>295</v>
      </c>
      <c r="C1544" s="101" t="s">
        <v>218</v>
      </c>
      <c r="D1544" s="86">
        <f>1/4*25.4</f>
        <v>6.35</v>
      </c>
      <c r="E1544" s="85">
        <f t="shared" si="214"/>
        <v>6.3499999999999997E-3</v>
      </c>
      <c r="F1544" s="85">
        <f t="shared" si="215"/>
        <v>3.1749999999999999E-3</v>
      </c>
      <c r="G1544" s="85">
        <f t="shared" si="216"/>
        <v>1.3406635384454623E-7</v>
      </c>
      <c r="H1544" s="85">
        <v>7700</v>
      </c>
      <c r="I1544" s="85">
        <f t="shared" si="212"/>
        <v>1.032310924603006E-3</v>
      </c>
      <c r="J1544" s="87">
        <v>1</v>
      </c>
      <c r="K1544" s="88">
        <f t="shared" si="213"/>
        <v>968.70039458757867</v>
      </c>
    </row>
    <row r="1545" spans="1:11" hidden="1" x14ac:dyDescent="0.25">
      <c r="A1545" t="str">
        <f t="shared" si="217"/>
        <v>440CØ0,4</v>
      </c>
      <c r="B1545" s="81" t="s">
        <v>314</v>
      </c>
      <c r="D1545" s="86">
        <v>0.4</v>
      </c>
      <c r="E1545" s="85">
        <f t="shared" si="214"/>
        <v>4.0000000000000002E-4</v>
      </c>
      <c r="F1545" s="85">
        <f t="shared" si="215"/>
        <v>2.0000000000000001E-4</v>
      </c>
      <c r="G1545" s="85">
        <f t="shared" si="216"/>
        <v>3.3510321638291128E-11</v>
      </c>
      <c r="H1545" s="85">
        <v>7700</v>
      </c>
      <c r="I1545" s="85">
        <f t="shared" si="212"/>
        <v>2.5802947661484168E-7</v>
      </c>
      <c r="J1545" s="87">
        <v>1</v>
      </c>
      <c r="K1545" s="88">
        <f t="shared" si="213"/>
        <v>3875526.2116532954</v>
      </c>
    </row>
    <row r="1546" spans="1:11" hidden="1" x14ac:dyDescent="0.25">
      <c r="A1546" t="str">
        <f t="shared" si="217"/>
        <v>POMØ1,5875</v>
      </c>
      <c r="B1546" s="81" t="s">
        <v>201</v>
      </c>
      <c r="C1546" s="101" t="s">
        <v>246</v>
      </c>
      <c r="D1546" s="86">
        <f>1/16*25.4</f>
        <v>1.5874999999999999</v>
      </c>
      <c r="E1546" s="85">
        <f t="shared" si="214"/>
        <v>1.5874999999999999E-3</v>
      </c>
      <c r="F1546" s="85">
        <f t="shared" si="215"/>
        <v>7.9374999999999997E-4</v>
      </c>
      <c r="G1546" s="85">
        <f t="shared" si="216"/>
        <v>2.0947867788210349E-9</v>
      </c>
      <c r="H1546" s="85">
        <v>1370</v>
      </c>
      <c r="I1546" s="85">
        <f t="shared" si="212"/>
        <v>2.8698578869848178E-6</v>
      </c>
      <c r="J1546" s="87">
        <v>1</v>
      </c>
      <c r="K1546" s="88">
        <f t="shared" si="213"/>
        <v>348449.30981953192</v>
      </c>
    </row>
    <row r="1547" spans="1:11" hidden="1" x14ac:dyDescent="0.25">
      <c r="A1547" t="str">
        <f t="shared" si="217"/>
        <v>WC-CoØ2</v>
      </c>
      <c r="B1547" s="81" t="s">
        <v>297</v>
      </c>
      <c r="D1547" s="86">
        <v>2</v>
      </c>
      <c r="E1547" s="85">
        <f t="shared" si="214"/>
        <v>2E-3</v>
      </c>
      <c r="F1547" s="85">
        <f t="shared" si="215"/>
        <v>1E-3</v>
      </c>
      <c r="G1547" s="85">
        <f t="shared" si="216"/>
        <v>4.1887902047863909E-9</v>
      </c>
      <c r="H1547" s="85">
        <v>14950</v>
      </c>
      <c r="I1547" s="85">
        <f t="shared" si="212"/>
        <v>6.2622413561556539E-5</v>
      </c>
      <c r="J1547" s="87">
        <v>1</v>
      </c>
      <c r="K1547" s="88">
        <f t="shared" si="213"/>
        <v>15968.723387146691</v>
      </c>
    </row>
    <row r="1548" spans="1:11" hidden="1" x14ac:dyDescent="0.25">
      <c r="A1548" t="str">
        <f t="shared" si="217"/>
        <v>316LØ9,525</v>
      </c>
      <c r="B1548" s="81" t="s">
        <v>298</v>
      </c>
      <c r="C1548" s="101" t="s">
        <v>254</v>
      </c>
      <c r="D1548" s="86">
        <f>3/8*25.4</f>
        <v>9.5249999999999986</v>
      </c>
      <c r="E1548" s="85">
        <f t="shared" si="214"/>
        <v>9.5249999999999987E-3</v>
      </c>
      <c r="F1548" s="85">
        <f t="shared" si="215"/>
        <v>4.7624999999999994E-3</v>
      </c>
      <c r="G1548" s="85">
        <f t="shared" si="216"/>
        <v>4.5247394422534347E-7</v>
      </c>
      <c r="H1548" s="85">
        <v>7950</v>
      </c>
      <c r="I1548" s="85">
        <f t="shared" si="212"/>
        <v>3.5971678565914805E-3</v>
      </c>
      <c r="J1548" s="87">
        <v>1</v>
      </c>
      <c r="K1548" s="88">
        <f t="shared" si="213"/>
        <v>277.99647941576916</v>
      </c>
    </row>
    <row r="1549" spans="1:11" hidden="1" x14ac:dyDescent="0.25">
      <c r="A1549" t="str">
        <f t="shared" si="217"/>
        <v>304Ø3,175</v>
      </c>
      <c r="B1549" s="81">
        <v>304</v>
      </c>
      <c r="C1549" s="101" t="s">
        <v>214</v>
      </c>
      <c r="D1549" s="86">
        <f>1/8*25.4</f>
        <v>3.1749999999999998</v>
      </c>
      <c r="E1549" s="85">
        <f t="shared" si="214"/>
        <v>3.1749999999999999E-3</v>
      </c>
      <c r="F1549" s="85">
        <f t="shared" si="215"/>
        <v>1.5874999999999999E-3</v>
      </c>
      <c r="G1549" s="85">
        <f t="shared" si="216"/>
        <v>1.6758294230568279E-8</v>
      </c>
      <c r="H1549" s="85">
        <v>7950</v>
      </c>
      <c r="I1549" s="85">
        <f t="shared" si="212"/>
        <v>1.3322843913301781E-4</v>
      </c>
      <c r="J1549" s="87">
        <v>1</v>
      </c>
      <c r="K1549" s="88">
        <f t="shared" si="213"/>
        <v>7505.9049442257665</v>
      </c>
    </row>
    <row r="1550" spans="1:11" hidden="1" x14ac:dyDescent="0.25">
      <c r="A1550" t="str">
        <f t="shared" si="217"/>
        <v>52100Ø1,5875</v>
      </c>
      <c r="B1550" s="81">
        <v>52100</v>
      </c>
      <c r="C1550" s="101" t="s">
        <v>246</v>
      </c>
      <c r="D1550" s="86">
        <f>1/16*25.4</f>
        <v>1.5874999999999999</v>
      </c>
      <c r="E1550" s="85">
        <f t="shared" si="214"/>
        <v>1.5874999999999999E-3</v>
      </c>
      <c r="F1550" s="85">
        <f t="shared" si="215"/>
        <v>7.9374999999999997E-4</v>
      </c>
      <c r="G1550" s="85">
        <f t="shared" si="216"/>
        <v>2.0947867788210349E-9</v>
      </c>
      <c r="H1550" s="85">
        <v>7800</v>
      </c>
      <c r="I1550" s="85">
        <f t="shared" ref="I1550:I1609" si="218">H1550*G1550</f>
        <v>1.6339336874804071E-5</v>
      </c>
      <c r="J1550" s="87">
        <v>1</v>
      </c>
      <c r="K1550" s="88">
        <f t="shared" ref="K1550:K1609" si="219">J1550/I1550</f>
        <v>61201.994160610098</v>
      </c>
    </row>
    <row r="1551" spans="1:11" hidden="1" x14ac:dyDescent="0.25">
      <c r="A1551" t="str">
        <f t="shared" si="217"/>
        <v>52100Ø1,5875</v>
      </c>
      <c r="B1551" s="81">
        <v>52100</v>
      </c>
      <c r="C1551" s="101" t="s">
        <v>246</v>
      </c>
      <c r="D1551" s="86">
        <f>1/16*25.4</f>
        <v>1.5874999999999999</v>
      </c>
      <c r="E1551" s="85">
        <f t="shared" si="214"/>
        <v>1.5874999999999999E-3</v>
      </c>
      <c r="F1551" s="85">
        <f t="shared" si="215"/>
        <v>7.9374999999999997E-4</v>
      </c>
      <c r="G1551" s="85">
        <f t="shared" si="216"/>
        <v>2.0947867788210349E-9</v>
      </c>
      <c r="H1551" s="85">
        <v>7800</v>
      </c>
      <c r="I1551" s="85">
        <f t="shared" si="218"/>
        <v>1.6339336874804071E-5</v>
      </c>
      <c r="J1551" s="87">
        <v>1</v>
      </c>
      <c r="K1551" s="88">
        <f t="shared" si="219"/>
        <v>61201.994160610098</v>
      </c>
    </row>
    <row r="1552" spans="1:11" hidden="1" x14ac:dyDescent="0.25">
      <c r="A1552" t="str">
        <f t="shared" si="217"/>
        <v>420CØ3,96875</v>
      </c>
      <c r="B1552" s="81" t="s">
        <v>295</v>
      </c>
      <c r="C1552" s="101" t="s">
        <v>215</v>
      </c>
      <c r="D1552" s="86">
        <f>5/32*25.4</f>
        <v>3.96875</v>
      </c>
      <c r="E1552" s="85">
        <f>D1552/1000</f>
        <v>3.9687500000000001E-3</v>
      </c>
      <c r="F1552" s="85">
        <f>E1552/2</f>
        <v>1.984375E-3</v>
      </c>
      <c r="G1552" s="85">
        <f>4/3*PI()*F1552*F1552*F1552</f>
        <v>3.2731043419078684E-8</v>
      </c>
      <c r="H1552" s="85">
        <v>7700</v>
      </c>
      <c r="I1552" s="85">
        <f t="shared" si="218"/>
        <v>2.5202903432690587E-4</v>
      </c>
      <c r="J1552" s="87">
        <v>1</v>
      </c>
      <c r="K1552" s="88">
        <f t="shared" si="219"/>
        <v>3967.7968162307202</v>
      </c>
    </row>
    <row r="1553" spans="1:11" hidden="1" x14ac:dyDescent="0.25">
      <c r="A1553" t="str">
        <f t="shared" si="217"/>
        <v>304Ø4,1</v>
      </c>
      <c r="B1553" s="81">
        <v>304</v>
      </c>
      <c r="D1553" s="86">
        <v>4.0999999999999996</v>
      </c>
      <c r="E1553" s="85">
        <f>D1553/1000</f>
        <v>4.0999999999999995E-3</v>
      </c>
      <c r="F1553" s="85">
        <f>E1553/2</f>
        <v>2.0499999999999997E-3</v>
      </c>
      <c r="G1553" s="85">
        <f>4/3*PI()*F1553*F1553*F1553</f>
        <v>3.6086951213010342E-8</v>
      </c>
      <c r="H1553" s="85">
        <v>7950</v>
      </c>
      <c r="I1553" s="85">
        <f t="shared" si="218"/>
        <v>2.8689126214343223E-4</v>
      </c>
      <c r="J1553" s="87">
        <v>1</v>
      </c>
      <c r="K1553" s="88">
        <f t="shared" si="219"/>
        <v>3485.6411886816081</v>
      </c>
    </row>
    <row r="1554" spans="1:11" hidden="1" x14ac:dyDescent="0.25">
      <c r="A1554" t="str">
        <f t="shared" si="217"/>
        <v>Al2O3Ø6</v>
      </c>
      <c r="B1554" s="81" t="s">
        <v>217</v>
      </c>
      <c r="D1554" s="86">
        <v>6</v>
      </c>
      <c r="E1554" s="85">
        <f>D1554/1000</f>
        <v>6.0000000000000001E-3</v>
      </c>
      <c r="F1554" s="85">
        <f>E1554/2</f>
        <v>3.0000000000000001E-3</v>
      </c>
      <c r="G1554" s="85">
        <f>4/3*PI()*F1554*F1554*F1554</f>
        <v>1.1309733552923255E-7</v>
      </c>
      <c r="H1554" s="85">
        <v>3900</v>
      </c>
      <c r="I1554" s="85">
        <f t="shared" si="218"/>
        <v>4.4107960856400695E-4</v>
      </c>
      <c r="J1554" s="87">
        <v>1</v>
      </c>
      <c r="K1554" s="88">
        <f t="shared" si="219"/>
        <v>2267.1644315084804</v>
      </c>
    </row>
    <row r="1555" spans="1:11" hidden="1" x14ac:dyDescent="0.25">
      <c r="A1555" t="str">
        <f t="shared" si="217"/>
        <v>420CØ1</v>
      </c>
      <c r="B1555" s="81" t="s">
        <v>295</v>
      </c>
      <c r="D1555" s="86">
        <v>1</v>
      </c>
      <c r="E1555" s="85">
        <f>D1555/1000</f>
        <v>1E-3</v>
      </c>
      <c r="F1555" s="85">
        <f>E1555/2</f>
        <v>5.0000000000000001E-4</v>
      </c>
      <c r="G1555" s="85">
        <f>4/3*PI()*F1555*F1555*F1555</f>
        <v>5.2359877559829886E-10</v>
      </c>
      <c r="H1555" s="85">
        <v>7700</v>
      </c>
      <c r="I1555" s="85">
        <f t="shared" si="218"/>
        <v>4.0317105721069012E-6</v>
      </c>
      <c r="J1555" s="87">
        <v>1</v>
      </c>
      <c r="K1555" s="88">
        <f t="shared" si="219"/>
        <v>248033.67754581093</v>
      </c>
    </row>
    <row r="1556" spans="1:11" hidden="1" x14ac:dyDescent="0.25">
      <c r="A1556" t="str">
        <f t="shared" si="217"/>
        <v>1010Ø9,525</v>
      </c>
      <c r="B1556" s="81">
        <v>1010</v>
      </c>
      <c r="C1556" s="101" t="s">
        <v>254</v>
      </c>
      <c r="D1556" s="86">
        <f>3/8*25.4</f>
        <v>9.5249999999999986</v>
      </c>
      <c r="E1556" s="85">
        <f>D1556/1000</f>
        <v>9.5249999999999987E-3</v>
      </c>
      <c r="F1556" s="85">
        <f>E1556/2</f>
        <v>4.7624999999999994E-3</v>
      </c>
      <c r="G1556" s="85">
        <f>4/3*PI()*F1556*F1556*F1556</f>
        <v>4.5247394422534347E-7</v>
      </c>
      <c r="H1556" s="85">
        <v>7820</v>
      </c>
      <c r="I1556" s="85">
        <f t="shared" si="218"/>
        <v>3.538346243842186E-3</v>
      </c>
      <c r="J1556" s="87">
        <v>1</v>
      </c>
      <c r="K1556" s="88">
        <f t="shared" si="219"/>
        <v>282.61790426539193</v>
      </c>
    </row>
    <row r="1557" spans="1:11" hidden="1" x14ac:dyDescent="0.25">
      <c r="A1557" t="str">
        <f t="shared" si="217"/>
        <v>1010Ø10</v>
      </c>
      <c r="B1557" s="81">
        <v>1010</v>
      </c>
      <c r="D1557" s="86">
        <v>10</v>
      </c>
      <c r="E1557" s="85">
        <f t="shared" ref="E1557:E1609" si="220">D1557/1000</f>
        <v>0.01</v>
      </c>
      <c r="F1557" s="85">
        <f t="shared" ref="F1557:F1609" si="221">E1557/2</f>
        <v>5.0000000000000001E-3</v>
      </c>
      <c r="G1557" s="85">
        <f t="shared" ref="G1557:G1609" si="222">4/3*PI()*F1557*F1557*F1557</f>
        <v>5.2359877559829882E-7</v>
      </c>
      <c r="H1557" s="85">
        <v>7820</v>
      </c>
      <c r="I1557" s="85">
        <f t="shared" si="218"/>
        <v>4.0945424251786966E-3</v>
      </c>
      <c r="J1557" s="87">
        <v>1</v>
      </c>
      <c r="K1557" s="88">
        <f t="shared" si="219"/>
        <v>244.22753415636117</v>
      </c>
    </row>
    <row r="1558" spans="1:11" hidden="1" x14ac:dyDescent="0.25">
      <c r="A1558" t="str">
        <f t="shared" si="217"/>
        <v>PPHØ9,525</v>
      </c>
      <c r="B1558" s="81" t="s">
        <v>202</v>
      </c>
      <c r="C1558" s="101" t="s">
        <v>254</v>
      </c>
      <c r="D1558" s="86">
        <f>3/8*25.4</f>
        <v>9.5249999999999986</v>
      </c>
      <c r="E1558" s="85">
        <f t="shared" si="220"/>
        <v>9.5249999999999987E-3</v>
      </c>
      <c r="F1558" s="85">
        <f t="shared" si="221"/>
        <v>4.7624999999999994E-3</v>
      </c>
      <c r="G1558" s="85">
        <f t="shared" si="222"/>
        <v>4.5247394422534347E-7</v>
      </c>
      <c r="H1558" s="85">
        <v>870</v>
      </c>
      <c r="I1558" s="85">
        <f t="shared" si="218"/>
        <v>3.9365233147604884E-4</v>
      </c>
      <c r="J1558" s="87">
        <v>1</v>
      </c>
      <c r="K1558" s="88">
        <f t="shared" si="219"/>
        <v>2540.3126567303043</v>
      </c>
    </row>
    <row r="1559" spans="1:11" hidden="1" x14ac:dyDescent="0.25">
      <c r="A1559" t="str">
        <f t="shared" si="217"/>
        <v>420CØ10</v>
      </c>
      <c r="B1559" s="81" t="s">
        <v>295</v>
      </c>
      <c r="D1559" s="86">
        <v>10</v>
      </c>
      <c r="E1559" s="85">
        <f t="shared" si="220"/>
        <v>0.01</v>
      </c>
      <c r="F1559" s="85">
        <f t="shared" si="221"/>
        <v>5.0000000000000001E-3</v>
      </c>
      <c r="G1559" s="85">
        <f t="shared" si="222"/>
        <v>5.2359877559829882E-7</v>
      </c>
      <c r="H1559" s="85">
        <v>7700</v>
      </c>
      <c r="I1559" s="85">
        <f t="shared" si="218"/>
        <v>4.0317105721069009E-3</v>
      </c>
      <c r="J1559" s="87">
        <v>1</v>
      </c>
      <c r="K1559" s="88">
        <f t="shared" si="219"/>
        <v>248.03367754581095</v>
      </c>
    </row>
    <row r="1560" spans="1:11" hidden="1" x14ac:dyDescent="0.25">
      <c r="A1560" t="str">
        <f t="shared" si="217"/>
        <v>304Ø10</v>
      </c>
      <c r="B1560" s="81">
        <v>304</v>
      </c>
      <c r="D1560" s="86">
        <v>10</v>
      </c>
      <c r="E1560" s="85">
        <f t="shared" si="220"/>
        <v>0.01</v>
      </c>
      <c r="F1560" s="85">
        <f t="shared" si="221"/>
        <v>5.0000000000000001E-3</v>
      </c>
      <c r="G1560" s="85">
        <f t="shared" si="222"/>
        <v>5.2359877559829882E-7</v>
      </c>
      <c r="H1560" s="85">
        <v>7950</v>
      </c>
      <c r="I1560" s="85">
        <f t="shared" si="218"/>
        <v>4.1626102660064753E-3</v>
      </c>
      <c r="J1560" s="87">
        <v>1</v>
      </c>
      <c r="K1560" s="88">
        <f t="shared" si="219"/>
        <v>240.23387636512507</v>
      </c>
    </row>
    <row r="1561" spans="1:11" hidden="1" x14ac:dyDescent="0.25">
      <c r="A1561" t="str">
        <f t="shared" si="217"/>
        <v>1010Ø9,525</v>
      </c>
      <c r="B1561" s="81">
        <v>1010</v>
      </c>
      <c r="C1561" s="101" t="s">
        <v>254</v>
      </c>
      <c r="D1561" s="86">
        <f>3/8*25.4</f>
        <v>9.5249999999999986</v>
      </c>
      <c r="E1561" s="85">
        <f t="shared" si="220"/>
        <v>9.5249999999999987E-3</v>
      </c>
      <c r="F1561" s="85">
        <f t="shared" si="221"/>
        <v>4.7624999999999994E-3</v>
      </c>
      <c r="G1561" s="85">
        <f t="shared" si="222"/>
        <v>4.5247394422534347E-7</v>
      </c>
      <c r="H1561" s="85">
        <v>7800</v>
      </c>
      <c r="I1561" s="85">
        <f t="shared" si="218"/>
        <v>3.5292967649576791E-3</v>
      </c>
      <c r="J1561" s="87">
        <v>1</v>
      </c>
      <c r="K1561" s="88">
        <f t="shared" si="219"/>
        <v>283.3425655583801</v>
      </c>
    </row>
    <row r="1562" spans="1:11" hidden="1" x14ac:dyDescent="0.25">
      <c r="A1562" t="str">
        <f t="shared" si="217"/>
        <v>1010Ø9,525</v>
      </c>
      <c r="B1562" s="81">
        <v>1010</v>
      </c>
      <c r="C1562" s="101" t="s">
        <v>254</v>
      </c>
      <c r="D1562" s="86">
        <f>3/8*25.4</f>
        <v>9.5249999999999986</v>
      </c>
      <c r="E1562" s="85">
        <f t="shared" si="220"/>
        <v>9.5249999999999987E-3</v>
      </c>
      <c r="F1562" s="85">
        <f t="shared" si="221"/>
        <v>4.7624999999999994E-3</v>
      </c>
      <c r="G1562" s="85">
        <f t="shared" si="222"/>
        <v>4.5247394422534347E-7</v>
      </c>
      <c r="H1562" s="85">
        <v>7850</v>
      </c>
      <c r="I1562" s="85">
        <f t="shared" si="218"/>
        <v>3.5519204621689464E-3</v>
      </c>
      <c r="J1562" s="87">
        <v>1</v>
      </c>
      <c r="K1562" s="88">
        <f t="shared" si="219"/>
        <v>281.53783584144776</v>
      </c>
    </row>
    <row r="1563" spans="1:11" hidden="1" x14ac:dyDescent="0.25">
      <c r="A1563" t="str">
        <f t="shared" si="217"/>
        <v>52100Ø1,5</v>
      </c>
      <c r="B1563" s="81">
        <v>52100</v>
      </c>
      <c r="D1563" s="86">
        <v>1.5</v>
      </c>
      <c r="E1563" s="85">
        <f t="shared" si="220"/>
        <v>1.5E-3</v>
      </c>
      <c r="F1563" s="85">
        <f t="shared" si="221"/>
        <v>7.5000000000000002E-4</v>
      </c>
      <c r="G1563" s="85">
        <f t="shared" si="222"/>
        <v>1.7671458676442585E-9</v>
      </c>
      <c r="H1563" s="85">
        <v>7800</v>
      </c>
      <c r="I1563" s="85">
        <f t="shared" si="218"/>
        <v>1.3783737767625217E-5</v>
      </c>
      <c r="J1563" s="87">
        <v>1</v>
      </c>
      <c r="K1563" s="88">
        <f t="shared" si="219"/>
        <v>72549.261808271374</v>
      </c>
    </row>
    <row r="1564" spans="1:11" hidden="1" x14ac:dyDescent="0.25">
      <c r="A1564" t="str">
        <f t="shared" si="217"/>
        <v>PA6.6Ø2</v>
      </c>
      <c r="B1564" s="81" t="s">
        <v>244</v>
      </c>
      <c r="D1564" s="86">
        <v>2</v>
      </c>
      <c r="E1564" s="85">
        <f t="shared" si="220"/>
        <v>2E-3</v>
      </c>
      <c r="F1564" s="85">
        <f t="shared" si="221"/>
        <v>1E-3</v>
      </c>
      <c r="G1564" s="85">
        <f t="shared" si="222"/>
        <v>4.1887902047863909E-9</v>
      </c>
      <c r="H1564" s="85">
        <v>1110</v>
      </c>
      <c r="I1564" s="85">
        <f t="shared" si="218"/>
        <v>4.6495571273128935E-6</v>
      </c>
      <c r="J1564" s="87">
        <v>1</v>
      </c>
      <c r="K1564" s="88">
        <f t="shared" si="219"/>
        <v>215074.24742148022</v>
      </c>
    </row>
    <row r="1565" spans="1:11" hidden="1" x14ac:dyDescent="0.25">
      <c r="A1565" t="str">
        <f t="shared" si="217"/>
        <v>Si3N4Ø1,5</v>
      </c>
      <c r="B1565" s="81" t="s">
        <v>207</v>
      </c>
      <c r="D1565" s="86">
        <v>1.5</v>
      </c>
      <c r="E1565" s="85">
        <f t="shared" si="220"/>
        <v>1.5E-3</v>
      </c>
      <c r="F1565" s="85">
        <f t="shared" si="221"/>
        <v>7.5000000000000002E-4</v>
      </c>
      <c r="G1565" s="85">
        <f t="shared" si="222"/>
        <v>1.7671458676442585E-9</v>
      </c>
      <c r="H1565" s="85">
        <v>3260</v>
      </c>
      <c r="I1565" s="85">
        <f t="shared" si="218"/>
        <v>5.7608955285202824E-6</v>
      </c>
      <c r="J1565" s="87">
        <v>1</v>
      </c>
      <c r="K1565" s="88">
        <f t="shared" si="219"/>
        <v>173584.12334494383</v>
      </c>
    </row>
    <row r="1566" spans="1:11" hidden="1" x14ac:dyDescent="0.25">
      <c r="A1566" t="str">
        <f t="shared" si="217"/>
        <v>Si3N4Ø1,5875</v>
      </c>
      <c r="B1566" s="81" t="s">
        <v>207</v>
      </c>
      <c r="C1566" s="101" t="s">
        <v>246</v>
      </c>
      <c r="D1566" s="86">
        <f>1/16*25.4</f>
        <v>1.5874999999999999</v>
      </c>
      <c r="E1566" s="85">
        <f t="shared" si="220"/>
        <v>1.5874999999999999E-3</v>
      </c>
      <c r="F1566" s="85">
        <f t="shared" si="221"/>
        <v>7.9374999999999997E-4</v>
      </c>
      <c r="G1566" s="85">
        <f t="shared" si="222"/>
        <v>2.0947867788210349E-9</v>
      </c>
      <c r="H1566" s="85">
        <v>3260</v>
      </c>
      <c r="I1566" s="85">
        <f t="shared" si="218"/>
        <v>6.8290048989565737E-6</v>
      </c>
      <c r="J1566" s="87">
        <v>1</v>
      </c>
      <c r="K1566" s="88">
        <f t="shared" si="219"/>
        <v>146434.21915728797</v>
      </c>
    </row>
    <row r="1567" spans="1:11" hidden="1" x14ac:dyDescent="0.25">
      <c r="A1567" t="str">
        <f t="shared" si="217"/>
        <v>52100Ø1</v>
      </c>
      <c r="B1567" s="81">
        <v>52100</v>
      </c>
      <c r="D1567" s="86">
        <v>1</v>
      </c>
      <c r="E1567" s="85">
        <f t="shared" si="220"/>
        <v>1E-3</v>
      </c>
      <c r="F1567" s="85">
        <f t="shared" si="221"/>
        <v>5.0000000000000001E-4</v>
      </c>
      <c r="G1567" s="85">
        <f t="shared" si="222"/>
        <v>5.2359877559829886E-10</v>
      </c>
      <c r="H1567" s="85">
        <v>7800</v>
      </c>
      <c r="I1567" s="85">
        <f t="shared" si="218"/>
        <v>4.0840704496667312E-6</v>
      </c>
      <c r="J1567" s="87">
        <v>1</v>
      </c>
      <c r="K1567" s="88">
        <f t="shared" si="219"/>
        <v>244853.75860291591</v>
      </c>
    </row>
    <row r="1568" spans="1:11" hidden="1" x14ac:dyDescent="0.25">
      <c r="A1568" t="str">
        <f t="shared" si="217"/>
        <v>52100Ø1</v>
      </c>
      <c r="B1568" s="81">
        <v>52100</v>
      </c>
      <c r="D1568" s="86">
        <v>1</v>
      </c>
      <c r="E1568" s="85">
        <f t="shared" si="220"/>
        <v>1E-3</v>
      </c>
      <c r="F1568" s="85">
        <f t="shared" si="221"/>
        <v>5.0000000000000001E-4</v>
      </c>
      <c r="G1568" s="85">
        <f t="shared" si="222"/>
        <v>5.2359877559829886E-10</v>
      </c>
      <c r="H1568" s="85">
        <v>7800</v>
      </c>
      <c r="I1568" s="85">
        <f t="shared" si="218"/>
        <v>4.0840704496667312E-6</v>
      </c>
      <c r="J1568" s="87">
        <v>1</v>
      </c>
      <c r="K1568" s="88">
        <f t="shared" si="219"/>
        <v>244853.75860291591</v>
      </c>
    </row>
    <row r="1569" spans="1:11" hidden="1" x14ac:dyDescent="0.25">
      <c r="A1569" t="str">
        <f t="shared" si="217"/>
        <v>WC-CoØ1</v>
      </c>
      <c r="B1569" s="81" t="s">
        <v>297</v>
      </c>
      <c r="D1569" s="86">
        <v>1</v>
      </c>
      <c r="E1569" s="85">
        <f t="shared" si="220"/>
        <v>1E-3</v>
      </c>
      <c r="F1569" s="85">
        <f t="shared" si="221"/>
        <v>5.0000000000000001E-4</v>
      </c>
      <c r="G1569" s="85">
        <f t="shared" si="222"/>
        <v>5.2359877559829886E-10</v>
      </c>
      <c r="H1569" s="85">
        <v>14950</v>
      </c>
      <c r="I1569" s="85">
        <f t="shared" si="218"/>
        <v>7.8278016951945674E-6</v>
      </c>
      <c r="J1569" s="87">
        <v>1</v>
      </c>
      <c r="K1569" s="88">
        <f t="shared" si="219"/>
        <v>127749.78709717352</v>
      </c>
    </row>
    <row r="1570" spans="1:11" hidden="1" x14ac:dyDescent="0.25">
      <c r="A1570" t="str">
        <f t="shared" si="217"/>
        <v>WC-CoØ1</v>
      </c>
      <c r="B1570" s="81" t="s">
        <v>297</v>
      </c>
      <c r="D1570" s="86">
        <v>1</v>
      </c>
      <c r="E1570" s="85">
        <f t="shared" si="220"/>
        <v>1E-3</v>
      </c>
      <c r="F1570" s="85">
        <f t="shared" si="221"/>
        <v>5.0000000000000001E-4</v>
      </c>
      <c r="G1570" s="85">
        <f t="shared" si="222"/>
        <v>5.2359877559829886E-10</v>
      </c>
      <c r="H1570" s="85">
        <v>14950</v>
      </c>
      <c r="I1570" s="85">
        <f t="shared" si="218"/>
        <v>7.8278016951945674E-6</v>
      </c>
      <c r="J1570" s="87">
        <v>1</v>
      </c>
      <c r="K1570" s="88">
        <f t="shared" si="219"/>
        <v>127749.78709717352</v>
      </c>
    </row>
    <row r="1571" spans="1:11" hidden="1" x14ac:dyDescent="0.25">
      <c r="A1571" t="str">
        <f t="shared" si="217"/>
        <v>PA6.6Ø2</v>
      </c>
      <c r="B1571" s="81" t="s">
        <v>244</v>
      </c>
      <c r="D1571" s="86">
        <v>2</v>
      </c>
      <c r="E1571" s="85">
        <f t="shared" si="220"/>
        <v>2E-3</v>
      </c>
      <c r="F1571" s="85">
        <f t="shared" si="221"/>
        <v>1E-3</v>
      </c>
      <c r="G1571" s="85">
        <f t="shared" si="222"/>
        <v>4.1887902047863909E-9</v>
      </c>
      <c r="H1571" s="85">
        <v>1110</v>
      </c>
      <c r="I1571" s="85">
        <f t="shared" si="218"/>
        <v>4.6495571273128935E-6</v>
      </c>
      <c r="J1571" s="87">
        <v>1</v>
      </c>
      <c r="K1571" s="88">
        <f t="shared" si="219"/>
        <v>215074.24742148022</v>
      </c>
    </row>
    <row r="1572" spans="1:11" hidden="1" x14ac:dyDescent="0.25">
      <c r="A1572" t="str">
        <f t="shared" si="217"/>
        <v>POMØ3</v>
      </c>
      <c r="B1572" s="81" t="s">
        <v>201</v>
      </c>
      <c r="D1572" s="86">
        <v>3</v>
      </c>
      <c r="E1572" s="85">
        <f t="shared" si="220"/>
        <v>3.0000000000000001E-3</v>
      </c>
      <c r="F1572" s="85">
        <f t="shared" si="221"/>
        <v>1.5E-3</v>
      </c>
      <c r="G1572" s="85">
        <f t="shared" si="222"/>
        <v>1.4137166941154068E-8</v>
      </c>
      <c r="H1572" s="85">
        <v>1370</v>
      </c>
      <c r="I1572" s="85">
        <f t="shared" si="218"/>
        <v>1.9367918709381075E-5</v>
      </c>
      <c r="J1572" s="87">
        <v>1</v>
      </c>
      <c r="K1572" s="88">
        <f t="shared" si="219"/>
        <v>51631.773914645688</v>
      </c>
    </row>
    <row r="1573" spans="1:11" hidden="1" x14ac:dyDescent="0.25">
      <c r="A1573" t="str">
        <f t="shared" si="217"/>
        <v>POMØ3</v>
      </c>
      <c r="B1573" s="81" t="s">
        <v>201</v>
      </c>
      <c r="D1573" s="86">
        <v>3</v>
      </c>
      <c r="E1573" s="85">
        <f t="shared" si="220"/>
        <v>3.0000000000000001E-3</v>
      </c>
      <c r="F1573" s="85">
        <f t="shared" si="221"/>
        <v>1.5E-3</v>
      </c>
      <c r="G1573" s="85">
        <f t="shared" si="222"/>
        <v>1.4137166941154068E-8</v>
      </c>
      <c r="H1573" s="85">
        <v>1370</v>
      </c>
      <c r="I1573" s="85">
        <f t="shared" si="218"/>
        <v>1.9367918709381075E-5</v>
      </c>
      <c r="J1573" s="87">
        <v>1</v>
      </c>
      <c r="K1573" s="88">
        <f t="shared" si="219"/>
        <v>51631.773914645688</v>
      </c>
    </row>
    <row r="1574" spans="1:11" hidden="1" x14ac:dyDescent="0.25">
      <c r="A1574" t="str">
        <f t="shared" si="217"/>
        <v>POMØ1</v>
      </c>
      <c r="B1574" s="81" t="s">
        <v>201</v>
      </c>
      <c r="D1574" s="86">
        <v>1</v>
      </c>
      <c r="E1574" s="85">
        <f t="shared" si="220"/>
        <v>1E-3</v>
      </c>
      <c r="F1574" s="85">
        <f t="shared" si="221"/>
        <v>5.0000000000000001E-4</v>
      </c>
      <c r="G1574" s="85">
        <f t="shared" si="222"/>
        <v>5.2359877559829886E-10</v>
      </c>
      <c r="H1574" s="85">
        <v>1370</v>
      </c>
      <c r="I1574" s="85">
        <f t="shared" si="218"/>
        <v>7.1733032256966945E-7</v>
      </c>
      <c r="J1574" s="87">
        <v>1</v>
      </c>
      <c r="K1574" s="88">
        <f t="shared" si="219"/>
        <v>1394057.8956954337</v>
      </c>
    </row>
    <row r="1575" spans="1:11" hidden="1" x14ac:dyDescent="0.25">
      <c r="A1575" t="str">
        <f t="shared" si="217"/>
        <v>52100Ø1</v>
      </c>
      <c r="B1575" s="81">
        <v>52100</v>
      </c>
      <c r="D1575" s="86">
        <v>1</v>
      </c>
      <c r="E1575" s="85">
        <f t="shared" si="220"/>
        <v>1E-3</v>
      </c>
      <c r="F1575" s="85">
        <f t="shared" si="221"/>
        <v>5.0000000000000001E-4</v>
      </c>
      <c r="G1575" s="85">
        <f t="shared" si="222"/>
        <v>5.2359877559829886E-10</v>
      </c>
      <c r="H1575" s="85">
        <v>7800</v>
      </c>
      <c r="I1575" s="85">
        <f t="shared" si="218"/>
        <v>4.0840704496667312E-6</v>
      </c>
      <c r="J1575" s="87">
        <v>1</v>
      </c>
      <c r="K1575" s="88">
        <f t="shared" si="219"/>
        <v>244853.75860291591</v>
      </c>
    </row>
    <row r="1576" spans="1:11" hidden="1" x14ac:dyDescent="0.25">
      <c r="A1576" t="str">
        <f t="shared" si="217"/>
        <v>POMØ1</v>
      </c>
      <c r="B1576" s="81" t="s">
        <v>201</v>
      </c>
      <c r="D1576" s="86">
        <v>1</v>
      </c>
      <c r="E1576" s="85">
        <f t="shared" si="220"/>
        <v>1E-3</v>
      </c>
      <c r="F1576" s="85">
        <f t="shared" si="221"/>
        <v>5.0000000000000001E-4</v>
      </c>
      <c r="G1576" s="85">
        <f t="shared" si="222"/>
        <v>5.2359877559829886E-10</v>
      </c>
      <c r="H1576" s="85">
        <v>1370</v>
      </c>
      <c r="I1576" s="85">
        <f t="shared" si="218"/>
        <v>7.1733032256966945E-7</v>
      </c>
      <c r="J1576" s="87">
        <v>1</v>
      </c>
      <c r="K1576" s="88">
        <f t="shared" si="219"/>
        <v>1394057.8956954337</v>
      </c>
    </row>
    <row r="1577" spans="1:11" hidden="1" x14ac:dyDescent="0.25">
      <c r="A1577" t="str">
        <f t="shared" si="217"/>
        <v>POMØ35</v>
      </c>
      <c r="B1577" s="81" t="s">
        <v>201</v>
      </c>
      <c r="D1577" s="86">
        <v>35</v>
      </c>
      <c r="E1577" s="85">
        <f t="shared" si="220"/>
        <v>3.5000000000000003E-2</v>
      </c>
      <c r="F1577" s="85">
        <f t="shared" si="221"/>
        <v>1.7500000000000002E-2</v>
      </c>
      <c r="G1577" s="85">
        <f t="shared" si="222"/>
        <v>2.2449297503777071E-5</v>
      </c>
      <c r="H1577" s="85">
        <v>1340</v>
      </c>
      <c r="I1577" s="85">
        <f t="shared" si="218"/>
        <v>3.0082058655061274E-2</v>
      </c>
      <c r="J1577" s="87">
        <v>1</v>
      </c>
      <c r="K1577" s="88">
        <f t="shared" si="219"/>
        <v>33.242405763069378</v>
      </c>
    </row>
    <row r="1578" spans="1:11" hidden="1" x14ac:dyDescent="0.25">
      <c r="A1578" t="str">
        <f t="shared" si="217"/>
        <v>PSØ2</v>
      </c>
      <c r="B1578" s="81" t="s">
        <v>242</v>
      </c>
      <c r="D1578" s="86">
        <v>2</v>
      </c>
      <c r="E1578" s="85">
        <f t="shared" si="220"/>
        <v>2E-3</v>
      </c>
      <c r="F1578" s="85">
        <f t="shared" si="221"/>
        <v>1E-3</v>
      </c>
      <c r="G1578" s="85">
        <f t="shared" si="222"/>
        <v>4.1887902047863909E-9</v>
      </c>
      <c r="H1578" s="85">
        <v>1050</v>
      </c>
      <c r="I1578" s="85">
        <f t="shared" si="218"/>
        <v>4.3982297150257108E-6</v>
      </c>
      <c r="J1578" s="87">
        <v>1</v>
      </c>
      <c r="K1578" s="88">
        <f t="shared" si="219"/>
        <v>227364.20441699334</v>
      </c>
    </row>
    <row r="1579" spans="1:11" hidden="1" x14ac:dyDescent="0.25">
      <c r="A1579" t="str">
        <f t="shared" si="217"/>
        <v>PSØ2,5</v>
      </c>
      <c r="B1579" s="81" t="s">
        <v>242</v>
      </c>
      <c r="D1579" s="86">
        <v>2.5</v>
      </c>
      <c r="E1579" s="85">
        <f t="shared" si="220"/>
        <v>2.5000000000000001E-3</v>
      </c>
      <c r="F1579" s="85">
        <f t="shared" si="221"/>
        <v>1.25E-3</v>
      </c>
      <c r="G1579" s="85">
        <f t="shared" si="222"/>
        <v>8.181230868723419E-9</v>
      </c>
      <c r="H1579" s="85">
        <v>1050</v>
      </c>
      <c r="I1579" s="85">
        <f t="shared" si="218"/>
        <v>8.5902924121595892E-6</v>
      </c>
      <c r="J1579" s="87">
        <v>1</v>
      </c>
      <c r="K1579" s="88">
        <f t="shared" si="219"/>
        <v>116410.47266150061</v>
      </c>
    </row>
    <row r="1580" spans="1:11" hidden="1" x14ac:dyDescent="0.25">
      <c r="A1580" t="str">
        <f t="shared" si="217"/>
        <v>1010Ø3,96875</v>
      </c>
      <c r="B1580" s="81">
        <v>1010</v>
      </c>
      <c r="C1580" s="101" t="s">
        <v>215</v>
      </c>
      <c r="D1580" s="86">
        <f>5/32*25.4</f>
        <v>3.96875</v>
      </c>
      <c r="E1580" s="85">
        <f t="shared" si="220"/>
        <v>3.9687500000000001E-3</v>
      </c>
      <c r="F1580" s="85">
        <f t="shared" si="221"/>
        <v>1.984375E-3</v>
      </c>
      <c r="G1580" s="85">
        <f t="shared" si="222"/>
        <v>3.2731043419078684E-8</v>
      </c>
      <c r="H1580" s="85">
        <v>7820</v>
      </c>
      <c r="I1580" s="85">
        <f t="shared" si="218"/>
        <v>2.5595675953719529E-4</v>
      </c>
      <c r="J1580" s="87">
        <v>1</v>
      </c>
      <c r="K1580" s="88">
        <f t="shared" si="219"/>
        <v>3906.9099085647758</v>
      </c>
    </row>
    <row r="1581" spans="1:11" hidden="1" x14ac:dyDescent="0.25">
      <c r="A1581" t="str">
        <f t="shared" si="217"/>
        <v>52100Ø6,1</v>
      </c>
      <c r="B1581" s="81">
        <v>52100</v>
      </c>
      <c r="D1581" s="86">
        <v>6.1</v>
      </c>
      <c r="E1581" s="85">
        <f t="shared" si="220"/>
        <v>6.0999999999999995E-3</v>
      </c>
      <c r="F1581" s="85">
        <f t="shared" si="221"/>
        <v>3.0499999999999998E-3</v>
      </c>
      <c r="G1581" s="85">
        <f t="shared" si="222"/>
        <v>1.1884697368407743E-7</v>
      </c>
      <c r="H1581" s="85">
        <v>7800</v>
      </c>
      <c r="I1581" s="85">
        <f t="shared" si="218"/>
        <v>9.2700639473580391E-4</v>
      </c>
      <c r="J1581" s="87">
        <v>1</v>
      </c>
      <c r="K1581" s="88">
        <f t="shared" si="219"/>
        <v>1078.7412100700765</v>
      </c>
    </row>
    <row r="1582" spans="1:11" hidden="1" x14ac:dyDescent="0.25">
      <c r="A1582" t="str">
        <f t="shared" si="217"/>
        <v>52100Ø6,12</v>
      </c>
      <c r="B1582" s="81">
        <v>52100</v>
      </c>
      <c r="D1582" s="86">
        <v>6.12</v>
      </c>
      <c r="E1582" s="85">
        <f t="shared" si="220"/>
        <v>6.1200000000000004E-3</v>
      </c>
      <c r="F1582" s="85">
        <f t="shared" si="221"/>
        <v>3.0600000000000002E-3</v>
      </c>
      <c r="G1582" s="85">
        <f t="shared" si="222"/>
        <v>1.2001979724230584E-7</v>
      </c>
      <c r="H1582" s="85">
        <v>7800</v>
      </c>
      <c r="I1582" s="85">
        <f t="shared" si="218"/>
        <v>9.3615441848998553E-4</v>
      </c>
      <c r="J1582" s="87">
        <v>1</v>
      </c>
      <c r="K1582" s="88">
        <f t="shared" si="219"/>
        <v>1068.1998399505471</v>
      </c>
    </row>
    <row r="1583" spans="1:11" hidden="1" x14ac:dyDescent="0.25">
      <c r="A1583" t="str">
        <f t="shared" si="217"/>
        <v>52100Ø7,88</v>
      </c>
      <c r="B1583" s="81">
        <v>52100</v>
      </c>
      <c r="D1583" s="86">
        <v>7.88</v>
      </c>
      <c r="E1583" s="85">
        <f t="shared" si="220"/>
        <v>7.8799999999999999E-3</v>
      </c>
      <c r="F1583" s="85">
        <f t="shared" si="221"/>
        <v>3.9399999999999999E-3</v>
      </c>
      <c r="G1583" s="85">
        <f t="shared" si="222"/>
        <v>2.561989082747067E-7</v>
      </c>
      <c r="H1583" s="85">
        <v>7800</v>
      </c>
      <c r="I1583" s="85">
        <f t="shared" si="218"/>
        <v>1.9983514845427122E-3</v>
      </c>
      <c r="J1583" s="87">
        <v>1</v>
      </c>
      <c r="K1583" s="88">
        <f t="shared" si="219"/>
        <v>500.41246884495524</v>
      </c>
    </row>
    <row r="1584" spans="1:11" hidden="1" x14ac:dyDescent="0.25">
      <c r="A1584" t="str">
        <f t="shared" si="217"/>
        <v>POMØ1,5875</v>
      </c>
      <c r="B1584" s="81" t="s">
        <v>201</v>
      </c>
      <c r="C1584" s="101" t="s">
        <v>246</v>
      </c>
      <c r="D1584" s="86">
        <f>1/16*25.4</f>
        <v>1.5874999999999999</v>
      </c>
      <c r="E1584" s="85">
        <f t="shared" si="220"/>
        <v>1.5874999999999999E-3</v>
      </c>
      <c r="F1584" s="85">
        <f t="shared" si="221"/>
        <v>7.9374999999999997E-4</v>
      </c>
      <c r="G1584" s="85">
        <f t="shared" si="222"/>
        <v>2.0947867788210349E-9</v>
      </c>
      <c r="H1584" s="85">
        <v>1370</v>
      </c>
      <c r="I1584" s="85">
        <f t="shared" si="218"/>
        <v>2.8698578869848178E-6</v>
      </c>
      <c r="J1584" s="87">
        <v>1</v>
      </c>
      <c r="K1584" s="88">
        <f t="shared" si="219"/>
        <v>348449.30981953192</v>
      </c>
    </row>
    <row r="1585" spans="1:11" hidden="1" x14ac:dyDescent="0.25">
      <c r="A1585" t="str">
        <f t="shared" si="217"/>
        <v>Al2O3Ø0,5</v>
      </c>
      <c r="B1585" s="81" t="s">
        <v>217</v>
      </c>
      <c r="D1585" s="86">
        <v>0.5</v>
      </c>
      <c r="E1585" s="85">
        <f t="shared" si="220"/>
        <v>5.0000000000000001E-4</v>
      </c>
      <c r="F1585" s="85">
        <f t="shared" si="221"/>
        <v>2.5000000000000001E-4</v>
      </c>
      <c r="G1585" s="85">
        <f t="shared" si="222"/>
        <v>6.5449846949787358E-11</v>
      </c>
      <c r="H1585" s="85">
        <v>3900</v>
      </c>
      <c r="I1585" s="85">
        <f t="shared" si="218"/>
        <v>2.552544031041707E-7</v>
      </c>
      <c r="J1585" s="87">
        <v>1</v>
      </c>
      <c r="K1585" s="88">
        <f t="shared" si="219"/>
        <v>3917660.1376466546</v>
      </c>
    </row>
    <row r="1586" spans="1:11" hidden="1" x14ac:dyDescent="0.25">
      <c r="A1586" t="str">
        <f t="shared" si="217"/>
        <v>Si3N4Ø0,5</v>
      </c>
      <c r="B1586" s="81" t="s">
        <v>207</v>
      </c>
      <c r="D1586" s="86">
        <v>0.5</v>
      </c>
      <c r="E1586" s="85">
        <f t="shared" si="220"/>
        <v>5.0000000000000001E-4</v>
      </c>
      <c r="F1586" s="85">
        <f t="shared" si="221"/>
        <v>2.5000000000000001E-4</v>
      </c>
      <c r="G1586" s="85">
        <f t="shared" si="222"/>
        <v>6.5449846949787358E-11</v>
      </c>
      <c r="H1586" s="85">
        <v>3260</v>
      </c>
      <c r="I1586" s="85">
        <f t="shared" si="218"/>
        <v>2.1336650105630678E-7</v>
      </c>
      <c r="J1586" s="87">
        <v>1</v>
      </c>
      <c r="K1586" s="88">
        <f t="shared" si="219"/>
        <v>4686771.3303134823</v>
      </c>
    </row>
    <row r="1587" spans="1:11" hidden="1" x14ac:dyDescent="0.25">
      <c r="A1587" t="str">
        <f t="shared" si="217"/>
        <v>52100Ø8,05</v>
      </c>
      <c r="B1587" s="81">
        <v>52100</v>
      </c>
      <c r="D1587" s="86">
        <v>8.0500000000000007</v>
      </c>
      <c r="E1587" s="85">
        <f t="shared" si="220"/>
        <v>8.0499999999999999E-3</v>
      </c>
      <c r="F1587" s="85">
        <f t="shared" si="221"/>
        <v>4.0249999999999999E-3</v>
      </c>
      <c r="G1587" s="85">
        <f t="shared" si="222"/>
        <v>2.7314060272845552E-7</v>
      </c>
      <c r="H1587" s="85">
        <v>7800</v>
      </c>
      <c r="I1587" s="85">
        <f t="shared" si="218"/>
        <v>2.130496701281953E-3</v>
      </c>
      <c r="J1587" s="87">
        <v>1</v>
      </c>
      <c r="K1587" s="88">
        <f t="shared" si="219"/>
        <v>469.37411327522096</v>
      </c>
    </row>
    <row r="1588" spans="1:11" hidden="1" x14ac:dyDescent="0.25">
      <c r="A1588" t="str">
        <f t="shared" si="217"/>
        <v>WC-CoØ3</v>
      </c>
      <c r="B1588" s="81" t="s">
        <v>297</v>
      </c>
      <c r="D1588" s="86">
        <v>3</v>
      </c>
      <c r="E1588" s="85">
        <f t="shared" si="220"/>
        <v>3.0000000000000001E-3</v>
      </c>
      <c r="F1588" s="85">
        <f t="shared" si="221"/>
        <v>1.5E-3</v>
      </c>
      <c r="G1588" s="85">
        <f t="shared" si="222"/>
        <v>1.4137166941154068E-8</v>
      </c>
      <c r="H1588" s="85">
        <v>14950</v>
      </c>
      <c r="I1588" s="85">
        <f t="shared" si="218"/>
        <v>2.1135064577025331E-4</v>
      </c>
      <c r="J1588" s="87">
        <v>1</v>
      </c>
      <c r="K1588" s="88">
        <f t="shared" si="219"/>
        <v>4731.4735961916122</v>
      </c>
    </row>
    <row r="1589" spans="1:11" hidden="1" x14ac:dyDescent="0.25">
      <c r="A1589" t="str">
        <f t="shared" si="217"/>
        <v>52100Ø9,921875</v>
      </c>
      <c r="B1589" s="81">
        <v>52100</v>
      </c>
      <c r="C1589" s="101" t="s">
        <v>345</v>
      </c>
      <c r="D1589" s="86">
        <f>25/64*25.4</f>
        <v>9.921875</v>
      </c>
      <c r="E1589" s="85">
        <f t="shared" si="220"/>
        <v>9.9218750000000001E-3</v>
      </c>
      <c r="F1589" s="85">
        <f t="shared" si="221"/>
        <v>4.9609375000000001E-3</v>
      </c>
      <c r="G1589" s="85">
        <f t="shared" si="222"/>
        <v>5.1142255342310435E-7</v>
      </c>
      <c r="H1589" s="85">
        <v>7800</v>
      </c>
      <c r="I1589" s="85">
        <f t="shared" si="218"/>
        <v>3.9890959167002138E-3</v>
      </c>
      <c r="J1589" s="87">
        <v>1</v>
      </c>
      <c r="K1589" s="88">
        <f t="shared" si="219"/>
        <v>250.6833680818589</v>
      </c>
    </row>
    <row r="1590" spans="1:11" hidden="1" x14ac:dyDescent="0.25">
      <c r="A1590" t="str">
        <f t="shared" si="217"/>
        <v>PPHØ2,5</v>
      </c>
      <c r="B1590" s="81" t="s">
        <v>202</v>
      </c>
      <c r="D1590" s="86">
        <v>2.5</v>
      </c>
      <c r="E1590" s="85">
        <f t="shared" si="220"/>
        <v>2.5000000000000001E-3</v>
      </c>
      <c r="F1590" s="85">
        <f t="shared" si="221"/>
        <v>1.25E-3</v>
      </c>
      <c r="G1590" s="85">
        <f t="shared" si="222"/>
        <v>8.181230868723419E-9</v>
      </c>
      <c r="H1590" s="85">
        <v>870</v>
      </c>
      <c r="I1590" s="85">
        <f t="shared" si="218"/>
        <v>7.1176708557893749E-6</v>
      </c>
      <c r="J1590" s="87">
        <v>1</v>
      </c>
      <c r="K1590" s="88">
        <f t="shared" si="219"/>
        <v>140495.39803974211</v>
      </c>
    </row>
    <row r="1591" spans="1:11" hidden="1" x14ac:dyDescent="0.25">
      <c r="A1591" t="str">
        <f t="shared" si="217"/>
        <v>PPHØ2,5</v>
      </c>
      <c r="B1591" s="81" t="s">
        <v>202</v>
      </c>
      <c r="D1591" s="86">
        <v>2.5</v>
      </c>
      <c r="E1591" s="85">
        <f t="shared" si="220"/>
        <v>2.5000000000000001E-3</v>
      </c>
      <c r="F1591" s="85">
        <f t="shared" si="221"/>
        <v>1.25E-3</v>
      </c>
      <c r="G1591" s="85">
        <f t="shared" si="222"/>
        <v>8.181230868723419E-9</v>
      </c>
      <c r="H1591" s="85">
        <v>870</v>
      </c>
      <c r="I1591" s="85">
        <f t="shared" si="218"/>
        <v>7.1176708557893749E-6</v>
      </c>
      <c r="J1591" s="87">
        <v>1</v>
      </c>
      <c r="K1591" s="88">
        <f t="shared" si="219"/>
        <v>140495.39803974211</v>
      </c>
    </row>
    <row r="1592" spans="1:11" hidden="1" x14ac:dyDescent="0.25">
      <c r="A1592" t="str">
        <f t="shared" si="217"/>
        <v>PPHØ2,38125</v>
      </c>
      <c r="B1592" s="81" t="s">
        <v>202</v>
      </c>
      <c r="C1592" s="101" t="s">
        <v>213</v>
      </c>
      <c r="D1592" s="86">
        <f>3/32*25.4</f>
        <v>2.3812499999999996</v>
      </c>
      <c r="E1592" s="85">
        <f t="shared" si="220"/>
        <v>2.3812499999999997E-3</v>
      </c>
      <c r="F1592" s="85">
        <f t="shared" si="221"/>
        <v>1.1906249999999998E-3</v>
      </c>
      <c r="G1592" s="85">
        <f t="shared" si="222"/>
        <v>7.0699053785209917E-9</v>
      </c>
      <c r="H1592" s="85">
        <v>870</v>
      </c>
      <c r="I1592" s="85">
        <f t="shared" si="218"/>
        <v>6.1508176793132632E-6</v>
      </c>
      <c r="J1592" s="87">
        <v>1</v>
      </c>
      <c r="K1592" s="88">
        <f t="shared" si="219"/>
        <v>162580.01003073948</v>
      </c>
    </row>
    <row r="1593" spans="1:11" hidden="1" x14ac:dyDescent="0.25">
      <c r="A1593" t="str">
        <f t="shared" si="217"/>
        <v>PPHØ2,778125</v>
      </c>
      <c r="B1593" s="81" t="s">
        <v>202</v>
      </c>
      <c r="C1593" s="101" t="s">
        <v>247</v>
      </c>
      <c r="D1593" s="86">
        <f>7/64*25.4</f>
        <v>2.7781249999999997</v>
      </c>
      <c r="E1593" s="85">
        <f t="shared" si="220"/>
        <v>2.7781249999999998E-3</v>
      </c>
      <c r="F1593" s="85">
        <f t="shared" si="221"/>
        <v>1.3890624999999999E-3</v>
      </c>
      <c r="G1593" s="85">
        <f t="shared" si="222"/>
        <v>1.1226747892743984E-8</v>
      </c>
      <c r="H1593" s="85">
        <v>870</v>
      </c>
      <c r="I1593" s="85">
        <f t="shared" si="218"/>
        <v>9.7672706666872662E-6</v>
      </c>
      <c r="J1593" s="87">
        <v>1</v>
      </c>
      <c r="K1593" s="88">
        <f t="shared" si="219"/>
        <v>102382.74684151523</v>
      </c>
    </row>
    <row r="1594" spans="1:11" hidden="1" x14ac:dyDescent="0.25">
      <c r="A1594" t="str">
        <f t="shared" si="217"/>
        <v>PA6.6Ø3,96875</v>
      </c>
      <c r="B1594" s="81" t="s">
        <v>244</v>
      </c>
      <c r="C1594" s="101" t="s">
        <v>215</v>
      </c>
      <c r="D1594" s="86">
        <f>5/32*25.4</f>
        <v>3.96875</v>
      </c>
      <c r="E1594" s="85">
        <f t="shared" si="220"/>
        <v>3.9687500000000001E-3</v>
      </c>
      <c r="F1594" s="85">
        <f t="shared" si="221"/>
        <v>1.984375E-3</v>
      </c>
      <c r="G1594" s="85">
        <f t="shared" si="222"/>
        <v>3.2731043419078684E-8</v>
      </c>
      <c r="H1594" s="85">
        <v>1110</v>
      </c>
      <c r="I1594" s="85">
        <f t="shared" si="218"/>
        <v>3.6331458195177338E-5</v>
      </c>
      <c r="J1594" s="87">
        <v>1</v>
      </c>
      <c r="K1594" s="88">
        <f t="shared" si="219"/>
        <v>27524.356292771663</v>
      </c>
    </row>
    <row r="1595" spans="1:11" hidden="1" x14ac:dyDescent="0.25">
      <c r="A1595" t="str">
        <f t="shared" si="217"/>
        <v>440CØ0,8</v>
      </c>
      <c r="B1595" s="81" t="s">
        <v>314</v>
      </c>
      <c r="D1595" s="86">
        <v>0.8</v>
      </c>
      <c r="E1595" s="85">
        <f t="shared" si="220"/>
        <v>8.0000000000000004E-4</v>
      </c>
      <c r="F1595" s="85">
        <f t="shared" si="221"/>
        <v>4.0000000000000002E-4</v>
      </c>
      <c r="G1595" s="85">
        <f t="shared" si="222"/>
        <v>2.6808257310632903E-10</v>
      </c>
      <c r="H1595" s="85">
        <v>7700</v>
      </c>
      <c r="I1595" s="85">
        <f t="shared" si="218"/>
        <v>2.0642358129187334E-6</v>
      </c>
      <c r="J1595" s="87">
        <v>1</v>
      </c>
      <c r="K1595" s="88">
        <f t="shared" si="219"/>
        <v>484440.77645666193</v>
      </c>
    </row>
    <row r="1596" spans="1:11" hidden="1" x14ac:dyDescent="0.25">
      <c r="A1596" t="str">
        <f t="shared" si="217"/>
        <v>WC-CoØ1</v>
      </c>
      <c r="B1596" s="81" t="s">
        <v>297</v>
      </c>
      <c r="D1596" s="86">
        <v>1</v>
      </c>
      <c r="E1596" s="85">
        <f t="shared" si="220"/>
        <v>1E-3</v>
      </c>
      <c r="F1596" s="85">
        <f t="shared" si="221"/>
        <v>5.0000000000000001E-4</v>
      </c>
      <c r="G1596" s="85">
        <f t="shared" si="222"/>
        <v>5.2359877559829886E-10</v>
      </c>
      <c r="H1596" s="85">
        <v>14500</v>
      </c>
      <c r="I1596" s="85">
        <f t="shared" si="218"/>
        <v>7.5921822461753334E-6</v>
      </c>
      <c r="J1596" s="87">
        <v>1</v>
      </c>
      <c r="K1596" s="88">
        <f t="shared" si="219"/>
        <v>131714.43566225821</v>
      </c>
    </row>
    <row r="1597" spans="1:11" hidden="1" x14ac:dyDescent="0.25">
      <c r="A1597" t="str">
        <f t="shared" si="217"/>
        <v>Si3N4Ø1,4</v>
      </c>
      <c r="B1597" s="81" t="s">
        <v>207</v>
      </c>
      <c r="D1597" s="86">
        <v>1.4</v>
      </c>
      <c r="E1597" s="85">
        <f t="shared" si="220"/>
        <v>1.4E-3</v>
      </c>
      <c r="F1597" s="85">
        <f t="shared" si="221"/>
        <v>6.9999999999999999E-4</v>
      </c>
      <c r="G1597" s="85">
        <f t="shared" si="222"/>
        <v>1.4367550402417319E-9</v>
      </c>
      <c r="H1597" s="85">
        <v>3260</v>
      </c>
      <c r="I1597" s="85">
        <f t="shared" si="218"/>
        <v>4.6838214311880458E-6</v>
      </c>
      <c r="J1597" s="87">
        <v>1</v>
      </c>
      <c r="K1597" s="88">
        <f t="shared" si="219"/>
        <v>213500.88057186056</v>
      </c>
    </row>
    <row r="1598" spans="1:11" hidden="1" x14ac:dyDescent="0.25">
      <c r="A1598" t="str">
        <f t="shared" si="217"/>
        <v>PPHØ8</v>
      </c>
      <c r="B1598" s="81" t="s">
        <v>202</v>
      </c>
      <c r="D1598" s="86">
        <v>8</v>
      </c>
      <c r="E1598" s="85">
        <f t="shared" si="220"/>
        <v>8.0000000000000002E-3</v>
      </c>
      <c r="F1598" s="85">
        <f t="shared" si="221"/>
        <v>4.0000000000000001E-3</v>
      </c>
      <c r="G1598" s="85">
        <f t="shared" si="222"/>
        <v>2.6808257310632902E-7</v>
      </c>
      <c r="H1598" s="85">
        <v>870</v>
      </c>
      <c r="I1598" s="85">
        <f t="shared" si="218"/>
        <v>2.3323183860250623E-4</v>
      </c>
      <c r="J1598" s="87">
        <v>1</v>
      </c>
      <c r="K1598" s="88">
        <f t="shared" si="219"/>
        <v>4287.5792858808018</v>
      </c>
    </row>
    <row r="1599" spans="1:11" hidden="1" x14ac:dyDescent="0.25">
      <c r="A1599" t="str">
        <f t="shared" si="217"/>
        <v>POMØ3</v>
      </c>
      <c r="B1599" s="81" t="s">
        <v>201</v>
      </c>
      <c r="D1599" s="86">
        <v>3</v>
      </c>
      <c r="E1599" s="85">
        <f t="shared" si="220"/>
        <v>3.0000000000000001E-3</v>
      </c>
      <c r="F1599" s="85">
        <f t="shared" si="221"/>
        <v>1.5E-3</v>
      </c>
      <c r="G1599" s="85">
        <f t="shared" si="222"/>
        <v>1.4137166941154068E-8</v>
      </c>
      <c r="H1599" s="85">
        <v>1370</v>
      </c>
      <c r="I1599" s="85">
        <f t="shared" si="218"/>
        <v>1.9367918709381075E-5</v>
      </c>
      <c r="J1599" s="87">
        <v>1</v>
      </c>
      <c r="K1599" s="88">
        <f t="shared" si="219"/>
        <v>51631.773914645688</v>
      </c>
    </row>
    <row r="1600" spans="1:11" hidden="1" x14ac:dyDescent="0.25">
      <c r="A1600" t="str">
        <f t="shared" si="217"/>
        <v>52100Ø1,5875</v>
      </c>
      <c r="B1600" s="81">
        <v>52100</v>
      </c>
      <c r="C1600" s="101" t="s">
        <v>246</v>
      </c>
      <c r="D1600" s="86">
        <f>1/16*25.4</f>
        <v>1.5874999999999999</v>
      </c>
      <c r="E1600" s="85">
        <f t="shared" si="220"/>
        <v>1.5874999999999999E-3</v>
      </c>
      <c r="F1600" s="85">
        <f t="shared" si="221"/>
        <v>7.9374999999999997E-4</v>
      </c>
      <c r="G1600" s="85">
        <f t="shared" si="222"/>
        <v>2.0947867788210349E-9</v>
      </c>
      <c r="H1600" s="85">
        <v>7800</v>
      </c>
      <c r="I1600" s="85">
        <f t="shared" si="218"/>
        <v>1.6339336874804071E-5</v>
      </c>
      <c r="J1600" s="87">
        <v>1</v>
      </c>
      <c r="K1600" s="88">
        <f t="shared" si="219"/>
        <v>61201.994160610098</v>
      </c>
    </row>
    <row r="1601" spans="1:11" hidden="1" x14ac:dyDescent="0.25">
      <c r="A1601" t="str">
        <f t="shared" si="217"/>
        <v>52100Ø1,5875</v>
      </c>
      <c r="B1601" s="81">
        <v>52100</v>
      </c>
      <c r="C1601" s="101" t="s">
        <v>246</v>
      </c>
      <c r="D1601" s="86">
        <f>1/16*25.4</f>
        <v>1.5874999999999999</v>
      </c>
      <c r="E1601" s="85">
        <f t="shared" si="220"/>
        <v>1.5874999999999999E-3</v>
      </c>
      <c r="F1601" s="85">
        <f t="shared" si="221"/>
        <v>7.9374999999999997E-4</v>
      </c>
      <c r="G1601" s="85">
        <f t="shared" si="222"/>
        <v>2.0947867788210349E-9</v>
      </c>
      <c r="H1601" s="85">
        <v>7800</v>
      </c>
      <c r="I1601" s="85">
        <f t="shared" si="218"/>
        <v>1.6339336874804071E-5</v>
      </c>
      <c r="J1601" s="87">
        <v>1</v>
      </c>
      <c r="K1601" s="88">
        <f t="shared" si="219"/>
        <v>61201.994160610098</v>
      </c>
    </row>
    <row r="1602" spans="1:11" hidden="1" x14ac:dyDescent="0.25">
      <c r="A1602" t="str">
        <f t="shared" si="217"/>
        <v>316Ø3</v>
      </c>
      <c r="B1602" s="81">
        <v>316</v>
      </c>
      <c r="D1602" s="86">
        <v>3</v>
      </c>
      <c r="E1602" s="85">
        <f t="shared" si="220"/>
        <v>3.0000000000000001E-3</v>
      </c>
      <c r="F1602" s="85">
        <f t="shared" si="221"/>
        <v>1.5E-3</v>
      </c>
      <c r="G1602" s="85">
        <f t="shared" si="222"/>
        <v>1.4137166941154068E-8</v>
      </c>
      <c r="H1602" s="85">
        <v>7950</v>
      </c>
      <c r="I1602" s="85">
        <f t="shared" si="218"/>
        <v>1.1239047718217484E-4</v>
      </c>
      <c r="J1602" s="87">
        <v>1</v>
      </c>
      <c r="K1602" s="88">
        <f t="shared" si="219"/>
        <v>8897.5509764861145</v>
      </c>
    </row>
    <row r="1603" spans="1:11" hidden="1" x14ac:dyDescent="0.25">
      <c r="A1603" t="str">
        <f t="shared" si="217"/>
        <v>SiliconeØ3</v>
      </c>
      <c r="B1603" s="81" t="s">
        <v>315</v>
      </c>
      <c r="D1603" s="86">
        <v>3</v>
      </c>
      <c r="E1603" s="85">
        <f t="shared" si="220"/>
        <v>3.0000000000000001E-3</v>
      </c>
      <c r="F1603" s="85">
        <f t="shared" si="221"/>
        <v>1.5E-3</v>
      </c>
      <c r="G1603" s="85">
        <f t="shared" si="222"/>
        <v>1.4137166941154068E-8</v>
      </c>
      <c r="H1603" s="88">
        <v>1200</v>
      </c>
      <c r="I1603" s="85">
        <f t="shared" si="218"/>
        <v>1.6964600329384882E-5</v>
      </c>
      <c r="J1603" s="87">
        <v>1</v>
      </c>
      <c r="K1603" s="88">
        <f t="shared" si="219"/>
        <v>58946.275219220501</v>
      </c>
    </row>
    <row r="1604" spans="1:11" hidden="1" x14ac:dyDescent="0.25">
      <c r="A1604" t="str">
        <f t="shared" ref="A1604:A1667" si="223">CONCATENATE(B1604,"Ø",D1604)</f>
        <v>PPHØ3</v>
      </c>
      <c r="B1604" s="81" t="s">
        <v>202</v>
      </c>
      <c r="D1604" s="86">
        <v>3</v>
      </c>
      <c r="E1604" s="85">
        <f t="shared" si="220"/>
        <v>3.0000000000000001E-3</v>
      </c>
      <c r="F1604" s="85">
        <f t="shared" si="221"/>
        <v>1.5E-3</v>
      </c>
      <c r="G1604" s="85">
        <f t="shared" si="222"/>
        <v>1.4137166941154068E-8</v>
      </c>
      <c r="H1604" s="85">
        <v>870</v>
      </c>
      <c r="I1604" s="85">
        <f t="shared" si="218"/>
        <v>1.229933523880404E-5</v>
      </c>
      <c r="J1604" s="87">
        <v>1</v>
      </c>
      <c r="K1604" s="88">
        <f t="shared" si="219"/>
        <v>81305.207198924822</v>
      </c>
    </row>
    <row r="1605" spans="1:11" hidden="1" x14ac:dyDescent="0.25">
      <c r="A1605" t="str">
        <f t="shared" si="223"/>
        <v>NBRØ3,175</v>
      </c>
      <c r="B1605" s="81" t="s">
        <v>341</v>
      </c>
      <c r="C1605" s="101" t="s">
        <v>214</v>
      </c>
      <c r="D1605" s="86">
        <f>1/8*25.4</f>
        <v>3.1749999999999998</v>
      </c>
      <c r="E1605" s="85">
        <f t="shared" si="220"/>
        <v>3.1749999999999999E-3</v>
      </c>
      <c r="F1605" s="85">
        <f t="shared" si="221"/>
        <v>1.5874999999999999E-3</v>
      </c>
      <c r="G1605" s="85">
        <f t="shared" si="222"/>
        <v>1.6758294230568279E-8</v>
      </c>
      <c r="H1605" s="85">
        <v>1200</v>
      </c>
      <c r="I1605" s="85">
        <f t="shared" si="218"/>
        <v>2.0109953076681934E-5</v>
      </c>
      <c r="J1605" s="87">
        <v>1</v>
      </c>
      <c r="K1605" s="88">
        <f t="shared" si="219"/>
        <v>49726.620255495705</v>
      </c>
    </row>
    <row r="1606" spans="1:11" hidden="1" x14ac:dyDescent="0.25">
      <c r="A1606" t="str">
        <f t="shared" si="223"/>
        <v>440CØ1</v>
      </c>
      <c r="B1606" s="81" t="s">
        <v>314</v>
      </c>
      <c r="D1606" s="86">
        <v>1</v>
      </c>
      <c r="E1606" s="85">
        <f t="shared" si="220"/>
        <v>1E-3</v>
      </c>
      <c r="F1606" s="85">
        <f t="shared" si="221"/>
        <v>5.0000000000000001E-4</v>
      </c>
      <c r="G1606" s="85">
        <f t="shared" si="222"/>
        <v>5.2359877559829886E-10</v>
      </c>
      <c r="H1606" s="85">
        <v>7700</v>
      </c>
      <c r="I1606" s="85">
        <f t="shared" si="218"/>
        <v>4.0317105721069012E-6</v>
      </c>
      <c r="J1606" s="87">
        <v>1</v>
      </c>
      <c r="K1606" s="88">
        <f t="shared" si="219"/>
        <v>248033.67754581093</v>
      </c>
    </row>
    <row r="1607" spans="1:11" hidden="1" x14ac:dyDescent="0.25">
      <c r="A1607" t="str">
        <f t="shared" si="223"/>
        <v>52100Ø2</v>
      </c>
      <c r="B1607" s="81">
        <v>52100</v>
      </c>
      <c r="D1607" s="86">
        <v>2</v>
      </c>
      <c r="E1607" s="85">
        <f t="shared" si="220"/>
        <v>2E-3</v>
      </c>
      <c r="F1607" s="85">
        <f t="shared" si="221"/>
        <v>1E-3</v>
      </c>
      <c r="G1607" s="85">
        <f t="shared" si="222"/>
        <v>4.1887902047863909E-9</v>
      </c>
      <c r="H1607" s="85">
        <v>7800</v>
      </c>
      <c r="I1607" s="85">
        <f t="shared" si="218"/>
        <v>3.267256359733385E-5</v>
      </c>
      <c r="J1607" s="87">
        <v>1</v>
      </c>
      <c r="K1607" s="88">
        <f t="shared" si="219"/>
        <v>30606.719825364489</v>
      </c>
    </row>
    <row r="1608" spans="1:11" hidden="1" x14ac:dyDescent="0.25">
      <c r="A1608" t="str">
        <f t="shared" si="223"/>
        <v>PMMAØ1</v>
      </c>
      <c r="B1608" s="81" t="s">
        <v>299</v>
      </c>
      <c r="D1608" s="86">
        <v>1</v>
      </c>
      <c r="E1608" s="85">
        <f t="shared" si="220"/>
        <v>1E-3</v>
      </c>
      <c r="F1608" s="85">
        <f t="shared" si="221"/>
        <v>5.0000000000000001E-4</v>
      </c>
      <c r="G1608" s="85">
        <f t="shared" si="222"/>
        <v>5.2359877559829886E-10</v>
      </c>
      <c r="H1608" s="85">
        <v>1180</v>
      </c>
      <c r="I1608" s="85">
        <f t="shared" si="218"/>
        <v>6.1784655520599263E-7</v>
      </c>
      <c r="J1608" s="87">
        <v>1</v>
      </c>
      <c r="K1608" s="88">
        <f t="shared" si="219"/>
        <v>1618524.8450023255</v>
      </c>
    </row>
    <row r="1609" spans="1:11" hidden="1" x14ac:dyDescent="0.25">
      <c r="A1609" t="str">
        <f t="shared" si="223"/>
        <v>PMMAØ5</v>
      </c>
      <c r="B1609" s="81" t="s">
        <v>299</v>
      </c>
      <c r="D1609" s="86">
        <v>5</v>
      </c>
      <c r="E1609" s="85">
        <f t="shared" si="220"/>
        <v>5.0000000000000001E-3</v>
      </c>
      <c r="F1609" s="85">
        <f t="shared" si="221"/>
        <v>2.5000000000000001E-3</v>
      </c>
      <c r="G1609" s="85">
        <f t="shared" si="222"/>
        <v>6.5449846949787352E-8</v>
      </c>
      <c r="H1609" s="85">
        <v>1180</v>
      </c>
      <c r="I1609" s="85">
        <f t="shared" si="218"/>
        <v>7.723081940074908E-5</v>
      </c>
      <c r="J1609" s="87">
        <v>1</v>
      </c>
      <c r="K1609" s="88">
        <f t="shared" si="219"/>
        <v>12948.198760018604</v>
      </c>
    </row>
    <row r="1610" spans="1:11" hidden="1" x14ac:dyDescent="0.25">
      <c r="A1610" t="str">
        <f t="shared" si="223"/>
        <v>PPHØ60</v>
      </c>
      <c r="B1610" s="81" t="s">
        <v>202</v>
      </c>
      <c r="D1610" s="86">
        <v>60</v>
      </c>
      <c r="E1610" s="85">
        <f>D1610/1000</f>
        <v>0.06</v>
      </c>
      <c r="F1610" s="85">
        <f>E1610/2</f>
        <v>0.03</v>
      </c>
      <c r="G1610" s="85">
        <f>4/3*PI()*F1610*F1610*F1610</f>
        <v>1.1309733552923254E-4</v>
      </c>
      <c r="H1610" s="85">
        <v>870</v>
      </c>
      <c r="I1610" s="85">
        <f>H1610*G1610</f>
        <v>9.8394681910432311E-2</v>
      </c>
      <c r="J1610" s="87">
        <v>1</v>
      </c>
      <c r="K1610" s="88">
        <f>J1610/I1610</f>
        <v>10.163150899865604</v>
      </c>
    </row>
    <row r="1611" spans="1:11" hidden="1" x14ac:dyDescent="0.25">
      <c r="A1611" t="str">
        <f t="shared" si="223"/>
        <v>PPHØ60</v>
      </c>
      <c r="B1611" s="81" t="s">
        <v>202</v>
      </c>
      <c r="D1611" s="86">
        <v>60</v>
      </c>
      <c r="E1611" s="85">
        <f>D1611/1000</f>
        <v>0.06</v>
      </c>
      <c r="F1611" s="85">
        <f>E1611/2</f>
        <v>0.03</v>
      </c>
      <c r="G1611" s="85">
        <f>4/3*PI()*F1611*F1611*F1611</f>
        <v>1.1309733552923254E-4</v>
      </c>
      <c r="H1611" s="85">
        <v>870</v>
      </c>
      <c r="I1611" s="85">
        <f>H1611*G1611</f>
        <v>9.8394681910432311E-2</v>
      </c>
      <c r="J1611" s="87">
        <v>1</v>
      </c>
      <c r="K1611" s="88">
        <f>J1611/I1611</f>
        <v>10.163150899865604</v>
      </c>
    </row>
    <row r="1612" spans="1:11" hidden="1" x14ac:dyDescent="0.25">
      <c r="A1612" t="str">
        <f t="shared" si="223"/>
        <v>POMØ60</v>
      </c>
      <c r="B1612" s="81" t="s">
        <v>201</v>
      </c>
      <c r="D1612" s="86">
        <v>60</v>
      </c>
      <c r="E1612" s="85">
        <f>D1612/1000</f>
        <v>0.06</v>
      </c>
      <c r="F1612" s="85">
        <f>E1612/2</f>
        <v>0.03</v>
      </c>
      <c r="G1612" s="85">
        <f>4/3*PI()*F1612*F1612*F1612</f>
        <v>1.1309733552923254E-4</v>
      </c>
      <c r="H1612" s="85">
        <v>1370</v>
      </c>
      <c r="I1612" s="85">
        <f>H1612*G1612</f>
        <v>0.15494334967504858</v>
      </c>
      <c r="J1612" s="87">
        <v>1</v>
      </c>
      <c r="K1612" s="88">
        <f>J1612/I1612</f>
        <v>6.4539717393307123</v>
      </c>
    </row>
    <row r="1613" spans="1:11" hidden="1" x14ac:dyDescent="0.25">
      <c r="A1613" t="str">
        <f t="shared" si="223"/>
        <v>POMØ60</v>
      </c>
      <c r="B1613" s="81" t="s">
        <v>201</v>
      </c>
      <c r="D1613" s="86">
        <v>60</v>
      </c>
      <c r="E1613" s="85">
        <f>D1613/1000</f>
        <v>0.06</v>
      </c>
      <c r="F1613" s="85">
        <f>E1613/2</f>
        <v>0.03</v>
      </c>
      <c r="G1613" s="85">
        <f>4/3*PI()*F1613*F1613*F1613</f>
        <v>1.1309733552923254E-4</v>
      </c>
      <c r="H1613" s="85">
        <v>1370</v>
      </c>
      <c r="I1613" s="85">
        <f>H1613*G1613</f>
        <v>0.15494334967504858</v>
      </c>
      <c r="J1613" s="87">
        <v>1</v>
      </c>
      <c r="K1613" s="88">
        <f>J1613/I1613</f>
        <v>6.4539717393307123</v>
      </c>
    </row>
    <row r="1614" spans="1:11" hidden="1" x14ac:dyDescent="0.25">
      <c r="A1614" t="str">
        <f t="shared" si="223"/>
        <v>304Ø0,5</v>
      </c>
      <c r="B1614" s="81">
        <v>304</v>
      </c>
      <c r="D1614" s="86">
        <v>0.5</v>
      </c>
      <c r="E1614" s="85">
        <f>D1614/1000</f>
        <v>5.0000000000000001E-4</v>
      </c>
      <c r="F1614" s="85">
        <f>E1614/2</f>
        <v>2.5000000000000001E-4</v>
      </c>
      <c r="G1614" s="85">
        <f>4/3*PI()*F1614*F1614*F1614</f>
        <v>6.5449846949787358E-11</v>
      </c>
      <c r="H1614" s="85">
        <v>7950</v>
      </c>
      <c r="I1614" s="85">
        <f>H1614*G1614</f>
        <v>5.2032628325080949E-7</v>
      </c>
      <c r="J1614" s="87">
        <v>1</v>
      </c>
      <c r="K1614" s="88">
        <f>J1614/I1614</f>
        <v>1921871.0109210003</v>
      </c>
    </row>
    <row r="1615" spans="1:11" hidden="1" x14ac:dyDescent="0.25">
      <c r="A1615" t="str">
        <f t="shared" si="223"/>
        <v>VESCØ0,5</v>
      </c>
      <c r="B1615" s="81" t="s">
        <v>210</v>
      </c>
      <c r="D1615" s="86">
        <v>0.5</v>
      </c>
      <c r="E1615" s="85">
        <f t="shared" ref="E1615:E1678" si="224">D1615/1000</f>
        <v>5.0000000000000001E-4</v>
      </c>
      <c r="F1615" s="85">
        <f t="shared" ref="F1615:F1678" si="225">E1615/2</f>
        <v>2.5000000000000001E-4</v>
      </c>
      <c r="G1615" s="85">
        <f t="shared" ref="G1615:G1678" si="226">4/3*PI()*F1615*F1615*F1615</f>
        <v>6.5449846949787358E-11</v>
      </c>
      <c r="H1615" s="85">
        <v>2500</v>
      </c>
      <c r="I1615" s="85">
        <f t="shared" ref="I1615:I1678" si="227">H1615*G1615</f>
        <v>1.6362461737446839E-7</v>
      </c>
      <c r="J1615" s="87">
        <v>1</v>
      </c>
      <c r="K1615" s="88">
        <f t="shared" ref="K1615:K1678" si="228">J1615/I1615</f>
        <v>6111549.8147287806</v>
      </c>
    </row>
    <row r="1616" spans="1:11" hidden="1" x14ac:dyDescent="0.25">
      <c r="A1616" t="str">
        <f t="shared" si="223"/>
        <v>POMØ3</v>
      </c>
      <c r="B1616" s="81" t="s">
        <v>201</v>
      </c>
      <c r="D1616" s="86">
        <v>3</v>
      </c>
      <c r="E1616" s="85">
        <f t="shared" si="224"/>
        <v>3.0000000000000001E-3</v>
      </c>
      <c r="F1616" s="85">
        <f t="shared" si="225"/>
        <v>1.5E-3</v>
      </c>
      <c r="G1616" s="85">
        <f t="shared" si="226"/>
        <v>1.4137166941154068E-8</v>
      </c>
      <c r="H1616" s="85">
        <v>1370</v>
      </c>
      <c r="I1616" s="85">
        <f t="shared" si="227"/>
        <v>1.9367918709381075E-5</v>
      </c>
      <c r="J1616" s="87">
        <v>1</v>
      </c>
      <c r="K1616" s="88">
        <f t="shared" si="228"/>
        <v>51631.773914645688</v>
      </c>
    </row>
    <row r="1617" spans="1:11" hidden="1" x14ac:dyDescent="0.25">
      <c r="A1617" t="str">
        <f t="shared" si="223"/>
        <v>1010Ø6,5</v>
      </c>
      <c r="B1617" s="81">
        <v>1010</v>
      </c>
      <c r="D1617" s="86">
        <v>6.5</v>
      </c>
      <c r="E1617" s="85">
        <f t="shared" si="224"/>
        <v>6.4999999999999997E-3</v>
      </c>
      <c r="F1617" s="85">
        <f t="shared" si="225"/>
        <v>3.2499999999999999E-3</v>
      </c>
      <c r="G1617" s="85">
        <f t="shared" si="226"/>
        <v>1.4379331374868281E-7</v>
      </c>
      <c r="H1617" s="85">
        <v>7820</v>
      </c>
      <c r="I1617" s="85">
        <f t="shared" si="227"/>
        <v>1.1244637135146996E-3</v>
      </c>
      <c r="J1617" s="87">
        <v>1</v>
      </c>
      <c r="K1617" s="88">
        <f t="shared" si="228"/>
        <v>889.31282350973561</v>
      </c>
    </row>
    <row r="1618" spans="1:11" hidden="1" x14ac:dyDescent="0.25">
      <c r="A1618" t="str">
        <f t="shared" si="223"/>
        <v>Al2O3Ø1,5</v>
      </c>
      <c r="B1618" s="81" t="s">
        <v>217</v>
      </c>
      <c r="D1618" s="86">
        <v>1.5</v>
      </c>
      <c r="E1618" s="85">
        <f t="shared" si="224"/>
        <v>1.5E-3</v>
      </c>
      <c r="F1618" s="85">
        <f t="shared" si="225"/>
        <v>7.5000000000000002E-4</v>
      </c>
      <c r="G1618" s="85">
        <f t="shared" si="226"/>
        <v>1.7671458676442585E-9</v>
      </c>
      <c r="H1618" s="85">
        <v>3900</v>
      </c>
      <c r="I1618" s="85">
        <f t="shared" si="227"/>
        <v>6.8918688838126086E-6</v>
      </c>
      <c r="J1618" s="87">
        <v>1</v>
      </c>
      <c r="K1618" s="88">
        <f t="shared" si="228"/>
        <v>145098.52361654275</v>
      </c>
    </row>
    <row r="1619" spans="1:11" hidden="1" x14ac:dyDescent="0.25">
      <c r="A1619" t="str">
        <f t="shared" si="223"/>
        <v>PPHØ15,875</v>
      </c>
      <c r="B1619" s="81" t="s">
        <v>202</v>
      </c>
      <c r="C1619" s="101" t="s">
        <v>266</v>
      </c>
      <c r="D1619" s="86">
        <f>5/8*25.4</f>
        <v>15.875</v>
      </c>
      <c r="E1619" s="85">
        <f t="shared" si="224"/>
        <v>1.5875E-2</v>
      </c>
      <c r="F1619" s="85">
        <f t="shared" si="225"/>
        <v>7.9375000000000001E-3</v>
      </c>
      <c r="G1619" s="85">
        <f t="shared" si="226"/>
        <v>2.0947867788210358E-6</v>
      </c>
      <c r="H1619" s="85">
        <v>870</v>
      </c>
      <c r="I1619" s="85">
        <f t="shared" si="227"/>
        <v>1.8224644975743012E-3</v>
      </c>
      <c r="J1619" s="87">
        <v>1</v>
      </c>
      <c r="K1619" s="88">
        <f t="shared" si="228"/>
        <v>548.70753385374542</v>
      </c>
    </row>
    <row r="1620" spans="1:11" hidden="1" x14ac:dyDescent="0.25">
      <c r="A1620" t="str">
        <f t="shared" si="223"/>
        <v>316LØ1</v>
      </c>
      <c r="B1620" s="81" t="s">
        <v>298</v>
      </c>
      <c r="D1620" s="86">
        <v>1</v>
      </c>
      <c r="E1620" s="85">
        <f t="shared" si="224"/>
        <v>1E-3</v>
      </c>
      <c r="F1620" s="85">
        <f t="shared" si="225"/>
        <v>5.0000000000000001E-4</v>
      </c>
      <c r="G1620" s="85">
        <f t="shared" si="226"/>
        <v>5.2359877559829886E-10</v>
      </c>
      <c r="H1620" s="85">
        <v>7950</v>
      </c>
      <c r="I1620" s="85">
        <f t="shared" si="227"/>
        <v>4.1626102660064759E-6</v>
      </c>
      <c r="J1620" s="87">
        <v>1</v>
      </c>
      <c r="K1620" s="88">
        <f t="shared" si="228"/>
        <v>240233.87636512503</v>
      </c>
    </row>
    <row r="1621" spans="1:11" hidden="1" x14ac:dyDescent="0.25">
      <c r="A1621" t="str">
        <f t="shared" si="223"/>
        <v>420CØ2,6</v>
      </c>
      <c r="B1621" s="81" t="s">
        <v>295</v>
      </c>
      <c r="D1621" s="86">
        <v>2.6</v>
      </c>
      <c r="E1621" s="85">
        <f t="shared" si="224"/>
        <v>2.5999999999999999E-3</v>
      </c>
      <c r="F1621" s="85">
        <f t="shared" si="225"/>
        <v>1.2999999999999999E-3</v>
      </c>
      <c r="G1621" s="85">
        <f t="shared" si="226"/>
        <v>9.2027720799156989E-9</v>
      </c>
      <c r="H1621" s="85">
        <v>7700</v>
      </c>
      <c r="I1621" s="85">
        <f t="shared" si="227"/>
        <v>7.0861345015350882E-5</v>
      </c>
      <c r="J1621" s="87">
        <v>1</v>
      </c>
      <c r="K1621" s="88">
        <f t="shared" si="228"/>
        <v>14112.066314622836</v>
      </c>
    </row>
    <row r="1622" spans="1:11" hidden="1" x14ac:dyDescent="0.25">
      <c r="A1622" t="str">
        <f t="shared" si="223"/>
        <v>WC-CoØ0,4</v>
      </c>
      <c r="B1622" s="81" t="s">
        <v>297</v>
      </c>
      <c r="D1622" s="86">
        <v>0.4</v>
      </c>
      <c r="E1622" s="85">
        <f t="shared" si="224"/>
        <v>4.0000000000000002E-4</v>
      </c>
      <c r="F1622" s="85">
        <f t="shared" si="225"/>
        <v>2.0000000000000001E-4</v>
      </c>
      <c r="G1622" s="85">
        <f t="shared" si="226"/>
        <v>3.3510321638291128E-11</v>
      </c>
      <c r="H1622" s="85">
        <v>14950</v>
      </c>
      <c r="I1622" s="85">
        <f t="shared" si="227"/>
        <v>5.0097930849245242E-7</v>
      </c>
      <c r="J1622" s="87">
        <v>1</v>
      </c>
      <c r="K1622" s="88">
        <f t="shared" si="228"/>
        <v>1996090.4233933359</v>
      </c>
    </row>
    <row r="1623" spans="1:11" hidden="1" x14ac:dyDescent="0.25">
      <c r="A1623" t="str">
        <f t="shared" si="223"/>
        <v>WC-CoØ0,4</v>
      </c>
      <c r="B1623" s="81" t="s">
        <v>297</v>
      </c>
      <c r="D1623" s="86">
        <v>0.4</v>
      </c>
      <c r="E1623" s="85">
        <f t="shared" si="224"/>
        <v>4.0000000000000002E-4</v>
      </c>
      <c r="F1623" s="85">
        <f t="shared" si="225"/>
        <v>2.0000000000000001E-4</v>
      </c>
      <c r="G1623" s="85">
        <f t="shared" si="226"/>
        <v>3.3510321638291128E-11</v>
      </c>
      <c r="H1623" s="85">
        <v>14950</v>
      </c>
      <c r="I1623" s="85">
        <f t="shared" si="227"/>
        <v>5.0097930849245242E-7</v>
      </c>
      <c r="J1623" s="87">
        <v>1</v>
      </c>
      <c r="K1623" s="88">
        <f t="shared" si="228"/>
        <v>1996090.4233933359</v>
      </c>
    </row>
    <row r="1624" spans="1:11" hidden="1" x14ac:dyDescent="0.25">
      <c r="A1624" t="str">
        <f t="shared" si="223"/>
        <v>420CØ10</v>
      </c>
      <c r="B1624" s="81" t="s">
        <v>295</v>
      </c>
      <c r="D1624" s="86">
        <v>10</v>
      </c>
      <c r="E1624" s="85">
        <f t="shared" si="224"/>
        <v>0.01</v>
      </c>
      <c r="F1624" s="85">
        <f t="shared" si="225"/>
        <v>5.0000000000000001E-3</v>
      </c>
      <c r="G1624" s="85">
        <f t="shared" si="226"/>
        <v>5.2359877559829882E-7</v>
      </c>
      <c r="H1624" s="85">
        <v>7700</v>
      </c>
      <c r="I1624" s="85">
        <f t="shared" si="227"/>
        <v>4.0317105721069009E-3</v>
      </c>
      <c r="J1624" s="87">
        <v>1</v>
      </c>
      <c r="K1624" s="88">
        <f t="shared" si="228"/>
        <v>248.03367754581095</v>
      </c>
    </row>
    <row r="1625" spans="1:11" hidden="1" x14ac:dyDescent="0.25">
      <c r="A1625" t="str">
        <f t="shared" si="223"/>
        <v>POMØ10</v>
      </c>
      <c r="B1625" s="81" t="s">
        <v>201</v>
      </c>
      <c r="D1625" s="86">
        <v>10</v>
      </c>
      <c r="E1625" s="85">
        <f t="shared" si="224"/>
        <v>0.01</v>
      </c>
      <c r="F1625" s="85">
        <f t="shared" si="225"/>
        <v>5.0000000000000001E-3</v>
      </c>
      <c r="G1625" s="85">
        <f t="shared" si="226"/>
        <v>5.2359877559829882E-7</v>
      </c>
      <c r="H1625" s="85">
        <v>1370</v>
      </c>
      <c r="I1625" s="85">
        <f t="shared" si="227"/>
        <v>7.173303225696694E-4</v>
      </c>
      <c r="J1625" s="87">
        <v>1</v>
      </c>
      <c r="K1625" s="88">
        <f t="shared" si="228"/>
        <v>1394.0578956954337</v>
      </c>
    </row>
    <row r="1626" spans="1:11" hidden="1" x14ac:dyDescent="0.25">
      <c r="A1626" t="str">
        <f t="shared" si="223"/>
        <v>1010Ø4,7625</v>
      </c>
      <c r="B1626" s="81">
        <v>1010</v>
      </c>
      <c r="C1626" s="101" t="s">
        <v>248</v>
      </c>
      <c r="D1626" s="86">
        <f>3/16*25.4</f>
        <v>4.7624999999999993</v>
      </c>
      <c r="E1626" s="85">
        <f t="shared" si="224"/>
        <v>4.7624999999999994E-3</v>
      </c>
      <c r="F1626" s="85">
        <f t="shared" si="225"/>
        <v>2.3812499999999997E-3</v>
      </c>
      <c r="G1626" s="85">
        <f t="shared" si="226"/>
        <v>5.6559243028167934E-8</v>
      </c>
      <c r="H1626" s="85">
        <v>7820</v>
      </c>
      <c r="I1626" s="85">
        <f t="shared" si="227"/>
        <v>4.4229328048027325E-4</v>
      </c>
      <c r="J1626" s="87">
        <v>1</v>
      </c>
      <c r="K1626" s="88">
        <f t="shared" si="228"/>
        <v>2260.9432341231354</v>
      </c>
    </row>
    <row r="1627" spans="1:11" hidden="1" x14ac:dyDescent="0.25">
      <c r="A1627" t="str">
        <f t="shared" si="223"/>
        <v>52100Ø6,426</v>
      </c>
      <c r="B1627" s="81">
        <v>52100</v>
      </c>
      <c r="D1627" s="86">
        <v>6.4260000000000002</v>
      </c>
      <c r="E1627" s="85">
        <f t="shared" si="224"/>
        <v>6.4260000000000003E-3</v>
      </c>
      <c r="F1627" s="85">
        <f t="shared" si="225"/>
        <v>3.2130000000000001E-3</v>
      </c>
      <c r="G1627" s="85">
        <f t="shared" si="226"/>
        <v>1.3893791778262428E-7</v>
      </c>
      <c r="H1627" s="85">
        <v>7800</v>
      </c>
      <c r="I1627" s="85">
        <f t="shared" si="227"/>
        <v>1.0837157587044693E-3</v>
      </c>
      <c r="J1627" s="87">
        <v>1</v>
      </c>
      <c r="K1627" s="88">
        <f t="shared" si="228"/>
        <v>922.75118449458785</v>
      </c>
    </row>
    <row r="1628" spans="1:11" hidden="1" x14ac:dyDescent="0.25">
      <c r="A1628" t="str">
        <f t="shared" si="223"/>
        <v>52100Ø6,45</v>
      </c>
      <c r="B1628" s="81">
        <v>52100</v>
      </c>
      <c r="D1628" s="86">
        <v>6.45</v>
      </c>
      <c r="E1628" s="85">
        <f t="shared" si="224"/>
        <v>6.45E-3</v>
      </c>
      <c r="F1628" s="85">
        <f t="shared" si="225"/>
        <v>3.225E-3</v>
      </c>
      <c r="G1628" s="85">
        <f t="shared" si="226"/>
        <v>1.4050046649879204E-7</v>
      </c>
      <c r="H1628" s="85">
        <v>7800</v>
      </c>
      <c r="I1628" s="85">
        <f t="shared" si="227"/>
        <v>1.0959036386905779E-3</v>
      </c>
      <c r="J1628" s="87">
        <v>1</v>
      </c>
      <c r="K1628" s="88">
        <f t="shared" si="228"/>
        <v>912.48898597949108</v>
      </c>
    </row>
    <row r="1629" spans="1:11" hidden="1" x14ac:dyDescent="0.25">
      <c r="A1629" t="str">
        <f t="shared" si="223"/>
        <v>PA6.6Ø4</v>
      </c>
      <c r="B1629" s="81" t="s">
        <v>244</v>
      </c>
      <c r="D1629" s="86">
        <v>4</v>
      </c>
      <c r="E1629" s="85">
        <f t="shared" si="224"/>
        <v>4.0000000000000001E-3</v>
      </c>
      <c r="F1629" s="85">
        <f t="shared" si="225"/>
        <v>2E-3</v>
      </c>
      <c r="G1629" s="85">
        <f t="shared" si="226"/>
        <v>3.3510321638291127E-8</v>
      </c>
      <c r="H1629" s="85">
        <v>1110</v>
      </c>
      <c r="I1629" s="85">
        <f t="shared" si="227"/>
        <v>3.7196457018503148E-5</v>
      </c>
      <c r="J1629" s="87">
        <v>1</v>
      </c>
      <c r="K1629" s="88">
        <f t="shared" si="228"/>
        <v>26884.280927685028</v>
      </c>
    </row>
    <row r="1630" spans="1:11" hidden="1" x14ac:dyDescent="0.25">
      <c r="A1630" t="str">
        <f t="shared" si="223"/>
        <v>440CØ0,6</v>
      </c>
      <c r="B1630" s="81" t="s">
        <v>314</v>
      </c>
      <c r="D1630" s="86">
        <v>0.6</v>
      </c>
      <c r="E1630" s="85">
        <f t="shared" si="224"/>
        <v>5.9999999999999995E-4</v>
      </c>
      <c r="F1630" s="85">
        <f t="shared" si="225"/>
        <v>2.9999999999999997E-4</v>
      </c>
      <c r="G1630" s="85">
        <f t="shared" si="226"/>
        <v>1.1309733552923252E-10</v>
      </c>
      <c r="H1630" s="85">
        <v>7700</v>
      </c>
      <c r="I1630" s="85">
        <f t="shared" si="227"/>
        <v>8.708494835750904E-7</v>
      </c>
      <c r="J1630" s="87">
        <v>1</v>
      </c>
      <c r="K1630" s="88">
        <f t="shared" si="228"/>
        <v>1148304.062712088</v>
      </c>
    </row>
    <row r="1631" spans="1:11" hidden="1" x14ac:dyDescent="0.25">
      <c r="A1631" t="str">
        <f t="shared" si="223"/>
        <v>PPHØ9,525</v>
      </c>
      <c r="B1631" s="81" t="s">
        <v>202</v>
      </c>
      <c r="C1631" s="101" t="s">
        <v>254</v>
      </c>
      <c r="D1631" s="86">
        <f>3/8*25.4</f>
        <v>9.5249999999999986</v>
      </c>
      <c r="E1631" s="85">
        <f t="shared" si="224"/>
        <v>9.5249999999999987E-3</v>
      </c>
      <c r="F1631" s="85">
        <f t="shared" si="225"/>
        <v>4.7624999999999994E-3</v>
      </c>
      <c r="G1631" s="85">
        <f t="shared" si="226"/>
        <v>4.5247394422534347E-7</v>
      </c>
      <c r="H1631" s="85">
        <v>870</v>
      </c>
      <c r="I1631" s="85">
        <f t="shared" si="227"/>
        <v>3.9365233147604884E-4</v>
      </c>
      <c r="J1631" s="87">
        <v>1</v>
      </c>
      <c r="K1631" s="88">
        <f t="shared" si="228"/>
        <v>2540.3126567303043</v>
      </c>
    </row>
    <row r="1632" spans="1:11" hidden="1" x14ac:dyDescent="0.25">
      <c r="A1632" t="str">
        <f t="shared" si="223"/>
        <v>PPHØ9,525</v>
      </c>
      <c r="B1632" s="81" t="s">
        <v>202</v>
      </c>
      <c r="C1632" s="101" t="s">
        <v>254</v>
      </c>
      <c r="D1632" s="86">
        <f>3/8*25.4</f>
        <v>9.5249999999999986</v>
      </c>
      <c r="E1632" s="85">
        <f t="shared" si="224"/>
        <v>9.5249999999999987E-3</v>
      </c>
      <c r="F1632" s="85">
        <f t="shared" si="225"/>
        <v>4.7624999999999994E-3</v>
      </c>
      <c r="G1632" s="85">
        <f t="shared" si="226"/>
        <v>4.5247394422534347E-7</v>
      </c>
      <c r="H1632" s="85">
        <v>865</v>
      </c>
      <c r="I1632" s="85">
        <f t="shared" si="227"/>
        <v>3.9138996175492208E-4</v>
      </c>
      <c r="J1632" s="87">
        <v>1</v>
      </c>
      <c r="K1632" s="88">
        <f t="shared" si="228"/>
        <v>2554.996544919497</v>
      </c>
    </row>
    <row r="1633" spans="1:11" hidden="1" x14ac:dyDescent="0.25">
      <c r="A1633" t="str">
        <f t="shared" si="223"/>
        <v>PPHØ9,525</v>
      </c>
      <c r="B1633" s="81" t="s">
        <v>202</v>
      </c>
      <c r="C1633" s="101" t="s">
        <v>254</v>
      </c>
      <c r="D1633" s="86">
        <f>3/8*25.4</f>
        <v>9.5249999999999986</v>
      </c>
      <c r="E1633" s="85">
        <f t="shared" si="224"/>
        <v>9.5249999999999987E-3</v>
      </c>
      <c r="F1633" s="85">
        <f t="shared" si="225"/>
        <v>4.7624999999999994E-3</v>
      </c>
      <c r="G1633" s="85">
        <f t="shared" si="226"/>
        <v>4.5247394422534347E-7</v>
      </c>
      <c r="H1633" s="85">
        <v>865</v>
      </c>
      <c r="I1633" s="85">
        <f t="shared" si="227"/>
        <v>3.9138996175492208E-4</v>
      </c>
      <c r="J1633" s="87">
        <v>1</v>
      </c>
      <c r="K1633" s="88">
        <f t="shared" si="228"/>
        <v>2554.996544919497</v>
      </c>
    </row>
    <row r="1634" spans="1:11" hidden="1" x14ac:dyDescent="0.25">
      <c r="A1634" t="str">
        <f t="shared" si="223"/>
        <v>PPHØ9,525</v>
      </c>
      <c r="B1634" s="81" t="s">
        <v>202</v>
      </c>
      <c r="C1634" s="101" t="s">
        <v>254</v>
      </c>
      <c r="D1634" s="86">
        <f>3/8*25.4</f>
        <v>9.5249999999999986</v>
      </c>
      <c r="E1634" s="85">
        <f t="shared" si="224"/>
        <v>9.5249999999999987E-3</v>
      </c>
      <c r="F1634" s="85">
        <f t="shared" si="225"/>
        <v>4.7624999999999994E-3</v>
      </c>
      <c r="G1634" s="85">
        <f t="shared" si="226"/>
        <v>4.5247394422534347E-7</v>
      </c>
      <c r="H1634" s="85">
        <v>850</v>
      </c>
      <c r="I1634" s="85">
        <f t="shared" si="227"/>
        <v>3.8460285259154196E-4</v>
      </c>
      <c r="J1634" s="87">
        <v>1</v>
      </c>
      <c r="K1634" s="88">
        <f t="shared" si="228"/>
        <v>2600.0847192416054</v>
      </c>
    </row>
    <row r="1635" spans="1:11" hidden="1" x14ac:dyDescent="0.25">
      <c r="A1635" t="str">
        <f t="shared" si="223"/>
        <v>PTFEØ1</v>
      </c>
      <c r="B1635" s="81" t="s">
        <v>307</v>
      </c>
      <c r="D1635" s="86">
        <v>1</v>
      </c>
      <c r="E1635" s="85">
        <f t="shared" si="224"/>
        <v>1E-3</v>
      </c>
      <c r="F1635" s="85">
        <f t="shared" si="225"/>
        <v>5.0000000000000001E-4</v>
      </c>
      <c r="G1635" s="85">
        <f t="shared" si="226"/>
        <v>5.2359877559829886E-10</v>
      </c>
      <c r="H1635" s="85">
        <v>2160</v>
      </c>
      <c r="I1635" s="85">
        <f t="shared" si="227"/>
        <v>1.1309733552923255E-6</v>
      </c>
      <c r="J1635" s="87">
        <v>1</v>
      </c>
      <c r="K1635" s="88">
        <f t="shared" si="228"/>
        <v>884194.12828830746</v>
      </c>
    </row>
    <row r="1636" spans="1:11" hidden="1" x14ac:dyDescent="0.25">
      <c r="A1636" t="str">
        <f t="shared" si="223"/>
        <v>POMØ1,5875</v>
      </c>
      <c r="B1636" s="81" t="s">
        <v>201</v>
      </c>
      <c r="C1636" s="101" t="s">
        <v>246</v>
      </c>
      <c r="D1636" s="86">
        <f>1/16*25.4</f>
        <v>1.5874999999999999</v>
      </c>
      <c r="E1636" s="85">
        <f t="shared" si="224"/>
        <v>1.5874999999999999E-3</v>
      </c>
      <c r="F1636" s="85">
        <f t="shared" si="225"/>
        <v>7.9374999999999997E-4</v>
      </c>
      <c r="G1636" s="85">
        <f t="shared" si="226"/>
        <v>2.0947867788210349E-9</v>
      </c>
      <c r="H1636" s="85">
        <v>1370</v>
      </c>
      <c r="I1636" s="85">
        <f t="shared" si="227"/>
        <v>2.8698578869848178E-6</v>
      </c>
      <c r="J1636" s="87">
        <v>1</v>
      </c>
      <c r="K1636" s="88">
        <f t="shared" si="228"/>
        <v>348449.30981953192</v>
      </c>
    </row>
    <row r="1637" spans="1:11" hidden="1" x14ac:dyDescent="0.25">
      <c r="A1637" t="str">
        <f t="shared" si="223"/>
        <v>52100Ø0,6</v>
      </c>
      <c r="B1637" s="81">
        <v>52100</v>
      </c>
      <c r="D1637" s="86">
        <v>0.6</v>
      </c>
      <c r="E1637" s="85">
        <f t="shared" si="224"/>
        <v>5.9999999999999995E-4</v>
      </c>
      <c r="F1637" s="85">
        <f t="shared" si="225"/>
        <v>2.9999999999999997E-4</v>
      </c>
      <c r="G1637" s="85">
        <f t="shared" si="226"/>
        <v>1.1309733552923252E-10</v>
      </c>
      <c r="H1637" s="85">
        <v>7800</v>
      </c>
      <c r="I1637" s="85">
        <f t="shared" si="227"/>
        <v>8.8215921712801365E-7</v>
      </c>
      <c r="J1637" s="87">
        <v>1</v>
      </c>
      <c r="K1637" s="88">
        <f t="shared" si="228"/>
        <v>1133582.2157542408</v>
      </c>
    </row>
    <row r="1638" spans="1:11" hidden="1" x14ac:dyDescent="0.25">
      <c r="A1638" t="str">
        <f t="shared" si="223"/>
        <v>POMØ3,96875</v>
      </c>
      <c r="B1638" s="81" t="s">
        <v>201</v>
      </c>
      <c r="C1638" s="101" t="s">
        <v>215</v>
      </c>
      <c r="D1638" s="86">
        <f>5/32*25.4</f>
        <v>3.96875</v>
      </c>
      <c r="E1638" s="85">
        <f t="shared" si="224"/>
        <v>3.9687500000000001E-3</v>
      </c>
      <c r="F1638" s="85">
        <f t="shared" si="225"/>
        <v>1.984375E-3</v>
      </c>
      <c r="G1638" s="85">
        <f t="shared" si="226"/>
        <v>3.2731043419078684E-8</v>
      </c>
      <c r="H1638" s="85">
        <v>1370</v>
      </c>
      <c r="I1638" s="85">
        <f t="shared" si="227"/>
        <v>4.4841529484137795E-5</v>
      </c>
      <c r="J1638" s="87">
        <v>1</v>
      </c>
      <c r="K1638" s="88">
        <f t="shared" si="228"/>
        <v>22300.755828450034</v>
      </c>
    </row>
    <row r="1639" spans="1:11" hidden="1" x14ac:dyDescent="0.25">
      <c r="A1639" t="str">
        <f t="shared" si="223"/>
        <v>420CØ3,6</v>
      </c>
      <c r="B1639" s="81" t="s">
        <v>295</v>
      </c>
      <c r="D1639" s="86">
        <v>3.6</v>
      </c>
      <c r="E1639" s="85">
        <f t="shared" si="224"/>
        <v>3.5999999999999999E-3</v>
      </c>
      <c r="F1639" s="85">
        <f t="shared" si="225"/>
        <v>1.8E-3</v>
      </c>
      <c r="G1639" s="85">
        <f t="shared" si="226"/>
        <v>2.4429024474314225E-8</v>
      </c>
      <c r="H1639" s="85">
        <v>7700</v>
      </c>
      <c r="I1639" s="85">
        <f t="shared" si="227"/>
        <v>1.8810348845221952E-4</v>
      </c>
      <c r="J1639" s="87">
        <v>1</v>
      </c>
      <c r="K1639" s="88">
        <f t="shared" si="228"/>
        <v>5316.2225125559626</v>
      </c>
    </row>
    <row r="1640" spans="1:11" hidden="1" x14ac:dyDescent="0.25">
      <c r="A1640" t="str">
        <f t="shared" si="223"/>
        <v>420CØ2,286</v>
      </c>
      <c r="B1640" s="81" t="s">
        <v>295</v>
      </c>
      <c r="D1640" s="86">
        <v>2.286</v>
      </c>
      <c r="E1640" s="85">
        <f t="shared" si="224"/>
        <v>2.2859999999999998E-3</v>
      </c>
      <c r="F1640" s="85">
        <f t="shared" si="225"/>
        <v>1.1429999999999999E-3</v>
      </c>
      <c r="G1640" s="85">
        <f t="shared" si="226"/>
        <v>6.2549998049711499E-9</v>
      </c>
      <c r="H1640" s="85">
        <v>7700</v>
      </c>
      <c r="I1640" s="85">
        <f t="shared" si="227"/>
        <v>4.8163498498277853E-5</v>
      </c>
      <c r="J1640" s="87">
        <v>1</v>
      </c>
      <c r="K1640" s="88">
        <f t="shared" si="228"/>
        <v>20762.611338039664</v>
      </c>
    </row>
    <row r="1641" spans="1:11" hidden="1" x14ac:dyDescent="0.25">
      <c r="A1641" t="str">
        <f t="shared" si="223"/>
        <v>420CØ2,99</v>
      </c>
      <c r="B1641" s="81" t="s">
        <v>295</v>
      </c>
      <c r="D1641" s="86">
        <v>2.99</v>
      </c>
      <c r="E1641" s="85">
        <f t="shared" si="224"/>
        <v>2.99E-3</v>
      </c>
      <c r="F1641" s="85">
        <f t="shared" si="225"/>
        <v>1.495E-3</v>
      </c>
      <c r="G1641" s="85">
        <f t="shared" si="226"/>
        <v>1.3996265987041791E-8</v>
      </c>
      <c r="H1641" s="85">
        <v>7700</v>
      </c>
      <c r="I1641" s="85">
        <f t="shared" si="227"/>
        <v>1.0777124810022179E-4</v>
      </c>
      <c r="J1641" s="87">
        <v>1</v>
      </c>
      <c r="K1641" s="88">
        <f t="shared" si="228"/>
        <v>9278.9126750211781</v>
      </c>
    </row>
    <row r="1642" spans="1:11" hidden="1" x14ac:dyDescent="0.25">
      <c r="A1642" t="str">
        <f t="shared" si="223"/>
        <v>420CØ4,1</v>
      </c>
      <c r="B1642" s="81" t="s">
        <v>295</v>
      </c>
      <c r="D1642" s="86">
        <v>4.0999999999999996</v>
      </c>
      <c r="E1642" s="85">
        <f t="shared" si="224"/>
        <v>4.0999999999999995E-3</v>
      </c>
      <c r="F1642" s="85">
        <f t="shared" si="225"/>
        <v>2.0499999999999997E-3</v>
      </c>
      <c r="G1642" s="85">
        <f t="shared" si="226"/>
        <v>3.6086951213010342E-8</v>
      </c>
      <c r="H1642" s="85">
        <v>7700</v>
      </c>
      <c r="I1642" s="85">
        <f t="shared" si="227"/>
        <v>2.7786952434017965E-4</v>
      </c>
      <c r="J1642" s="87">
        <v>1</v>
      </c>
      <c r="K1642" s="88">
        <f t="shared" si="228"/>
        <v>3598.8113571452968</v>
      </c>
    </row>
    <row r="1643" spans="1:11" hidden="1" x14ac:dyDescent="0.25">
      <c r="A1643" t="str">
        <f t="shared" si="223"/>
        <v>PPHØ2,5</v>
      </c>
      <c r="B1643" s="81" t="s">
        <v>202</v>
      </c>
      <c r="D1643" s="86">
        <v>2.5</v>
      </c>
      <c r="E1643" s="85">
        <f t="shared" si="224"/>
        <v>2.5000000000000001E-3</v>
      </c>
      <c r="F1643" s="85">
        <f t="shared" si="225"/>
        <v>1.25E-3</v>
      </c>
      <c r="G1643" s="85">
        <f t="shared" si="226"/>
        <v>8.181230868723419E-9</v>
      </c>
      <c r="H1643" s="85">
        <v>870</v>
      </c>
      <c r="I1643" s="85">
        <f t="shared" si="227"/>
        <v>7.1176708557893749E-6</v>
      </c>
      <c r="J1643" s="87">
        <v>1</v>
      </c>
      <c r="K1643" s="88">
        <f t="shared" si="228"/>
        <v>140495.39803974211</v>
      </c>
    </row>
    <row r="1644" spans="1:11" hidden="1" x14ac:dyDescent="0.25">
      <c r="A1644" t="str">
        <f t="shared" si="223"/>
        <v>PPHØ2,5</v>
      </c>
      <c r="B1644" s="81" t="s">
        <v>202</v>
      </c>
      <c r="D1644" s="86">
        <v>2.5</v>
      </c>
      <c r="E1644" s="85">
        <f t="shared" si="224"/>
        <v>2.5000000000000001E-3</v>
      </c>
      <c r="F1644" s="85">
        <f t="shared" si="225"/>
        <v>1.25E-3</v>
      </c>
      <c r="G1644" s="85">
        <f t="shared" si="226"/>
        <v>8.181230868723419E-9</v>
      </c>
      <c r="H1644" s="85">
        <v>870</v>
      </c>
      <c r="I1644" s="85">
        <f t="shared" si="227"/>
        <v>7.1176708557893749E-6</v>
      </c>
      <c r="J1644" s="87">
        <v>1</v>
      </c>
      <c r="K1644" s="88">
        <f t="shared" si="228"/>
        <v>140495.39803974211</v>
      </c>
    </row>
    <row r="1645" spans="1:11" hidden="1" x14ac:dyDescent="0.25">
      <c r="A1645" t="str">
        <f t="shared" si="223"/>
        <v>PPHØ4</v>
      </c>
      <c r="B1645" s="81" t="s">
        <v>202</v>
      </c>
      <c r="D1645" s="86">
        <v>4</v>
      </c>
      <c r="E1645" s="85">
        <f t="shared" si="224"/>
        <v>4.0000000000000001E-3</v>
      </c>
      <c r="F1645" s="85">
        <f t="shared" si="225"/>
        <v>2E-3</v>
      </c>
      <c r="G1645" s="85">
        <f t="shared" si="226"/>
        <v>3.3510321638291127E-8</v>
      </c>
      <c r="H1645" s="85">
        <v>870</v>
      </c>
      <c r="I1645" s="85">
        <f t="shared" si="227"/>
        <v>2.9153979825313279E-5</v>
      </c>
      <c r="J1645" s="87">
        <v>1</v>
      </c>
      <c r="K1645" s="88">
        <f t="shared" si="228"/>
        <v>34300.634287046414</v>
      </c>
    </row>
    <row r="1646" spans="1:11" hidden="1" x14ac:dyDescent="0.25">
      <c r="A1646" t="str">
        <f t="shared" si="223"/>
        <v>PPHØ4</v>
      </c>
      <c r="B1646" s="81" t="s">
        <v>202</v>
      </c>
      <c r="D1646" s="86">
        <v>4</v>
      </c>
      <c r="E1646" s="85">
        <f t="shared" si="224"/>
        <v>4.0000000000000001E-3</v>
      </c>
      <c r="F1646" s="85">
        <f t="shared" si="225"/>
        <v>2E-3</v>
      </c>
      <c r="G1646" s="85">
        <f t="shared" si="226"/>
        <v>3.3510321638291127E-8</v>
      </c>
      <c r="H1646" s="85">
        <v>870</v>
      </c>
      <c r="I1646" s="85">
        <f t="shared" si="227"/>
        <v>2.9153979825313279E-5</v>
      </c>
      <c r="J1646" s="87">
        <v>1</v>
      </c>
      <c r="K1646" s="88">
        <f t="shared" si="228"/>
        <v>34300.634287046414</v>
      </c>
    </row>
    <row r="1647" spans="1:11" hidden="1" x14ac:dyDescent="0.25">
      <c r="A1647" t="str">
        <f t="shared" si="223"/>
        <v>PPHØ4,5</v>
      </c>
      <c r="B1647" s="81" t="s">
        <v>202</v>
      </c>
      <c r="D1647" s="86">
        <v>4.5</v>
      </c>
      <c r="E1647" s="85">
        <f t="shared" si="224"/>
        <v>4.4999999999999997E-3</v>
      </c>
      <c r="F1647" s="85">
        <f t="shared" si="225"/>
        <v>2.2499999999999998E-3</v>
      </c>
      <c r="G1647" s="85">
        <f t="shared" si="226"/>
        <v>4.7712938426394968E-8</v>
      </c>
      <c r="H1647" s="85">
        <v>870</v>
      </c>
      <c r="I1647" s="85">
        <f t="shared" si="227"/>
        <v>4.1510256430963622E-5</v>
      </c>
      <c r="J1647" s="87">
        <v>1</v>
      </c>
      <c r="K1647" s="88">
        <f t="shared" si="228"/>
        <v>24090.431762644399</v>
      </c>
    </row>
    <row r="1648" spans="1:11" hidden="1" x14ac:dyDescent="0.25">
      <c r="A1648" t="str">
        <f t="shared" si="223"/>
        <v>PPHØ4,5</v>
      </c>
      <c r="B1648" s="81" t="s">
        <v>202</v>
      </c>
      <c r="D1648" s="86">
        <v>4.5</v>
      </c>
      <c r="E1648" s="85">
        <f t="shared" si="224"/>
        <v>4.4999999999999997E-3</v>
      </c>
      <c r="F1648" s="85">
        <f t="shared" si="225"/>
        <v>2.2499999999999998E-3</v>
      </c>
      <c r="G1648" s="85">
        <f t="shared" si="226"/>
        <v>4.7712938426394968E-8</v>
      </c>
      <c r="H1648" s="85">
        <v>870</v>
      </c>
      <c r="I1648" s="85">
        <f t="shared" si="227"/>
        <v>4.1510256430963622E-5</v>
      </c>
      <c r="J1648" s="87">
        <v>1</v>
      </c>
      <c r="K1648" s="88">
        <f t="shared" si="228"/>
        <v>24090.431762644399</v>
      </c>
    </row>
    <row r="1649" spans="1:11" hidden="1" x14ac:dyDescent="0.25">
      <c r="A1649" t="str">
        <f t="shared" si="223"/>
        <v>PPHØ4</v>
      </c>
      <c r="B1649" s="81" t="s">
        <v>202</v>
      </c>
      <c r="D1649" s="86">
        <v>4</v>
      </c>
      <c r="E1649" s="85">
        <f t="shared" si="224"/>
        <v>4.0000000000000001E-3</v>
      </c>
      <c r="F1649" s="85">
        <f t="shared" si="225"/>
        <v>2E-3</v>
      </c>
      <c r="G1649" s="85">
        <f t="shared" si="226"/>
        <v>3.3510321638291127E-8</v>
      </c>
      <c r="H1649" s="85">
        <v>870</v>
      </c>
      <c r="I1649" s="85">
        <f t="shared" si="227"/>
        <v>2.9153979825313279E-5</v>
      </c>
      <c r="J1649" s="87">
        <v>1</v>
      </c>
      <c r="K1649" s="88">
        <f t="shared" si="228"/>
        <v>34300.634287046414</v>
      </c>
    </row>
    <row r="1650" spans="1:11" hidden="1" x14ac:dyDescent="0.25">
      <c r="A1650" t="str">
        <f t="shared" si="223"/>
        <v>PPHØ4</v>
      </c>
      <c r="B1650" s="81" t="s">
        <v>202</v>
      </c>
      <c r="D1650" s="86">
        <v>4</v>
      </c>
      <c r="E1650" s="85">
        <f t="shared" si="224"/>
        <v>4.0000000000000001E-3</v>
      </c>
      <c r="F1650" s="85">
        <f t="shared" si="225"/>
        <v>2E-3</v>
      </c>
      <c r="G1650" s="85">
        <f t="shared" si="226"/>
        <v>3.3510321638291127E-8</v>
      </c>
      <c r="H1650" s="85">
        <v>870</v>
      </c>
      <c r="I1650" s="85">
        <f t="shared" si="227"/>
        <v>2.9153979825313279E-5</v>
      </c>
      <c r="J1650" s="87">
        <v>1</v>
      </c>
      <c r="K1650" s="88">
        <f t="shared" si="228"/>
        <v>34300.634287046414</v>
      </c>
    </row>
    <row r="1651" spans="1:11" hidden="1" x14ac:dyDescent="0.25">
      <c r="A1651" t="str">
        <f t="shared" si="223"/>
        <v>PPHØ2,38125</v>
      </c>
      <c r="B1651" s="81" t="s">
        <v>202</v>
      </c>
      <c r="C1651" s="101" t="s">
        <v>213</v>
      </c>
      <c r="D1651" s="86">
        <f>3/32*25.4</f>
        <v>2.3812499999999996</v>
      </c>
      <c r="E1651" s="85">
        <f t="shared" si="224"/>
        <v>2.3812499999999997E-3</v>
      </c>
      <c r="F1651" s="85">
        <f t="shared" si="225"/>
        <v>1.1906249999999998E-3</v>
      </c>
      <c r="G1651" s="85">
        <f t="shared" si="226"/>
        <v>7.0699053785209917E-9</v>
      </c>
      <c r="H1651" s="85">
        <v>870</v>
      </c>
      <c r="I1651" s="85">
        <f t="shared" si="227"/>
        <v>6.1508176793132632E-6</v>
      </c>
      <c r="J1651" s="87">
        <v>1</v>
      </c>
      <c r="K1651" s="88">
        <f t="shared" si="228"/>
        <v>162580.01003073948</v>
      </c>
    </row>
    <row r="1652" spans="1:11" hidden="1" x14ac:dyDescent="0.25">
      <c r="A1652" t="str">
        <f t="shared" si="223"/>
        <v>PPHØ3,96875</v>
      </c>
      <c r="B1652" s="81" t="s">
        <v>202</v>
      </c>
      <c r="C1652" s="101" t="s">
        <v>215</v>
      </c>
      <c r="D1652" s="86">
        <f>5/32*25.4</f>
        <v>3.96875</v>
      </c>
      <c r="E1652" s="85">
        <f t="shared" si="224"/>
        <v>3.9687500000000001E-3</v>
      </c>
      <c r="F1652" s="85">
        <f t="shared" si="225"/>
        <v>1.984375E-3</v>
      </c>
      <c r="G1652" s="85">
        <f t="shared" si="226"/>
        <v>3.2731043419078684E-8</v>
      </c>
      <c r="H1652" s="85">
        <v>870</v>
      </c>
      <c r="I1652" s="85">
        <f t="shared" si="227"/>
        <v>2.8476007774598456E-5</v>
      </c>
      <c r="J1652" s="87">
        <v>1</v>
      </c>
      <c r="K1652" s="88">
        <f t="shared" si="228"/>
        <v>35117.282166639707</v>
      </c>
    </row>
    <row r="1653" spans="1:11" hidden="1" x14ac:dyDescent="0.25">
      <c r="A1653" t="str">
        <f t="shared" si="223"/>
        <v>PPHØ4,7625</v>
      </c>
      <c r="B1653" s="81" t="s">
        <v>202</v>
      </c>
      <c r="C1653" s="101" t="s">
        <v>248</v>
      </c>
      <c r="D1653" s="86">
        <f>3/16*25.4</f>
        <v>4.7624999999999993</v>
      </c>
      <c r="E1653" s="85">
        <f t="shared" si="224"/>
        <v>4.7624999999999994E-3</v>
      </c>
      <c r="F1653" s="85">
        <f t="shared" si="225"/>
        <v>2.3812499999999997E-3</v>
      </c>
      <c r="G1653" s="85">
        <f t="shared" si="226"/>
        <v>5.6559243028167934E-8</v>
      </c>
      <c r="H1653" s="85">
        <v>870</v>
      </c>
      <c r="I1653" s="85">
        <f t="shared" si="227"/>
        <v>4.9206541434506105E-5</v>
      </c>
      <c r="J1653" s="87">
        <v>1</v>
      </c>
      <c r="K1653" s="88">
        <f t="shared" si="228"/>
        <v>20322.501253842434</v>
      </c>
    </row>
    <row r="1654" spans="1:11" hidden="1" x14ac:dyDescent="0.25">
      <c r="A1654" t="str">
        <f t="shared" si="223"/>
        <v>440CØ2,782125</v>
      </c>
      <c r="B1654" s="81" t="s">
        <v>314</v>
      </c>
      <c r="C1654" s="101" t="s">
        <v>363</v>
      </c>
      <c r="D1654" s="86">
        <f>7/64*25.4+0.004</f>
        <v>2.7821249999999997</v>
      </c>
      <c r="E1654" s="85">
        <f t="shared" si="224"/>
        <v>2.7821249999999999E-3</v>
      </c>
      <c r="F1654" s="85">
        <f t="shared" si="225"/>
        <v>1.3910624999999999E-3</v>
      </c>
      <c r="G1654" s="85">
        <f t="shared" si="226"/>
        <v>1.1275311237361536E-8</v>
      </c>
      <c r="H1654" s="85">
        <v>7700</v>
      </c>
      <c r="I1654" s="85">
        <f t="shared" si="227"/>
        <v>8.6819896527683834E-5</v>
      </c>
      <c r="J1654" s="87">
        <v>1</v>
      </c>
      <c r="K1654" s="88">
        <f t="shared" si="228"/>
        <v>11518.097118223757</v>
      </c>
    </row>
    <row r="1655" spans="1:11" hidden="1" x14ac:dyDescent="0.25">
      <c r="A1655" t="str">
        <f t="shared" si="223"/>
        <v>440CØ2,774125</v>
      </c>
      <c r="B1655" s="81" t="s">
        <v>314</v>
      </c>
      <c r="C1655" s="101" t="s">
        <v>364</v>
      </c>
      <c r="D1655" s="86">
        <f>7/64*25.4-0.004</f>
        <v>2.7741249999999997</v>
      </c>
      <c r="E1655" s="85">
        <f t="shared" si="224"/>
        <v>2.7741249999999997E-3</v>
      </c>
      <c r="F1655" s="85">
        <f t="shared" si="225"/>
        <v>1.3870624999999998E-3</v>
      </c>
      <c r="G1655" s="85">
        <f t="shared" si="226"/>
        <v>1.1178324191919885E-8</v>
      </c>
      <c r="H1655" s="85">
        <v>7700</v>
      </c>
      <c r="I1655" s="85">
        <f t="shared" si="227"/>
        <v>8.607309627778311E-5</v>
      </c>
      <c r="J1655" s="87">
        <v>1</v>
      </c>
      <c r="K1655" s="88">
        <f t="shared" si="228"/>
        <v>11618.032152261689</v>
      </c>
    </row>
    <row r="1656" spans="1:11" hidden="1" x14ac:dyDescent="0.25">
      <c r="A1656" t="str">
        <f t="shared" si="223"/>
        <v>440CØ2,776125</v>
      </c>
      <c r="B1656" s="81" t="s">
        <v>314</v>
      </c>
      <c r="C1656" s="101" t="s">
        <v>365</v>
      </c>
      <c r="D1656" s="86">
        <f>7/64*25.4-0.002</f>
        <v>2.776125</v>
      </c>
      <c r="E1656" s="85">
        <f t="shared" si="224"/>
        <v>2.7761249999999999E-3</v>
      </c>
      <c r="F1656" s="85">
        <f t="shared" si="225"/>
        <v>1.3880625E-3</v>
      </c>
      <c r="G1656" s="85">
        <f t="shared" si="226"/>
        <v>1.1202518599424125E-8</v>
      </c>
      <c r="H1656" s="85">
        <v>7700</v>
      </c>
      <c r="I1656" s="85">
        <f t="shared" si="227"/>
        <v>8.6259393215565769E-5</v>
      </c>
      <c r="J1656" s="87">
        <v>1</v>
      </c>
      <c r="K1656" s="88">
        <f t="shared" si="228"/>
        <v>11592.940347968353</v>
      </c>
    </row>
    <row r="1657" spans="1:11" hidden="1" x14ac:dyDescent="0.25">
      <c r="A1657" t="str">
        <f t="shared" si="223"/>
        <v>440CØ3,275</v>
      </c>
      <c r="B1657" s="81" t="s">
        <v>314</v>
      </c>
      <c r="C1657" s="101" t="s">
        <v>366</v>
      </c>
      <c r="D1657" s="86">
        <f>1/8*25.4+0.1</f>
        <v>3.2749999999999999</v>
      </c>
      <c r="E1657" s="85">
        <f t="shared" si="224"/>
        <v>3.2749999999999997E-3</v>
      </c>
      <c r="F1657" s="85">
        <f t="shared" si="225"/>
        <v>1.6374999999999998E-3</v>
      </c>
      <c r="G1657" s="85">
        <f t="shared" si="226"/>
        <v>1.8392151484899296E-8</v>
      </c>
      <c r="H1657" s="85">
        <v>7700</v>
      </c>
      <c r="I1657" s="85">
        <f t="shared" si="227"/>
        <v>1.4161956643372458E-4</v>
      </c>
      <c r="J1657" s="87">
        <v>1</v>
      </c>
      <c r="K1657" s="88">
        <f t="shared" si="228"/>
        <v>7061.1711727558641</v>
      </c>
    </row>
    <row r="1658" spans="1:11" hidden="1" x14ac:dyDescent="0.25">
      <c r="A1658" t="str">
        <f t="shared" si="223"/>
        <v>440CØ3,5</v>
      </c>
      <c r="B1658" s="81" t="s">
        <v>314</v>
      </c>
      <c r="D1658" s="86">
        <v>3.5</v>
      </c>
      <c r="E1658" s="85">
        <f t="shared" si="224"/>
        <v>3.5000000000000001E-3</v>
      </c>
      <c r="F1658" s="85">
        <f t="shared" si="225"/>
        <v>1.75E-3</v>
      </c>
      <c r="G1658" s="85">
        <f t="shared" si="226"/>
        <v>2.2449297503777064E-8</v>
      </c>
      <c r="H1658" s="85">
        <v>7700</v>
      </c>
      <c r="I1658" s="85">
        <f t="shared" si="227"/>
        <v>1.728595907790834E-4</v>
      </c>
      <c r="J1658" s="87">
        <v>1</v>
      </c>
      <c r="K1658" s="88">
        <f t="shared" si="228"/>
        <v>5785.0420418848025</v>
      </c>
    </row>
    <row r="1659" spans="1:11" hidden="1" x14ac:dyDescent="0.25">
      <c r="A1659" t="str">
        <f t="shared" si="223"/>
        <v>PSØ2</v>
      </c>
      <c r="B1659" s="81" t="s">
        <v>242</v>
      </c>
      <c r="D1659" s="86">
        <v>2</v>
      </c>
      <c r="E1659" s="85">
        <f t="shared" si="224"/>
        <v>2E-3</v>
      </c>
      <c r="F1659" s="85">
        <f t="shared" si="225"/>
        <v>1E-3</v>
      </c>
      <c r="G1659" s="85">
        <f t="shared" si="226"/>
        <v>4.1887902047863909E-9</v>
      </c>
      <c r="H1659" s="85">
        <v>1030</v>
      </c>
      <c r="I1659" s="85">
        <f t="shared" si="227"/>
        <v>4.3144539109299827E-6</v>
      </c>
      <c r="J1659" s="87">
        <v>1</v>
      </c>
      <c r="K1659" s="88">
        <f t="shared" si="228"/>
        <v>231779.04333771166</v>
      </c>
    </row>
    <row r="1660" spans="1:11" hidden="1" x14ac:dyDescent="0.25">
      <c r="A1660" t="str">
        <f t="shared" si="223"/>
        <v>420CØ4,05</v>
      </c>
      <c r="B1660" s="81" t="s">
        <v>295</v>
      </c>
      <c r="D1660" s="86">
        <v>4.05</v>
      </c>
      <c r="E1660" s="85">
        <f t="shared" si="224"/>
        <v>4.0499999999999998E-3</v>
      </c>
      <c r="F1660" s="85">
        <f t="shared" si="225"/>
        <v>2.0249999999999999E-3</v>
      </c>
      <c r="G1660" s="85">
        <f t="shared" si="226"/>
        <v>3.478273211284193E-8</v>
      </c>
      <c r="H1660" s="85">
        <v>7700</v>
      </c>
      <c r="I1660" s="85">
        <f t="shared" si="227"/>
        <v>2.6782703726888285E-4</v>
      </c>
      <c r="J1660" s="87">
        <v>1</v>
      </c>
      <c r="K1660" s="88">
        <f t="shared" si="228"/>
        <v>3733.7529854988384</v>
      </c>
    </row>
    <row r="1661" spans="1:11" hidden="1" x14ac:dyDescent="0.25">
      <c r="A1661" t="str">
        <f t="shared" si="223"/>
        <v>420CØ1</v>
      </c>
      <c r="B1661" s="81" t="s">
        <v>295</v>
      </c>
      <c r="D1661" s="86">
        <v>1</v>
      </c>
      <c r="E1661" s="85">
        <f t="shared" si="224"/>
        <v>1E-3</v>
      </c>
      <c r="F1661" s="85">
        <f t="shared" si="225"/>
        <v>5.0000000000000001E-4</v>
      </c>
      <c r="G1661" s="85">
        <f t="shared" si="226"/>
        <v>5.2359877559829886E-10</v>
      </c>
      <c r="H1661" s="85">
        <v>7700</v>
      </c>
      <c r="I1661" s="85">
        <f t="shared" si="227"/>
        <v>4.0317105721069012E-6</v>
      </c>
      <c r="J1661" s="87">
        <v>1</v>
      </c>
      <c r="K1661" s="88">
        <f t="shared" si="228"/>
        <v>248033.67754581093</v>
      </c>
    </row>
    <row r="1662" spans="1:11" hidden="1" x14ac:dyDescent="0.25">
      <c r="A1662" t="str">
        <f t="shared" si="223"/>
        <v>52100Ø1</v>
      </c>
      <c r="B1662" s="81">
        <v>52100</v>
      </c>
      <c r="D1662" s="86">
        <v>1</v>
      </c>
      <c r="E1662" s="85">
        <f t="shared" si="224"/>
        <v>1E-3</v>
      </c>
      <c r="F1662" s="85">
        <f t="shared" si="225"/>
        <v>5.0000000000000001E-4</v>
      </c>
      <c r="G1662" s="85">
        <f t="shared" si="226"/>
        <v>5.2359877559829886E-10</v>
      </c>
      <c r="H1662" s="85">
        <v>7800</v>
      </c>
      <c r="I1662" s="85">
        <f t="shared" si="227"/>
        <v>4.0840704496667312E-6</v>
      </c>
      <c r="J1662" s="87">
        <v>1</v>
      </c>
      <c r="K1662" s="88">
        <f t="shared" si="228"/>
        <v>244853.75860291591</v>
      </c>
    </row>
    <row r="1663" spans="1:11" hidden="1" x14ac:dyDescent="0.25">
      <c r="A1663" t="str">
        <f t="shared" si="223"/>
        <v>52100Ø0,6</v>
      </c>
      <c r="B1663" s="81">
        <v>52100</v>
      </c>
      <c r="D1663" s="86">
        <v>0.6</v>
      </c>
      <c r="E1663" s="85">
        <f t="shared" si="224"/>
        <v>5.9999999999999995E-4</v>
      </c>
      <c r="F1663" s="85">
        <f t="shared" si="225"/>
        <v>2.9999999999999997E-4</v>
      </c>
      <c r="G1663" s="85">
        <f t="shared" si="226"/>
        <v>1.1309733552923252E-10</v>
      </c>
      <c r="H1663" s="85">
        <v>7800</v>
      </c>
      <c r="I1663" s="85">
        <f t="shared" si="227"/>
        <v>8.8215921712801365E-7</v>
      </c>
      <c r="J1663" s="87">
        <v>1</v>
      </c>
      <c r="K1663" s="88">
        <f t="shared" si="228"/>
        <v>1133582.2157542408</v>
      </c>
    </row>
    <row r="1664" spans="1:11" hidden="1" x14ac:dyDescent="0.25">
      <c r="A1664" t="str">
        <f t="shared" si="223"/>
        <v>52100Ø0,8</v>
      </c>
      <c r="B1664" s="81">
        <v>52100</v>
      </c>
      <c r="D1664" s="86">
        <v>0.8</v>
      </c>
      <c r="E1664" s="85">
        <f t="shared" si="224"/>
        <v>8.0000000000000004E-4</v>
      </c>
      <c r="F1664" s="85">
        <f t="shared" si="225"/>
        <v>4.0000000000000002E-4</v>
      </c>
      <c r="G1664" s="85">
        <f t="shared" si="226"/>
        <v>2.6808257310632903E-10</v>
      </c>
      <c r="H1664" s="85">
        <v>7800</v>
      </c>
      <c r="I1664" s="85">
        <f t="shared" si="227"/>
        <v>2.0910440702293663E-6</v>
      </c>
      <c r="J1664" s="87">
        <v>1</v>
      </c>
      <c r="K1664" s="88">
        <f t="shared" si="228"/>
        <v>478229.99727132014</v>
      </c>
    </row>
    <row r="1665" spans="1:11" hidden="1" x14ac:dyDescent="0.25">
      <c r="A1665" t="str">
        <f t="shared" si="223"/>
        <v>52100Ø4,54</v>
      </c>
      <c r="B1665" s="81">
        <v>52100</v>
      </c>
      <c r="D1665" s="86">
        <v>4.54</v>
      </c>
      <c r="E1665" s="85">
        <f t="shared" si="224"/>
        <v>4.5399999999999998E-3</v>
      </c>
      <c r="F1665" s="85">
        <f t="shared" si="225"/>
        <v>2.2699999999999999E-3</v>
      </c>
      <c r="G1665" s="85">
        <f t="shared" si="226"/>
        <v>4.8996626694973399E-8</v>
      </c>
      <c r="H1665" s="85">
        <v>7800</v>
      </c>
      <c r="I1665" s="85">
        <f t="shared" si="227"/>
        <v>3.821736882207925E-4</v>
      </c>
      <c r="J1665" s="87">
        <v>1</v>
      </c>
      <c r="K1665" s="88">
        <f t="shared" si="228"/>
        <v>2616.6113231276977</v>
      </c>
    </row>
    <row r="1666" spans="1:11" hidden="1" x14ac:dyDescent="0.25">
      <c r="A1666" t="str">
        <f t="shared" si="223"/>
        <v>POMØ4,5</v>
      </c>
      <c r="B1666" s="81" t="s">
        <v>201</v>
      </c>
      <c r="D1666" s="86">
        <v>4.5</v>
      </c>
      <c r="E1666" s="85">
        <f t="shared" si="224"/>
        <v>4.4999999999999997E-3</v>
      </c>
      <c r="F1666" s="85">
        <f t="shared" si="225"/>
        <v>2.2499999999999998E-3</v>
      </c>
      <c r="G1666" s="85">
        <f t="shared" si="226"/>
        <v>4.7712938426394968E-8</v>
      </c>
      <c r="H1666" s="85">
        <v>1370</v>
      </c>
      <c r="I1666" s="85">
        <f t="shared" si="227"/>
        <v>6.5366725644161103E-5</v>
      </c>
      <c r="J1666" s="87">
        <v>1</v>
      </c>
      <c r="K1666" s="88">
        <f t="shared" si="228"/>
        <v>15298.303382117247</v>
      </c>
    </row>
    <row r="1667" spans="1:11" hidden="1" x14ac:dyDescent="0.25">
      <c r="A1667" t="str">
        <f t="shared" si="223"/>
        <v>POMØ4,5</v>
      </c>
      <c r="B1667" s="81" t="s">
        <v>201</v>
      </c>
      <c r="D1667" s="86">
        <v>4.5</v>
      </c>
      <c r="E1667" s="85">
        <f t="shared" si="224"/>
        <v>4.4999999999999997E-3</v>
      </c>
      <c r="F1667" s="85">
        <f t="shared" si="225"/>
        <v>2.2499999999999998E-3</v>
      </c>
      <c r="G1667" s="85">
        <f t="shared" si="226"/>
        <v>4.7712938426394968E-8</v>
      </c>
      <c r="H1667" s="85">
        <v>1370</v>
      </c>
      <c r="I1667" s="85">
        <f t="shared" si="227"/>
        <v>6.5366725644161103E-5</v>
      </c>
      <c r="J1667" s="87">
        <v>1</v>
      </c>
      <c r="K1667" s="88">
        <f t="shared" si="228"/>
        <v>15298.303382117247</v>
      </c>
    </row>
    <row r="1668" spans="1:11" hidden="1" x14ac:dyDescent="0.25">
      <c r="A1668" t="str">
        <f t="shared" ref="A1668:A1731" si="229">CONCATENATE(B1668,"Ø",D1668)</f>
        <v>ZTAØ3,96875</v>
      </c>
      <c r="B1668" s="81" t="s">
        <v>367</v>
      </c>
      <c r="C1668" s="101" t="s">
        <v>215</v>
      </c>
      <c r="D1668" s="86">
        <f>5/32*25.4</f>
        <v>3.96875</v>
      </c>
      <c r="E1668" s="85">
        <f t="shared" si="224"/>
        <v>3.9687500000000001E-3</v>
      </c>
      <c r="F1668" s="85">
        <f t="shared" si="225"/>
        <v>1.984375E-3</v>
      </c>
      <c r="G1668" s="85">
        <f t="shared" si="226"/>
        <v>3.2731043419078684E-8</v>
      </c>
      <c r="H1668" s="85">
        <v>4220</v>
      </c>
      <c r="I1668" s="85">
        <f t="shared" si="227"/>
        <v>1.3812500322851203E-4</v>
      </c>
      <c r="J1668" s="87">
        <v>1</v>
      </c>
      <c r="K1668" s="88">
        <f t="shared" si="228"/>
        <v>7239.8188353024998</v>
      </c>
    </row>
    <row r="1669" spans="1:11" hidden="1" x14ac:dyDescent="0.25">
      <c r="A1669" t="str">
        <f t="shared" si="229"/>
        <v>POMØ2,5</v>
      </c>
      <c r="B1669" s="81" t="s">
        <v>201</v>
      </c>
      <c r="D1669" s="86">
        <v>2.5</v>
      </c>
      <c r="E1669" s="85">
        <f t="shared" si="224"/>
        <v>2.5000000000000001E-3</v>
      </c>
      <c r="F1669" s="85">
        <f t="shared" si="225"/>
        <v>1.25E-3</v>
      </c>
      <c r="G1669" s="85">
        <f t="shared" si="226"/>
        <v>8.181230868723419E-9</v>
      </c>
      <c r="H1669" s="85">
        <v>1370</v>
      </c>
      <c r="I1669" s="85">
        <f t="shared" si="227"/>
        <v>1.1208286290151084E-5</v>
      </c>
      <c r="J1669" s="87">
        <v>1</v>
      </c>
      <c r="K1669" s="88">
        <f t="shared" si="228"/>
        <v>89219.705324507755</v>
      </c>
    </row>
    <row r="1670" spans="1:11" hidden="1" x14ac:dyDescent="0.25">
      <c r="A1670" t="str">
        <f t="shared" si="229"/>
        <v>POMØ2,5</v>
      </c>
      <c r="B1670" s="81" t="s">
        <v>201</v>
      </c>
      <c r="D1670" s="86">
        <v>2.5</v>
      </c>
      <c r="E1670" s="85">
        <f t="shared" si="224"/>
        <v>2.5000000000000001E-3</v>
      </c>
      <c r="F1670" s="85">
        <f t="shared" si="225"/>
        <v>1.25E-3</v>
      </c>
      <c r="G1670" s="85">
        <f t="shared" si="226"/>
        <v>8.181230868723419E-9</v>
      </c>
      <c r="H1670" s="85">
        <v>1370</v>
      </c>
      <c r="I1670" s="85">
        <f t="shared" si="227"/>
        <v>1.1208286290151084E-5</v>
      </c>
      <c r="J1670" s="87">
        <v>1</v>
      </c>
      <c r="K1670" s="88">
        <f t="shared" si="228"/>
        <v>89219.705324507755</v>
      </c>
    </row>
    <row r="1671" spans="1:11" hidden="1" x14ac:dyDescent="0.25">
      <c r="A1671" t="str">
        <f t="shared" si="229"/>
        <v>Al2O3Ø1,5</v>
      </c>
      <c r="B1671" s="81" t="s">
        <v>217</v>
      </c>
      <c r="D1671" s="86">
        <v>1.5</v>
      </c>
      <c r="E1671" s="85">
        <f t="shared" si="224"/>
        <v>1.5E-3</v>
      </c>
      <c r="F1671" s="85">
        <f t="shared" si="225"/>
        <v>7.5000000000000002E-4</v>
      </c>
      <c r="G1671" s="85">
        <f t="shared" si="226"/>
        <v>1.7671458676442585E-9</v>
      </c>
      <c r="H1671" s="85">
        <v>3900</v>
      </c>
      <c r="I1671" s="85">
        <f t="shared" si="227"/>
        <v>6.8918688838126086E-6</v>
      </c>
      <c r="J1671" s="87">
        <v>1</v>
      </c>
      <c r="K1671" s="88">
        <f t="shared" si="228"/>
        <v>145098.52361654275</v>
      </c>
    </row>
    <row r="1672" spans="1:11" hidden="1" x14ac:dyDescent="0.25">
      <c r="A1672" t="str">
        <f t="shared" si="229"/>
        <v>316LØ8</v>
      </c>
      <c r="B1672" s="81" t="s">
        <v>298</v>
      </c>
      <c r="D1672" s="86">
        <v>8</v>
      </c>
      <c r="E1672" s="85">
        <f t="shared" si="224"/>
        <v>8.0000000000000002E-3</v>
      </c>
      <c r="F1672" s="85">
        <f t="shared" si="225"/>
        <v>4.0000000000000001E-3</v>
      </c>
      <c r="G1672" s="85">
        <f t="shared" si="226"/>
        <v>2.6808257310632902E-7</v>
      </c>
      <c r="H1672" s="85">
        <v>7950</v>
      </c>
      <c r="I1672" s="85">
        <f t="shared" si="227"/>
        <v>2.1312564561953157E-3</v>
      </c>
      <c r="J1672" s="87">
        <v>1</v>
      </c>
      <c r="K1672" s="88">
        <f t="shared" si="228"/>
        <v>469.20678977563483</v>
      </c>
    </row>
    <row r="1673" spans="1:11" hidden="1" x14ac:dyDescent="0.25">
      <c r="A1673" t="str">
        <f t="shared" si="229"/>
        <v>420CØ3,96875</v>
      </c>
      <c r="B1673" s="81" t="s">
        <v>295</v>
      </c>
      <c r="C1673" s="101" t="s">
        <v>215</v>
      </c>
      <c r="D1673" s="86">
        <f>5/32*25.4</f>
        <v>3.96875</v>
      </c>
      <c r="E1673" s="85">
        <f t="shared" si="224"/>
        <v>3.9687500000000001E-3</v>
      </c>
      <c r="F1673" s="85">
        <f t="shared" si="225"/>
        <v>1.984375E-3</v>
      </c>
      <c r="G1673" s="85">
        <f t="shared" si="226"/>
        <v>3.2731043419078684E-8</v>
      </c>
      <c r="H1673" s="85">
        <v>7700</v>
      </c>
      <c r="I1673" s="85">
        <f t="shared" si="227"/>
        <v>2.5202903432690587E-4</v>
      </c>
      <c r="J1673" s="87">
        <v>1</v>
      </c>
      <c r="K1673" s="88">
        <f t="shared" si="228"/>
        <v>3967.7968162307202</v>
      </c>
    </row>
    <row r="1674" spans="1:11" hidden="1" x14ac:dyDescent="0.25">
      <c r="A1674" t="str">
        <f t="shared" si="229"/>
        <v>304Ø1,5875</v>
      </c>
      <c r="B1674" s="81">
        <v>304</v>
      </c>
      <c r="C1674" s="101" t="s">
        <v>246</v>
      </c>
      <c r="D1674" s="86">
        <f>1/16*25.4</f>
        <v>1.5874999999999999</v>
      </c>
      <c r="E1674" s="85">
        <f t="shared" si="224"/>
        <v>1.5874999999999999E-3</v>
      </c>
      <c r="F1674" s="85">
        <f t="shared" si="225"/>
        <v>7.9374999999999997E-4</v>
      </c>
      <c r="G1674" s="85">
        <f t="shared" si="226"/>
        <v>2.0947867788210349E-9</v>
      </c>
      <c r="H1674" s="85">
        <v>7950</v>
      </c>
      <c r="I1674" s="85">
        <f t="shared" si="227"/>
        <v>1.6653554891627226E-5</v>
      </c>
      <c r="J1674" s="87">
        <v>1</v>
      </c>
      <c r="K1674" s="88">
        <f t="shared" si="228"/>
        <v>60047.239553806132</v>
      </c>
    </row>
    <row r="1675" spans="1:11" hidden="1" x14ac:dyDescent="0.25">
      <c r="A1675" t="str">
        <f t="shared" si="229"/>
        <v>420CØ1,5</v>
      </c>
      <c r="B1675" s="81" t="s">
        <v>295</v>
      </c>
      <c r="D1675" s="86">
        <v>1.5</v>
      </c>
      <c r="E1675" s="85">
        <f t="shared" si="224"/>
        <v>1.5E-3</v>
      </c>
      <c r="F1675" s="85">
        <f t="shared" si="225"/>
        <v>7.5000000000000002E-4</v>
      </c>
      <c r="G1675" s="85">
        <f t="shared" si="226"/>
        <v>1.7671458676442585E-9</v>
      </c>
      <c r="H1675" s="85">
        <v>7700</v>
      </c>
      <c r="I1675" s="85">
        <f t="shared" si="227"/>
        <v>1.3607023180860791E-5</v>
      </c>
      <c r="J1675" s="87">
        <v>1</v>
      </c>
      <c r="K1675" s="88">
        <f t="shared" si="228"/>
        <v>73491.460013573611</v>
      </c>
    </row>
    <row r="1676" spans="1:11" hidden="1" x14ac:dyDescent="0.25">
      <c r="A1676" t="str">
        <f t="shared" si="229"/>
        <v>420CØ3,5</v>
      </c>
      <c r="B1676" s="81" t="s">
        <v>295</v>
      </c>
      <c r="D1676" s="86">
        <v>3.5</v>
      </c>
      <c r="E1676" s="85">
        <f t="shared" si="224"/>
        <v>3.5000000000000001E-3</v>
      </c>
      <c r="F1676" s="85">
        <f t="shared" si="225"/>
        <v>1.75E-3</v>
      </c>
      <c r="G1676" s="85">
        <f t="shared" si="226"/>
        <v>2.2449297503777064E-8</v>
      </c>
      <c r="H1676" s="85">
        <v>7700</v>
      </c>
      <c r="I1676" s="85">
        <f t="shared" si="227"/>
        <v>1.728595907790834E-4</v>
      </c>
      <c r="J1676" s="87">
        <v>1</v>
      </c>
      <c r="K1676" s="88">
        <f t="shared" si="228"/>
        <v>5785.0420418848025</v>
      </c>
    </row>
    <row r="1677" spans="1:11" hidden="1" x14ac:dyDescent="0.25">
      <c r="A1677" t="str">
        <f t="shared" si="229"/>
        <v>420CØ6,1</v>
      </c>
      <c r="B1677" s="81" t="s">
        <v>295</v>
      </c>
      <c r="D1677" s="86">
        <v>6.1</v>
      </c>
      <c r="E1677" s="85">
        <f t="shared" si="224"/>
        <v>6.0999999999999995E-3</v>
      </c>
      <c r="F1677" s="85">
        <f t="shared" si="225"/>
        <v>3.0499999999999998E-3</v>
      </c>
      <c r="G1677" s="85">
        <f t="shared" si="226"/>
        <v>1.1884697368407743E-7</v>
      </c>
      <c r="H1677" s="85">
        <v>7700</v>
      </c>
      <c r="I1677" s="85">
        <f t="shared" si="227"/>
        <v>9.1512169736739622E-4</v>
      </c>
      <c r="J1677" s="87">
        <v>1</v>
      </c>
      <c r="K1677" s="88">
        <f t="shared" si="228"/>
        <v>1092.7508361748826</v>
      </c>
    </row>
    <row r="1678" spans="1:11" hidden="1" x14ac:dyDescent="0.25">
      <c r="A1678" t="str">
        <f t="shared" si="229"/>
        <v>52100Ø90</v>
      </c>
      <c r="B1678" s="81">
        <v>52100</v>
      </c>
      <c r="D1678" s="86">
        <v>90</v>
      </c>
      <c r="E1678" s="85">
        <f t="shared" si="224"/>
        <v>0.09</v>
      </c>
      <c r="F1678" s="85">
        <f t="shared" si="225"/>
        <v>4.4999999999999998E-2</v>
      </c>
      <c r="G1678" s="85">
        <f t="shared" si="226"/>
        <v>3.817035074111598E-4</v>
      </c>
      <c r="H1678" s="85">
        <v>7800</v>
      </c>
      <c r="I1678" s="85">
        <f t="shared" si="227"/>
        <v>2.9772873578070467</v>
      </c>
      <c r="J1678" s="87">
        <v>1</v>
      </c>
      <c r="K1678" s="88">
        <f t="shared" si="228"/>
        <v>0.33587621207533047</v>
      </c>
    </row>
    <row r="1679" spans="1:11" hidden="1" x14ac:dyDescent="0.25">
      <c r="A1679" t="str">
        <f t="shared" si="229"/>
        <v>52100Ø3,1</v>
      </c>
      <c r="B1679" s="81">
        <v>52100</v>
      </c>
      <c r="D1679" s="86">
        <v>3.1</v>
      </c>
      <c r="E1679" s="85">
        <f t="shared" ref="E1679:E1716" si="230">D1679/1000</f>
        <v>3.0999999999999999E-3</v>
      </c>
      <c r="F1679" s="85">
        <f t="shared" ref="F1679:F1716" si="231">E1679/2</f>
        <v>1.5499999999999999E-3</v>
      </c>
      <c r="G1679" s="85">
        <f t="shared" ref="G1679:G1716" si="232">4/3*PI()*F1679*F1679*F1679</f>
        <v>1.5598531123848918E-8</v>
      </c>
      <c r="H1679" s="85">
        <v>7800</v>
      </c>
      <c r="I1679" s="85">
        <f t="shared" ref="I1679:I1718" si="233">H1679*G1679</f>
        <v>1.2166854276602155E-4</v>
      </c>
      <c r="J1679" s="87">
        <v>1</v>
      </c>
      <c r="K1679" s="88">
        <f t="shared" ref="K1679:K1718" si="234">J1679/I1679</f>
        <v>8219.051344463629</v>
      </c>
    </row>
    <row r="1680" spans="1:11" hidden="1" x14ac:dyDescent="0.25">
      <c r="A1680" t="str">
        <f t="shared" si="229"/>
        <v>52100Ø3,275</v>
      </c>
      <c r="B1680" s="81">
        <v>52100</v>
      </c>
      <c r="D1680" s="86">
        <v>3.2749999999999999</v>
      </c>
      <c r="E1680" s="85">
        <f t="shared" si="230"/>
        <v>3.2749999999999997E-3</v>
      </c>
      <c r="F1680" s="85">
        <f t="shared" si="231"/>
        <v>1.6374999999999998E-3</v>
      </c>
      <c r="G1680" s="85">
        <f t="shared" si="232"/>
        <v>1.8392151484899296E-8</v>
      </c>
      <c r="H1680" s="85">
        <v>7800</v>
      </c>
      <c r="I1680" s="85">
        <f t="shared" si="233"/>
        <v>1.4345878158221451E-4</v>
      </c>
      <c r="J1680" s="87">
        <v>1</v>
      </c>
      <c r="K1680" s="88">
        <f t="shared" si="234"/>
        <v>6970.6433372077117</v>
      </c>
    </row>
    <row r="1681" spans="1:11" hidden="1" x14ac:dyDescent="0.25">
      <c r="A1681" t="str">
        <f t="shared" si="229"/>
        <v>420CØ2,5</v>
      </c>
      <c r="B1681" s="81" t="s">
        <v>295</v>
      </c>
      <c r="D1681" s="86">
        <v>2.5</v>
      </c>
      <c r="E1681" s="85">
        <f t="shared" si="230"/>
        <v>2.5000000000000001E-3</v>
      </c>
      <c r="F1681" s="85">
        <f t="shared" si="231"/>
        <v>1.25E-3</v>
      </c>
      <c r="G1681" s="85">
        <f t="shared" si="232"/>
        <v>8.181230868723419E-9</v>
      </c>
      <c r="H1681" s="85">
        <v>7700</v>
      </c>
      <c r="I1681" s="85">
        <f t="shared" si="233"/>
        <v>6.2995477689170327E-5</v>
      </c>
      <c r="J1681" s="87">
        <v>1</v>
      </c>
      <c r="K1681" s="88">
        <f t="shared" si="234"/>
        <v>15874.155362931901</v>
      </c>
    </row>
    <row r="1682" spans="1:11" hidden="1" x14ac:dyDescent="0.25">
      <c r="A1682" t="str">
        <f t="shared" si="229"/>
        <v>420CØ2</v>
      </c>
      <c r="B1682" s="81" t="s">
        <v>295</v>
      </c>
      <c r="D1682" s="86">
        <v>2</v>
      </c>
      <c r="E1682" s="85">
        <f t="shared" si="230"/>
        <v>2E-3</v>
      </c>
      <c r="F1682" s="85">
        <f t="shared" si="231"/>
        <v>1E-3</v>
      </c>
      <c r="G1682" s="85">
        <f t="shared" si="232"/>
        <v>4.1887902047863909E-9</v>
      </c>
      <c r="H1682" s="85">
        <v>7700</v>
      </c>
      <c r="I1682" s="85">
        <f t="shared" si="233"/>
        <v>3.2253684576855209E-5</v>
      </c>
      <c r="J1682" s="87">
        <v>1</v>
      </c>
      <c r="K1682" s="88">
        <f t="shared" si="234"/>
        <v>31004.209693226367</v>
      </c>
    </row>
    <row r="1683" spans="1:11" hidden="1" x14ac:dyDescent="0.25">
      <c r="A1683" t="str">
        <f t="shared" si="229"/>
        <v>NBRØ3</v>
      </c>
      <c r="B1683" s="81" t="s">
        <v>341</v>
      </c>
      <c r="D1683" s="86">
        <v>3</v>
      </c>
      <c r="E1683" s="85">
        <f t="shared" si="230"/>
        <v>3.0000000000000001E-3</v>
      </c>
      <c r="F1683" s="85">
        <f t="shared" si="231"/>
        <v>1.5E-3</v>
      </c>
      <c r="G1683" s="85">
        <f t="shared" si="232"/>
        <v>1.4137166941154068E-8</v>
      </c>
      <c r="H1683" s="85">
        <v>1200</v>
      </c>
      <c r="I1683" s="85">
        <f t="shared" si="233"/>
        <v>1.6964600329384882E-5</v>
      </c>
      <c r="J1683" s="87">
        <v>1</v>
      </c>
      <c r="K1683" s="88">
        <f t="shared" si="234"/>
        <v>58946.275219220501</v>
      </c>
    </row>
    <row r="1684" spans="1:11" hidden="1" x14ac:dyDescent="0.25">
      <c r="A1684" t="str">
        <f t="shared" si="229"/>
        <v>EPDMØ3</v>
      </c>
      <c r="B1684" s="81" t="s">
        <v>368</v>
      </c>
      <c r="D1684" s="86">
        <v>3</v>
      </c>
      <c r="E1684" s="85">
        <f t="shared" si="230"/>
        <v>3.0000000000000001E-3</v>
      </c>
      <c r="F1684" s="85">
        <f t="shared" si="231"/>
        <v>1.5E-3</v>
      </c>
      <c r="G1684" s="85">
        <f t="shared" si="232"/>
        <v>1.4137166941154068E-8</v>
      </c>
      <c r="H1684" s="85">
        <v>1200</v>
      </c>
      <c r="I1684" s="85">
        <f t="shared" si="233"/>
        <v>1.6964600329384882E-5</v>
      </c>
      <c r="J1684" s="87">
        <v>1</v>
      </c>
      <c r="K1684" s="88">
        <f t="shared" si="234"/>
        <v>58946.275219220501</v>
      </c>
    </row>
    <row r="1685" spans="1:11" hidden="1" x14ac:dyDescent="0.25">
      <c r="A1685" t="str">
        <f t="shared" si="229"/>
        <v>420CØ2</v>
      </c>
      <c r="B1685" s="81" t="s">
        <v>295</v>
      </c>
      <c r="D1685" s="86">
        <v>2</v>
      </c>
      <c r="E1685" s="85">
        <f t="shared" si="230"/>
        <v>2E-3</v>
      </c>
      <c r="F1685" s="85">
        <f t="shared" si="231"/>
        <v>1E-3</v>
      </c>
      <c r="G1685" s="85">
        <f t="shared" si="232"/>
        <v>4.1887902047863909E-9</v>
      </c>
      <c r="H1685" s="85">
        <v>7700</v>
      </c>
      <c r="I1685" s="85">
        <f t="shared" si="233"/>
        <v>3.2253684576855209E-5</v>
      </c>
      <c r="J1685" s="87">
        <v>1</v>
      </c>
      <c r="K1685" s="88">
        <f t="shared" si="234"/>
        <v>31004.209693226367</v>
      </c>
    </row>
    <row r="1686" spans="1:11" hidden="1" x14ac:dyDescent="0.25">
      <c r="A1686" t="str">
        <f t="shared" si="229"/>
        <v>52100Ø0,396875</v>
      </c>
      <c r="B1686" s="81">
        <v>52100</v>
      </c>
      <c r="C1686" s="101" t="s">
        <v>211</v>
      </c>
      <c r="D1686" s="86">
        <f>1/64*25.4</f>
        <v>0.39687499999999998</v>
      </c>
      <c r="E1686" s="85">
        <f t="shared" si="230"/>
        <v>3.9687499999999998E-4</v>
      </c>
      <c r="F1686" s="85">
        <f t="shared" si="231"/>
        <v>1.9843749999999999E-4</v>
      </c>
      <c r="G1686" s="85">
        <f t="shared" si="232"/>
        <v>3.273104341907867E-11</v>
      </c>
      <c r="H1686" s="85">
        <v>7800</v>
      </c>
      <c r="I1686" s="85">
        <f t="shared" si="233"/>
        <v>2.5530213866881361E-7</v>
      </c>
      <c r="J1686" s="87">
        <v>1</v>
      </c>
      <c r="K1686" s="88">
        <f t="shared" si="234"/>
        <v>3916927.6262790463</v>
      </c>
    </row>
    <row r="1687" spans="1:11" hidden="1" x14ac:dyDescent="0.25">
      <c r="A1687" t="str">
        <f t="shared" si="229"/>
        <v>52100Ø0,396875</v>
      </c>
      <c r="B1687" s="81">
        <v>52100</v>
      </c>
      <c r="C1687" s="101" t="s">
        <v>211</v>
      </c>
      <c r="D1687" s="86">
        <f>1/64*25.4</f>
        <v>0.39687499999999998</v>
      </c>
      <c r="E1687" s="85">
        <f t="shared" si="230"/>
        <v>3.9687499999999998E-4</v>
      </c>
      <c r="F1687" s="85">
        <f t="shared" si="231"/>
        <v>1.9843749999999999E-4</v>
      </c>
      <c r="G1687" s="85">
        <f t="shared" si="232"/>
        <v>3.273104341907867E-11</v>
      </c>
      <c r="H1687" s="85">
        <v>7800</v>
      </c>
      <c r="I1687" s="85">
        <f t="shared" si="233"/>
        <v>2.5530213866881361E-7</v>
      </c>
      <c r="J1687" s="87">
        <v>1</v>
      </c>
      <c r="K1687" s="88">
        <f t="shared" si="234"/>
        <v>3916927.6262790463</v>
      </c>
    </row>
    <row r="1688" spans="1:11" hidden="1" x14ac:dyDescent="0.25">
      <c r="A1688" t="str">
        <f t="shared" si="229"/>
        <v>PPHØ3</v>
      </c>
      <c r="B1688" s="81" t="s">
        <v>202</v>
      </c>
      <c r="D1688" s="86">
        <v>3</v>
      </c>
      <c r="E1688" s="85">
        <f t="shared" si="230"/>
        <v>3.0000000000000001E-3</v>
      </c>
      <c r="F1688" s="85">
        <f t="shared" si="231"/>
        <v>1.5E-3</v>
      </c>
      <c r="G1688" s="85">
        <f t="shared" si="232"/>
        <v>1.4137166941154068E-8</v>
      </c>
      <c r="H1688" s="85">
        <v>870</v>
      </c>
      <c r="I1688" s="85">
        <f t="shared" si="233"/>
        <v>1.229933523880404E-5</v>
      </c>
      <c r="J1688" s="87">
        <v>1</v>
      </c>
      <c r="K1688" s="88">
        <f t="shared" si="234"/>
        <v>81305.207198924822</v>
      </c>
    </row>
    <row r="1689" spans="1:11" hidden="1" x14ac:dyDescent="0.25">
      <c r="A1689" t="str">
        <f t="shared" si="229"/>
        <v>1010Ø6,5</v>
      </c>
      <c r="B1689" s="81">
        <v>1010</v>
      </c>
      <c r="D1689" s="86">
        <v>6.5</v>
      </c>
      <c r="E1689" s="85">
        <f t="shared" si="230"/>
        <v>6.4999999999999997E-3</v>
      </c>
      <c r="F1689" s="85">
        <f t="shared" si="231"/>
        <v>3.2499999999999999E-3</v>
      </c>
      <c r="G1689" s="85">
        <f t="shared" si="232"/>
        <v>1.4379331374868281E-7</v>
      </c>
      <c r="H1689" s="85">
        <v>7820</v>
      </c>
      <c r="I1689" s="85">
        <f t="shared" si="233"/>
        <v>1.1244637135146996E-3</v>
      </c>
      <c r="J1689" s="87">
        <v>1</v>
      </c>
      <c r="K1689" s="88">
        <f t="shared" si="234"/>
        <v>889.31282350973561</v>
      </c>
    </row>
    <row r="1690" spans="1:11" hidden="1" x14ac:dyDescent="0.25">
      <c r="A1690" t="str">
        <f t="shared" si="229"/>
        <v>52100Ø6,5</v>
      </c>
      <c r="B1690" s="81">
        <v>52100</v>
      </c>
      <c r="D1690" s="86">
        <v>6.5</v>
      </c>
      <c r="E1690" s="85">
        <f t="shared" si="230"/>
        <v>6.4999999999999997E-3</v>
      </c>
      <c r="F1690" s="85">
        <f t="shared" si="231"/>
        <v>3.2499999999999999E-3</v>
      </c>
      <c r="G1690" s="85">
        <f t="shared" si="232"/>
        <v>1.4379331374868281E-7</v>
      </c>
      <c r="H1690" s="85">
        <v>7800</v>
      </c>
      <c r="I1690" s="85">
        <f t="shared" si="233"/>
        <v>1.1215878472397259E-3</v>
      </c>
      <c r="J1690" s="87">
        <v>1</v>
      </c>
      <c r="K1690" s="88">
        <f t="shared" si="234"/>
        <v>891.59311280078623</v>
      </c>
    </row>
    <row r="1691" spans="1:11" hidden="1" x14ac:dyDescent="0.25">
      <c r="A1691" t="str">
        <f t="shared" si="229"/>
        <v>304Ø3</v>
      </c>
      <c r="B1691" s="81">
        <v>304</v>
      </c>
      <c r="D1691" s="86">
        <v>3</v>
      </c>
      <c r="E1691" s="85">
        <f t="shared" si="230"/>
        <v>3.0000000000000001E-3</v>
      </c>
      <c r="F1691" s="85">
        <f t="shared" si="231"/>
        <v>1.5E-3</v>
      </c>
      <c r="G1691" s="85">
        <f t="shared" si="232"/>
        <v>1.4137166941154068E-8</v>
      </c>
      <c r="H1691" s="85">
        <v>7950</v>
      </c>
      <c r="I1691" s="85">
        <f t="shared" si="233"/>
        <v>1.1239047718217484E-4</v>
      </c>
      <c r="J1691" s="87">
        <v>1</v>
      </c>
      <c r="K1691" s="88">
        <f t="shared" si="234"/>
        <v>8897.5509764861145</v>
      </c>
    </row>
    <row r="1692" spans="1:11" hidden="1" x14ac:dyDescent="0.25">
      <c r="A1692" t="str">
        <f t="shared" si="229"/>
        <v>POMØ1</v>
      </c>
      <c r="B1692" s="81" t="s">
        <v>201</v>
      </c>
      <c r="D1692" s="86">
        <v>1</v>
      </c>
      <c r="E1692" s="85">
        <f t="shared" si="230"/>
        <v>1E-3</v>
      </c>
      <c r="F1692" s="85">
        <f t="shared" si="231"/>
        <v>5.0000000000000001E-4</v>
      </c>
      <c r="G1692" s="85">
        <f t="shared" si="232"/>
        <v>5.2359877559829886E-10</v>
      </c>
      <c r="H1692" s="85">
        <v>1370</v>
      </c>
      <c r="I1692" s="85">
        <f t="shared" si="233"/>
        <v>7.1733032256966945E-7</v>
      </c>
      <c r="J1692" s="87">
        <v>1</v>
      </c>
      <c r="K1692" s="88">
        <f t="shared" si="234"/>
        <v>1394057.8956954337</v>
      </c>
    </row>
    <row r="1693" spans="1:11" hidden="1" x14ac:dyDescent="0.25">
      <c r="A1693" t="str">
        <f t="shared" si="229"/>
        <v>Si3N4Ø1</v>
      </c>
      <c r="B1693" s="81" t="s">
        <v>207</v>
      </c>
      <c r="D1693" s="86">
        <v>1</v>
      </c>
      <c r="E1693" s="85">
        <f t="shared" si="230"/>
        <v>1E-3</v>
      </c>
      <c r="F1693" s="85">
        <f t="shared" si="231"/>
        <v>5.0000000000000001E-4</v>
      </c>
      <c r="G1693" s="85">
        <f t="shared" si="232"/>
        <v>5.2359877559829886E-10</v>
      </c>
      <c r="H1693" s="85">
        <v>3260</v>
      </c>
      <c r="I1693" s="85">
        <f t="shared" si="233"/>
        <v>1.7069320084504542E-6</v>
      </c>
      <c r="J1693" s="87">
        <v>1</v>
      </c>
      <c r="K1693" s="88">
        <f t="shared" si="234"/>
        <v>585846.41628918529</v>
      </c>
    </row>
    <row r="1694" spans="1:11" hidden="1" x14ac:dyDescent="0.25">
      <c r="A1694" t="str">
        <f t="shared" si="229"/>
        <v>PPHØ2,5</v>
      </c>
      <c r="B1694" s="81" t="s">
        <v>202</v>
      </c>
      <c r="D1694" s="86">
        <v>2.5</v>
      </c>
      <c r="E1694" s="85">
        <f t="shared" si="230"/>
        <v>2.5000000000000001E-3</v>
      </c>
      <c r="F1694" s="85">
        <f t="shared" si="231"/>
        <v>1.25E-3</v>
      </c>
      <c r="G1694" s="85">
        <f t="shared" si="232"/>
        <v>8.181230868723419E-9</v>
      </c>
      <c r="H1694" s="85">
        <v>870</v>
      </c>
      <c r="I1694" s="85">
        <f t="shared" si="233"/>
        <v>7.1176708557893749E-6</v>
      </c>
      <c r="J1694" s="87">
        <v>1</v>
      </c>
      <c r="K1694" s="88">
        <f t="shared" si="234"/>
        <v>140495.39803974211</v>
      </c>
    </row>
    <row r="1695" spans="1:11" hidden="1" x14ac:dyDescent="0.25">
      <c r="A1695" t="str">
        <f t="shared" si="229"/>
        <v>52100Ø5,04</v>
      </c>
      <c r="B1695" s="81">
        <v>52100</v>
      </c>
      <c r="D1695" s="86">
        <v>5.04</v>
      </c>
      <c r="E1695" s="85">
        <f t="shared" si="230"/>
        <v>5.0400000000000002E-3</v>
      </c>
      <c r="F1695" s="85">
        <f t="shared" si="231"/>
        <v>2.5200000000000001E-3</v>
      </c>
      <c r="G1695" s="85">
        <f t="shared" si="232"/>
        <v>6.7033243157518254E-8</v>
      </c>
      <c r="H1695" s="85">
        <v>7800</v>
      </c>
      <c r="I1695" s="85">
        <f t="shared" si="233"/>
        <v>5.2285929662864241E-4</v>
      </c>
      <c r="J1695" s="87">
        <v>1</v>
      </c>
      <c r="K1695" s="88">
        <f t="shared" si="234"/>
        <v>1912.5604277248681</v>
      </c>
    </row>
    <row r="1696" spans="1:11" hidden="1" x14ac:dyDescent="0.25">
      <c r="A1696" t="str">
        <f t="shared" si="229"/>
        <v>PPHØ1,5</v>
      </c>
      <c r="B1696" s="81" t="s">
        <v>202</v>
      </c>
      <c r="D1696" s="86">
        <v>1.5</v>
      </c>
      <c r="E1696" s="85">
        <f t="shared" si="230"/>
        <v>1.5E-3</v>
      </c>
      <c r="F1696" s="85">
        <f t="shared" si="231"/>
        <v>7.5000000000000002E-4</v>
      </c>
      <c r="G1696" s="85">
        <f t="shared" si="232"/>
        <v>1.7671458676442585E-9</v>
      </c>
      <c r="H1696" s="85">
        <v>1400</v>
      </c>
      <c r="I1696" s="85">
        <f t="shared" si="233"/>
        <v>2.4740042147019618E-6</v>
      </c>
      <c r="J1696" s="87">
        <v>1</v>
      </c>
      <c r="K1696" s="88">
        <f t="shared" si="234"/>
        <v>404203.0300746549</v>
      </c>
    </row>
    <row r="1697" spans="1:11" hidden="1" x14ac:dyDescent="0.25">
      <c r="A1697" t="str">
        <f t="shared" si="229"/>
        <v>316Ø3,5</v>
      </c>
      <c r="B1697" s="81">
        <v>316</v>
      </c>
      <c r="D1697" s="86">
        <v>3.5</v>
      </c>
      <c r="E1697" s="85">
        <f t="shared" si="230"/>
        <v>3.5000000000000001E-3</v>
      </c>
      <c r="F1697" s="85">
        <f t="shared" si="231"/>
        <v>1.75E-3</v>
      </c>
      <c r="G1697" s="85">
        <f t="shared" si="232"/>
        <v>2.2449297503777064E-8</v>
      </c>
      <c r="H1697" s="85">
        <v>7950</v>
      </c>
      <c r="I1697" s="85">
        <f t="shared" si="233"/>
        <v>1.7847191515502767E-4</v>
      </c>
      <c r="J1697" s="87">
        <v>1</v>
      </c>
      <c r="K1697" s="88">
        <f t="shared" si="234"/>
        <v>5603.1224808192428</v>
      </c>
    </row>
    <row r="1698" spans="1:11" hidden="1" x14ac:dyDescent="0.25">
      <c r="A1698" t="str">
        <f t="shared" si="229"/>
        <v>440CØ2</v>
      </c>
      <c r="B1698" s="81" t="s">
        <v>314</v>
      </c>
      <c r="D1698" s="86">
        <v>2</v>
      </c>
      <c r="E1698" s="85">
        <f t="shared" si="230"/>
        <v>2E-3</v>
      </c>
      <c r="F1698" s="85">
        <f t="shared" si="231"/>
        <v>1E-3</v>
      </c>
      <c r="G1698" s="85">
        <f t="shared" si="232"/>
        <v>4.1887902047863909E-9</v>
      </c>
      <c r="H1698" s="85">
        <v>7700</v>
      </c>
      <c r="I1698" s="85">
        <f t="shared" si="233"/>
        <v>3.2253684576855209E-5</v>
      </c>
      <c r="J1698" s="87">
        <v>1</v>
      </c>
      <c r="K1698" s="88">
        <f t="shared" si="234"/>
        <v>31004.209693226367</v>
      </c>
    </row>
    <row r="1699" spans="1:11" hidden="1" x14ac:dyDescent="0.25">
      <c r="A1699" t="str">
        <f t="shared" si="229"/>
        <v>316Ø4</v>
      </c>
      <c r="B1699" s="81">
        <v>316</v>
      </c>
      <c r="D1699" s="86">
        <v>4</v>
      </c>
      <c r="E1699" s="85">
        <f t="shared" si="230"/>
        <v>4.0000000000000001E-3</v>
      </c>
      <c r="F1699" s="85">
        <f t="shared" si="231"/>
        <v>2E-3</v>
      </c>
      <c r="G1699" s="85">
        <f t="shared" si="232"/>
        <v>3.3510321638291127E-8</v>
      </c>
      <c r="H1699" s="85">
        <v>7950</v>
      </c>
      <c r="I1699" s="85">
        <f t="shared" si="233"/>
        <v>2.6640705702441446E-4</v>
      </c>
      <c r="J1699" s="87">
        <v>1</v>
      </c>
      <c r="K1699" s="88">
        <f t="shared" si="234"/>
        <v>3753.6543182050787</v>
      </c>
    </row>
    <row r="1700" spans="1:11" hidden="1" x14ac:dyDescent="0.25">
      <c r="A1700" t="str">
        <f t="shared" si="229"/>
        <v>POMØ1,5875</v>
      </c>
      <c r="B1700" s="81" t="s">
        <v>201</v>
      </c>
      <c r="C1700" s="101" t="s">
        <v>246</v>
      </c>
      <c r="D1700" s="86">
        <f>1/16*25.4</f>
        <v>1.5874999999999999</v>
      </c>
      <c r="E1700" s="85">
        <f t="shared" si="230"/>
        <v>1.5874999999999999E-3</v>
      </c>
      <c r="F1700" s="85">
        <f t="shared" si="231"/>
        <v>7.9374999999999997E-4</v>
      </c>
      <c r="G1700" s="85">
        <f t="shared" si="232"/>
        <v>2.0947867788210349E-9</v>
      </c>
      <c r="H1700" s="85">
        <v>1370</v>
      </c>
      <c r="I1700" s="85">
        <f t="shared" si="233"/>
        <v>2.8698578869848178E-6</v>
      </c>
      <c r="J1700" s="87">
        <v>1</v>
      </c>
      <c r="K1700" s="88">
        <f t="shared" si="234"/>
        <v>348449.30981953192</v>
      </c>
    </row>
    <row r="1701" spans="1:11" hidden="1" x14ac:dyDescent="0.25">
      <c r="A1701" t="str">
        <f t="shared" si="229"/>
        <v>POMØ6,35</v>
      </c>
      <c r="B1701" s="81" t="s">
        <v>201</v>
      </c>
      <c r="C1701" s="101" t="s">
        <v>218</v>
      </c>
      <c r="D1701" s="86">
        <f>1/4*25.4</f>
        <v>6.35</v>
      </c>
      <c r="E1701" s="85">
        <f t="shared" si="230"/>
        <v>6.3499999999999997E-3</v>
      </c>
      <c r="F1701" s="85">
        <f t="shared" si="231"/>
        <v>3.1749999999999999E-3</v>
      </c>
      <c r="G1701" s="85">
        <f t="shared" si="232"/>
        <v>1.3406635384454623E-7</v>
      </c>
      <c r="H1701" s="85">
        <v>1370</v>
      </c>
      <c r="I1701" s="85">
        <f t="shared" si="233"/>
        <v>1.8367090476702834E-4</v>
      </c>
      <c r="J1701" s="87">
        <v>1</v>
      </c>
      <c r="K1701" s="88">
        <f t="shared" si="234"/>
        <v>5444.5204659301862</v>
      </c>
    </row>
    <row r="1702" spans="1:11" hidden="1" x14ac:dyDescent="0.25">
      <c r="A1702" t="str">
        <f t="shared" si="229"/>
        <v>304Ø4,1</v>
      </c>
      <c r="B1702" s="81">
        <v>304</v>
      </c>
      <c r="D1702" s="86">
        <v>4.0999999999999996</v>
      </c>
      <c r="E1702" s="85">
        <f t="shared" si="230"/>
        <v>4.0999999999999995E-3</v>
      </c>
      <c r="F1702" s="85">
        <f t="shared" si="231"/>
        <v>2.0499999999999997E-3</v>
      </c>
      <c r="G1702" s="85">
        <f t="shared" si="232"/>
        <v>3.6086951213010342E-8</v>
      </c>
      <c r="H1702" s="85">
        <v>7950</v>
      </c>
      <c r="I1702" s="85">
        <f t="shared" si="233"/>
        <v>2.8689126214343223E-4</v>
      </c>
      <c r="J1702" s="87">
        <v>1</v>
      </c>
      <c r="K1702" s="88">
        <f t="shared" si="234"/>
        <v>3485.6411886816081</v>
      </c>
    </row>
    <row r="1703" spans="1:11" hidden="1" x14ac:dyDescent="0.25">
      <c r="A1703" t="str">
        <f t="shared" si="229"/>
        <v>304Ø3,94875</v>
      </c>
      <c r="B1703" s="81">
        <v>304</v>
      </c>
      <c r="C1703" s="101" t="s">
        <v>349</v>
      </c>
      <c r="D1703" s="86">
        <f>5/32*25.4 -0.02</f>
        <v>3.94875</v>
      </c>
      <c r="E1703" s="85">
        <f t="shared" si="230"/>
        <v>3.94875E-3</v>
      </c>
      <c r="F1703" s="85">
        <f t="shared" si="231"/>
        <v>1.974375E-3</v>
      </c>
      <c r="G1703" s="85">
        <f t="shared" si="232"/>
        <v>3.2238701346901108E-8</v>
      </c>
      <c r="H1703" s="85">
        <v>7950</v>
      </c>
      <c r="I1703" s="85">
        <f t="shared" si="233"/>
        <v>2.562976757078638E-4</v>
      </c>
      <c r="J1703" s="87">
        <v>1</v>
      </c>
      <c r="K1703" s="88">
        <f t="shared" si="234"/>
        <v>3901.7131046472368</v>
      </c>
    </row>
    <row r="1704" spans="1:11" hidden="1" x14ac:dyDescent="0.25">
      <c r="A1704" t="str">
        <f t="shared" si="229"/>
        <v>Al2O3Ø1,5</v>
      </c>
      <c r="B1704" s="81" t="s">
        <v>217</v>
      </c>
      <c r="D1704" s="86">
        <v>1.5</v>
      </c>
      <c r="E1704" s="85">
        <f t="shared" si="230"/>
        <v>1.5E-3</v>
      </c>
      <c r="F1704" s="85">
        <f t="shared" si="231"/>
        <v>7.5000000000000002E-4</v>
      </c>
      <c r="G1704" s="85">
        <f t="shared" si="232"/>
        <v>1.7671458676442585E-9</v>
      </c>
      <c r="H1704" s="85">
        <v>3900</v>
      </c>
      <c r="I1704" s="85">
        <f t="shared" si="233"/>
        <v>6.8918688838126086E-6</v>
      </c>
      <c r="J1704" s="87">
        <v>1</v>
      </c>
      <c r="K1704" s="88">
        <f t="shared" si="234"/>
        <v>145098.52361654275</v>
      </c>
    </row>
    <row r="1705" spans="1:11" hidden="1" x14ac:dyDescent="0.25">
      <c r="A1705" t="str">
        <f t="shared" si="229"/>
        <v>Al2O3Ø1,5</v>
      </c>
      <c r="B1705" s="81" t="s">
        <v>217</v>
      </c>
      <c r="D1705" s="86">
        <v>1.5</v>
      </c>
      <c r="E1705" s="85">
        <f t="shared" si="230"/>
        <v>1.5E-3</v>
      </c>
      <c r="F1705" s="85">
        <f t="shared" si="231"/>
        <v>7.5000000000000002E-4</v>
      </c>
      <c r="G1705" s="85">
        <f t="shared" si="232"/>
        <v>1.7671458676442585E-9</v>
      </c>
      <c r="H1705" s="85">
        <v>3930</v>
      </c>
      <c r="I1705" s="85">
        <f t="shared" si="233"/>
        <v>6.9448832598419361E-6</v>
      </c>
      <c r="J1705" s="87">
        <v>1</v>
      </c>
      <c r="K1705" s="88">
        <f t="shared" si="234"/>
        <v>143990.90129885924</v>
      </c>
    </row>
    <row r="1706" spans="1:11" hidden="1" x14ac:dyDescent="0.25">
      <c r="A1706" t="str">
        <f t="shared" si="229"/>
        <v>POMØ3,96875</v>
      </c>
      <c r="B1706" s="81" t="s">
        <v>201</v>
      </c>
      <c r="C1706" s="101" t="s">
        <v>215</v>
      </c>
      <c r="D1706" s="86">
        <f>5/32*25.4</f>
        <v>3.96875</v>
      </c>
      <c r="E1706" s="85">
        <f t="shared" si="230"/>
        <v>3.9687500000000001E-3</v>
      </c>
      <c r="F1706" s="85">
        <f t="shared" si="231"/>
        <v>1.984375E-3</v>
      </c>
      <c r="G1706" s="85">
        <f t="shared" si="232"/>
        <v>3.2731043419078684E-8</v>
      </c>
      <c r="H1706" s="85">
        <v>1370</v>
      </c>
      <c r="I1706" s="85">
        <f t="shared" si="233"/>
        <v>4.4841529484137795E-5</v>
      </c>
      <c r="J1706" s="87">
        <v>1</v>
      </c>
      <c r="K1706" s="88">
        <f t="shared" si="234"/>
        <v>22300.755828450034</v>
      </c>
    </row>
    <row r="1707" spans="1:11" hidden="1" x14ac:dyDescent="0.25">
      <c r="A1707" t="str">
        <f t="shared" si="229"/>
        <v>420CØ1</v>
      </c>
      <c r="B1707" s="81" t="s">
        <v>295</v>
      </c>
      <c r="D1707" s="86">
        <v>1</v>
      </c>
      <c r="E1707" s="85">
        <f t="shared" si="230"/>
        <v>1E-3</v>
      </c>
      <c r="F1707" s="85">
        <f t="shared" si="231"/>
        <v>5.0000000000000001E-4</v>
      </c>
      <c r="G1707" s="85">
        <f t="shared" si="232"/>
        <v>5.2359877559829886E-10</v>
      </c>
      <c r="H1707" s="85">
        <v>7700</v>
      </c>
      <c r="I1707" s="85">
        <f t="shared" si="233"/>
        <v>4.0317105721069012E-6</v>
      </c>
      <c r="J1707" s="87">
        <v>1</v>
      </c>
      <c r="K1707" s="88">
        <f t="shared" si="234"/>
        <v>248033.67754581093</v>
      </c>
    </row>
    <row r="1708" spans="1:11" hidden="1" x14ac:dyDescent="0.25">
      <c r="A1708" t="str">
        <f t="shared" si="229"/>
        <v>WC-CoØ0,4</v>
      </c>
      <c r="B1708" s="81" t="s">
        <v>297</v>
      </c>
      <c r="D1708" s="86">
        <v>0.4</v>
      </c>
      <c r="E1708" s="85">
        <f t="shared" si="230"/>
        <v>4.0000000000000002E-4</v>
      </c>
      <c r="F1708" s="85">
        <f t="shared" si="231"/>
        <v>2.0000000000000001E-4</v>
      </c>
      <c r="G1708" s="85">
        <f t="shared" si="232"/>
        <v>3.3510321638291128E-11</v>
      </c>
      <c r="H1708" s="85">
        <v>14950</v>
      </c>
      <c r="I1708" s="85">
        <f t="shared" si="233"/>
        <v>5.0097930849245242E-7</v>
      </c>
      <c r="J1708" s="87">
        <v>1</v>
      </c>
      <c r="K1708" s="88">
        <f t="shared" si="234"/>
        <v>1996090.4233933359</v>
      </c>
    </row>
    <row r="1709" spans="1:11" hidden="1" x14ac:dyDescent="0.25">
      <c r="A1709" t="str">
        <f t="shared" si="229"/>
        <v>316LØ1</v>
      </c>
      <c r="B1709" s="81" t="s">
        <v>298</v>
      </c>
      <c r="D1709" s="86">
        <v>1</v>
      </c>
      <c r="E1709" s="85">
        <f t="shared" si="230"/>
        <v>1E-3</v>
      </c>
      <c r="F1709" s="85">
        <f t="shared" si="231"/>
        <v>5.0000000000000001E-4</v>
      </c>
      <c r="G1709" s="85">
        <f t="shared" si="232"/>
        <v>5.2359877559829886E-10</v>
      </c>
      <c r="H1709" s="85">
        <v>7950</v>
      </c>
      <c r="I1709" s="85">
        <f t="shared" si="233"/>
        <v>4.1626102660064759E-6</v>
      </c>
      <c r="J1709" s="87">
        <v>1</v>
      </c>
      <c r="K1709" s="88">
        <f t="shared" si="234"/>
        <v>240233.87636512503</v>
      </c>
    </row>
    <row r="1710" spans="1:11" hidden="1" x14ac:dyDescent="0.25">
      <c r="A1710" t="str">
        <f t="shared" si="229"/>
        <v>POMØ1</v>
      </c>
      <c r="B1710" s="81" t="s">
        <v>201</v>
      </c>
      <c r="D1710" s="86">
        <v>1</v>
      </c>
      <c r="E1710" s="85">
        <f t="shared" si="230"/>
        <v>1E-3</v>
      </c>
      <c r="F1710" s="85">
        <f t="shared" si="231"/>
        <v>5.0000000000000001E-4</v>
      </c>
      <c r="G1710" s="85">
        <f t="shared" si="232"/>
        <v>5.2359877559829886E-10</v>
      </c>
      <c r="H1710" s="85">
        <v>1370</v>
      </c>
      <c r="I1710" s="85">
        <f t="shared" si="233"/>
        <v>7.1733032256966945E-7</v>
      </c>
      <c r="J1710" s="87">
        <v>1</v>
      </c>
      <c r="K1710" s="88">
        <f t="shared" si="234"/>
        <v>1394057.8956954337</v>
      </c>
    </row>
    <row r="1711" spans="1:11" hidden="1" x14ac:dyDescent="0.25">
      <c r="A1711" t="str">
        <f t="shared" si="229"/>
        <v>52100Ø1,5</v>
      </c>
      <c r="B1711" s="81">
        <v>52100</v>
      </c>
      <c r="D1711" s="86">
        <v>1.5</v>
      </c>
      <c r="E1711" s="85">
        <f t="shared" si="230"/>
        <v>1.5E-3</v>
      </c>
      <c r="F1711" s="85">
        <f t="shared" si="231"/>
        <v>7.5000000000000002E-4</v>
      </c>
      <c r="G1711" s="85">
        <f t="shared" si="232"/>
        <v>1.7671458676442585E-9</v>
      </c>
      <c r="H1711" s="85">
        <v>7800</v>
      </c>
      <c r="I1711" s="85">
        <f t="shared" si="233"/>
        <v>1.3783737767625217E-5</v>
      </c>
      <c r="J1711" s="87">
        <v>1</v>
      </c>
      <c r="K1711" s="88">
        <f t="shared" si="234"/>
        <v>72549.261808271374</v>
      </c>
    </row>
    <row r="1712" spans="1:11" hidden="1" x14ac:dyDescent="0.25">
      <c r="A1712" t="str">
        <f t="shared" si="229"/>
        <v>440CØ1,2</v>
      </c>
      <c r="B1712" s="81" t="s">
        <v>314</v>
      </c>
      <c r="D1712" s="86">
        <v>1.2</v>
      </c>
      <c r="E1712" s="85">
        <f t="shared" si="230"/>
        <v>1.1999999999999999E-3</v>
      </c>
      <c r="F1712" s="85">
        <f t="shared" si="231"/>
        <v>5.9999999999999995E-4</v>
      </c>
      <c r="G1712" s="85">
        <f t="shared" si="232"/>
        <v>9.0477868423386013E-10</v>
      </c>
      <c r="H1712" s="85">
        <v>7700</v>
      </c>
      <c r="I1712" s="85">
        <f t="shared" si="233"/>
        <v>6.9667958686007232E-6</v>
      </c>
      <c r="J1712" s="87">
        <v>1</v>
      </c>
      <c r="K1712" s="88">
        <f t="shared" si="234"/>
        <v>143538.007839011</v>
      </c>
    </row>
    <row r="1713" spans="1:11" hidden="1" x14ac:dyDescent="0.25">
      <c r="A1713" t="str">
        <f t="shared" si="229"/>
        <v>316Ø0,5</v>
      </c>
      <c r="B1713" s="81">
        <v>316</v>
      </c>
      <c r="D1713" s="86">
        <v>0.5</v>
      </c>
      <c r="E1713" s="85">
        <f t="shared" si="230"/>
        <v>5.0000000000000001E-4</v>
      </c>
      <c r="F1713" s="85">
        <f t="shared" si="231"/>
        <v>2.5000000000000001E-4</v>
      </c>
      <c r="G1713" s="85">
        <f t="shared" si="232"/>
        <v>6.5449846949787358E-11</v>
      </c>
      <c r="H1713" s="85">
        <v>7950</v>
      </c>
      <c r="I1713" s="85">
        <f t="shared" si="233"/>
        <v>5.2032628325080949E-7</v>
      </c>
      <c r="J1713" s="87">
        <v>1</v>
      </c>
      <c r="K1713" s="88">
        <f t="shared" si="234"/>
        <v>1921871.0109210003</v>
      </c>
    </row>
    <row r="1714" spans="1:11" hidden="1" x14ac:dyDescent="0.25">
      <c r="A1714" t="str">
        <f t="shared" si="229"/>
        <v>52100Ø0,396875</v>
      </c>
      <c r="B1714" s="81">
        <v>52100</v>
      </c>
      <c r="C1714" s="101" t="s">
        <v>211</v>
      </c>
      <c r="D1714" s="86">
        <f>1/64*25.4</f>
        <v>0.39687499999999998</v>
      </c>
      <c r="E1714" s="85">
        <f t="shared" si="230"/>
        <v>3.9687499999999998E-4</v>
      </c>
      <c r="F1714" s="85">
        <f t="shared" si="231"/>
        <v>1.9843749999999999E-4</v>
      </c>
      <c r="G1714" s="85">
        <f t="shared" si="232"/>
        <v>3.273104341907867E-11</v>
      </c>
      <c r="H1714" s="85">
        <v>7800</v>
      </c>
      <c r="I1714" s="85">
        <f t="shared" si="233"/>
        <v>2.5530213866881361E-7</v>
      </c>
      <c r="J1714" s="87">
        <v>1</v>
      </c>
      <c r="K1714" s="88">
        <f t="shared" si="234"/>
        <v>3916927.6262790463</v>
      </c>
    </row>
    <row r="1715" spans="1:11" hidden="1" x14ac:dyDescent="0.25">
      <c r="A1715" t="str">
        <f t="shared" si="229"/>
        <v>PA6.6Ø2</v>
      </c>
      <c r="B1715" s="81" t="s">
        <v>244</v>
      </c>
      <c r="D1715" s="86">
        <v>2</v>
      </c>
      <c r="E1715" s="85">
        <f t="shared" si="230"/>
        <v>2E-3</v>
      </c>
      <c r="F1715" s="85">
        <f t="shared" si="231"/>
        <v>1E-3</v>
      </c>
      <c r="G1715" s="85">
        <f t="shared" si="232"/>
        <v>4.1887902047863909E-9</v>
      </c>
      <c r="H1715" s="85">
        <v>1110</v>
      </c>
      <c r="I1715" s="85">
        <f t="shared" si="233"/>
        <v>4.6495571273128935E-6</v>
      </c>
      <c r="J1715" s="87">
        <v>1</v>
      </c>
      <c r="K1715" s="88">
        <f t="shared" si="234"/>
        <v>215074.24742148022</v>
      </c>
    </row>
    <row r="1716" spans="1:11" hidden="1" x14ac:dyDescent="0.25">
      <c r="A1716" t="str">
        <f t="shared" si="229"/>
        <v>PA6.6Ø2</v>
      </c>
      <c r="B1716" s="81" t="s">
        <v>244</v>
      </c>
      <c r="D1716" s="86">
        <v>2</v>
      </c>
      <c r="E1716" s="85">
        <f t="shared" si="230"/>
        <v>2E-3</v>
      </c>
      <c r="F1716" s="85">
        <f t="shared" si="231"/>
        <v>1E-3</v>
      </c>
      <c r="G1716" s="85">
        <f t="shared" si="232"/>
        <v>4.1887902047863909E-9</v>
      </c>
      <c r="H1716" s="85">
        <v>1110</v>
      </c>
      <c r="I1716" s="85">
        <f t="shared" si="233"/>
        <v>4.6495571273128935E-6</v>
      </c>
      <c r="J1716" s="87">
        <v>1</v>
      </c>
      <c r="K1716" s="88">
        <f t="shared" si="234"/>
        <v>215074.24742148022</v>
      </c>
    </row>
    <row r="1717" spans="1:11" hidden="1" x14ac:dyDescent="0.25">
      <c r="A1717" t="str">
        <f t="shared" si="229"/>
        <v>52100Ø5,04</v>
      </c>
      <c r="B1717" s="81">
        <v>52100</v>
      </c>
      <c r="D1717" s="86">
        <v>5.04</v>
      </c>
      <c r="E1717" s="85">
        <f>D1717/1000</f>
        <v>5.0400000000000002E-3</v>
      </c>
      <c r="F1717" s="85">
        <f>E1717/2</f>
        <v>2.5200000000000001E-3</v>
      </c>
      <c r="G1717" s="85">
        <f>4/3*PI()*F1717*F1717*F1717</f>
        <v>6.7033243157518254E-8</v>
      </c>
      <c r="H1717" s="85">
        <v>7800</v>
      </c>
      <c r="I1717" s="85">
        <f t="shared" si="233"/>
        <v>5.2285929662864241E-4</v>
      </c>
      <c r="J1717" s="87">
        <v>1</v>
      </c>
      <c r="K1717" s="88">
        <f t="shared" si="234"/>
        <v>1912.5604277248681</v>
      </c>
    </row>
    <row r="1718" spans="1:11" hidden="1" x14ac:dyDescent="0.25">
      <c r="A1718" t="str">
        <f t="shared" si="229"/>
        <v>POMØ7,9375</v>
      </c>
      <c r="B1718" s="81" t="s">
        <v>201</v>
      </c>
      <c r="C1718" s="101" t="s">
        <v>252</v>
      </c>
      <c r="D1718" s="86">
        <f>5/16*25.4</f>
        <v>7.9375</v>
      </c>
      <c r="E1718" s="85">
        <f>D1718/1000</f>
        <v>7.9375000000000001E-3</v>
      </c>
      <c r="F1718" s="85">
        <f>E1718/2</f>
        <v>3.9687500000000001E-3</v>
      </c>
      <c r="G1718" s="85">
        <f>4/3*PI()*F1718*F1718*F1718</f>
        <v>2.6184834735262947E-7</v>
      </c>
      <c r="H1718" s="85">
        <v>1360</v>
      </c>
      <c r="I1718" s="85">
        <f t="shared" si="233"/>
        <v>3.561137523995761E-4</v>
      </c>
      <c r="J1718" s="87">
        <v>1</v>
      </c>
      <c r="K1718" s="88">
        <f t="shared" si="234"/>
        <v>2808.0914967809322</v>
      </c>
    </row>
    <row r="1719" spans="1:11" hidden="1" x14ac:dyDescent="0.25">
      <c r="A1719" t="str">
        <f t="shared" si="229"/>
        <v>52100Ø3,1</v>
      </c>
      <c r="B1719" s="81">
        <v>52100</v>
      </c>
      <c r="D1719" s="86">
        <v>3.1</v>
      </c>
      <c r="E1719" s="85">
        <f>D1719/1000</f>
        <v>3.0999999999999999E-3</v>
      </c>
      <c r="F1719" s="85">
        <f>E1719/2</f>
        <v>1.5499999999999999E-3</v>
      </c>
      <c r="G1719" s="85">
        <f>4/3*PI()*F1719*F1719*F1719</f>
        <v>1.5598531123848918E-8</v>
      </c>
      <c r="H1719" s="85">
        <v>7800</v>
      </c>
      <c r="I1719" s="85">
        <f>H1719*G1719</f>
        <v>1.2166854276602155E-4</v>
      </c>
      <c r="J1719" s="87">
        <v>1</v>
      </c>
      <c r="K1719" s="88">
        <f>J1719/I1719</f>
        <v>8219.051344463629</v>
      </c>
    </row>
    <row r="1720" spans="1:11" hidden="1" x14ac:dyDescent="0.25">
      <c r="A1720" t="str">
        <f t="shared" si="229"/>
        <v>52100Ø0,25</v>
      </c>
      <c r="B1720" s="81">
        <v>52100</v>
      </c>
      <c r="D1720" s="86">
        <v>0.25</v>
      </c>
      <c r="E1720" s="85">
        <f>D1720/1000</f>
        <v>2.5000000000000001E-4</v>
      </c>
      <c r="F1720" s="85">
        <f>E1720/2</f>
        <v>1.25E-4</v>
      </c>
      <c r="G1720" s="85">
        <f>4/3*PI()*F1720*F1720*F1720</f>
        <v>8.1812308687234197E-12</v>
      </c>
      <c r="H1720" s="85">
        <v>7800</v>
      </c>
      <c r="I1720" s="85">
        <f>H1720*G1720</f>
        <v>6.3813600776042676E-8</v>
      </c>
      <c r="J1720" s="87">
        <v>1</v>
      </c>
      <c r="K1720" s="88">
        <f>J1720/I1720</f>
        <v>15670640.550586618</v>
      </c>
    </row>
    <row r="1721" spans="1:11" hidden="1" x14ac:dyDescent="0.25">
      <c r="A1721" t="str">
        <f t="shared" si="229"/>
        <v>52100Ø0,2</v>
      </c>
      <c r="B1721" s="81">
        <v>52100</v>
      </c>
      <c r="D1721" s="86">
        <v>0.2</v>
      </c>
      <c r="E1721" s="85">
        <f t="shared" ref="E1721:E1784" si="235">D1721/1000</f>
        <v>2.0000000000000001E-4</v>
      </c>
      <c r="F1721" s="85">
        <f t="shared" ref="F1721:F1784" si="236">E1721/2</f>
        <v>1E-4</v>
      </c>
      <c r="G1721" s="85">
        <f t="shared" ref="G1721:G1784" si="237">4/3*PI()*F1721*F1721*F1721</f>
        <v>4.188790204786391E-12</v>
      </c>
      <c r="H1721" s="85">
        <v>7800</v>
      </c>
      <c r="I1721" s="85">
        <f t="shared" ref="I1721:I1784" si="238">H1721*G1721</f>
        <v>3.2672563597333849E-8</v>
      </c>
      <c r="J1721" s="87">
        <v>1</v>
      </c>
      <c r="K1721" s="88">
        <f t="shared" ref="K1721:K1784" si="239">J1721/I1721</f>
        <v>30606719.825364489</v>
      </c>
    </row>
    <row r="1722" spans="1:11" hidden="1" x14ac:dyDescent="0.25">
      <c r="A1722" t="str">
        <f t="shared" si="229"/>
        <v>TorlonØ4,7625</v>
      </c>
      <c r="B1722" s="81" t="s">
        <v>324</v>
      </c>
      <c r="C1722" s="101" t="s">
        <v>248</v>
      </c>
      <c r="D1722" s="86">
        <f>3/16*25.4</f>
        <v>4.7624999999999993</v>
      </c>
      <c r="E1722" s="85">
        <f t="shared" si="235"/>
        <v>4.7624999999999994E-3</v>
      </c>
      <c r="F1722" s="85">
        <f t="shared" si="236"/>
        <v>2.3812499999999997E-3</v>
      </c>
      <c r="G1722" s="85">
        <f t="shared" si="237"/>
        <v>5.6559243028167934E-8</v>
      </c>
      <c r="H1722" s="85">
        <v>1410</v>
      </c>
      <c r="I1722" s="85">
        <f t="shared" si="238"/>
        <v>7.9748532669716789E-5</v>
      </c>
      <c r="J1722" s="87">
        <v>1</v>
      </c>
      <c r="K1722" s="88">
        <f t="shared" si="239"/>
        <v>12539.41566726448</v>
      </c>
    </row>
    <row r="1723" spans="1:11" hidden="1" x14ac:dyDescent="0.25">
      <c r="A1723" t="str">
        <f t="shared" si="229"/>
        <v>52100Ø1,5875</v>
      </c>
      <c r="B1723" s="81">
        <v>52100</v>
      </c>
      <c r="C1723" s="101" t="s">
        <v>246</v>
      </c>
      <c r="D1723" s="86">
        <f>1/16*25.4</f>
        <v>1.5874999999999999</v>
      </c>
      <c r="E1723" s="85">
        <f t="shared" si="235"/>
        <v>1.5874999999999999E-3</v>
      </c>
      <c r="F1723" s="85">
        <f t="shared" si="236"/>
        <v>7.9374999999999997E-4</v>
      </c>
      <c r="G1723" s="85">
        <f t="shared" si="237"/>
        <v>2.0947867788210349E-9</v>
      </c>
      <c r="H1723" s="85">
        <v>7800</v>
      </c>
      <c r="I1723" s="85">
        <f t="shared" si="238"/>
        <v>1.6339336874804071E-5</v>
      </c>
      <c r="J1723" s="87">
        <v>1</v>
      </c>
      <c r="K1723" s="88">
        <f t="shared" si="239"/>
        <v>61201.994160610098</v>
      </c>
    </row>
    <row r="1724" spans="1:11" hidden="1" x14ac:dyDescent="0.25">
      <c r="A1724" t="str">
        <f t="shared" si="229"/>
        <v>PPHØ3,175</v>
      </c>
      <c r="B1724" s="81" t="s">
        <v>202</v>
      </c>
      <c r="C1724" s="101" t="s">
        <v>214</v>
      </c>
      <c r="D1724" s="86">
        <f>1/8*25.4</f>
        <v>3.1749999999999998</v>
      </c>
      <c r="E1724" s="85">
        <f t="shared" si="235"/>
        <v>3.1749999999999999E-3</v>
      </c>
      <c r="F1724" s="85">
        <f t="shared" si="236"/>
        <v>1.5874999999999999E-3</v>
      </c>
      <c r="G1724" s="85">
        <f t="shared" si="237"/>
        <v>1.6758294230568279E-8</v>
      </c>
      <c r="H1724" s="85">
        <v>895</v>
      </c>
      <c r="I1724" s="85">
        <f t="shared" si="238"/>
        <v>1.499867333635861E-5</v>
      </c>
      <c r="J1724" s="87">
        <v>1</v>
      </c>
      <c r="K1724" s="88">
        <f t="shared" si="239"/>
        <v>66672.563471055691</v>
      </c>
    </row>
    <row r="1725" spans="1:11" hidden="1" x14ac:dyDescent="0.25">
      <c r="A1725" t="str">
        <f t="shared" si="229"/>
        <v>Si3N4Ø1,984375</v>
      </c>
      <c r="B1725" s="81" t="s">
        <v>207</v>
      </c>
      <c r="C1725" s="101" t="s">
        <v>327</v>
      </c>
      <c r="D1725" s="86">
        <f>5/64*25.4</f>
        <v>1.984375</v>
      </c>
      <c r="E1725" s="85">
        <f t="shared" si="235"/>
        <v>1.984375E-3</v>
      </c>
      <c r="F1725" s="85">
        <f t="shared" si="236"/>
        <v>9.9218750000000001E-4</v>
      </c>
      <c r="G1725" s="85">
        <f t="shared" si="237"/>
        <v>4.0913804273848354E-9</v>
      </c>
      <c r="H1725" s="85">
        <v>3260</v>
      </c>
      <c r="I1725" s="85">
        <f t="shared" si="238"/>
        <v>1.3337900193274563E-5</v>
      </c>
      <c r="J1725" s="87">
        <v>1</v>
      </c>
      <c r="K1725" s="88">
        <f t="shared" si="239"/>
        <v>74974.320208531397</v>
      </c>
    </row>
    <row r="1726" spans="1:11" hidden="1" x14ac:dyDescent="0.25">
      <c r="A1726" t="str">
        <f t="shared" si="229"/>
        <v>304Ø0,9</v>
      </c>
      <c r="B1726" s="81">
        <v>304</v>
      </c>
      <c r="D1726" s="86">
        <v>0.9</v>
      </c>
      <c r="E1726" s="85">
        <f t="shared" si="235"/>
        <v>8.9999999999999998E-4</v>
      </c>
      <c r="F1726" s="85">
        <f t="shared" si="236"/>
        <v>4.4999999999999999E-4</v>
      </c>
      <c r="G1726" s="85">
        <f t="shared" si="237"/>
        <v>3.8170350741115976E-10</v>
      </c>
      <c r="H1726" s="85">
        <v>7950</v>
      </c>
      <c r="I1726" s="85">
        <f t="shared" si="238"/>
        <v>3.03454288391872E-6</v>
      </c>
      <c r="J1726" s="87">
        <v>1</v>
      </c>
      <c r="K1726" s="88">
        <f t="shared" si="239"/>
        <v>329538.92505504133</v>
      </c>
    </row>
    <row r="1727" spans="1:11" hidden="1" x14ac:dyDescent="0.25">
      <c r="A1727" t="str">
        <f t="shared" si="229"/>
        <v>420CØ1</v>
      </c>
      <c r="B1727" s="81" t="s">
        <v>295</v>
      </c>
      <c r="D1727" s="86">
        <v>1</v>
      </c>
      <c r="E1727" s="85">
        <f t="shared" si="235"/>
        <v>1E-3</v>
      </c>
      <c r="F1727" s="85">
        <f t="shared" si="236"/>
        <v>5.0000000000000001E-4</v>
      </c>
      <c r="G1727" s="85">
        <f t="shared" si="237"/>
        <v>5.2359877559829886E-10</v>
      </c>
      <c r="H1727" s="85">
        <v>7700</v>
      </c>
      <c r="I1727" s="85">
        <f t="shared" si="238"/>
        <v>4.0317105721069012E-6</v>
      </c>
      <c r="J1727" s="87">
        <v>1</v>
      </c>
      <c r="K1727" s="88">
        <f t="shared" si="239"/>
        <v>248033.67754581093</v>
      </c>
    </row>
    <row r="1728" spans="1:11" hidden="1" x14ac:dyDescent="0.25">
      <c r="A1728" t="str">
        <f t="shared" si="229"/>
        <v>420CØ1</v>
      </c>
      <c r="B1728" s="81" t="s">
        <v>295</v>
      </c>
      <c r="D1728" s="86">
        <v>1</v>
      </c>
      <c r="E1728" s="85">
        <f t="shared" si="235"/>
        <v>1E-3</v>
      </c>
      <c r="F1728" s="85">
        <f t="shared" si="236"/>
        <v>5.0000000000000001E-4</v>
      </c>
      <c r="G1728" s="85">
        <f t="shared" si="237"/>
        <v>5.2359877559829886E-10</v>
      </c>
      <c r="H1728" s="85">
        <v>7700</v>
      </c>
      <c r="I1728" s="85">
        <f t="shared" si="238"/>
        <v>4.0317105721069012E-6</v>
      </c>
      <c r="J1728" s="87">
        <v>1</v>
      </c>
      <c r="K1728" s="88">
        <f t="shared" si="239"/>
        <v>248033.67754581093</v>
      </c>
    </row>
    <row r="1729" spans="1:11" hidden="1" x14ac:dyDescent="0.25">
      <c r="A1729" t="str">
        <f t="shared" si="229"/>
        <v>52100Ø1,5875</v>
      </c>
      <c r="B1729" s="81">
        <v>52100</v>
      </c>
      <c r="C1729" s="101" t="s">
        <v>246</v>
      </c>
      <c r="D1729" s="86">
        <f>1/16*25.4</f>
        <v>1.5874999999999999</v>
      </c>
      <c r="E1729" s="85">
        <f t="shared" si="235"/>
        <v>1.5874999999999999E-3</v>
      </c>
      <c r="F1729" s="85">
        <f t="shared" si="236"/>
        <v>7.9374999999999997E-4</v>
      </c>
      <c r="G1729" s="85">
        <f t="shared" si="237"/>
        <v>2.0947867788210349E-9</v>
      </c>
      <c r="H1729" s="85">
        <v>7800</v>
      </c>
      <c r="I1729" s="85">
        <f t="shared" si="238"/>
        <v>1.6339336874804071E-5</v>
      </c>
      <c r="J1729" s="87">
        <v>1</v>
      </c>
      <c r="K1729" s="88">
        <f t="shared" si="239"/>
        <v>61201.994160610098</v>
      </c>
    </row>
    <row r="1730" spans="1:11" hidden="1" x14ac:dyDescent="0.25">
      <c r="A1730" t="str">
        <f t="shared" si="229"/>
        <v>PPHØ5</v>
      </c>
      <c r="B1730" s="81" t="s">
        <v>202</v>
      </c>
      <c r="D1730" s="86">
        <v>5</v>
      </c>
      <c r="E1730" s="85">
        <f t="shared" si="235"/>
        <v>5.0000000000000001E-3</v>
      </c>
      <c r="F1730" s="85">
        <f t="shared" si="236"/>
        <v>2.5000000000000001E-3</v>
      </c>
      <c r="G1730" s="85">
        <f t="shared" si="237"/>
        <v>6.5449846949787352E-8</v>
      </c>
      <c r="H1730" s="85">
        <v>870</v>
      </c>
      <c r="I1730" s="85">
        <f t="shared" si="238"/>
        <v>5.6941366846314999E-5</v>
      </c>
      <c r="J1730" s="87">
        <v>1</v>
      </c>
      <c r="K1730" s="88">
        <f t="shared" si="239"/>
        <v>17561.924754967764</v>
      </c>
    </row>
    <row r="1731" spans="1:11" hidden="1" x14ac:dyDescent="0.25">
      <c r="A1731" t="str">
        <f t="shared" si="229"/>
        <v>PPHØ3,96875</v>
      </c>
      <c r="B1731" s="81" t="s">
        <v>202</v>
      </c>
      <c r="C1731" s="101" t="s">
        <v>215</v>
      </c>
      <c r="D1731" s="86">
        <f>5/32*25.4</f>
        <v>3.96875</v>
      </c>
      <c r="E1731" s="85">
        <f t="shared" si="235"/>
        <v>3.9687500000000001E-3</v>
      </c>
      <c r="F1731" s="85">
        <f t="shared" si="236"/>
        <v>1.984375E-3</v>
      </c>
      <c r="G1731" s="85">
        <f t="shared" si="237"/>
        <v>3.2731043419078684E-8</v>
      </c>
      <c r="H1731" s="85">
        <v>870</v>
      </c>
      <c r="I1731" s="85">
        <f t="shared" si="238"/>
        <v>2.8476007774598456E-5</v>
      </c>
      <c r="J1731" s="87">
        <v>1</v>
      </c>
      <c r="K1731" s="88">
        <f t="shared" si="239"/>
        <v>35117.282166639707</v>
      </c>
    </row>
    <row r="1732" spans="1:11" hidden="1" x14ac:dyDescent="0.25">
      <c r="A1732" t="str">
        <f t="shared" ref="A1732:A1795" si="240">CONCATENATE(B1732,"Ø",D1732)</f>
        <v>1010Ø3</v>
      </c>
      <c r="B1732" s="81">
        <v>1010</v>
      </c>
      <c r="D1732" s="86">
        <v>3</v>
      </c>
      <c r="E1732" s="85">
        <f t="shared" si="235"/>
        <v>3.0000000000000001E-3</v>
      </c>
      <c r="F1732" s="85">
        <f t="shared" si="236"/>
        <v>1.5E-3</v>
      </c>
      <c r="G1732" s="85">
        <f t="shared" si="237"/>
        <v>1.4137166941154068E-8</v>
      </c>
      <c r="H1732" s="85">
        <v>7820</v>
      </c>
      <c r="I1732" s="85">
        <f t="shared" si="238"/>
        <v>1.1055264547982482E-4</v>
      </c>
      <c r="J1732" s="87">
        <v>1</v>
      </c>
      <c r="K1732" s="88">
        <f t="shared" si="239"/>
        <v>9045.4642280133758</v>
      </c>
    </row>
    <row r="1733" spans="1:11" hidden="1" x14ac:dyDescent="0.25">
      <c r="A1733" t="str">
        <f t="shared" si="240"/>
        <v>1010Ø3,175</v>
      </c>
      <c r="B1733" s="81">
        <v>1010</v>
      </c>
      <c r="C1733" s="101" t="s">
        <v>214</v>
      </c>
      <c r="D1733" s="86">
        <f>1/8*25.4</f>
        <v>3.1749999999999998</v>
      </c>
      <c r="E1733" s="85">
        <f t="shared" si="235"/>
        <v>3.1749999999999999E-3</v>
      </c>
      <c r="F1733" s="85">
        <f t="shared" si="236"/>
        <v>1.5874999999999999E-3</v>
      </c>
      <c r="G1733" s="85">
        <f t="shared" si="237"/>
        <v>1.6758294230568279E-8</v>
      </c>
      <c r="H1733" s="85">
        <v>7820</v>
      </c>
      <c r="I1733" s="85">
        <f t="shared" si="238"/>
        <v>1.3104986088304394E-4</v>
      </c>
      <c r="J1733" s="87">
        <v>1</v>
      </c>
      <c r="K1733" s="88">
        <f t="shared" si="239"/>
        <v>7630.6834151655812</v>
      </c>
    </row>
    <row r="1734" spans="1:11" hidden="1" x14ac:dyDescent="0.25">
      <c r="A1734" t="str">
        <f t="shared" si="240"/>
        <v>PA6.6Ø3,96875</v>
      </c>
      <c r="B1734" s="81" t="s">
        <v>244</v>
      </c>
      <c r="C1734" s="101" t="s">
        <v>215</v>
      </c>
      <c r="D1734" s="86">
        <f>5/32*25.4</f>
        <v>3.96875</v>
      </c>
      <c r="E1734" s="85">
        <f t="shared" si="235"/>
        <v>3.9687500000000001E-3</v>
      </c>
      <c r="F1734" s="85">
        <f t="shared" si="236"/>
        <v>1.984375E-3</v>
      </c>
      <c r="G1734" s="85">
        <f t="shared" si="237"/>
        <v>3.2731043419078684E-8</v>
      </c>
      <c r="H1734" s="85">
        <v>1110</v>
      </c>
      <c r="I1734" s="85">
        <f t="shared" si="238"/>
        <v>3.6331458195177338E-5</v>
      </c>
      <c r="J1734" s="87">
        <v>1</v>
      </c>
      <c r="K1734" s="88">
        <f t="shared" si="239"/>
        <v>27524.356292771663</v>
      </c>
    </row>
    <row r="1735" spans="1:11" hidden="1" x14ac:dyDescent="0.25">
      <c r="A1735" t="str">
        <f t="shared" si="240"/>
        <v>PPHØ2,5</v>
      </c>
      <c r="B1735" s="81" t="s">
        <v>202</v>
      </c>
      <c r="D1735" s="86">
        <v>2.5</v>
      </c>
      <c r="E1735" s="85">
        <f t="shared" si="235"/>
        <v>2.5000000000000001E-3</v>
      </c>
      <c r="F1735" s="85">
        <f t="shared" si="236"/>
        <v>1.25E-3</v>
      </c>
      <c r="G1735" s="85">
        <f t="shared" si="237"/>
        <v>8.181230868723419E-9</v>
      </c>
      <c r="H1735" s="85">
        <v>870</v>
      </c>
      <c r="I1735" s="85">
        <f t="shared" si="238"/>
        <v>7.1176708557893749E-6</v>
      </c>
      <c r="J1735" s="87">
        <v>1</v>
      </c>
      <c r="K1735" s="88">
        <f t="shared" si="239"/>
        <v>140495.39803974211</v>
      </c>
    </row>
    <row r="1736" spans="1:11" hidden="1" x14ac:dyDescent="0.25">
      <c r="A1736" t="str">
        <f t="shared" si="240"/>
        <v>Vetro NeroØ1</v>
      </c>
      <c r="B1736" s="81" t="s">
        <v>369</v>
      </c>
      <c r="D1736" s="86">
        <v>1</v>
      </c>
      <c r="E1736" s="85">
        <f t="shared" si="235"/>
        <v>1E-3</v>
      </c>
      <c r="F1736" s="85">
        <f t="shared" si="236"/>
        <v>5.0000000000000001E-4</v>
      </c>
      <c r="G1736" s="85">
        <f t="shared" si="237"/>
        <v>5.2359877559829886E-10</v>
      </c>
      <c r="H1736" s="85">
        <v>2550</v>
      </c>
      <c r="I1736" s="85">
        <f t="shared" si="238"/>
        <v>1.3351768777756622E-6</v>
      </c>
      <c r="J1736" s="87">
        <v>1</v>
      </c>
      <c r="K1736" s="88">
        <f t="shared" si="239"/>
        <v>748964.43807950744</v>
      </c>
    </row>
    <row r="1737" spans="1:11" hidden="1" x14ac:dyDescent="0.25">
      <c r="A1737" t="str">
        <f t="shared" si="240"/>
        <v>PTFEØ1</v>
      </c>
      <c r="B1737" s="81" t="s">
        <v>307</v>
      </c>
      <c r="D1737" s="86">
        <v>1</v>
      </c>
      <c r="E1737" s="85">
        <f t="shared" si="235"/>
        <v>1E-3</v>
      </c>
      <c r="F1737" s="85">
        <f t="shared" si="236"/>
        <v>5.0000000000000001E-4</v>
      </c>
      <c r="G1737" s="85">
        <f t="shared" si="237"/>
        <v>5.2359877559829886E-10</v>
      </c>
      <c r="H1737" s="85">
        <v>2160</v>
      </c>
      <c r="I1737" s="85">
        <f t="shared" si="238"/>
        <v>1.1309733552923255E-6</v>
      </c>
      <c r="J1737" s="87">
        <v>1</v>
      </c>
      <c r="K1737" s="88">
        <f t="shared" si="239"/>
        <v>884194.12828830746</v>
      </c>
    </row>
    <row r="1738" spans="1:11" hidden="1" x14ac:dyDescent="0.25">
      <c r="A1738" t="str">
        <f t="shared" si="240"/>
        <v>PTFEØ2</v>
      </c>
      <c r="B1738" s="81" t="s">
        <v>307</v>
      </c>
      <c r="D1738" s="86">
        <v>2</v>
      </c>
      <c r="E1738" s="85">
        <f t="shared" si="235"/>
        <v>2E-3</v>
      </c>
      <c r="F1738" s="85">
        <f t="shared" si="236"/>
        <v>1E-3</v>
      </c>
      <c r="G1738" s="85">
        <f t="shared" si="237"/>
        <v>4.1887902047863909E-9</v>
      </c>
      <c r="H1738" s="85">
        <v>2160</v>
      </c>
      <c r="I1738" s="85">
        <f t="shared" si="238"/>
        <v>9.0477868423386043E-6</v>
      </c>
      <c r="J1738" s="87">
        <v>1</v>
      </c>
      <c r="K1738" s="88">
        <f t="shared" si="239"/>
        <v>110524.26603603843</v>
      </c>
    </row>
    <row r="1739" spans="1:11" hidden="1" x14ac:dyDescent="0.25">
      <c r="A1739" t="str">
        <f t="shared" si="240"/>
        <v>POMØ1</v>
      </c>
      <c r="B1739" s="81" t="s">
        <v>201</v>
      </c>
      <c r="D1739" s="86">
        <v>1</v>
      </c>
      <c r="E1739" s="85">
        <f t="shared" si="235"/>
        <v>1E-3</v>
      </c>
      <c r="F1739" s="85">
        <f t="shared" si="236"/>
        <v>5.0000000000000001E-4</v>
      </c>
      <c r="G1739" s="85">
        <f t="shared" si="237"/>
        <v>5.2359877559829886E-10</v>
      </c>
      <c r="H1739" s="85">
        <v>1370</v>
      </c>
      <c r="I1739" s="85">
        <f t="shared" si="238"/>
        <v>7.1733032256966945E-7</v>
      </c>
      <c r="J1739" s="87">
        <v>1</v>
      </c>
      <c r="K1739" s="88">
        <f t="shared" si="239"/>
        <v>1394057.8956954337</v>
      </c>
    </row>
    <row r="1740" spans="1:11" hidden="1" x14ac:dyDescent="0.25">
      <c r="A1740" t="str">
        <f t="shared" si="240"/>
        <v>POMØ2</v>
      </c>
      <c r="B1740" s="81" t="s">
        <v>201</v>
      </c>
      <c r="D1740" s="86">
        <v>2</v>
      </c>
      <c r="E1740" s="85">
        <f t="shared" si="235"/>
        <v>2E-3</v>
      </c>
      <c r="F1740" s="85">
        <f t="shared" si="236"/>
        <v>1E-3</v>
      </c>
      <c r="G1740" s="85">
        <f t="shared" si="237"/>
        <v>4.1887902047863909E-9</v>
      </c>
      <c r="H1740" s="85">
        <v>1370</v>
      </c>
      <c r="I1740" s="85">
        <f t="shared" si="238"/>
        <v>5.7386425805573556E-6</v>
      </c>
      <c r="J1740" s="87">
        <v>1</v>
      </c>
      <c r="K1740" s="88">
        <f t="shared" si="239"/>
        <v>174257.23696192921</v>
      </c>
    </row>
    <row r="1741" spans="1:11" hidden="1" x14ac:dyDescent="0.25">
      <c r="A1741" t="str">
        <f t="shared" si="240"/>
        <v>PTFEØ1,5875</v>
      </c>
      <c r="B1741" s="81" t="s">
        <v>307</v>
      </c>
      <c r="C1741" s="101" t="s">
        <v>246</v>
      </c>
      <c r="D1741" s="86">
        <f>1/16*25.4</f>
        <v>1.5874999999999999</v>
      </c>
      <c r="E1741" s="85">
        <f t="shared" si="235"/>
        <v>1.5874999999999999E-3</v>
      </c>
      <c r="F1741" s="85">
        <f t="shared" si="236"/>
        <v>7.9374999999999997E-4</v>
      </c>
      <c r="G1741" s="85">
        <f t="shared" si="237"/>
        <v>2.0947867788210349E-9</v>
      </c>
      <c r="H1741" s="85">
        <v>2160</v>
      </c>
      <c r="I1741" s="85">
        <f t="shared" si="238"/>
        <v>4.5247394422534354E-6</v>
      </c>
      <c r="J1741" s="87">
        <v>1</v>
      </c>
      <c r="K1741" s="88">
        <f t="shared" si="239"/>
        <v>221007.20113553645</v>
      </c>
    </row>
    <row r="1742" spans="1:11" hidden="1" x14ac:dyDescent="0.25">
      <c r="A1742" t="str">
        <f t="shared" si="240"/>
        <v>52100Ø0,8</v>
      </c>
      <c r="B1742" s="81">
        <v>52100</v>
      </c>
      <c r="D1742" s="86">
        <v>0.8</v>
      </c>
      <c r="E1742" s="85">
        <f t="shared" si="235"/>
        <v>8.0000000000000004E-4</v>
      </c>
      <c r="F1742" s="85">
        <f t="shared" si="236"/>
        <v>4.0000000000000002E-4</v>
      </c>
      <c r="G1742" s="85">
        <f t="shared" si="237"/>
        <v>2.6808257310632903E-10</v>
      </c>
      <c r="H1742" s="85">
        <v>7800</v>
      </c>
      <c r="I1742" s="85">
        <f t="shared" si="238"/>
        <v>2.0910440702293663E-6</v>
      </c>
      <c r="J1742" s="87">
        <v>1</v>
      </c>
      <c r="K1742" s="88">
        <f t="shared" si="239"/>
        <v>478229.99727132014</v>
      </c>
    </row>
    <row r="1743" spans="1:11" hidden="1" x14ac:dyDescent="0.25">
      <c r="A1743" t="str">
        <f t="shared" si="240"/>
        <v>1010Ø5</v>
      </c>
      <c r="B1743" s="81">
        <v>1010</v>
      </c>
      <c r="D1743" s="86">
        <v>5</v>
      </c>
      <c r="E1743" s="85">
        <f t="shared" si="235"/>
        <v>5.0000000000000001E-3</v>
      </c>
      <c r="F1743" s="85">
        <f t="shared" si="236"/>
        <v>2.5000000000000001E-3</v>
      </c>
      <c r="G1743" s="85">
        <f t="shared" si="237"/>
        <v>6.5449846949787352E-8</v>
      </c>
      <c r="H1743" s="85">
        <v>7820</v>
      </c>
      <c r="I1743" s="85">
        <f t="shared" si="238"/>
        <v>5.1181780314733707E-4</v>
      </c>
      <c r="J1743" s="87">
        <v>1</v>
      </c>
      <c r="K1743" s="88">
        <f t="shared" si="239"/>
        <v>1953.8202732508894</v>
      </c>
    </row>
    <row r="1744" spans="1:11" hidden="1" x14ac:dyDescent="0.25">
      <c r="A1744" t="str">
        <f t="shared" si="240"/>
        <v>1010Ø6,35</v>
      </c>
      <c r="B1744" s="81">
        <v>1010</v>
      </c>
      <c r="C1744" s="101" t="s">
        <v>218</v>
      </c>
      <c r="D1744" s="86">
        <f>1/4*25.4</f>
        <v>6.35</v>
      </c>
      <c r="E1744" s="85">
        <f t="shared" si="235"/>
        <v>6.3499999999999997E-3</v>
      </c>
      <c r="F1744" s="85">
        <f t="shared" si="236"/>
        <v>3.1749999999999999E-3</v>
      </c>
      <c r="G1744" s="85">
        <f t="shared" si="237"/>
        <v>1.3406635384454623E-7</v>
      </c>
      <c r="H1744" s="85">
        <v>7820</v>
      </c>
      <c r="I1744" s="85">
        <f t="shared" si="238"/>
        <v>1.0483988870643515E-3</v>
      </c>
      <c r="J1744" s="87">
        <v>1</v>
      </c>
      <c r="K1744" s="88">
        <f t="shared" si="239"/>
        <v>953.83542689569765</v>
      </c>
    </row>
    <row r="1745" spans="1:11" hidden="1" x14ac:dyDescent="0.25">
      <c r="A1745" t="str">
        <f t="shared" si="240"/>
        <v>PPHØ2</v>
      </c>
      <c r="B1745" s="81" t="s">
        <v>202</v>
      </c>
      <c r="D1745" s="86">
        <v>2</v>
      </c>
      <c r="E1745" s="85">
        <f t="shared" si="235"/>
        <v>2E-3</v>
      </c>
      <c r="F1745" s="85">
        <f t="shared" si="236"/>
        <v>1E-3</v>
      </c>
      <c r="G1745" s="85">
        <f t="shared" si="237"/>
        <v>4.1887902047863909E-9</v>
      </c>
      <c r="H1745" s="85">
        <v>870</v>
      </c>
      <c r="I1745" s="85">
        <f t="shared" si="238"/>
        <v>3.6442474781641599E-6</v>
      </c>
      <c r="J1745" s="87">
        <v>1</v>
      </c>
      <c r="K1745" s="88">
        <f t="shared" si="239"/>
        <v>274405.07429637131</v>
      </c>
    </row>
    <row r="1746" spans="1:11" hidden="1" x14ac:dyDescent="0.25">
      <c r="A1746" t="str">
        <f t="shared" si="240"/>
        <v>PPHØ2</v>
      </c>
      <c r="B1746" s="81" t="s">
        <v>202</v>
      </c>
      <c r="D1746" s="86">
        <v>2</v>
      </c>
      <c r="E1746" s="85">
        <f t="shared" si="235"/>
        <v>2E-3</v>
      </c>
      <c r="F1746" s="85">
        <f t="shared" si="236"/>
        <v>1E-3</v>
      </c>
      <c r="G1746" s="85">
        <f t="shared" si="237"/>
        <v>4.1887902047863909E-9</v>
      </c>
      <c r="H1746" s="85">
        <v>870</v>
      </c>
      <c r="I1746" s="85">
        <f t="shared" si="238"/>
        <v>3.6442474781641599E-6</v>
      </c>
      <c r="J1746" s="87">
        <v>1</v>
      </c>
      <c r="K1746" s="88">
        <f t="shared" si="239"/>
        <v>274405.07429637131</v>
      </c>
    </row>
    <row r="1747" spans="1:11" hidden="1" x14ac:dyDescent="0.25">
      <c r="A1747" t="str">
        <f t="shared" si="240"/>
        <v>440CØ2</v>
      </c>
      <c r="B1747" s="81" t="s">
        <v>314</v>
      </c>
      <c r="D1747" s="86">
        <v>2</v>
      </c>
      <c r="E1747" s="85">
        <f t="shared" si="235"/>
        <v>2E-3</v>
      </c>
      <c r="F1747" s="85">
        <f t="shared" si="236"/>
        <v>1E-3</v>
      </c>
      <c r="G1747" s="85">
        <f t="shared" si="237"/>
        <v>4.1887902047863909E-9</v>
      </c>
      <c r="H1747" s="85">
        <v>7700</v>
      </c>
      <c r="I1747" s="85">
        <f t="shared" si="238"/>
        <v>3.2253684576855209E-5</v>
      </c>
      <c r="J1747" s="87">
        <v>1</v>
      </c>
      <c r="K1747" s="88">
        <f t="shared" si="239"/>
        <v>31004.209693226367</v>
      </c>
    </row>
    <row r="1748" spans="1:11" hidden="1" x14ac:dyDescent="0.25">
      <c r="A1748" t="str">
        <f t="shared" si="240"/>
        <v>440CØ2</v>
      </c>
      <c r="B1748" s="81" t="s">
        <v>314</v>
      </c>
      <c r="D1748" s="86">
        <v>2</v>
      </c>
      <c r="E1748" s="85">
        <f t="shared" si="235"/>
        <v>2E-3</v>
      </c>
      <c r="F1748" s="85">
        <f t="shared" si="236"/>
        <v>1E-3</v>
      </c>
      <c r="G1748" s="85">
        <f t="shared" si="237"/>
        <v>4.1887902047863909E-9</v>
      </c>
      <c r="H1748" s="85">
        <v>7650</v>
      </c>
      <c r="I1748" s="85">
        <f t="shared" si="238"/>
        <v>3.2044245066615892E-5</v>
      </c>
      <c r="J1748" s="87">
        <v>1</v>
      </c>
      <c r="K1748" s="88">
        <f t="shared" si="239"/>
        <v>31206.851586646142</v>
      </c>
    </row>
    <row r="1749" spans="1:11" hidden="1" x14ac:dyDescent="0.25">
      <c r="A1749" t="str">
        <f t="shared" si="240"/>
        <v>52100Ø8,73125</v>
      </c>
      <c r="B1749" s="81">
        <v>52100</v>
      </c>
      <c r="C1749" s="101" t="s">
        <v>253</v>
      </c>
      <c r="D1749" s="86">
        <f>11/32*25.4</f>
        <v>8.7312499999999993</v>
      </c>
      <c r="E1749" s="85">
        <f t="shared" si="235"/>
        <v>8.7312499999999994E-3</v>
      </c>
      <c r="F1749" s="85">
        <f t="shared" si="236"/>
        <v>4.3656249999999997E-3</v>
      </c>
      <c r="G1749" s="85">
        <f t="shared" si="237"/>
        <v>3.4852015032634969E-7</v>
      </c>
      <c r="H1749" s="85">
        <v>7800</v>
      </c>
      <c r="I1749" s="85">
        <f t="shared" si="238"/>
        <v>2.7184571725455274E-3</v>
      </c>
      <c r="J1749" s="87">
        <v>1</v>
      </c>
      <c r="K1749" s="88">
        <f t="shared" si="239"/>
        <v>367.85571246046641</v>
      </c>
    </row>
    <row r="1750" spans="1:11" hidden="1" x14ac:dyDescent="0.25">
      <c r="A1750" t="str">
        <f t="shared" si="240"/>
        <v>420CØ5,54</v>
      </c>
      <c r="B1750" s="81" t="s">
        <v>295</v>
      </c>
      <c r="D1750" s="86">
        <v>5.54</v>
      </c>
      <c r="E1750" s="85">
        <f t="shared" si="235"/>
        <v>5.5399999999999998E-3</v>
      </c>
      <c r="F1750" s="85">
        <f t="shared" si="236"/>
        <v>2.7699999999999999E-3</v>
      </c>
      <c r="G1750" s="85">
        <f t="shared" si="237"/>
        <v>8.9028266363586213E-8</v>
      </c>
      <c r="H1750" s="85">
        <v>7700</v>
      </c>
      <c r="I1750" s="85">
        <f t="shared" si="238"/>
        <v>6.8551765099961388E-4</v>
      </c>
      <c r="J1750" s="87">
        <v>1</v>
      </c>
      <c r="K1750" s="88">
        <f t="shared" si="239"/>
        <v>1458.7516434358934</v>
      </c>
    </row>
    <row r="1751" spans="1:11" hidden="1" x14ac:dyDescent="0.25">
      <c r="A1751" t="str">
        <f t="shared" si="240"/>
        <v>POMØ3</v>
      </c>
      <c r="B1751" s="81" t="s">
        <v>201</v>
      </c>
      <c r="D1751" s="86">
        <v>3</v>
      </c>
      <c r="E1751" s="85">
        <f t="shared" si="235"/>
        <v>3.0000000000000001E-3</v>
      </c>
      <c r="F1751" s="85">
        <f t="shared" si="236"/>
        <v>1.5E-3</v>
      </c>
      <c r="G1751" s="85">
        <f t="shared" si="237"/>
        <v>1.4137166941154068E-8</v>
      </c>
      <c r="H1751" s="85">
        <v>1370</v>
      </c>
      <c r="I1751" s="85">
        <f t="shared" si="238"/>
        <v>1.9367918709381075E-5</v>
      </c>
      <c r="J1751" s="87">
        <v>1</v>
      </c>
      <c r="K1751" s="88">
        <f t="shared" si="239"/>
        <v>51631.773914645688</v>
      </c>
    </row>
    <row r="1752" spans="1:11" hidden="1" x14ac:dyDescent="0.25">
      <c r="A1752" t="str">
        <f t="shared" si="240"/>
        <v>304Ø7,9375</v>
      </c>
      <c r="B1752" s="81">
        <v>304</v>
      </c>
      <c r="C1752" s="101" t="s">
        <v>252</v>
      </c>
      <c r="D1752" s="86">
        <f>5/16*25.4</f>
        <v>7.9375</v>
      </c>
      <c r="E1752" s="85">
        <f t="shared" si="235"/>
        <v>7.9375000000000001E-3</v>
      </c>
      <c r="F1752" s="85">
        <f t="shared" si="236"/>
        <v>3.9687500000000001E-3</v>
      </c>
      <c r="G1752" s="85">
        <f t="shared" si="237"/>
        <v>2.6184834735262947E-7</v>
      </c>
      <c r="H1752" s="85">
        <v>7950</v>
      </c>
      <c r="I1752" s="85">
        <f t="shared" si="238"/>
        <v>2.0816943614534044E-3</v>
      </c>
      <c r="J1752" s="87">
        <v>1</v>
      </c>
      <c r="K1752" s="88">
        <f t="shared" si="239"/>
        <v>480.37791643044881</v>
      </c>
    </row>
    <row r="1753" spans="1:11" hidden="1" x14ac:dyDescent="0.25">
      <c r="A1753" t="str">
        <f t="shared" si="240"/>
        <v>ZrO2Ø1,8</v>
      </c>
      <c r="B1753" s="81" t="s">
        <v>205</v>
      </c>
      <c r="D1753" s="86">
        <v>1.8</v>
      </c>
      <c r="E1753" s="85">
        <f t="shared" si="235"/>
        <v>1.8E-3</v>
      </c>
      <c r="F1753" s="85">
        <f t="shared" si="236"/>
        <v>8.9999999999999998E-4</v>
      </c>
      <c r="G1753" s="85">
        <f t="shared" si="237"/>
        <v>3.0536280592892781E-9</v>
      </c>
      <c r="H1753" s="85">
        <v>6000</v>
      </c>
      <c r="I1753" s="85">
        <f t="shared" si="238"/>
        <v>1.8321768355735668E-5</v>
      </c>
      <c r="J1753" s="87">
        <v>1</v>
      </c>
      <c r="K1753" s="88">
        <f t="shared" si="239"/>
        <v>54579.884462241214</v>
      </c>
    </row>
    <row r="1754" spans="1:11" hidden="1" x14ac:dyDescent="0.25">
      <c r="A1754" t="str">
        <f t="shared" si="240"/>
        <v>ZrO2Ø2</v>
      </c>
      <c r="B1754" s="81" t="s">
        <v>205</v>
      </c>
      <c r="D1754" s="86">
        <v>2</v>
      </c>
      <c r="E1754" s="85">
        <f t="shared" si="235"/>
        <v>2E-3</v>
      </c>
      <c r="F1754" s="85">
        <f t="shared" si="236"/>
        <v>1E-3</v>
      </c>
      <c r="G1754" s="85">
        <f t="shared" si="237"/>
        <v>4.1887902047863909E-9</v>
      </c>
      <c r="H1754" s="85">
        <v>6000</v>
      </c>
      <c r="I1754" s="85">
        <f t="shared" si="238"/>
        <v>2.5132741228718347E-5</v>
      </c>
      <c r="J1754" s="87">
        <v>1</v>
      </c>
      <c r="K1754" s="88">
        <f t="shared" si="239"/>
        <v>39788.735772973836</v>
      </c>
    </row>
    <row r="1755" spans="1:11" hidden="1" x14ac:dyDescent="0.25">
      <c r="A1755" t="str">
        <f t="shared" si="240"/>
        <v>PPHØ6</v>
      </c>
      <c r="B1755" s="81" t="s">
        <v>202</v>
      </c>
      <c r="D1755" s="86">
        <v>6</v>
      </c>
      <c r="E1755" s="85">
        <f t="shared" si="235"/>
        <v>6.0000000000000001E-3</v>
      </c>
      <c r="F1755" s="85">
        <f t="shared" si="236"/>
        <v>3.0000000000000001E-3</v>
      </c>
      <c r="G1755" s="85">
        <f t="shared" si="237"/>
        <v>1.1309733552923255E-7</v>
      </c>
      <c r="H1755" s="85">
        <v>870</v>
      </c>
      <c r="I1755" s="85">
        <f t="shared" si="238"/>
        <v>9.8394681910432316E-5</v>
      </c>
      <c r="J1755" s="87">
        <v>1</v>
      </c>
      <c r="K1755" s="88">
        <f t="shared" si="239"/>
        <v>10163.150899865603</v>
      </c>
    </row>
    <row r="1756" spans="1:11" hidden="1" x14ac:dyDescent="0.25">
      <c r="A1756" t="str">
        <f t="shared" si="240"/>
        <v>440CØ0,6</v>
      </c>
      <c r="B1756" s="81" t="s">
        <v>314</v>
      </c>
      <c r="D1756" s="86">
        <v>0.6</v>
      </c>
      <c r="E1756" s="85">
        <f t="shared" si="235"/>
        <v>5.9999999999999995E-4</v>
      </c>
      <c r="F1756" s="85">
        <f t="shared" si="236"/>
        <v>2.9999999999999997E-4</v>
      </c>
      <c r="G1756" s="85">
        <f t="shared" si="237"/>
        <v>1.1309733552923252E-10</v>
      </c>
      <c r="H1756" s="85">
        <v>7700</v>
      </c>
      <c r="I1756" s="85">
        <f t="shared" si="238"/>
        <v>8.708494835750904E-7</v>
      </c>
      <c r="J1756" s="87">
        <v>1</v>
      </c>
      <c r="K1756" s="88">
        <f t="shared" si="239"/>
        <v>1148304.062712088</v>
      </c>
    </row>
    <row r="1757" spans="1:11" hidden="1" x14ac:dyDescent="0.25">
      <c r="A1757" t="str">
        <f t="shared" si="240"/>
        <v>440CØ1</v>
      </c>
      <c r="B1757" s="81" t="s">
        <v>314</v>
      </c>
      <c r="D1757" s="86">
        <v>1</v>
      </c>
      <c r="E1757" s="85">
        <f t="shared" si="235"/>
        <v>1E-3</v>
      </c>
      <c r="F1757" s="85">
        <f t="shared" si="236"/>
        <v>5.0000000000000001E-4</v>
      </c>
      <c r="G1757" s="85">
        <f t="shared" si="237"/>
        <v>5.2359877559829886E-10</v>
      </c>
      <c r="H1757" s="85">
        <v>7700</v>
      </c>
      <c r="I1757" s="85">
        <f t="shared" si="238"/>
        <v>4.0317105721069012E-6</v>
      </c>
      <c r="J1757" s="87">
        <v>1</v>
      </c>
      <c r="K1757" s="88">
        <f t="shared" si="239"/>
        <v>248033.67754581093</v>
      </c>
    </row>
    <row r="1758" spans="1:11" hidden="1" x14ac:dyDescent="0.25">
      <c r="A1758" t="str">
        <f t="shared" si="240"/>
        <v>PA6.6Ø2</v>
      </c>
      <c r="B1758" s="81" t="s">
        <v>244</v>
      </c>
      <c r="D1758" s="86">
        <v>2</v>
      </c>
      <c r="E1758" s="85">
        <f t="shared" si="235"/>
        <v>2E-3</v>
      </c>
      <c r="F1758" s="85">
        <f t="shared" si="236"/>
        <v>1E-3</v>
      </c>
      <c r="G1758" s="85">
        <f t="shared" si="237"/>
        <v>4.1887902047863909E-9</v>
      </c>
      <c r="H1758" s="85">
        <v>1110</v>
      </c>
      <c r="I1758" s="85">
        <f t="shared" si="238"/>
        <v>4.6495571273128935E-6</v>
      </c>
      <c r="J1758" s="87">
        <v>1</v>
      </c>
      <c r="K1758" s="88">
        <f t="shared" si="239"/>
        <v>215074.24742148022</v>
      </c>
    </row>
    <row r="1759" spans="1:11" hidden="1" x14ac:dyDescent="0.25">
      <c r="A1759" t="str">
        <f t="shared" si="240"/>
        <v>52100Ø1,5</v>
      </c>
      <c r="B1759" s="81">
        <v>52100</v>
      </c>
      <c r="D1759" s="86">
        <v>1.5</v>
      </c>
      <c r="E1759" s="85">
        <f t="shared" si="235"/>
        <v>1.5E-3</v>
      </c>
      <c r="F1759" s="85">
        <f t="shared" si="236"/>
        <v>7.5000000000000002E-4</v>
      </c>
      <c r="G1759" s="85">
        <f t="shared" si="237"/>
        <v>1.7671458676442585E-9</v>
      </c>
      <c r="H1759" s="85">
        <v>7800</v>
      </c>
      <c r="I1759" s="85">
        <f t="shared" si="238"/>
        <v>1.3783737767625217E-5</v>
      </c>
      <c r="J1759" s="87">
        <v>1</v>
      </c>
      <c r="K1759" s="88">
        <f t="shared" si="239"/>
        <v>72549.261808271374</v>
      </c>
    </row>
    <row r="1760" spans="1:11" hidden="1" x14ac:dyDescent="0.25">
      <c r="A1760" t="str">
        <f t="shared" si="240"/>
        <v>316LØ3</v>
      </c>
      <c r="B1760" s="81" t="s">
        <v>298</v>
      </c>
      <c r="D1760" s="86">
        <v>3</v>
      </c>
      <c r="E1760" s="85">
        <f t="shared" si="235"/>
        <v>3.0000000000000001E-3</v>
      </c>
      <c r="F1760" s="85">
        <f t="shared" si="236"/>
        <v>1.5E-3</v>
      </c>
      <c r="G1760" s="85">
        <f t="shared" si="237"/>
        <v>1.4137166941154068E-8</v>
      </c>
      <c r="H1760" s="85">
        <v>7950</v>
      </c>
      <c r="I1760" s="85">
        <f t="shared" si="238"/>
        <v>1.1239047718217484E-4</v>
      </c>
      <c r="J1760" s="87">
        <v>1</v>
      </c>
      <c r="K1760" s="88">
        <f t="shared" si="239"/>
        <v>8897.5509764861145</v>
      </c>
    </row>
    <row r="1761" spans="1:11" hidden="1" x14ac:dyDescent="0.25">
      <c r="A1761" t="str">
        <f t="shared" si="240"/>
        <v>52100Ø1,5</v>
      </c>
      <c r="B1761" s="81">
        <v>52100</v>
      </c>
      <c r="D1761" s="86">
        <v>1.5</v>
      </c>
      <c r="E1761" s="85">
        <f t="shared" si="235"/>
        <v>1.5E-3</v>
      </c>
      <c r="F1761" s="85">
        <f t="shared" si="236"/>
        <v>7.5000000000000002E-4</v>
      </c>
      <c r="G1761" s="85">
        <f t="shared" si="237"/>
        <v>1.7671458676442585E-9</v>
      </c>
      <c r="H1761" s="85">
        <v>7800</v>
      </c>
      <c r="I1761" s="85">
        <f t="shared" si="238"/>
        <v>1.3783737767625217E-5</v>
      </c>
      <c r="J1761" s="87">
        <v>1</v>
      </c>
      <c r="K1761" s="88">
        <f t="shared" si="239"/>
        <v>72549.261808271374</v>
      </c>
    </row>
    <row r="1762" spans="1:11" hidden="1" x14ac:dyDescent="0.25">
      <c r="A1762" t="str">
        <f t="shared" si="240"/>
        <v>52100Ø1,5875</v>
      </c>
      <c r="B1762" s="81">
        <v>52100</v>
      </c>
      <c r="C1762" s="101" t="s">
        <v>246</v>
      </c>
      <c r="D1762" s="86">
        <f>1/16*25.4</f>
        <v>1.5874999999999999</v>
      </c>
      <c r="E1762" s="85">
        <f t="shared" si="235"/>
        <v>1.5874999999999999E-3</v>
      </c>
      <c r="F1762" s="85">
        <f t="shared" si="236"/>
        <v>7.9374999999999997E-4</v>
      </c>
      <c r="G1762" s="85">
        <f t="shared" si="237"/>
        <v>2.0947867788210349E-9</v>
      </c>
      <c r="H1762" s="85">
        <v>7800</v>
      </c>
      <c r="I1762" s="85">
        <f t="shared" si="238"/>
        <v>1.6339336874804071E-5</v>
      </c>
      <c r="J1762" s="87">
        <v>1</v>
      </c>
      <c r="K1762" s="88">
        <f t="shared" si="239"/>
        <v>61201.994160610098</v>
      </c>
    </row>
    <row r="1763" spans="1:11" hidden="1" x14ac:dyDescent="0.25">
      <c r="A1763" t="str">
        <f t="shared" si="240"/>
        <v>WC-CoØ3,5</v>
      </c>
      <c r="B1763" s="81" t="s">
        <v>297</v>
      </c>
      <c r="D1763" s="86">
        <v>3.5</v>
      </c>
      <c r="E1763" s="85">
        <f t="shared" si="235"/>
        <v>3.5000000000000001E-3</v>
      </c>
      <c r="F1763" s="85">
        <f t="shared" si="236"/>
        <v>1.75E-3</v>
      </c>
      <c r="G1763" s="85">
        <f t="shared" si="237"/>
        <v>2.2449297503777064E-8</v>
      </c>
      <c r="H1763" s="85">
        <v>14950</v>
      </c>
      <c r="I1763" s="85">
        <f t="shared" si="238"/>
        <v>3.3561699768146712E-4</v>
      </c>
      <c r="J1763" s="87">
        <v>1</v>
      </c>
      <c r="K1763" s="88">
        <f t="shared" si="239"/>
        <v>2979.5868710711025</v>
      </c>
    </row>
    <row r="1764" spans="1:11" hidden="1" x14ac:dyDescent="0.25">
      <c r="A1764" t="str">
        <f t="shared" si="240"/>
        <v>WC-CoØ2</v>
      </c>
      <c r="B1764" s="81" t="s">
        <v>297</v>
      </c>
      <c r="D1764" s="86">
        <v>2</v>
      </c>
      <c r="E1764" s="85">
        <f t="shared" si="235"/>
        <v>2E-3</v>
      </c>
      <c r="F1764" s="85">
        <f t="shared" si="236"/>
        <v>1E-3</v>
      </c>
      <c r="G1764" s="85">
        <f t="shared" si="237"/>
        <v>4.1887902047863909E-9</v>
      </c>
      <c r="H1764" s="85">
        <v>14950</v>
      </c>
      <c r="I1764" s="85">
        <f t="shared" si="238"/>
        <v>6.2622413561556539E-5</v>
      </c>
      <c r="J1764" s="87">
        <v>1</v>
      </c>
      <c r="K1764" s="88">
        <f t="shared" si="239"/>
        <v>15968.723387146691</v>
      </c>
    </row>
    <row r="1765" spans="1:11" hidden="1" x14ac:dyDescent="0.25">
      <c r="A1765" t="str">
        <f t="shared" si="240"/>
        <v>PPHØ4</v>
      </c>
      <c r="B1765" s="81" t="s">
        <v>202</v>
      </c>
      <c r="D1765" s="86">
        <v>4</v>
      </c>
      <c r="E1765" s="85">
        <f t="shared" si="235"/>
        <v>4.0000000000000001E-3</v>
      </c>
      <c r="F1765" s="85">
        <f t="shared" si="236"/>
        <v>2E-3</v>
      </c>
      <c r="G1765" s="85">
        <f t="shared" si="237"/>
        <v>3.3510321638291127E-8</v>
      </c>
      <c r="H1765" s="85">
        <v>870</v>
      </c>
      <c r="I1765" s="85">
        <f t="shared" si="238"/>
        <v>2.9153979825313279E-5</v>
      </c>
      <c r="J1765" s="87">
        <v>1</v>
      </c>
      <c r="K1765" s="88">
        <f t="shared" si="239"/>
        <v>34300.634287046414</v>
      </c>
    </row>
    <row r="1766" spans="1:11" hidden="1" x14ac:dyDescent="0.25">
      <c r="A1766" t="str">
        <f t="shared" si="240"/>
        <v>PPHØ4</v>
      </c>
      <c r="B1766" s="81" t="s">
        <v>202</v>
      </c>
      <c r="D1766" s="86">
        <v>4</v>
      </c>
      <c r="E1766" s="85">
        <f t="shared" si="235"/>
        <v>4.0000000000000001E-3</v>
      </c>
      <c r="F1766" s="85">
        <f t="shared" si="236"/>
        <v>2E-3</v>
      </c>
      <c r="G1766" s="85">
        <f t="shared" si="237"/>
        <v>3.3510321638291127E-8</v>
      </c>
      <c r="H1766" s="85">
        <v>890</v>
      </c>
      <c r="I1766" s="85">
        <f t="shared" si="238"/>
        <v>2.9824186258079104E-5</v>
      </c>
      <c r="J1766" s="87">
        <v>1</v>
      </c>
      <c r="K1766" s="88">
        <f t="shared" si="239"/>
        <v>33529.833516550985</v>
      </c>
    </row>
    <row r="1767" spans="1:11" hidden="1" x14ac:dyDescent="0.25">
      <c r="A1767" t="str">
        <f t="shared" si="240"/>
        <v>WC-CoØ2</v>
      </c>
      <c r="B1767" s="81" t="s">
        <v>297</v>
      </c>
      <c r="D1767" s="86">
        <v>2</v>
      </c>
      <c r="E1767" s="85">
        <f t="shared" si="235"/>
        <v>2E-3</v>
      </c>
      <c r="F1767" s="85">
        <f t="shared" si="236"/>
        <v>1E-3</v>
      </c>
      <c r="G1767" s="85">
        <f t="shared" si="237"/>
        <v>4.1887902047863909E-9</v>
      </c>
      <c r="H1767" s="85">
        <v>14950</v>
      </c>
      <c r="I1767" s="85">
        <f t="shared" si="238"/>
        <v>6.2622413561556539E-5</v>
      </c>
      <c r="J1767" s="87">
        <v>1</v>
      </c>
      <c r="K1767" s="88">
        <f t="shared" si="239"/>
        <v>15968.723387146691</v>
      </c>
    </row>
    <row r="1768" spans="1:11" hidden="1" x14ac:dyDescent="0.25">
      <c r="A1768" t="str">
        <f t="shared" si="240"/>
        <v>420CØ1,5</v>
      </c>
      <c r="B1768" s="81" t="s">
        <v>295</v>
      </c>
      <c r="D1768" s="86">
        <v>1.5</v>
      </c>
      <c r="E1768" s="85">
        <f t="shared" si="235"/>
        <v>1.5E-3</v>
      </c>
      <c r="F1768" s="85">
        <f t="shared" si="236"/>
        <v>7.5000000000000002E-4</v>
      </c>
      <c r="G1768" s="85">
        <f t="shared" si="237"/>
        <v>1.7671458676442585E-9</v>
      </c>
      <c r="H1768" s="85">
        <v>7700</v>
      </c>
      <c r="I1768" s="85">
        <f t="shared" si="238"/>
        <v>1.3607023180860791E-5</v>
      </c>
      <c r="J1768" s="87">
        <v>1</v>
      </c>
      <c r="K1768" s="88">
        <f t="shared" si="239"/>
        <v>73491.460013573611</v>
      </c>
    </row>
    <row r="1769" spans="1:11" hidden="1" x14ac:dyDescent="0.25">
      <c r="A1769" t="str">
        <f t="shared" si="240"/>
        <v>52100Ø2,5</v>
      </c>
      <c r="B1769" s="81">
        <v>52100</v>
      </c>
      <c r="D1769" s="86">
        <v>2.5</v>
      </c>
      <c r="E1769" s="85">
        <f t="shared" si="235"/>
        <v>2.5000000000000001E-3</v>
      </c>
      <c r="F1769" s="85">
        <f t="shared" si="236"/>
        <v>1.25E-3</v>
      </c>
      <c r="G1769" s="85">
        <f t="shared" si="237"/>
        <v>8.181230868723419E-9</v>
      </c>
      <c r="H1769" s="85">
        <v>7800</v>
      </c>
      <c r="I1769" s="85">
        <f t="shared" si="238"/>
        <v>6.3813600776042664E-5</v>
      </c>
      <c r="J1769" s="87">
        <v>1</v>
      </c>
      <c r="K1769" s="88">
        <f t="shared" si="239"/>
        <v>15670.640550586621</v>
      </c>
    </row>
    <row r="1770" spans="1:11" hidden="1" x14ac:dyDescent="0.25">
      <c r="A1770" t="str">
        <f t="shared" si="240"/>
        <v>52100Ø2,5</v>
      </c>
      <c r="B1770" s="81">
        <v>52100</v>
      </c>
      <c r="D1770" s="86">
        <v>2.5</v>
      </c>
      <c r="E1770" s="85">
        <f t="shared" si="235"/>
        <v>2.5000000000000001E-3</v>
      </c>
      <c r="F1770" s="85">
        <f t="shared" si="236"/>
        <v>1.25E-3</v>
      </c>
      <c r="G1770" s="85">
        <f t="shared" si="237"/>
        <v>8.181230868723419E-9</v>
      </c>
      <c r="H1770" s="85">
        <v>7800</v>
      </c>
      <c r="I1770" s="85">
        <f t="shared" si="238"/>
        <v>6.3813600776042664E-5</v>
      </c>
      <c r="J1770" s="87">
        <v>1</v>
      </c>
      <c r="K1770" s="88">
        <f t="shared" si="239"/>
        <v>15670.640550586621</v>
      </c>
    </row>
    <row r="1771" spans="1:11" hidden="1" x14ac:dyDescent="0.25">
      <c r="A1771" t="str">
        <f t="shared" si="240"/>
        <v>52100Ø1,5</v>
      </c>
      <c r="B1771" s="81">
        <v>52100</v>
      </c>
      <c r="D1771" s="86">
        <v>1.5</v>
      </c>
      <c r="E1771" s="85">
        <f t="shared" si="235"/>
        <v>1.5E-3</v>
      </c>
      <c r="F1771" s="85">
        <f t="shared" si="236"/>
        <v>7.5000000000000002E-4</v>
      </c>
      <c r="G1771" s="85">
        <f t="shared" si="237"/>
        <v>1.7671458676442585E-9</v>
      </c>
      <c r="H1771" s="85">
        <v>7800</v>
      </c>
      <c r="I1771" s="85">
        <f t="shared" si="238"/>
        <v>1.3783737767625217E-5</v>
      </c>
      <c r="J1771" s="87">
        <v>1</v>
      </c>
      <c r="K1771" s="88">
        <f t="shared" si="239"/>
        <v>72549.261808271374</v>
      </c>
    </row>
    <row r="1772" spans="1:11" hidden="1" x14ac:dyDescent="0.25">
      <c r="A1772" t="str">
        <f t="shared" si="240"/>
        <v>52100Ø1,5</v>
      </c>
      <c r="B1772" s="81">
        <v>52100</v>
      </c>
      <c r="D1772" s="86">
        <v>1.5</v>
      </c>
      <c r="E1772" s="85">
        <f t="shared" si="235"/>
        <v>1.5E-3</v>
      </c>
      <c r="F1772" s="85">
        <f t="shared" si="236"/>
        <v>7.5000000000000002E-4</v>
      </c>
      <c r="G1772" s="85">
        <f t="shared" si="237"/>
        <v>1.7671458676442585E-9</v>
      </c>
      <c r="H1772" s="85">
        <v>7780</v>
      </c>
      <c r="I1772" s="85">
        <f t="shared" si="238"/>
        <v>1.3748394850272331E-5</v>
      </c>
      <c r="J1772" s="87">
        <v>1</v>
      </c>
      <c r="K1772" s="88">
        <f t="shared" si="239"/>
        <v>72735.763766647404</v>
      </c>
    </row>
    <row r="1773" spans="1:11" hidden="1" x14ac:dyDescent="0.25">
      <c r="A1773" t="str">
        <f t="shared" si="240"/>
        <v>52100Ø1,5</v>
      </c>
      <c r="B1773" s="81">
        <v>52100</v>
      </c>
      <c r="D1773" s="86">
        <v>1.5</v>
      </c>
      <c r="E1773" s="85">
        <f t="shared" si="235"/>
        <v>1.5E-3</v>
      </c>
      <c r="F1773" s="85">
        <f t="shared" si="236"/>
        <v>7.5000000000000002E-4</v>
      </c>
      <c r="G1773" s="85">
        <f t="shared" si="237"/>
        <v>1.7671458676442585E-9</v>
      </c>
      <c r="H1773" s="85">
        <v>7780</v>
      </c>
      <c r="I1773" s="85">
        <f t="shared" si="238"/>
        <v>1.3748394850272331E-5</v>
      </c>
      <c r="J1773" s="87">
        <v>1</v>
      </c>
      <c r="K1773" s="88">
        <f t="shared" si="239"/>
        <v>72735.763766647404</v>
      </c>
    </row>
    <row r="1774" spans="1:11" hidden="1" x14ac:dyDescent="0.25">
      <c r="A1774" t="str">
        <f t="shared" si="240"/>
        <v>52100Ø1,5</v>
      </c>
      <c r="B1774" s="81">
        <v>52100</v>
      </c>
      <c r="D1774" s="86">
        <v>1.5</v>
      </c>
      <c r="E1774" s="85">
        <f t="shared" si="235"/>
        <v>1.5E-3</v>
      </c>
      <c r="F1774" s="85">
        <f t="shared" si="236"/>
        <v>7.5000000000000002E-4</v>
      </c>
      <c r="G1774" s="85">
        <f t="shared" si="237"/>
        <v>1.7671458676442585E-9</v>
      </c>
      <c r="H1774" s="85">
        <v>7780</v>
      </c>
      <c r="I1774" s="85">
        <f t="shared" si="238"/>
        <v>1.3748394850272331E-5</v>
      </c>
      <c r="J1774" s="87">
        <v>1</v>
      </c>
      <c r="K1774" s="85">
        <f t="shared" si="239"/>
        <v>72735.763766647404</v>
      </c>
    </row>
    <row r="1775" spans="1:11" hidden="1" x14ac:dyDescent="0.25">
      <c r="A1775" t="str">
        <f t="shared" si="240"/>
        <v>52100Ø1,5</v>
      </c>
      <c r="B1775" s="81">
        <v>52100</v>
      </c>
      <c r="D1775" s="86">
        <v>1.5</v>
      </c>
      <c r="E1775" s="85">
        <f t="shared" si="235"/>
        <v>1.5E-3</v>
      </c>
      <c r="F1775" s="85">
        <f t="shared" si="236"/>
        <v>7.5000000000000002E-4</v>
      </c>
      <c r="G1775" s="85">
        <f t="shared" si="237"/>
        <v>1.7671458676442585E-9</v>
      </c>
      <c r="H1775" s="85">
        <v>7800</v>
      </c>
      <c r="I1775" s="85">
        <f t="shared" si="238"/>
        <v>1.3783737767625217E-5</v>
      </c>
      <c r="J1775" s="87">
        <v>1</v>
      </c>
      <c r="K1775" s="88">
        <f t="shared" si="239"/>
        <v>72549.261808271374</v>
      </c>
    </row>
    <row r="1776" spans="1:11" hidden="1" x14ac:dyDescent="0.25">
      <c r="A1776" t="str">
        <f t="shared" si="240"/>
        <v>PA6.6Ø2</v>
      </c>
      <c r="B1776" s="81" t="s">
        <v>244</v>
      </c>
      <c r="D1776" s="86">
        <v>2</v>
      </c>
      <c r="E1776" s="85">
        <f t="shared" si="235"/>
        <v>2E-3</v>
      </c>
      <c r="F1776" s="85">
        <f t="shared" si="236"/>
        <v>1E-3</v>
      </c>
      <c r="G1776" s="85">
        <f t="shared" si="237"/>
        <v>4.1887902047863909E-9</v>
      </c>
      <c r="H1776" s="85">
        <v>1110</v>
      </c>
      <c r="I1776" s="85">
        <f t="shared" si="238"/>
        <v>4.6495571273128935E-6</v>
      </c>
      <c r="J1776" s="87">
        <v>1</v>
      </c>
      <c r="K1776" s="85">
        <f t="shared" si="239"/>
        <v>215074.24742148022</v>
      </c>
    </row>
    <row r="1777" spans="1:11" hidden="1" x14ac:dyDescent="0.25">
      <c r="A1777" t="str">
        <f t="shared" si="240"/>
        <v>PPHØ2,5</v>
      </c>
      <c r="B1777" s="81" t="s">
        <v>202</v>
      </c>
      <c r="D1777" s="86">
        <v>2.5</v>
      </c>
      <c r="E1777" s="85">
        <f t="shared" si="235"/>
        <v>2.5000000000000001E-3</v>
      </c>
      <c r="F1777" s="85">
        <f t="shared" si="236"/>
        <v>1.25E-3</v>
      </c>
      <c r="G1777" s="85">
        <f t="shared" si="237"/>
        <v>8.181230868723419E-9</v>
      </c>
      <c r="H1777" s="85">
        <v>870</v>
      </c>
      <c r="I1777" s="85">
        <f t="shared" si="238"/>
        <v>7.1176708557893749E-6</v>
      </c>
      <c r="J1777" s="87">
        <v>1</v>
      </c>
      <c r="K1777" s="88">
        <f t="shared" si="239"/>
        <v>140495.39803974211</v>
      </c>
    </row>
    <row r="1778" spans="1:11" hidden="1" x14ac:dyDescent="0.25">
      <c r="A1778" t="str">
        <f t="shared" si="240"/>
        <v>52100Ø1,5875</v>
      </c>
      <c r="B1778" s="81">
        <v>52100</v>
      </c>
      <c r="C1778" s="101" t="s">
        <v>246</v>
      </c>
      <c r="D1778" s="86">
        <f>1/16*25.4</f>
        <v>1.5874999999999999</v>
      </c>
      <c r="E1778" s="85">
        <f t="shared" si="235"/>
        <v>1.5874999999999999E-3</v>
      </c>
      <c r="F1778" s="85">
        <f t="shared" si="236"/>
        <v>7.9374999999999997E-4</v>
      </c>
      <c r="G1778" s="85">
        <f t="shared" si="237"/>
        <v>2.0947867788210349E-9</v>
      </c>
      <c r="H1778" s="85">
        <v>7800</v>
      </c>
      <c r="I1778" s="85">
        <f t="shared" si="238"/>
        <v>1.6339336874804071E-5</v>
      </c>
      <c r="J1778" s="87">
        <v>1</v>
      </c>
      <c r="K1778" s="88">
        <f t="shared" si="239"/>
        <v>61201.994160610098</v>
      </c>
    </row>
    <row r="1779" spans="1:11" hidden="1" x14ac:dyDescent="0.25">
      <c r="A1779" t="str">
        <f t="shared" si="240"/>
        <v>440CØ1,984375</v>
      </c>
      <c r="B1779" s="81" t="s">
        <v>314</v>
      </c>
      <c r="C1779" s="101" t="s">
        <v>327</v>
      </c>
      <c r="D1779" s="86">
        <f>5/64*25.4</f>
        <v>1.984375</v>
      </c>
      <c r="E1779" s="85">
        <f t="shared" si="235"/>
        <v>1.984375E-3</v>
      </c>
      <c r="F1779" s="85">
        <f t="shared" si="236"/>
        <v>9.9218750000000001E-4</v>
      </c>
      <c r="G1779" s="85">
        <f t="shared" si="237"/>
        <v>4.0913804273848354E-9</v>
      </c>
      <c r="H1779" s="85">
        <v>7560</v>
      </c>
      <c r="I1779" s="85">
        <f t="shared" si="238"/>
        <v>3.0930836031029355E-5</v>
      </c>
      <c r="J1779" s="87">
        <v>1</v>
      </c>
      <c r="K1779" s="88">
        <f t="shared" si="239"/>
        <v>32330.196280398464</v>
      </c>
    </row>
    <row r="1780" spans="1:11" hidden="1" x14ac:dyDescent="0.25">
      <c r="A1780" t="str">
        <f t="shared" si="240"/>
        <v>420CØ1,5</v>
      </c>
      <c r="B1780" s="81" t="s">
        <v>295</v>
      </c>
      <c r="D1780" s="86">
        <v>1.5</v>
      </c>
      <c r="E1780" s="85">
        <f t="shared" si="235"/>
        <v>1.5E-3</v>
      </c>
      <c r="F1780" s="85">
        <f t="shared" si="236"/>
        <v>7.5000000000000002E-4</v>
      </c>
      <c r="G1780" s="85">
        <f t="shared" si="237"/>
        <v>1.7671458676442585E-9</v>
      </c>
      <c r="H1780" s="85">
        <v>7700</v>
      </c>
      <c r="I1780" s="85">
        <f t="shared" si="238"/>
        <v>1.3607023180860791E-5</v>
      </c>
      <c r="J1780" s="87">
        <v>1</v>
      </c>
      <c r="K1780" s="88">
        <f t="shared" si="239"/>
        <v>73491.460013573611</v>
      </c>
    </row>
    <row r="1781" spans="1:11" hidden="1" x14ac:dyDescent="0.25">
      <c r="A1781" t="str">
        <f t="shared" si="240"/>
        <v>POMØ2,38125</v>
      </c>
      <c r="B1781" s="81" t="s">
        <v>201</v>
      </c>
      <c r="C1781" s="101" t="s">
        <v>213</v>
      </c>
      <c r="D1781" s="86">
        <f>3/32*25.4</f>
        <v>2.3812499999999996</v>
      </c>
      <c r="E1781" s="85">
        <f t="shared" si="235"/>
        <v>2.3812499999999997E-3</v>
      </c>
      <c r="F1781" s="85">
        <f t="shared" si="236"/>
        <v>1.1906249999999998E-3</v>
      </c>
      <c r="G1781" s="85">
        <f t="shared" si="237"/>
        <v>7.0699053785209917E-9</v>
      </c>
      <c r="H1781" s="85">
        <v>1370</v>
      </c>
      <c r="I1781" s="85">
        <f t="shared" si="238"/>
        <v>9.6857703685737587E-6</v>
      </c>
      <c r="J1781" s="87">
        <v>1</v>
      </c>
      <c r="K1781" s="88">
        <f t="shared" si="239"/>
        <v>103244.23994652799</v>
      </c>
    </row>
    <row r="1782" spans="1:11" hidden="1" x14ac:dyDescent="0.25">
      <c r="A1782" t="str">
        <f t="shared" si="240"/>
        <v>420CØ2</v>
      </c>
      <c r="B1782" s="81" t="s">
        <v>295</v>
      </c>
      <c r="D1782" s="86">
        <v>2</v>
      </c>
      <c r="E1782" s="85">
        <f t="shared" si="235"/>
        <v>2E-3</v>
      </c>
      <c r="F1782" s="85">
        <f t="shared" si="236"/>
        <v>1E-3</v>
      </c>
      <c r="G1782" s="85">
        <f t="shared" si="237"/>
        <v>4.1887902047863909E-9</v>
      </c>
      <c r="H1782" s="85">
        <v>7700</v>
      </c>
      <c r="I1782" s="85">
        <f t="shared" si="238"/>
        <v>3.2253684576855209E-5</v>
      </c>
      <c r="J1782" s="87">
        <v>1</v>
      </c>
      <c r="K1782" s="88">
        <f t="shared" si="239"/>
        <v>31004.209693226367</v>
      </c>
    </row>
    <row r="1783" spans="1:11" hidden="1" x14ac:dyDescent="0.25">
      <c r="A1783" t="str">
        <f t="shared" si="240"/>
        <v>904LØ60</v>
      </c>
      <c r="B1783" s="81" t="s">
        <v>370</v>
      </c>
      <c r="D1783" s="86">
        <v>60</v>
      </c>
      <c r="E1783" s="85">
        <f t="shared" si="235"/>
        <v>0.06</v>
      </c>
      <c r="F1783" s="85">
        <f t="shared" si="236"/>
        <v>0.03</v>
      </c>
      <c r="G1783" s="85">
        <f t="shared" si="237"/>
        <v>1.1309733552923254E-4</v>
      </c>
      <c r="H1783" s="85">
        <v>7980</v>
      </c>
      <c r="I1783" s="85">
        <f t="shared" si="238"/>
        <v>0.90251673752327566</v>
      </c>
      <c r="J1783" s="87">
        <v>1</v>
      </c>
      <c r="K1783" s="88">
        <f t="shared" si="239"/>
        <v>1.108012692090611</v>
      </c>
    </row>
    <row r="1784" spans="1:11" hidden="1" x14ac:dyDescent="0.25">
      <c r="A1784" t="str">
        <f t="shared" si="240"/>
        <v>420CØ1</v>
      </c>
      <c r="B1784" s="81" t="s">
        <v>295</v>
      </c>
      <c r="D1784" s="86">
        <v>1</v>
      </c>
      <c r="E1784" s="85">
        <f t="shared" si="235"/>
        <v>1E-3</v>
      </c>
      <c r="F1784" s="85">
        <f t="shared" si="236"/>
        <v>5.0000000000000001E-4</v>
      </c>
      <c r="G1784" s="85">
        <f t="shared" si="237"/>
        <v>5.2359877559829886E-10</v>
      </c>
      <c r="H1784" s="85">
        <v>7700</v>
      </c>
      <c r="I1784" s="85">
        <f t="shared" si="238"/>
        <v>4.0317105721069012E-6</v>
      </c>
      <c r="J1784" s="87">
        <v>1</v>
      </c>
      <c r="K1784" s="88">
        <f t="shared" si="239"/>
        <v>248033.67754581093</v>
      </c>
    </row>
    <row r="1785" spans="1:11" hidden="1" x14ac:dyDescent="0.25">
      <c r="A1785" t="str">
        <f t="shared" si="240"/>
        <v>52100Ø1,5875</v>
      </c>
      <c r="B1785" s="81">
        <v>52100</v>
      </c>
      <c r="C1785" s="101" t="s">
        <v>246</v>
      </c>
      <c r="D1785" s="86">
        <f>1/16*25.4</f>
        <v>1.5874999999999999</v>
      </c>
      <c r="E1785" s="85">
        <f t="shared" ref="E1785:E1848" si="241">D1785/1000</f>
        <v>1.5874999999999999E-3</v>
      </c>
      <c r="F1785" s="85">
        <f t="shared" ref="F1785:F1848" si="242">E1785/2</f>
        <v>7.9374999999999997E-4</v>
      </c>
      <c r="G1785" s="85">
        <f t="shared" ref="G1785:G1848" si="243">4/3*PI()*F1785*F1785*F1785</f>
        <v>2.0947867788210349E-9</v>
      </c>
      <c r="H1785" s="85">
        <v>7800</v>
      </c>
      <c r="I1785" s="85">
        <f t="shared" ref="I1785:I1825" si="244">H1785*G1785</f>
        <v>1.6339336874804071E-5</v>
      </c>
      <c r="J1785" s="87">
        <v>1</v>
      </c>
      <c r="K1785" s="88">
        <f t="shared" ref="K1785:K1825" si="245">J1785/I1785</f>
        <v>61201.994160610098</v>
      </c>
    </row>
    <row r="1786" spans="1:11" hidden="1" x14ac:dyDescent="0.25">
      <c r="A1786" t="str">
        <f t="shared" si="240"/>
        <v>304Ø0,6</v>
      </c>
      <c r="B1786" s="81">
        <v>304</v>
      </c>
      <c r="D1786" s="86">
        <v>0.6</v>
      </c>
      <c r="E1786" s="85">
        <f t="shared" si="241"/>
        <v>5.9999999999999995E-4</v>
      </c>
      <c r="F1786" s="85">
        <f t="shared" si="242"/>
        <v>2.9999999999999997E-4</v>
      </c>
      <c r="G1786" s="85">
        <f t="shared" si="243"/>
        <v>1.1309733552923252E-10</v>
      </c>
      <c r="H1786" s="85">
        <v>7950</v>
      </c>
      <c r="I1786" s="85">
        <f t="shared" si="244"/>
        <v>8.9912381745739853E-7</v>
      </c>
      <c r="J1786" s="87">
        <v>1</v>
      </c>
      <c r="K1786" s="85">
        <f t="shared" si="245"/>
        <v>1112193.8720607643</v>
      </c>
    </row>
    <row r="1787" spans="1:11" hidden="1" x14ac:dyDescent="0.25">
      <c r="A1787" t="str">
        <f t="shared" si="240"/>
        <v>304Ø0,6</v>
      </c>
      <c r="B1787" s="81">
        <v>304</v>
      </c>
      <c r="D1787" s="86">
        <v>0.6</v>
      </c>
      <c r="E1787" s="85">
        <f t="shared" si="241"/>
        <v>5.9999999999999995E-4</v>
      </c>
      <c r="F1787" s="85">
        <f t="shared" si="242"/>
        <v>2.9999999999999997E-4</v>
      </c>
      <c r="G1787" s="85">
        <f t="shared" si="243"/>
        <v>1.1309733552923252E-10</v>
      </c>
      <c r="H1787" s="85">
        <v>7950</v>
      </c>
      <c r="I1787" s="85">
        <f t="shared" si="244"/>
        <v>8.9912381745739853E-7</v>
      </c>
      <c r="J1787" s="87">
        <v>1</v>
      </c>
      <c r="K1787" s="88">
        <f t="shared" si="245"/>
        <v>1112193.8720607643</v>
      </c>
    </row>
    <row r="1788" spans="1:11" hidden="1" x14ac:dyDescent="0.25">
      <c r="A1788" t="str">
        <f t="shared" si="240"/>
        <v>POMØ8</v>
      </c>
      <c r="B1788" s="81" t="s">
        <v>201</v>
      </c>
      <c r="D1788" s="86">
        <v>8</v>
      </c>
      <c r="E1788" s="85">
        <f t="shared" si="241"/>
        <v>8.0000000000000002E-3</v>
      </c>
      <c r="F1788" s="85">
        <f t="shared" si="242"/>
        <v>4.0000000000000001E-3</v>
      </c>
      <c r="G1788" s="85">
        <f t="shared" si="243"/>
        <v>2.6808257310632902E-7</v>
      </c>
      <c r="H1788" s="85">
        <v>1370</v>
      </c>
      <c r="I1788" s="85">
        <f t="shared" si="244"/>
        <v>3.6727312515567076E-4</v>
      </c>
      <c r="J1788" s="87">
        <v>1</v>
      </c>
      <c r="K1788" s="88">
        <f t="shared" si="245"/>
        <v>2722.769327530144</v>
      </c>
    </row>
    <row r="1789" spans="1:11" hidden="1" x14ac:dyDescent="0.25">
      <c r="A1789" t="str">
        <f t="shared" si="240"/>
        <v>PPHØ6</v>
      </c>
      <c r="B1789" s="81" t="s">
        <v>202</v>
      </c>
      <c r="D1789" s="86">
        <v>6</v>
      </c>
      <c r="E1789" s="85">
        <f t="shared" si="241"/>
        <v>6.0000000000000001E-3</v>
      </c>
      <c r="F1789" s="85">
        <f t="shared" si="242"/>
        <v>3.0000000000000001E-3</v>
      </c>
      <c r="G1789" s="85">
        <f t="shared" si="243"/>
        <v>1.1309733552923255E-7</v>
      </c>
      <c r="H1789" s="85">
        <v>870</v>
      </c>
      <c r="I1789" s="85">
        <f t="shared" si="244"/>
        <v>9.8394681910432316E-5</v>
      </c>
      <c r="J1789" s="87">
        <v>1</v>
      </c>
      <c r="K1789" s="88">
        <f t="shared" si="245"/>
        <v>10163.150899865603</v>
      </c>
    </row>
    <row r="1790" spans="1:11" hidden="1" x14ac:dyDescent="0.25">
      <c r="A1790" t="str">
        <f t="shared" si="240"/>
        <v>Al2O3Ø6</v>
      </c>
      <c r="B1790" s="81" t="s">
        <v>217</v>
      </c>
      <c r="D1790" s="86">
        <v>6</v>
      </c>
      <c r="E1790" s="85">
        <f t="shared" si="241"/>
        <v>6.0000000000000001E-3</v>
      </c>
      <c r="F1790" s="85">
        <f t="shared" si="242"/>
        <v>3.0000000000000001E-3</v>
      </c>
      <c r="G1790" s="85">
        <f t="shared" si="243"/>
        <v>1.1309733552923255E-7</v>
      </c>
      <c r="H1790" s="85">
        <v>3900</v>
      </c>
      <c r="I1790" s="85">
        <f t="shared" si="244"/>
        <v>4.4107960856400695E-4</v>
      </c>
      <c r="J1790" s="87">
        <v>1</v>
      </c>
      <c r="K1790" s="88">
        <f t="shared" si="245"/>
        <v>2267.1644315084804</v>
      </c>
    </row>
    <row r="1791" spans="1:11" hidden="1" x14ac:dyDescent="0.25">
      <c r="A1791" t="str">
        <f t="shared" si="240"/>
        <v>Al2O3Ø7</v>
      </c>
      <c r="B1791" s="81" t="s">
        <v>217</v>
      </c>
      <c r="D1791" s="86">
        <v>7</v>
      </c>
      <c r="E1791" s="85">
        <f t="shared" si="241"/>
        <v>7.0000000000000001E-3</v>
      </c>
      <c r="F1791" s="85">
        <f t="shared" si="242"/>
        <v>3.5000000000000001E-3</v>
      </c>
      <c r="G1791" s="85">
        <f t="shared" si="243"/>
        <v>1.7959438003021651E-7</v>
      </c>
      <c r="H1791" s="85">
        <v>3900</v>
      </c>
      <c r="I1791" s="85">
        <f t="shared" si="244"/>
        <v>7.0041808211784439E-4</v>
      </c>
      <c r="J1791" s="87">
        <v>1</v>
      </c>
      <c r="K1791" s="88">
        <f t="shared" si="245"/>
        <v>1427.7187090549032</v>
      </c>
    </row>
    <row r="1792" spans="1:11" hidden="1" x14ac:dyDescent="0.25">
      <c r="A1792" t="str">
        <f t="shared" si="240"/>
        <v>Al2O3Ø8</v>
      </c>
      <c r="B1792" s="81" t="s">
        <v>217</v>
      </c>
      <c r="D1792" s="86">
        <v>8</v>
      </c>
      <c r="E1792" s="85">
        <f t="shared" si="241"/>
        <v>8.0000000000000002E-3</v>
      </c>
      <c r="F1792" s="85">
        <f t="shared" si="242"/>
        <v>4.0000000000000001E-3</v>
      </c>
      <c r="G1792" s="85">
        <f t="shared" si="243"/>
        <v>2.6808257310632902E-7</v>
      </c>
      <c r="H1792" s="85">
        <v>3900</v>
      </c>
      <c r="I1792" s="85">
        <f t="shared" si="244"/>
        <v>1.0455220351146832E-3</v>
      </c>
      <c r="J1792" s="87">
        <v>1</v>
      </c>
      <c r="K1792" s="88">
        <f t="shared" si="245"/>
        <v>956.45999454264029</v>
      </c>
    </row>
    <row r="1793" spans="1:11" hidden="1" x14ac:dyDescent="0.25">
      <c r="A1793" t="str">
        <f t="shared" si="240"/>
        <v>Al2O3Ø15</v>
      </c>
      <c r="B1793" s="81" t="s">
        <v>217</v>
      </c>
      <c r="D1793" s="86">
        <v>15</v>
      </c>
      <c r="E1793" s="85">
        <f t="shared" si="241"/>
        <v>1.4999999999999999E-2</v>
      </c>
      <c r="F1793" s="85">
        <f t="shared" si="242"/>
        <v>7.4999999999999997E-3</v>
      </c>
      <c r="G1793" s="85">
        <f t="shared" si="243"/>
        <v>1.7671458676442584E-6</v>
      </c>
      <c r="H1793" s="85">
        <v>3900</v>
      </c>
      <c r="I1793" s="85">
        <f t="shared" si="244"/>
        <v>6.8918688838126079E-3</v>
      </c>
      <c r="J1793" s="87">
        <v>1</v>
      </c>
      <c r="K1793" s="88">
        <f t="shared" si="245"/>
        <v>145.09852361654276</v>
      </c>
    </row>
    <row r="1794" spans="1:11" hidden="1" x14ac:dyDescent="0.25">
      <c r="A1794" t="str">
        <f t="shared" si="240"/>
        <v>Al2O3Ø5</v>
      </c>
      <c r="B1794" s="81" t="s">
        <v>217</v>
      </c>
      <c r="D1794" s="86">
        <v>5</v>
      </c>
      <c r="E1794" s="85">
        <f t="shared" si="241"/>
        <v>5.0000000000000001E-3</v>
      </c>
      <c r="F1794" s="85">
        <f t="shared" si="242"/>
        <v>2.5000000000000001E-3</v>
      </c>
      <c r="G1794" s="85">
        <f t="shared" si="243"/>
        <v>6.5449846949787352E-8</v>
      </c>
      <c r="H1794" s="85">
        <v>3900</v>
      </c>
      <c r="I1794" s="85">
        <f t="shared" si="244"/>
        <v>2.5525440310417065E-4</v>
      </c>
      <c r="J1794" s="87">
        <v>1</v>
      </c>
      <c r="K1794" s="88">
        <f t="shared" si="245"/>
        <v>3917.6601376466551</v>
      </c>
    </row>
    <row r="1795" spans="1:11" hidden="1" x14ac:dyDescent="0.25">
      <c r="A1795" t="str">
        <f t="shared" si="240"/>
        <v>Al2O3Ø10</v>
      </c>
      <c r="B1795" s="81" t="s">
        <v>217</v>
      </c>
      <c r="D1795" s="86">
        <v>10</v>
      </c>
      <c r="E1795" s="85">
        <f t="shared" si="241"/>
        <v>0.01</v>
      </c>
      <c r="F1795" s="85">
        <f t="shared" si="242"/>
        <v>5.0000000000000001E-3</v>
      </c>
      <c r="G1795" s="85">
        <f t="shared" si="243"/>
        <v>5.2359877559829882E-7</v>
      </c>
      <c r="H1795" s="85">
        <v>3900</v>
      </c>
      <c r="I1795" s="85">
        <f t="shared" si="244"/>
        <v>2.0420352248333652E-3</v>
      </c>
      <c r="J1795" s="87">
        <v>1</v>
      </c>
      <c r="K1795" s="88">
        <f t="shared" si="245"/>
        <v>489.70751720583189</v>
      </c>
    </row>
    <row r="1796" spans="1:11" hidden="1" x14ac:dyDescent="0.25">
      <c r="A1796" t="str">
        <f t="shared" ref="A1796:A1859" si="246">CONCATENATE(B1796,"Ø",D1796)</f>
        <v>Al2O3Ø20</v>
      </c>
      <c r="B1796" s="81" t="s">
        <v>217</v>
      </c>
      <c r="D1796" s="86">
        <v>20</v>
      </c>
      <c r="E1796" s="85">
        <f t="shared" si="241"/>
        <v>0.02</v>
      </c>
      <c r="F1796" s="85">
        <f t="shared" si="242"/>
        <v>0.01</v>
      </c>
      <c r="G1796" s="85">
        <f t="shared" si="243"/>
        <v>4.1887902047863905E-6</v>
      </c>
      <c r="H1796" s="85">
        <v>3900</v>
      </c>
      <c r="I1796" s="85">
        <f t="shared" si="244"/>
        <v>1.6336281798666922E-2</v>
      </c>
      <c r="J1796" s="87">
        <v>1</v>
      </c>
      <c r="K1796" s="88">
        <f t="shared" si="245"/>
        <v>61.213439650728986</v>
      </c>
    </row>
    <row r="1797" spans="1:11" hidden="1" x14ac:dyDescent="0.25">
      <c r="A1797" t="str">
        <f t="shared" si="246"/>
        <v>Al2O3Ø30</v>
      </c>
      <c r="B1797" s="81" t="s">
        <v>217</v>
      </c>
      <c r="D1797" s="86">
        <v>30</v>
      </c>
      <c r="E1797" s="85">
        <f t="shared" si="241"/>
        <v>0.03</v>
      </c>
      <c r="F1797" s="85">
        <f t="shared" si="242"/>
        <v>1.4999999999999999E-2</v>
      </c>
      <c r="G1797" s="85">
        <f t="shared" si="243"/>
        <v>1.4137166941154067E-5</v>
      </c>
      <c r="H1797" s="85">
        <v>3900</v>
      </c>
      <c r="I1797" s="85">
        <f t="shared" si="244"/>
        <v>5.5134951070500864E-2</v>
      </c>
      <c r="J1797" s="87">
        <v>1</v>
      </c>
      <c r="K1797" s="88">
        <f t="shared" si="245"/>
        <v>18.137315452067845</v>
      </c>
    </row>
    <row r="1798" spans="1:11" hidden="1" x14ac:dyDescent="0.25">
      <c r="A1798" t="str">
        <f t="shared" si="246"/>
        <v>304Ø5</v>
      </c>
      <c r="B1798" s="81">
        <v>304</v>
      </c>
      <c r="D1798" s="86">
        <v>5</v>
      </c>
      <c r="E1798" s="85">
        <f t="shared" si="241"/>
        <v>5.0000000000000001E-3</v>
      </c>
      <c r="F1798" s="85">
        <f t="shared" si="242"/>
        <v>2.5000000000000001E-3</v>
      </c>
      <c r="G1798" s="85">
        <f t="shared" si="243"/>
        <v>6.5449846949787352E-8</v>
      </c>
      <c r="H1798" s="85">
        <v>7950</v>
      </c>
      <c r="I1798" s="85">
        <f t="shared" si="244"/>
        <v>5.2032628325080941E-4</v>
      </c>
      <c r="J1798" s="87">
        <v>1</v>
      </c>
      <c r="K1798" s="88">
        <f t="shared" si="245"/>
        <v>1921.8710109210006</v>
      </c>
    </row>
    <row r="1799" spans="1:11" hidden="1" x14ac:dyDescent="0.25">
      <c r="A1799" t="str">
        <f t="shared" si="246"/>
        <v>304Ø10</v>
      </c>
      <c r="B1799" s="81">
        <v>304</v>
      </c>
      <c r="D1799" s="86">
        <v>10</v>
      </c>
      <c r="E1799" s="85">
        <f t="shared" si="241"/>
        <v>0.01</v>
      </c>
      <c r="F1799" s="85">
        <f t="shared" si="242"/>
        <v>5.0000000000000001E-3</v>
      </c>
      <c r="G1799" s="85">
        <f t="shared" si="243"/>
        <v>5.2359877559829882E-7</v>
      </c>
      <c r="H1799" s="85">
        <v>7950</v>
      </c>
      <c r="I1799" s="85">
        <f t="shared" si="244"/>
        <v>4.1626102660064753E-3</v>
      </c>
      <c r="J1799" s="87">
        <v>1</v>
      </c>
      <c r="K1799" s="88">
        <f t="shared" si="245"/>
        <v>240.23387636512507</v>
      </c>
    </row>
    <row r="1800" spans="1:11" hidden="1" x14ac:dyDescent="0.25">
      <c r="A1800" t="str">
        <f t="shared" si="246"/>
        <v>304Ø20</v>
      </c>
      <c r="B1800" s="81">
        <v>304</v>
      </c>
      <c r="D1800" s="86">
        <v>20</v>
      </c>
      <c r="E1800" s="85">
        <f t="shared" si="241"/>
        <v>0.02</v>
      </c>
      <c r="F1800" s="85">
        <f t="shared" si="242"/>
        <v>0.01</v>
      </c>
      <c r="G1800" s="85">
        <f t="shared" si="243"/>
        <v>4.1887902047863905E-6</v>
      </c>
      <c r="H1800" s="85">
        <v>7950</v>
      </c>
      <c r="I1800" s="85">
        <f t="shared" si="244"/>
        <v>3.3300882128051802E-2</v>
      </c>
      <c r="J1800" s="87">
        <v>1</v>
      </c>
      <c r="K1800" s="88">
        <f t="shared" si="245"/>
        <v>30.029234545640634</v>
      </c>
    </row>
    <row r="1801" spans="1:11" hidden="1" x14ac:dyDescent="0.25">
      <c r="A1801" t="str">
        <f t="shared" si="246"/>
        <v>304Ø30</v>
      </c>
      <c r="B1801" s="81">
        <v>304</v>
      </c>
      <c r="D1801" s="86">
        <v>30</v>
      </c>
      <c r="E1801" s="85">
        <f t="shared" si="241"/>
        <v>0.03</v>
      </c>
      <c r="F1801" s="85">
        <f t="shared" si="242"/>
        <v>1.4999999999999999E-2</v>
      </c>
      <c r="G1801" s="85">
        <f t="shared" si="243"/>
        <v>1.4137166941154067E-5</v>
      </c>
      <c r="H1801" s="85">
        <v>7950</v>
      </c>
      <c r="I1801" s="85">
        <f t="shared" si="244"/>
        <v>0.11239047718217483</v>
      </c>
      <c r="J1801" s="87">
        <v>1</v>
      </c>
      <c r="K1801" s="88">
        <f t="shared" si="245"/>
        <v>8.897550976486114</v>
      </c>
    </row>
    <row r="1802" spans="1:11" hidden="1" x14ac:dyDescent="0.25">
      <c r="A1802" t="str">
        <f t="shared" si="246"/>
        <v>440CØ2</v>
      </c>
      <c r="B1802" s="81" t="s">
        <v>314</v>
      </c>
      <c r="D1802" s="86">
        <v>2</v>
      </c>
      <c r="E1802" s="85">
        <f t="shared" si="241"/>
        <v>2E-3</v>
      </c>
      <c r="F1802" s="85">
        <f t="shared" si="242"/>
        <v>1E-3</v>
      </c>
      <c r="G1802" s="85">
        <f t="shared" si="243"/>
        <v>4.1887902047863909E-9</v>
      </c>
      <c r="H1802" s="85">
        <v>7660</v>
      </c>
      <c r="I1802" s="85">
        <f t="shared" si="244"/>
        <v>3.2086132968663753E-5</v>
      </c>
      <c r="J1802" s="87">
        <v>1</v>
      </c>
      <c r="K1802" s="88">
        <f t="shared" si="245"/>
        <v>31166.111571519978</v>
      </c>
    </row>
    <row r="1803" spans="1:11" hidden="1" x14ac:dyDescent="0.25">
      <c r="A1803" t="str">
        <f t="shared" si="246"/>
        <v>Si3N4Ø1,5875</v>
      </c>
      <c r="B1803" s="81" t="s">
        <v>207</v>
      </c>
      <c r="C1803" s="101" t="s">
        <v>246</v>
      </c>
      <c r="D1803" s="86">
        <f>1/16*25.4</f>
        <v>1.5874999999999999</v>
      </c>
      <c r="E1803" s="85">
        <f t="shared" si="241"/>
        <v>1.5874999999999999E-3</v>
      </c>
      <c r="F1803" s="85">
        <f t="shared" si="242"/>
        <v>7.9374999999999997E-4</v>
      </c>
      <c r="G1803" s="85">
        <f t="shared" si="243"/>
        <v>2.0947867788210349E-9</v>
      </c>
      <c r="H1803" s="85">
        <v>3260</v>
      </c>
      <c r="I1803" s="85">
        <f t="shared" si="244"/>
        <v>6.8290048989565737E-6</v>
      </c>
      <c r="J1803" s="87">
        <v>1</v>
      </c>
      <c r="K1803" s="88">
        <f t="shared" si="245"/>
        <v>146434.21915728797</v>
      </c>
    </row>
    <row r="1804" spans="1:11" hidden="1" x14ac:dyDescent="0.25">
      <c r="A1804" t="str">
        <f t="shared" si="246"/>
        <v>Si3N4Ø1,5875</v>
      </c>
      <c r="B1804" s="81" t="s">
        <v>207</v>
      </c>
      <c r="C1804" s="101" t="s">
        <v>246</v>
      </c>
      <c r="D1804" s="86">
        <f>1/16*25.4</f>
        <v>1.5874999999999999</v>
      </c>
      <c r="E1804" s="85">
        <f t="shared" si="241"/>
        <v>1.5874999999999999E-3</v>
      </c>
      <c r="F1804" s="85">
        <f t="shared" si="242"/>
        <v>7.9374999999999997E-4</v>
      </c>
      <c r="G1804" s="85">
        <f t="shared" si="243"/>
        <v>2.0947867788210349E-9</v>
      </c>
      <c r="H1804" s="85">
        <v>3260</v>
      </c>
      <c r="I1804" s="85">
        <f t="shared" si="244"/>
        <v>6.8290048989565737E-6</v>
      </c>
      <c r="J1804" s="87">
        <v>1</v>
      </c>
      <c r="K1804" s="88">
        <f t="shared" si="245"/>
        <v>146434.21915728797</v>
      </c>
    </row>
    <row r="1805" spans="1:11" hidden="1" x14ac:dyDescent="0.25">
      <c r="A1805" t="str">
        <f t="shared" si="246"/>
        <v>52100Ø5,1</v>
      </c>
      <c r="B1805" s="81">
        <v>52100</v>
      </c>
      <c r="D1805" s="86">
        <v>5.0999999999999996</v>
      </c>
      <c r="E1805" s="85">
        <f t="shared" si="241"/>
        <v>5.0999999999999995E-3</v>
      </c>
      <c r="F1805" s="85">
        <f t="shared" si="242"/>
        <v>2.5499999999999997E-3</v>
      </c>
      <c r="G1805" s="85">
        <f t="shared" si="243"/>
        <v>6.9455901181889918E-8</v>
      </c>
      <c r="H1805" s="85">
        <v>7800</v>
      </c>
      <c r="I1805" s="85">
        <f t="shared" si="244"/>
        <v>5.4175602921874137E-4</v>
      </c>
      <c r="J1805" s="87">
        <v>1</v>
      </c>
      <c r="K1805" s="88">
        <f t="shared" si="245"/>
        <v>1845.8493234345462</v>
      </c>
    </row>
    <row r="1806" spans="1:11" hidden="1" x14ac:dyDescent="0.25">
      <c r="A1806" t="str">
        <f t="shared" si="246"/>
        <v>52100Ø5,1</v>
      </c>
      <c r="B1806" s="81">
        <v>52100</v>
      </c>
      <c r="D1806" s="86">
        <v>5.0999999999999996</v>
      </c>
      <c r="E1806" s="85">
        <f t="shared" si="241"/>
        <v>5.0999999999999995E-3</v>
      </c>
      <c r="F1806" s="85">
        <f t="shared" si="242"/>
        <v>2.5499999999999997E-3</v>
      </c>
      <c r="G1806" s="85">
        <f t="shared" si="243"/>
        <v>6.9455901181889918E-8</v>
      </c>
      <c r="H1806" s="85">
        <v>7800</v>
      </c>
      <c r="I1806" s="85">
        <f t="shared" si="244"/>
        <v>5.4175602921874137E-4</v>
      </c>
      <c r="J1806" s="87">
        <v>1</v>
      </c>
      <c r="K1806" s="88">
        <f t="shared" si="245"/>
        <v>1845.8493234345462</v>
      </c>
    </row>
    <row r="1807" spans="1:11" hidden="1" x14ac:dyDescent="0.25">
      <c r="A1807" t="str">
        <f t="shared" si="246"/>
        <v>PA6.6Ø3,96875</v>
      </c>
      <c r="B1807" s="81" t="s">
        <v>244</v>
      </c>
      <c r="C1807" s="101" t="s">
        <v>215</v>
      </c>
      <c r="D1807" s="86">
        <f>5/32*25.4</f>
        <v>3.96875</v>
      </c>
      <c r="E1807" s="85">
        <f t="shared" si="241"/>
        <v>3.9687500000000001E-3</v>
      </c>
      <c r="F1807" s="85">
        <f t="shared" si="242"/>
        <v>1.984375E-3</v>
      </c>
      <c r="G1807" s="85">
        <f t="shared" si="243"/>
        <v>3.2731043419078684E-8</v>
      </c>
      <c r="H1807" s="85">
        <v>1110</v>
      </c>
      <c r="I1807" s="85">
        <f t="shared" si="244"/>
        <v>3.6331458195177338E-5</v>
      </c>
      <c r="J1807" s="87">
        <v>1</v>
      </c>
      <c r="K1807" s="88">
        <f t="shared" si="245"/>
        <v>27524.356292771663</v>
      </c>
    </row>
    <row r="1808" spans="1:11" hidden="1" x14ac:dyDescent="0.25">
      <c r="A1808" t="str">
        <f t="shared" si="246"/>
        <v>PA6.6Ø2</v>
      </c>
      <c r="B1808" s="81" t="s">
        <v>244</v>
      </c>
      <c r="D1808" s="86">
        <v>2</v>
      </c>
      <c r="E1808" s="85">
        <f t="shared" si="241"/>
        <v>2E-3</v>
      </c>
      <c r="F1808" s="85">
        <f t="shared" si="242"/>
        <v>1E-3</v>
      </c>
      <c r="G1808" s="85">
        <f t="shared" si="243"/>
        <v>4.1887902047863909E-9</v>
      </c>
      <c r="H1808" s="85">
        <v>1110</v>
      </c>
      <c r="I1808" s="85">
        <f t="shared" si="244"/>
        <v>4.6495571273128935E-6</v>
      </c>
      <c r="J1808" s="87">
        <v>1</v>
      </c>
      <c r="K1808" s="88">
        <f t="shared" si="245"/>
        <v>215074.24742148022</v>
      </c>
    </row>
    <row r="1809" spans="1:11" hidden="1" x14ac:dyDescent="0.25">
      <c r="A1809" t="str">
        <f t="shared" si="246"/>
        <v>PPHØ1</v>
      </c>
      <c r="B1809" s="81" t="s">
        <v>202</v>
      </c>
      <c r="D1809" s="86">
        <v>1</v>
      </c>
      <c r="E1809" s="85">
        <f t="shared" si="241"/>
        <v>1E-3</v>
      </c>
      <c r="F1809" s="85">
        <f t="shared" si="242"/>
        <v>5.0000000000000001E-4</v>
      </c>
      <c r="G1809" s="85">
        <f t="shared" si="243"/>
        <v>5.2359877559829886E-10</v>
      </c>
      <c r="H1809" s="85">
        <v>870</v>
      </c>
      <c r="I1809" s="85">
        <f t="shared" si="244"/>
        <v>4.5553093477051999E-7</v>
      </c>
      <c r="J1809" s="87">
        <v>1</v>
      </c>
      <c r="K1809" s="88">
        <f t="shared" si="245"/>
        <v>2195240.5943709705</v>
      </c>
    </row>
    <row r="1810" spans="1:11" hidden="1" x14ac:dyDescent="0.25">
      <c r="A1810" t="str">
        <f t="shared" si="246"/>
        <v>Al2O3Ø1,5</v>
      </c>
      <c r="B1810" s="81" t="s">
        <v>217</v>
      </c>
      <c r="D1810" s="86">
        <v>1.5</v>
      </c>
      <c r="E1810" s="85">
        <f t="shared" si="241"/>
        <v>1.5E-3</v>
      </c>
      <c r="F1810" s="85">
        <f t="shared" si="242"/>
        <v>7.5000000000000002E-4</v>
      </c>
      <c r="G1810" s="85">
        <f t="shared" si="243"/>
        <v>1.7671458676442585E-9</v>
      </c>
      <c r="H1810" s="85">
        <v>3900</v>
      </c>
      <c r="I1810" s="85">
        <f t="shared" si="244"/>
        <v>6.8918688838126086E-6</v>
      </c>
      <c r="J1810" s="87">
        <v>1</v>
      </c>
      <c r="K1810" s="88">
        <f t="shared" si="245"/>
        <v>145098.52361654275</v>
      </c>
    </row>
    <row r="1811" spans="1:11" hidden="1" x14ac:dyDescent="0.25">
      <c r="A1811" t="str">
        <f t="shared" si="246"/>
        <v>Al2O3Ø2</v>
      </c>
      <c r="B1811" s="81" t="s">
        <v>217</v>
      </c>
      <c r="D1811" s="86">
        <v>2</v>
      </c>
      <c r="E1811" s="85">
        <f t="shared" si="241"/>
        <v>2E-3</v>
      </c>
      <c r="F1811" s="85">
        <f t="shared" si="242"/>
        <v>1E-3</v>
      </c>
      <c r="G1811" s="85">
        <f t="shared" si="243"/>
        <v>4.1887902047863909E-9</v>
      </c>
      <c r="H1811" s="85">
        <v>3900</v>
      </c>
      <c r="I1811" s="85">
        <f t="shared" si="244"/>
        <v>1.6336281798666925E-5</v>
      </c>
      <c r="J1811" s="87">
        <v>1</v>
      </c>
      <c r="K1811" s="88">
        <f t="shared" si="245"/>
        <v>61213.439650728978</v>
      </c>
    </row>
    <row r="1812" spans="1:11" hidden="1" x14ac:dyDescent="0.25">
      <c r="A1812" t="str">
        <f t="shared" si="246"/>
        <v>Al2O3Ø3</v>
      </c>
      <c r="B1812" s="81" t="s">
        <v>217</v>
      </c>
      <c r="D1812" s="86">
        <v>3</v>
      </c>
      <c r="E1812" s="85">
        <f t="shared" si="241"/>
        <v>3.0000000000000001E-3</v>
      </c>
      <c r="F1812" s="85">
        <f t="shared" si="242"/>
        <v>1.5E-3</v>
      </c>
      <c r="G1812" s="85">
        <f t="shared" si="243"/>
        <v>1.4137166941154068E-8</v>
      </c>
      <c r="H1812" s="85">
        <v>3900</v>
      </c>
      <c r="I1812" s="85">
        <f t="shared" si="244"/>
        <v>5.5134951070500869E-5</v>
      </c>
      <c r="J1812" s="87">
        <v>1</v>
      </c>
      <c r="K1812" s="88">
        <f t="shared" si="245"/>
        <v>18137.315452067844</v>
      </c>
    </row>
    <row r="1813" spans="1:11" hidden="1" x14ac:dyDescent="0.25">
      <c r="A1813" t="str">
        <f t="shared" si="246"/>
        <v>Al2O3Ø5</v>
      </c>
      <c r="B1813" s="81" t="s">
        <v>217</v>
      </c>
      <c r="D1813" s="86">
        <v>5</v>
      </c>
      <c r="E1813" s="85">
        <f t="shared" si="241"/>
        <v>5.0000000000000001E-3</v>
      </c>
      <c r="F1813" s="85">
        <f t="shared" si="242"/>
        <v>2.5000000000000001E-3</v>
      </c>
      <c r="G1813" s="85">
        <f t="shared" si="243"/>
        <v>6.5449846949787352E-8</v>
      </c>
      <c r="H1813" s="85">
        <v>3900</v>
      </c>
      <c r="I1813" s="85">
        <f t="shared" si="244"/>
        <v>2.5525440310417065E-4</v>
      </c>
      <c r="J1813" s="87">
        <v>1</v>
      </c>
      <c r="K1813" s="88">
        <f t="shared" si="245"/>
        <v>3917.6601376466551</v>
      </c>
    </row>
    <row r="1814" spans="1:11" hidden="1" x14ac:dyDescent="0.25">
      <c r="A1814" t="str">
        <f t="shared" si="246"/>
        <v>Al2O3Ø2</v>
      </c>
      <c r="B1814" s="81" t="s">
        <v>217</v>
      </c>
      <c r="D1814" s="86">
        <v>2</v>
      </c>
      <c r="E1814" s="85">
        <f t="shared" si="241"/>
        <v>2E-3</v>
      </c>
      <c r="F1814" s="85">
        <f t="shared" si="242"/>
        <v>1E-3</v>
      </c>
      <c r="G1814" s="85">
        <f t="shared" si="243"/>
        <v>4.1887902047863909E-9</v>
      </c>
      <c r="H1814" s="85">
        <v>3650</v>
      </c>
      <c r="I1814" s="85">
        <f t="shared" si="244"/>
        <v>1.5289084247470327E-5</v>
      </c>
      <c r="J1814" s="87">
        <v>1</v>
      </c>
      <c r="K1814" s="88">
        <f t="shared" si="245"/>
        <v>65406.140996669317</v>
      </c>
    </row>
    <row r="1815" spans="1:11" hidden="1" x14ac:dyDescent="0.25">
      <c r="A1815" t="str">
        <f t="shared" si="246"/>
        <v>VESCØ25,4</v>
      </c>
      <c r="B1815" s="81" t="s">
        <v>210</v>
      </c>
      <c r="C1815" s="101" t="s">
        <v>255</v>
      </c>
      <c r="D1815" s="86">
        <f>1*25.4</f>
        <v>25.4</v>
      </c>
      <c r="E1815" s="85">
        <f t="shared" si="241"/>
        <v>2.5399999999999999E-2</v>
      </c>
      <c r="F1815" s="85">
        <f t="shared" si="242"/>
        <v>1.2699999999999999E-2</v>
      </c>
      <c r="G1815" s="85">
        <f t="shared" si="243"/>
        <v>8.5802466460509588E-6</v>
      </c>
      <c r="H1815" s="85">
        <v>2500</v>
      </c>
      <c r="I1815" s="85">
        <f t="shared" si="244"/>
        <v>2.1450616615127396E-2</v>
      </c>
      <c r="J1815" s="87">
        <v>1</v>
      </c>
      <c r="K1815" s="97">
        <f t="shared" si="245"/>
        <v>46.61870648952722</v>
      </c>
    </row>
    <row r="1816" spans="1:11" hidden="1" x14ac:dyDescent="0.25">
      <c r="A1816" t="str">
        <f t="shared" si="246"/>
        <v>VEBOØ25,4</v>
      </c>
      <c r="B1816" s="81" t="s">
        <v>329</v>
      </c>
      <c r="C1816" s="101" t="s">
        <v>255</v>
      </c>
      <c r="D1816" s="86">
        <f>1*25.4</f>
        <v>25.4</v>
      </c>
      <c r="E1816" s="85">
        <f t="shared" si="241"/>
        <v>2.5399999999999999E-2</v>
      </c>
      <c r="F1816" s="85">
        <f t="shared" si="242"/>
        <v>1.2699999999999999E-2</v>
      </c>
      <c r="G1816" s="85">
        <f t="shared" si="243"/>
        <v>8.5802466460509588E-6</v>
      </c>
      <c r="H1816" s="85">
        <v>2230</v>
      </c>
      <c r="I1816" s="85">
        <f t="shared" si="244"/>
        <v>1.9133950020693638E-2</v>
      </c>
      <c r="J1816" s="87">
        <v>1</v>
      </c>
      <c r="K1816" s="97">
        <f t="shared" si="245"/>
        <v>52.263123867182983</v>
      </c>
    </row>
    <row r="1817" spans="1:11" hidden="1" x14ac:dyDescent="0.25">
      <c r="A1817" t="str">
        <f t="shared" si="246"/>
        <v>POMØ2</v>
      </c>
      <c r="B1817" s="81" t="s">
        <v>201</v>
      </c>
      <c r="D1817" s="86">
        <v>2</v>
      </c>
      <c r="E1817" s="85">
        <f t="shared" si="241"/>
        <v>2E-3</v>
      </c>
      <c r="F1817" s="85">
        <f t="shared" si="242"/>
        <v>1E-3</v>
      </c>
      <c r="G1817" s="85">
        <f t="shared" si="243"/>
        <v>4.1887902047863909E-9</v>
      </c>
      <c r="H1817" s="85">
        <v>1410</v>
      </c>
      <c r="I1817" s="85">
        <f t="shared" si="244"/>
        <v>5.906194188748811E-6</v>
      </c>
      <c r="J1817" s="87">
        <v>1</v>
      </c>
      <c r="K1817" s="88">
        <f t="shared" si="245"/>
        <v>169313.76924669716</v>
      </c>
    </row>
    <row r="1818" spans="1:11" hidden="1" x14ac:dyDescent="0.25">
      <c r="A1818" t="str">
        <f t="shared" si="246"/>
        <v>POMØ6</v>
      </c>
      <c r="B1818" s="81" t="s">
        <v>201</v>
      </c>
      <c r="D1818" s="86">
        <v>6</v>
      </c>
      <c r="E1818" s="85">
        <f t="shared" si="241"/>
        <v>6.0000000000000001E-3</v>
      </c>
      <c r="F1818" s="85">
        <f t="shared" si="242"/>
        <v>3.0000000000000001E-3</v>
      </c>
      <c r="G1818" s="85">
        <f t="shared" si="243"/>
        <v>1.1309733552923255E-7</v>
      </c>
      <c r="H1818" s="85">
        <v>1370</v>
      </c>
      <c r="I1818" s="85">
        <f t="shared" si="244"/>
        <v>1.549433496750486E-4</v>
      </c>
      <c r="J1818" s="87">
        <v>1</v>
      </c>
      <c r="K1818" s="88">
        <f t="shared" si="245"/>
        <v>6453.971739330711</v>
      </c>
    </row>
    <row r="1819" spans="1:11" hidden="1" x14ac:dyDescent="0.25">
      <c r="A1819" t="str">
        <f t="shared" si="246"/>
        <v>WC-CoØ1,5875</v>
      </c>
      <c r="B1819" s="81" t="s">
        <v>297</v>
      </c>
      <c r="C1819" s="101" t="s">
        <v>246</v>
      </c>
      <c r="D1819" s="86">
        <f>1/16*25.4</f>
        <v>1.5874999999999999</v>
      </c>
      <c r="E1819" s="85">
        <f t="shared" si="241"/>
        <v>1.5874999999999999E-3</v>
      </c>
      <c r="F1819" s="85">
        <f t="shared" si="242"/>
        <v>7.9374999999999997E-4</v>
      </c>
      <c r="G1819" s="85">
        <f t="shared" si="243"/>
        <v>2.0947867788210349E-9</v>
      </c>
      <c r="H1819" s="85">
        <v>14950</v>
      </c>
      <c r="I1819" s="85">
        <f t="shared" si="244"/>
        <v>3.1317062343374473E-5</v>
      </c>
      <c r="J1819" s="87">
        <v>1</v>
      </c>
      <c r="K1819" s="88">
        <f t="shared" si="245"/>
        <v>31931.475214231352</v>
      </c>
    </row>
    <row r="1820" spans="1:11" hidden="1" x14ac:dyDescent="0.25">
      <c r="A1820" t="str">
        <f t="shared" si="246"/>
        <v>52100Ø1</v>
      </c>
      <c r="B1820" s="81">
        <v>52100</v>
      </c>
      <c r="D1820" s="86">
        <v>1</v>
      </c>
      <c r="E1820" s="85">
        <f t="shared" si="241"/>
        <v>1E-3</v>
      </c>
      <c r="F1820" s="85">
        <f t="shared" si="242"/>
        <v>5.0000000000000001E-4</v>
      </c>
      <c r="G1820" s="85">
        <f t="shared" si="243"/>
        <v>5.2359877559829886E-10</v>
      </c>
      <c r="H1820" s="85">
        <v>7800</v>
      </c>
      <c r="I1820" s="85">
        <f t="shared" si="244"/>
        <v>4.0840704496667312E-6</v>
      </c>
      <c r="J1820" s="87">
        <v>1</v>
      </c>
      <c r="K1820" s="88">
        <f t="shared" si="245"/>
        <v>244853.75860291591</v>
      </c>
    </row>
    <row r="1821" spans="1:11" hidden="1" x14ac:dyDescent="0.25">
      <c r="A1821" t="str">
        <f t="shared" si="246"/>
        <v>52100Ø1</v>
      </c>
      <c r="B1821" s="81">
        <v>52100</v>
      </c>
      <c r="D1821" s="86">
        <v>1</v>
      </c>
      <c r="E1821" s="85">
        <f t="shared" si="241"/>
        <v>1E-3</v>
      </c>
      <c r="F1821" s="85">
        <f t="shared" si="242"/>
        <v>5.0000000000000001E-4</v>
      </c>
      <c r="G1821" s="85">
        <f t="shared" si="243"/>
        <v>5.2359877559829886E-10</v>
      </c>
      <c r="H1821" s="85">
        <v>7800</v>
      </c>
      <c r="I1821" s="85">
        <f t="shared" si="244"/>
        <v>4.0840704496667312E-6</v>
      </c>
      <c r="J1821" s="87">
        <v>1</v>
      </c>
      <c r="K1821" s="88">
        <f t="shared" si="245"/>
        <v>244853.75860291591</v>
      </c>
    </row>
    <row r="1822" spans="1:11" hidden="1" x14ac:dyDescent="0.25">
      <c r="A1822" t="str">
        <f t="shared" si="246"/>
        <v>PPHØ6,35</v>
      </c>
      <c r="B1822" s="81" t="s">
        <v>202</v>
      </c>
      <c r="C1822" s="101" t="s">
        <v>218</v>
      </c>
      <c r="D1822" s="86">
        <f>1/4*25.4</f>
        <v>6.35</v>
      </c>
      <c r="E1822" s="85">
        <f t="shared" si="241"/>
        <v>6.3499999999999997E-3</v>
      </c>
      <c r="F1822" s="85">
        <f t="shared" si="242"/>
        <v>3.1749999999999999E-3</v>
      </c>
      <c r="G1822" s="85">
        <f t="shared" si="243"/>
        <v>1.3406635384454623E-7</v>
      </c>
      <c r="H1822" s="85">
        <v>870</v>
      </c>
      <c r="I1822" s="85">
        <f t="shared" si="244"/>
        <v>1.1663772784475523E-4</v>
      </c>
      <c r="J1822" s="87">
        <v>1</v>
      </c>
      <c r="K1822" s="88">
        <f t="shared" si="245"/>
        <v>8573.5552164647761</v>
      </c>
    </row>
    <row r="1823" spans="1:11" hidden="1" x14ac:dyDescent="0.25">
      <c r="A1823" t="str">
        <f t="shared" si="246"/>
        <v>Si3N4Ø1,5875</v>
      </c>
      <c r="B1823" s="81" t="s">
        <v>207</v>
      </c>
      <c r="C1823" s="101" t="s">
        <v>246</v>
      </c>
      <c r="D1823" s="86">
        <f>1/16*25.4</f>
        <v>1.5874999999999999</v>
      </c>
      <c r="E1823" s="85">
        <f t="shared" si="241"/>
        <v>1.5874999999999999E-3</v>
      </c>
      <c r="F1823" s="85">
        <f t="shared" si="242"/>
        <v>7.9374999999999997E-4</v>
      </c>
      <c r="G1823" s="85">
        <f t="shared" si="243"/>
        <v>2.0947867788210349E-9</v>
      </c>
      <c r="H1823" s="85">
        <v>3280</v>
      </c>
      <c r="I1823" s="85">
        <f t="shared" si="244"/>
        <v>6.8709006345329948E-6</v>
      </c>
      <c r="J1823" s="87">
        <v>1</v>
      </c>
      <c r="K1823" s="88">
        <f t="shared" si="245"/>
        <v>145541.32757706058</v>
      </c>
    </row>
    <row r="1824" spans="1:11" hidden="1" x14ac:dyDescent="0.25">
      <c r="A1824" t="str">
        <f t="shared" si="246"/>
        <v>Si3N4Ø1,5875</v>
      </c>
      <c r="B1824" s="81" t="s">
        <v>207</v>
      </c>
      <c r="C1824" s="101" t="s">
        <v>246</v>
      </c>
      <c r="D1824" s="86">
        <f>1/16*25.4</f>
        <v>1.5874999999999999</v>
      </c>
      <c r="E1824" s="85">
        <f t="shared" si="241"/>
        <v>1.5874999999999999E-3</v>
      </c>
      <c r="F1824" s="85">
        <f t="shared" si="242"/>
        <v>7.9374999999999997E-4</v>
      </c>
      <c r="G1824" s="85">
        <f t="shared" si="243"/>
        <v>2.0947867788210349E-9</v>
      </c>
      <c r="H1824" s="85">
        <v>3270</v>
      </c>
      <c r="I1824" s="85">
        <f t="shared" si="244"/>
        <v>6.8499527667447838E-6</v>
      </c>
      <c r="J1824" s="87">
        <v>1</v>
      </c>
      <c r="K1824" s="88">
        <f t="shared" si="245"/>
        <v>145986.40808952868</v>
      </c>
    </row>
    <row r="1825" spans="1:11" hidden="1" x14ac:dyDescent="0.25">
      <c r="A1825" t="str">
        <f t="shared" si="246"/>
        <v>PPHØ5</v>
      </c>
      <c r="B1825" s="81" t="s">
        <v>202</v>
      </c>
      <c r="D1825" s="86">
        <v>5</v>
      </c>
      <c r="E1825" s="85">
        <f t="shared" si="241"/>
        <v>5.0000000000000001E-3</v>
      </c>
      <c r="F1825" s="85">
        <f t="shared" si="242"/>
        <v>2.5000000000000001E-3</v>
      </c>
      <c r="G1825" s="85">
        <f t="shared" si="243"/>
        <v>6.5449846949787352E-8</v>
      </c>
      <c r="H1825" s="85">
        <v>870</v>
      </c>
      <c r="I1825" s="85">
        <f t="shared" si="244"/>
        <v>5.6941366846314999E-5</v>
      </c>
      <c r="J1825" s="87">
        <v>1</v>
      </c>
      <c r="K1825" s="88">
        <f t="shared" si="245"/>
        <v>17561.924754967764</v>
      </c>
    </row>
    <row r="1826" spans="1:11" hidden="1" x14ac:dyDescent="0.25">
      <c r="A1826" t="str">
        <f t="shared" si="246"/>
        <v>PPHØ5</v>
      </c>
      <c r="B1826" s="81" t="s">
        <v>202</v>
      </c>
      <c r="D1826" s="86">
        <v>5</v>
      </c>
      <c r="E1826" s="85">
        <f t="shared" si="241"/>
        <v>5.0000000000000001E-3</v>
      </c>
      <c r="F1826" s="85">
        <f t="shared" si="242"/>
        <v>2.5000000000000001E-3</v>
      </c>
      <c r="G1826" s="85">
        <f t="shared" si="243"/>
        <v>6.5449846949787352E-8</v>
      </c>
      <c r="H1826" s="85">
        <v>870</v>
      </c>
      <c r="I1826" s="85">
        <f>H1826*G1826</f>
        <v>5.6941366846314999E-5</v>
      </c>
      <c r="J1826" s="87">
        <v>1</v>
      </c>
      <c r="K1826" s="88">
        <f>J1826/I1826</f>
        <v>17561.924754967764</v>
      </c>
    </row>
    <row r="1827" spans="1:11" hidden="1" x14ac:dyDescent="0.25">
      <c r="A1827" t="str">
        <f t="shared" si="246"/>
        <v>PPHØ5,55625</v>
      </c>
      <c r="B1827" s="81" t="s">
        <v>202</v>
      </c>
      <c r="C1827" s="101" t="s">
        <v>249</v>
      </c>
      <c r="D1827" s="86">
        <f>7/32*25.4</f>
        <v>5.5562499999999995</v>
      </c>
      <c r="E1827" s="85">
        <f t="shared" si="241"/>
        <v>5.5562499999999996E-3</v>
      </c>
      <c r="F1827" s="85">
        <f t="shared" si="242"/>
        <v>2.7781249999999998E-3</v>
      </c>
      <c r="G1827" s="85">
        <f t="shared" si="243"/>
        <v>8.9813983141951873E-8</v>
      </c>
      <c r="H1827" s="85">
        <v>870</v>
      </c>
      <c r="I1827" s="85">
        <f>H1827*G1827</f>
        <v>7.8138165333498129E-5</v>
      </c>
      <c r="J1827" s="87">
        <v>1</v>
      </c>
      <c r="K1827" s="88">
        <f>J1827/I1827</f>
        <v>12797.843355189403</v>
      </c>
    </row>
    <row r="1828" spans="1:11" hidden="1" x14ac:dyDescent="0.25">
      <c r="A1828" t="str">
        <f t="shared" si="246"/>
        <v>PPHØ5,55625</v>
      </c>
      <c r="B1828" s="81" t="s">
        <v>202</v>
      </c>
      <c r="C1828" s="101" t="s">
        <v>249</v>
      </c>
      <c r="D1828" s="86">
        <f>7/32*25.4</f>
        <v>5.5562499999999995</v>
      </c>
      <c r="E1828" s="85">
        <f t="shared" si="241"/>
        <v>5.5562499999999996E-3</v>
      </c>
      <c r="F1828" s="85">
        <f t="shared" si="242"/>
        <v>2.7781249999999998E-3</v>
      </c>
      <c r="G1828" s="85">
        <f t="shared" si="243"/>
        <v>8.9813983141951873E-8</v>
      </c>
      <c r="H1828" s="85">
        <v>870</v>
      </c>
      <c r="I1828" s="85">
        <f t="shared" ref="I1828:I1891" si="247">H1828*G1828</f>
        <v>7.8138165333498129E-5</v>
      </c>
      <c r="J1828" s="87">
        <v>1</v>
      </c>
      <c r="K1828" s="88">
        <f t="shared" ref="K1828:K1891" si="248">J1828/I1828</f>
        <v>12797.843355189403</v>
      </c>
    </row>
    <row r="1829" spans="1:11" hidden="1" x14ac:dyDescent="0.25">
      <c r="A1829" t="str">
        <f t="shared" si="246"/>
        <v>PPHØ6</v>
      </c>
      <c r="B1829" s="81" t="s">
        <v>202</v>
      </c>
      <c r="D1829" s="86">
        <v>6</v>
      </c>
      <c r="E1829" s="85">
        <f t="shared" si="241"/>
        <v>6.0000000000000001E-3</v>
      </c>
      <c r="F1829" s="85">
        <f t="shared" si="242"/>
        <v>3.0000000000000001E-3</v>
      </c>
      <c r="G1829" s="85">
        <f t="shared" si="243"/>
        <v>1.1309733552923255E-7</v>
      </c>
      <c r="H1829" s="85">
        <v>870</v>
      </c>
      <c r="I1829" s="85">
        <f t="shared" si="247"/>
        <v>9.8394681910432316E-5</v>
      </c>
      <c r="J1829" s="87">
        <v>1</v>
      </c>
      <c r="K1829" s="88">
        <f t="shared" si="248"/>
        <v>10163.150899865603</v>
      </c>
    </row>
    <row r="1830" spans="1:11" hidden="1" x14ac:dyDescent="0.25">
      <c r="A1830" t="str">
        <f t="shared" si="246"/>
        <v>PPHØ6</v>
      </c>
      <c r="B1830" s="81" t="s">
        <v>202</v>
      </c>
      <c r="D1830" s="86">
        <v>6</v>
      </c>
      <c r="E1830" s="85">
        <f t="shared" si="241"/>
        <v>6.0000000000000001E-3</v>
      </c>
      <c r="F1830" s="85">
        <f t="shared" si="242"/>
        <v>3.0000000000000001E-3</v>
      </c>
      <c r="G1830" s="85">
        <f t="shared" si="243"/>
        <v>1.1309733552923255E-7</v>
      </c>
      <c r="H1830" s="85">
        <v>870</v>
      </c>
      <c r="I1830" s="85">
        <f t="shared" si="247"/>
        <v>9.8394681910432316E-5</v>
      </c>
      <c r="J1830" s="87">
        <v>1</v>
      </c>
      <c r="K1830" s="88">
        <f t="shared" si="248"/>
        <v>10163.150899865603</v>
      </c>
    </row>
    <row r="1831" spans="1:11" hidden="1" x14ac:dyDescent="0.25">
      <c r="A1831" t="str">
        <f t="shared" si="246"/>
        <v>POMØ3,94</v>
      </c>
      <c r="B1831" s="81" t="s">
        <v>201</v>
      </c>
      <c r="D1831" s="86">
        <v>3.94</v>
      </c>
      <c r="E1831" s="85">
        <f t="shared" si="241"/>
        <v>3.9399999999999999E-3</v>
      </c>
      <c r="F1831" s="85">
        <f t="shared" si="242"/>
        <v>1.97E-3</v>
      </c>
      <c r="G1831" s="85">
        <f t="shared" si="243"/>
        <v>3.2024863534338337E-8</v>
      </c>
      <c r="H1831" s="85">
        <v>1370</v>
      </c>
      <c r="I1831" s="85">
        <f t="shared" si="247"/>
        <v>4.3874063042043523E-5</v>
      </c>
      <c r="J1831" s="87">
        <v>1</v>
      </c>
      <c r="K1831" s="88">
        <f t="shared" si="248"/>
        <v>22792.509529872412</v>
      </c>
    </row>
    <row r="1832" spans="1:11" hidden="1" x14ac:dyDescent="0.25">
      <c r="A1832" t="str">
        <f t="shared" si="246"/>
        <v>52100Ø1,190625</v>
      </c>
      <c r="B1832" s="81">
        <v>52100</v>
      </c>
      <c r="C1832" s="101" t="s">
        <v>245</v>
      </c>
      <c r="D1832" s="86">
        <f>3/64*25.4</f>
        <v>1.1906249999999998</v>
      </c>
      <c r="E1832" s="85">
        <f t="shared" si="241"/>
        <v>1.1906249999999998E-3</v>
      </c>
      <c r="F1832" s="85">
        <f t="shared" si="242"/>
        <v>5.9531249999999992E-4</v>
      </c>
      <c r="G1832" s="85">
        <f t="shared" si="243"/>
        <v>8.8373817231512396E-10</v>
      </c>
      <c r="H1832" s="85">
        <v>7800</v>
      </c>
      <c r="I1832" s="85">
        <f t="shared" si="247"/>
        <v>6.8931577440579671E-6</v>
      </c>
      <c r="J1832" s="87">
        <v>1</v>
      </c>
      <c r="K1832" s="88">
        <f t="shared" si="248"/>
        <v>145071.39356589061</v>
      </c>
    </row>
    <row r="1833" spans="1:11" hidden="1" x14ac:dyDescent="0.25">
      <c r="A1833" t="str">
        <f t="shared" si="246"/>
        <v>52100Ø1,984375</v>
      </c>
      <c r="B1833" s="81">
        <v>52100</v>
      </c>
      <c r="C1833" s="101" t="s">
        <v>327</v>
      </c>
      <c r="D1833" s="86">
        <f>5/64*25.4</f>
        <v>1.984375</v>
      </c>
      <c r="E1833" s="85">
        <f t="shared" si="241"/>
        <v>1.984375E-3</v>
      </c>
      <c r="F1833" s="85">
        <f t="shared" si="242"/>
        <v>9.9218750000000001E-4</v>
      </c>
      <c r="G1833" s="85">
        <f t="shared" si="243"/>
        <v>4.0913804273848354E-9</v>
      </c>
      <c r="H1833" s="85">
        <v>7800</v>
      </c>
      <c r="I1833" s="85">
        <f t="shared" si="247"/>
        <v>3.1912767333601717E-5</v>
      </c>
      <c r="J1833" s="87">
        <v>1</v>
      </c>
      <c r="K1833" s="88">
        <f t="shared" si="248"/>
        <v>31335.421010232356</v>
      </c>
    </row>
    <row r="1834" spans="1:11" hidden="1" x14ac:dyDescent="0.25">
      <c r="A1834" t="str">
        <f t="shared" si="246"/>
        <v>52100Ø3,571875</v>
      </c>
      <c r="B1834" s="81">
        <v>52100</v>
      </c>
      <c r="C1834" s="101" t="s">
        <v>371</v>
      </c>
      <c r="D1834" s="86">
        <f>9/64*25.4</f>
        <v>3.5718749999999999</v>
      </c>
      <c r="E1834" s="85">
        <f t="shared" si="241"/>
        <v>3.571875E-3</v>
      </c>
      <c r="F1834" s="85">
        <f t="shared" si="242"/>
        <v>1.7859375E-3</v>
      </c>
      <c r="G1834" s="85">
        <f t="shared" si="243"/>
        <v>2.3860930652508355E-8</v>
      </c>
      <c r="H1834" s="85">
        <v>7800</v>
      </c>
      <c r="I1834" s="85">
        <f t="shared" si="247"/>
        <v>1.8611525908956517E-4</v>
      </c>
      <c r="J1834" s="87">
        <v>1</v>
      </c>
      <c r="K1834" s="88">
        <f t="shared" si="248"/>
        <v>5373.0145765144653</v>
      </c>
    </row>
    <row r="1835" spans="1:11" hidden="1" x14ac:dyDescent="0.25">
      <c r="A1835" t="str">
        <f t="shared" si="246"/>
        <v>52100Ø4,365625</v>
      </c>
      <c r="B1835" s="81">
        <v>52100</v>
      </c>
      <c r="C1835" s="101" t="s">
        <v>331</v>
      </c>
      <c r="D1835" s="86">
        <f>11/64*25.4</f>
        <v>4.3656249999999996</v>
      </c>
      <c r="E1835" s="85">
        <f t="shared" si="241"/>
        <v>4.3656249999999997E-3</v>
      </c>
      <c r="F1835" s="85">
        <f t="shared" si="242"/>
        <v>2.1828124999999999E-3</v>
      </c>
      <c r="G1835" s="85">
        <f t="shared" si="243"/>
        <v>4.3565018790793711E-8</v>
      </c>
      <c r="H1835" s="85">
        <v>7800</v>
      </c>
      <c r="I1835" s="85">
        <f t="shared" si="247"/>
        <v>3.3980714656819093E-4</v>
      </c>
      <c r="J1835" s="87">
        <v>1</v>
      </c>
      <c r="K1835" s="88">
        <f t="shared" si="248"/>
        <v>2942.8456996837313</v>
      </c>
    </row>
    <row r="1836" spans="1:11" hidden="1" x14ac:dyDescent="0.25">
      <c r="A1836" t="str">
        <f t="shared" si="246"/>
        <v>52100Ø5,159375</v>
      </c>
      <c r="B1836" s="81">
        <v>52100</v>
      </c>
      <c r="C1836" s="101" t="s">
        <v>372</v>
      </c>
      <c r="D1836" s="86">
        <f>13/64*25.4</f>
        <v>5.1593749999999998</v>
      </c>
      <c r="E1836" s="85">
        <f t="shared" si="241"/>
        <v>5.1593749999999999E-3</v>
      </c>
      <c r="F1836" s="85">
        <f t="shared" si="242"/>
        <v>2.5796874999999999E-3</v>
      </c>
      <c r="G1836" s="85">
        <f t="shared" si="243"/>
        <v>7.1910102391715839E-8</v>
      </c>
      <c r="H1836" s="85">
        <v>7800</v>
      </c>
      <c r="I1836" s="85">
        <f t="shared" si="247"/>
        <v>5.6089879865538358E-4</v>
      </c>
      <c r="J1836" s="87">
        <v>1</v>
      </c>
      <c r="K1836" s="88">
        <f t="shared" si="248"/>
        <v>1782.8528112330659</v>
      </c>
    </row>
    <row r="1837" spans="1:11" hidden="1" x14ac:dyDescent="0.25">
      <c r="A1837" t="str">
        <f t="shared" si="246"/>
        <v>52100Ø5,953125</v>
      </c>
      <c r="B1837" s="81">
        <v>52100</v>
      </c>
      <c r="C1837" s="101" t="s">
        <v>373</v>
      </c>
      <c r="D1837" s="86">
        <f>15/64*25.4</f>
        <v>5.953125</v>
      </c>
      <c r="E1837" s="85">
        <f t="shared" si="241"/>
        <v>5.9531250000000001E-3</v>
      </c>
      <c r="F1837" s="85">
        <f t="shared" si="242"/>
        <v>2.9765625E-3</v>
      </c>
      <c r="G1837" s="85">
        <f t="shared" si="243"/>
        <v>1.1046727153939055E-7</v>
      </c>
      <c r="H1837" s="85">
        <v>7800</v>
      </c>
      <c r="I1837" s="85">
        <f t="shared" si="247"/>
        <v>8.6164471800724628E-4</v>
      </c>
      <c r="J1837" s="87">
        <v>1</v>
      </c>
      <c r="K1837" s="88">
        <f t="shared" si="248"/>
        <v>1160.5711485271243</v>
      </c>
    </row>
    <row r="1838" spans="1:11" hidden="1" x14ac:dyDescent="0.25">
      <c r="A1838" t="str">
        <f t="shared" si="246"/>
        <v>52100Ø6,746875</v>
      </c>
      <c r="B1838" s="81">
        <v>52100</v>
      </c>
      <c r="C1838" s="101" t="s">
        <v>325</v>
      </c>
      <c r="D1838" s="86">
        <f>17/64*25.4</f>
        <v>6.7468749999999993</v>
      </c>
      <c r="E1838" s="85">
        <f t="shared" si="241"/>
        <v>6.7468749999999994E-3</v>
      </c>
      <c r="F1838" s="85">
        <f t="shared" si="242"/>
        <v>3.3734374999999997E-3</v>
      </c>
      <c r="G1838" s="85">
        <f t="shared" si="243"/>
        <v>1.6080761631793353E-7</v>
      </c>
      <c r="H1838" s="85">
        <v>7800</v>
      </c>
      <c r="I1838" s="85">
        <f t="shared" si="247"/>
        <v>1.2542994072798814E-3</v>
      </c>
      <c r="J1838" s="87">
        <v>1</v>
      </c>
      <c r="K1838" s="88">
        <f t="shared" si="248"/>
        <v>797.25781117017016</v>
      </c>
    </row>
    <row r="1839" spans="1:11" hidden="1" x14ac:dyDescent="0.25">
      <c r="A1839" t="str">
        <f t="shared" si="246"/>
        <v>52100Ø7,540625</v>
      </c>
      <c r="B1839" s="81">
        <v>52100</v>
      </c>
      <c r="C1839" s="101" t="s">
        <v>374</v>
      </c>
      <c r="D1839" s="86">
        <f>19/64*25.4</f>
        <v>7.5406249999999995</v>
      </c>
      <c r="E1839" s="85">
        <f t="shared" si="241"/>
        <v>7.5406249999999996E-3</v>
      </c>
      <c r="F1839" s="85">
        <f t="shared" si="242"/>
        <v>3.7703124999999998E-3</v>
      </c>
      <c r="G1839" s="85">
        <f t="shared" si="243"/>
        <v>2.2450222681146061E-7</v>
      </c>
      <c r="H1839" s="85">
        <v>7800</v>
      </c>
      <c r="I1839" s="85">
        <f t="shared" si="247"/>
        <v>1.7511173691293928E-3</v>
      </c>
      <c r="J1839" s="87">
        <v>1</v>
      </c>
      <c r="K1839" s="88">
        <f t="shared" si="248"/>
        <v>571.06394901283647</v>
      </c>
    </row>
    <row r="1840" spans="1:11" hidden="1" x14ac:dyDescent="0.25">
      <c r="A1840" t="str">
        <f t="shared" si="246"/>
        <v>52100Ø8,334375</v>
      </c>
      <c r="B1840" s="81">
        <v>52100</v>
      </c>
      <c r="C1840" s="101" t="s">
        <v>375</v>
      </c>
      <c r="D1840" s="86">
        <f>21/64*25.4</f>
        <v>8.3343749999999996</v>
      </c>
      <c r="E1840" s="85">
        <f t="shared" si="241"/>
        <v>8.3343749999999998E-3</v>
      </c>
      <c r="F1840" s="85">
        <f t="shared" si="242"/>
        <v>4.1671874999999999E-3</v>
      </c>
      <c r="G1840" s="85">
        <f t="shared" si="243"/>
        <v>3.0312219310408758E-7</v>
      </c>
      <c r="H1840" s="85">
        <v>7800</v>
      </c>
      <c r="I1840" s="85">
        <f t="shared" si="247"/>
        <v>2.3643531062118831E-3</v>
      </c>
      <c r="J1840" s="87">
        <v>1</v>
      </c>
      <c r="K1840" s="88">
        <f t="shared" si="248"/>
        <v>422.94866928831073</v>
      </c>
    </row>
    <row r="1841" spans="1:11" hidden="1" x14ac:dyDescent="0.25">
      <c r="A1841" t="str">
        <f t="shared" si="246"/>
        <v>52100Ø9,128125</v>
      </c>
      <c r="B1841" s="81">
        <v>52100</v>
      </c>
      <c r="C1841" s="101" t="s">
        <v>376</v>
      </c>
      <c r="D1841" s="86">
        <f>23/64*25.4</f>
        <v>9.1281249999999989</v>
      </c>
      <c r="E1841" s="85">
        <f t="shared" si="241"/>
        <v>9.1281249999999991E-3</v>
      </c>
      <c r="F1841" s="85">
        <f t="shared" si="242"/>
        <v>4.5640624999999995E-3</v>
      </c>
      <c r="G1841" s="85">
        <f t="shared" si="243"/>
        <v>3.9823860527993022E-7</v>
      </c>
      <c r="H1841" s="85">
        <v>7800</v>
      </c>
      <c r="I1841" s="85">
        <f t="shared" si="247"/>
        <v>3.1062611211834555E-3</v>
      </c>
      <c r="J1841" s="87">
        <v>1</v>
      </c>
      <c r="K1841" s="88">
        <f t="shared" si="248"/>
        <v>321.93043694247109</v>
      </c>
    </row>
    <row r="1842" spans="1:11" hidden="1" x14ac:dyDescent="0.25">
      <c r="A1842" t="str">
        <f t="shared" si="246"/>
        <v>52100Ø9,921875</v>
      </c>
      <c r="B1842" s="81">
        <v>52100</v>
      </c>
      <c r="C1842" s="101" t="s">
        <v>345</v>
      </c>
      <c r="D1842" s="86">
        <f>25/64*25.4</f>
        <v>9.921875</v>
      </c>
      <c r="E1842" s="85">
        <f t="shared" si="241"/>
        <v>9.9218750000000001E-3</v>
      </c>
      <c r="F1842" s="85">
        <f t="shared" si="242"/>
        <v>4.9609375000000001E-3</v>
      </c>
      <c r="G1842" s="85">
        <f t="shared" si="243"/>
        <v>5.1142255342310435E-7</v>
      </c>
      <c r="H1842" s="85">
        <v>7800</v>
      </c>
      <c r="I1842" s="85">
        <f t="shared" si="247"/>
        <v>3.9890959167002138E-3</v>
      </c>
      <c r="J1842" s="87">
        <v>1</v>
      </c>
      <c r="K1842" s="88">
        <f t="shared" si="248"/>
        <v>250.6833680818589</v>
      </c>
    </row>
    <row r="1843" spans="1:11" hidden="1" x14ac:dyDescent="0.25">
      <c r="A1843" t="str">
        <f t="shared" si="246"/>
        <v>52100Ø10,715625</v>
      </c>
      <c r="B1843" s="81">
        <v>52100</v>
      </c>
      <c r="C1843" s="101" t="s">
        <v>377</v>
      </c>
      <c r="D1843" s="86">
        <f>27/64*25.4</f>
        <v>10.715624999999999</v>
      </c>
      <c r="E1843" s="85">
        <f t="shared" si="241"/>
        <v>1.0715624999999999E-2</v>
      </c>
      <c r="F1843" s="85">
        <f t="shared" si="242"/>
        <v>5.3578124999999997E-3</v>
      </c>
      <c r="G1843" s="85">
        <f t="shared" si="243"/>
        <v>6.4424512761772558E-7</v>
      </c>
      <c r="H1843" s="85">
        <v>7800</v>
      </c>
      <c r="I1843" s="85">
        <f t="shared" si="247"/>
        <v>5.0251119954182596E-3</v>
      </c>
      <c r="J1843" s="87">
        <v>1</v>
      </c>
      <c r="K1843" s="88">
        <f t="shared" si="248"/>
        <v>199.00053987090612</v>
      </c>
    </row>
    <row r="1844" spans="1:11" hidden="1" x14ac:dyDescent="0.25">
      <c r="A1844" t="str">
        <f t="shared" si="246"/>
        <v>52100Ø13,096875</v>
      </c>
      <c r="B1844" s="81">
        <v>52100</v>
      </c>
      <c r="C1844" s="101" t="s">
        <v>378</v>
      </c>
      <c r="D1844" s="86">
        <f>33/64*25.4</f>
        <v>13.096874999999999</v>
      </c>
      <c r="E1844" s="85">
        <f t="shared" si="241"/>
        <v>1.3096874999999999E-2</v>
      </c>
      <c r="F1844" s="85">
        <f t="shared" si="242"/>
        <v>6.5484374999999996E-3</v>
      </c>
      <c r="G1844" s="85">
        <f t="shared" si="243"/>
        <v>1.1762555073514303E-6</v>
      </c>
      <c r="H1844" s="85">
        <v>7800</v>
      </c>
      <c r="I1844" s="85">
        <f t="shared" si="247"/>
        <v>9.1747929573411571E-3</v>
      </c>
      <c r="J1844" s="87">
        <v>1</v>
      </c>
      <c r="K1844" s="88">
        <f t="shared" si="248"/>
        <v>108.9942851734715</v>
      </c>
    </row>
    <row r="1845" spans="1:11" hidden="1" x14ac:dyDescent="0.25">
      <c r="A1845" t="str">
        <f t="shared" si="246"/>
        <v>52100Ø13,890625</v>
      </c>
      <c r="B1845" s="81">
        <v>52100</v>
      </c>
      <c r="C1845" s="101" t="s">
        <v>379</v>
      </c>
      <c r="D1845" s="86">
        <f>35/64*25.4</f>
        <v>13.890625</v>
      </c>
      <c r="E1845" s="85">
        <f t="shared" si="241"/>
        <v>1.3890625E-2</v>
      </c>
      <c r="F1845" s="85">
        <f t="shared" si="242"/>
        <v>6.9453125000000001E-3</v>
      </c>
      <c r="G1845" s="85">
        <f t="shared" si="243"/>
        <v>1.4033434865929984E-6</v>
      </c>
      <c r="H1845" s="85">
        <v>7800</v>
      </c>
      <c r="I1845" s="85">
        <f t="shared" si="247"/>
        <v>1.0946079195425387E-2</v>
      </c>
      <c r="J1845" s="87">
        <v>1</v>
      </c>
      <c r="K1845" s="88">
        <f t="shared" si="248"/>
        <v>91.356912566275099</v>
      </c>
    </row>
    <row r="1846" spans="1:11" hidden="1" x14ac:dyDescent="0.25">
      <c r="A1846" t="str">
        <f t="shared" si="246"/>
        <v>52100Ø14,684375</v>
      </c>
      <c r="B1846" s="81">
        <v>52100</v>
      </c>
      <c r="C1846" s="101" t="s">
        <v>380</v>
      </c>
      <c r="D1846" s="86">
        <f>37/64*25.4</f>
        <v>14.684374999999999</v>
      </c>
      <c r="E1846" s="85">
        <f t="shared" si="241"/>
        <v>1.4684375E-2</v>
      </c>
      <c r="F1846" s="85">
        <f t="shared" si="242"/>
        <v>7.3421874999999998E-3</v>
      </c>
      <c r="G1846" s="85">
        <f t="shared" si="243"/>
        <v>1.6579255423065922E-6</v>
      </c>
      <c r="H1846" s="85">
        <v>7800</v>
      </c>
      <c r="I1846" s="85">
        <f t="shared" si="247"/>
        <v>1.2931819229991419E-2</v>
      </c>
      <c r="J1846" s="87">
        <v>1</v>
      </c>
      <c r="K1846" s="88">
        <f t="shared" si="248"/>
        <v>77.328640480900347</v>
      </c>
    </row>
    <row r="1847" spans="1:11" hidden="1" x14ac:dyDescent="0.25">
      <c r="A1847" t="str">
        <f t="shared" si="246"/>
        <v>52100Ø15,478125</v>
      </c>
      <c r="B1847" s="81">
        <v>52100</v>
      </c>
      <c r="C1847" s="101" t="s">
        <v>381</v>
      </c>
      <c r="D1847" s="86">
        <f>39/64*25.4</f>
        <v>15.478124999999999</v>
      </c>
      <c r="E1847" s="85">
        <f t="shared" si="241"/>
        <v>1.5478124999999999E-2</v>
      </c>
      <c r="F1847" s="85">
        <f t="shared" si="242"/>
        <v>7.7390624999999994E-3</v>
      </c>
      <c r="G1847" s="85">
        <f t="shared" si="243"/>
        <v>1.9415727645763276E-6</v>
      </c>
      <c r="H1847" s="85">
        <v>7800</v>
      </c>
      <c r="I1847" s="85">
        <f t="shared" si="247"/>
        <v>1.5144267563695355E-2</v>
      </c>
      <c r="J1847" s="87">
        <v>1</v>
      </c>
      <c r="K1847" s="88">
        <f t="shared" si="248"/>
        <v>66.031585601224663</v>
      </c>
    </row>
    <row r="1848" spans="1:11" hidden="1" x14ac:dyDescent="0.25">
      <c r="A1848" t="str">
        <f t="shared" si="246"/>
        <v>52100Ø16,271875</v>
      </c>
      <c r="B1848" s="81">
        <v>52100</v>
      </c>
      <c r="C1848" s="101" t="s">
        <v>382</v>
      </c>
      <c r="D1848" s="86">
        <f>41/64*25.4</f>
        <v>16.271874999999998</v>
      </c>
      <c r="E1848" s="85">
        <f t="shared" si="241"/>
        <v>1.6271874999999998E-2</v>
      </c>
      <c r="F1848" s="85">
        <f t="shared" si="242"/>
        <v>8.1359374999999991E-3</v>
      </c>
      <c r="G1848" s="85">
        <f t="shared" si="243"/>
        <v>2.2558562434863206E-6</v>
      </c>
      <c r="H1848" s="85">
        <v>7800</v>
      </c>
      <c r="I1848" s="85">
        <f t="shared" si="247"/>
        <v>1.75956786991933E-2</v>
      </c>
      <c r="J1848" s="87">
        <v>1</v>
      </c>
      <c r="K1848" s="88">
        <f t="shared" si="248"/>
        <v>56.832135724656446</v>
      </c>
    </row>
    <row r="1849" spans="1:11" hidden="1" x14ac:dyDescent="0.25">
      <c r="A1849" t="str">
        <f t="shared" si="246"/>
        <v>52100Ø17,065625</v>
      </c>
      <c r="B1849" s="81">
        <v>52100</v>
      </c>
      <c r="C1849" s="101" t="s">
        <v>383</v>
      </c>
      <c r="D1849" s="86">
        <f>43/64*25.4</f>
        <v>17.065625000000001</v>
      </c>
      <c r="E1849" s="85">
        <f t="shared" ref="E1849:E1893" si="249">D1849/1000</f>
        <v>1.7065625000000001E-2</v>
      </c>
      <c r="F1849" s="85">
        <f t="shared" ref="F1849:F1893" si="250">E1849/2</f>
        <v>8.5328125000000005E-3</v>
      </c>
      <c r="G1849" s="85">
        <f t="shared" ref="G1849:G1893" si="251">4/3*PI()*F1849*F1849*F1849</f>
        <v>2.6023470691206887E-6</v>
      </c>
      <c r="H1849" s="85">
        <v>7800</v>
      </c>
      <c r="I1849" s="85">
        <f t="shared" si="247"/>
        <v>2.029830713914137E-2</v>
      </c>
      <c r="J1849" s="87">
        <v>1</v>
      </c>
      <c r="K1849" s="88">
        <f t="shared" si="248"/>
        <v>49.265192074648084</v>
      </c>
    </row>
    <row r="1850" spans="1:11" hidden="1" x14ac:dyDescent="0.25">
      <c r="A1850" t="str">
        <f t="shared" si="246"/>
        <v>52100Ø17,859375</v>
      </c>
      <c r="B1850" s="81">
        <v>52100</v>
      </c>
      <c r="C1850" s="101" t="s">
        <v>384</v>
      </c>
      <c r="D1850" s="86">
        <f>45/64*25.4</f>
        <v>17.859375</v>
      </c>
      <c r="E1850" s="85">
        <f t="shared" si="249"/>
        <v>1.7859375E-2</v>
      </c>
      <c r="F1850" s="85">
        <f t="shared" si="250"/>
        <v>8.9296875000000001E-3</v>
      </c>
      <c r="G1850" s="85">
        <f t="shared" si="251"/>
        <v>2.9826163315635447E-6</v>
      </c>
      <c r="H1850" s="85">
        <v>7800</v>
      </c>
      <c r="I1850" s="85">
        <f t="shared" si="247"/>
        <v>2.3264407386195649E-2</v>
      </c>
      <c r="J1850" s="87">
        <v>1</v>
      </c>
      <c r="K1850" s="88">
        <f t="shared" si="248"/>
        <v>42.98411661211572</v>
      </c>
    </row>
    <row r="1851" spans="1:11" hidden="1" x14ac:dyDescent="0.25">
      <c r="A1851" t="str">
        <f t="shared" si="246"/>
        <v>52100Ø18,653125</v>
      </c>
      <c r="B1851" s="81">
        <v>52100</v>
      </c>
      <c r="C1851" s="101" t="s">
        <v>385</v>
      </c>
      <c r="D1851" s="86">
        <f>47/64*25.4</f>
        <v>18.653124999999999</v>
      </c>
      <c r="E1851" s="85">
        <f t="shared" si="249"/>
        <v>1.8653125E-2</v>
      </c>
      <c r="F1851" s="85">
        <f t="shared" si="250"/>
        <v>9.3265624999999998E-3</v>
      </c>
      <c r="G1851" s="85">
        <f t="shared" si="251"/>
        <v>3.398235120899005E-6</v>
      </c>
      <c r="H1851" s="85">
        <v>7800</v>
      </c>
      <c r="I1851" s="85">
        <f t="shared" si="247"/>
        <v>2.6506233943012238E-2</v>
      </c>
      <c r="J1851" s="87">
        <v>1</v>
      </c>
      <c r="K1851" s="88">
        <f t="shared" si="248"/>
        <v>37.726974045048266</v>
      </c>
    </row>
    <row r="1852" spans="1:11" hidden="1" x14ac:dyDescent="0.25">
      <c r="A1852" t="str">
        <f t="shared" si="246"/>
        <v>52100Ø19,446875</v>
      </c>
      <c r="B1852" s="81">
        <v>52100</v>
      </c>
      <c r="C1852" s="101" t="s">
        <v>386</v>
      </c>
      <c r="D1852" s="86">
        <f>49/64*25.4</f>
        <v>19.446874999999999</v>
      </c>
      <c r="E1852" s="85">
        <f t="shared" si="249"/>
        <v>1.9446874999999999E-2</v>
      </c>
      <c r="F1852" s="85">
        <f t="shared" si="250"/>
        <v>9.7234374999999994E-3</v>
      </c>
      <c r="G1852" s="85">
        <f t="shared" si="251"/>
        <v>3.8507745272111874E-6</v>
      </c>
      <c r="H1852" s="85">
        <v>7800</v>
      </c>
      <c r="I1852" s="85">
        <f t="shared" si="247"/>
        <v>3.0036041312247262E-2</v>
      </c>
      <c r="J1852" s="87">
        <v>1</v>
      </c>
      <c r="K1852" s="88">
        <f t="shared" si="248"/>
        <v>33.293335483336406</v>
      </c>
    </row>
    <row r="1853" spans="1:11" hidden="1" x14ac:dyDescent="0.25">
      <c r="A1853" t="str">
        <f t="shared" si="246"/>
        <v>52100Ø20,240625</v>
      </c>
      <c r="B1853" s="81">
        <v>52100</v>
      </c>
      <c r="C1853" s="101" t="s">
        <v>387</v>
      </c>
      <c r="D1853" s="86">
        <f>51/64*25.4</f>
        <v>20.240624999999998</v>
      </c>
      <c r="E1853" s="85">
        <f t="shared" si="249"/>
        <v>2.0240624999999998E-2</v>
      </c>
      <c r="F1853" s="85">
        <f t="shared" si="250"/>
        <v>1.0120312499999999E-2</v>
      </c>
      <c r="G1853" s="85">
        <f t="shared" si="251"/>
        <v>4.3418056405842043E-6</v>
      </c>
      <c r="H1853" s="85">
        <v>7800</v>
      </c>
      <c r="I1853" s="85">
        <f t="shared" si="247"/>
        <v>3.3866083996556794E-2</v>
      </c>
      <c r="J1853" s="87">
        <v>1</v>
      </c>
      <c r="K1853" s="88">
        <f t="shared" si="248"/>
        <v>29.528067080376676</v>
      </c>
    </row>
    <row r="1854" spans="1:11" hidden="1" x14ac:dyDescent="0.25">
      <c r="A1854" t="str">
        <f t="shared" si="246"/>
        <v>52100Ø21,034375</v>
      </c>
      <c r="B1854" s="81">
        <v>52100</v>
      </c>
      <c r="C1854" s="101" t="s">
        <v>388</v>
      </c>
      <c r="D1854" s="86">
        <f>53/64*25.4</f>
        <v>21.034374999999997</v>
      </c>
      <c r="E1854" s="85">
        <f t="shared" si="249"/>
        <v>2.1034374999999998E-2</v>
      </c>
      <c r="F1854" s="85">
        <f t="shared" si="250"/>
        <v>1.0517187499999999E-2</v>
      </c>
      <c r="G1854" s="85">
        <f t="shared" si="251"/>
        <v>4.8728995511021743E-6</v>
      </c>
      <c r="H1854" s="85">
        <v>7800</v>
      </c>
      <c r="I1854" s="85">
        <f t="shared" si="247"/>
        <v>3.8008616498596957E-2</v>
      </c>
      <c r="J1854" s="87">
        <v>1</v>
      </c>
      <c r="K1854" s="88">
        <f t="shared" si="248"/>
        <v>26.309823722126634</v>
      </c>
    </row>
    <row r="1855" spans="1:11" hidden="1" x14ac:dyDescent="0.25">
      <c r="A1855" t="str">
        <f t="shared" si="246"/>
        <v>52100Ø21,828125</v>
      </c>
      <c r="B1855" s="81">
        <v>52100</v>
      </c>
      <c r="C1855" s="101" t="s">
        <v>389</v>
      </c>
      <c r="D1855" s="86">
        <f>55/64*25.4</f>
        <v>21.828125</v>
      </c>
      <c r="E1855" s="85">
        <f t="shared" si="249"/>
        <v>2.1828125E-2</v>
      </c>
      <c r="F1855" s="85">
        <f t="shared" si="250"/>
        <v>1.09140625E-2</v>
      </c>
      <c r="G1855" s="85">
        <f t="shared" si="251"/>
        <v>5.4456273488492146E-6</v>
      </c>
      <c r="H1855" s="85">
        <v>7800</v>
      </c>
      <c r="I1855" s="85">
        <f t="shared" si="247"/>
        <v>4.2475893321023875E-2</v>
      </c>
      <c r="J1855" s="87">
        <v>1</v>
      </c>
      <c r="K1855" s="88">
        <f t="shared" si="248"/>
        <v>23.542765597469845</v>
      </c>
    </row>
    <row r="1856" spans="1:11" hidden="1" x14ac:dyDescent="0.25">
      <c r="A1856" t="str">
        <f t="shared" si="246"/>
        <v>52100Ø22,621875</v>
      </c>
      <c r="B1856" s="81">
        <v>52100</v>
      </c>
      <c r="C1856" s="101" t="s">
        <v>390</v>
      </c>
      <c r="D1856" s="86">
        <f>57/64*25.4</f>
        <v>22.621874999999999</v>
      </c>
      <c r="E1856" s="85">
        <f t="shared" si="249"/>
        <v>2.2621875E-2</v>
      </c>
      <c r="F1856" s="85">
        <f t="shared" si="250"/>
        <v>1.13109375E-2</v>
      </c>
      <c r="G1856" s="85">
        <f t="shared" si="251"/>
        <v>6.0615601239094381E-6</v>
      </c>
      <c r="H1856" s="85">
        <v>7800</v>
      </c>
      <c r="I1856" s="85">
        <f t="shared" si="247"/>
        <v>4.7280168966493619E-2</v>
      </c>
      <c r="J1856" s="87">
        <v>1</v>
      </c>
      <c r="K1856" s="88">
        <f t="shared" si="248"/>
        <v>21.150516630105052</v>
      </c>
    </row>
    <row r="1857" spans="1:11" hidden="1" x14ac:dyDescent="0.25">
      <c r="A1857" t="str">
        <f t="shared" si="246"/>
        <v>52100Ø23,415625</v>
      </c>
      <c r="B1857" s="81">
        <v>52100</v>
      </c>
      <c r="C1857" s="101" t="s">
        <v>391</v>
      </c>
      <c r="D1857" s="86">
        <f>59/64*25.4</f>
        <v>23.415624999999999</v>
      </c>
      <c r="E1857" s="85">
        <f t="shared" si="249"/>
        <v>2.3415624999999999E-2</v>
      </c>
      <c r="F1857" s="85">
        <f t="shared" si="250"/>
        <v>1.1707812499999999E-2</v>
      </c>
      <c r="G1857" s="85">
        <f t="shared" si="251"/>
        <v>6.7222689663669595E-6</v>
      </c>
      <c r="H1857" s="85">
        <v>7800</v>
      </c>
      <c r="I1857" s="85">
        <f t="shared" si="247"/>
        <v>5.2433697937662282E-2</v>
      </c>
      <c r="J1857" s="87">
        <v>1</v>
      </c>
      <c r="K1857" s="88">
        <f t="shared" si="248"/>
        <v>19.071704635230699</v>
      </c>
    </row>
    <row r="1858" spans="1:11" hidden="1" x14ac:dyDescent="0.25">
      <c r="A1858" t="str">
        <f t="shared" si="246"/>
        <v>52100Ø24,209375</v>
      </c>
      <c r="B1858" s="81">
        <v>52100</v>
      </c>
      <c r="C1858" s="101" t="s">
        <v>392</v>
      </c>
      <c r="D1858" s="86">
        <f>61/64*25.4</f>
        <v>24.209374999999998</v>
      </c>
      <c r="E1858" s="85">
        <f t="shared" si="249"/>
        <v>2.4209374999999998E-2</v>
      </c>
      <c r="F1858" s="85">
        <f t="shared" si="250"/>
        <v>1.2104687499999999E-2</v>
      </c>
      <c r="G1858" s="85">
        <f t="shared" si="251"/>
        <v>7.4293249663058961E-6</v>
      </c>
      <c r="H1858" s="85">
        <v>7800</v>
      </c>
      <c r="I1858" s="85">
        <f t="shared" si="247"/>
        <v>5.7948734737185988E-2</v>
      </c>
      <c r="J1858" s="87">
        <v>1</v>
      </c>
      <c r="K1858" s="88">
        <f t="shared" si="248"/>
        <v>17.25663216867952</v>
      </c>
    </row>
    <row r="1859" spans="1:11" hidden="1" x14ac:dyDescent="0.25">
      <c r="A1859" t="str">
        <f t="shared" si="246"/>
        <v>52100Ø25,003125</v>
      </c>
      <c r="B1859" s="81">
        <v>52100</v>
      </c>
      <c r="C1859" s="101" t="s">
        <v>393</v>
      </c>
      <c r="D1859" s="86">
        <f>63/64*25.4</f>
        <v>25.003124999999997</v>
      </c>
      <c r="E1859" s="85">
        <f t="shared" si="249"/>
        <v>2.5003124999999998E-2</v>
      </c>
      <c r="F1859" s="85">
        <f t="shared" si="250"/>
        <v>1.2501562499999999E-2</v>
      </c>
      <c r="G1859" s="85">
        <f t="shared" si="251"/>
        <v>8.184299213810365E-6</v>
      </c>
      <c r="H1859" s="85">
        <v>7800</v>
      </c>
      <c r="I1859" s="85">
        <f t="shared" si="247"/>
        <v>6.3837533867720841E-2</v>
      </c>
      <c r="J1859" s="87">
        <v>1</v>
      </c>
      <c r="K1859" s="88">
        <f t="shared" si="248"/>
        <v>15.664765529196695</v>
      </c>
    </row>
    <row r="1860" spans="1:11" hidden="1" x14ac:dyDescent="0.25">
      <c r="A1860" t="str">
        <f t="shared" ref="A1860:A1923" si="252">CONCATENATE(B1860,"Ø",D1860)</f>
        <v>316LØ15,875</v>
      </c>
      <c r="B1860" s="81" t="s">
        <v>298</v>
      </c>
      <c r="C1860" s="101" t="s">
        <v>266</v>
      </c>
      <c r="D1860" s="86">
        <f>5/8*25.4</f>
        <v>15.875</v>
      </c>
      <c r="E1860" s="85">
        <f t="shared" si="249"/>
        <v>1.5875E-2</v>
      </c>
      <c r="F1860" s="85">
        <f t="shared" si="250"/>
        <v>7.9375000000000001E-3</v>
      </c>
      <c r="G1860" s="85">
        <f t="shared" si="251"/>
        <v>2.0947867788210358E-6</v>
      </c>
      <c r="H1860" s="85">
        <v>7950</v>
      </c>
      <c r="I1860" s="85">
        <f t="shared" si="247"/>
        <v>1.6653554891627235E-2</v>
      </c>
      <c r="J1860" s="87">
        <v>1</v>
      </c>
      <c r="K1860" s="88">
        <f t="shared" si="248"/>
        <v>60.047239553806101</v>
      </c>
    </row>
    <row r="1861" spans="1:11" hidden="1" x14ac:dyDescent="0.25">
      <c r="A1861" t="str">
        <f t="shared" si="252"/>
        <v>316Ø15</v>
      </c>
      <c r="B1861" s="81">
        <v>316</v>
      </c>
      <c r="D1861" s="86">
        <v>15</v>
      </c>
      <c r="E1861" s="85">
        <f t="shared" si="249"/>
        <v>1.4999999999999999E-2</v>
      </c>
      <c r="F1861" s="85">
        <f t="shared" si="250"/>
        <v>7.4999999999999997E-3</v>
      </c>
      <c r="G1861" s="85">
        <f t="shared" si="251"/>
        <v>1.7671458676442584E-6</v>
      </c>
      <c r="H1861" s="85">
        <v>7950</v>
      </c>
      <c r="I1861" s="85">
        <f t="shared" si="247"/>
        <v>1.4048809647771854E-2</v>
      </c>
      <c r="J1861" s="87">
        <v>1</v>
      </c>
      <c r="K1861" s="88">
        <f t="shared" si="248"/>
        <v>71.180407811888912</v>
      </c>
    </row>
    <row r="1862" spans="1:11" hidden="1" x14ac:dyDescent="0.25">
      <c r="A1862" t="str">
        <f t="shared" si="252"/>
        <v>316LØ25,4</v>
      </c>
      <c r="B1862" s="81" t="s">
        <v>298</v>
      </c>
      <c r="C1862" s="101" t="s">
        <v>255</v>
      </c>
      <c r="D1862" s="86">
        <f>1*25.4</f>
        <v>25.4</v>
      </c>
      <c r="E1862" s="85">
        <f t="shared" si="249"/>
        <v>2.5399999999999999E-2</v>
      </c>
      <c r="F1862" s="85">
        <f t="shared" si="250"/>
        <v>1.2699999999999999E-2</v>
      </c>
      <c r="G1862" s="85">
        <f t="shared" si="251"/>
        <v>8.5802466460509588E-6</v>
      </c>
      <c r="H1862" s="85">
        <v>7950</v>
      </c>
      <c r="I1862" s="85">
        <f t="shared" si="247"/>
        <v>6.8212960836105119E-2</v>
      </c>
      <c r="J1862" s="87">
        <v>1</v>
      </c>
      <c r="K1862" s="88">
        <f t="shared" si="248"/>
        <v>14.65997059419095</v>
      </c>
    </row>
    <row r="1863" spans="1:11" hidden="1" x14ac:dyDescent="0.25">
      <c r="A1863" t="str">
        <f t="shared" si="252"/>
        <v>316LØ1</v>
      </c>
      <c r="B1863" s="81" t="s">
        <v>298</v>
      </c>
      <c r="D1863" s="86">
        <v>1</v>
      </c>
      <c r="E1863" s="85">
        <f t="shared" si="249"/>
        <v>1E-3</v>
      </c>
      <c r="F1863" s="85">
        <f t="shared" si="250"/>
        <v>5.0000000000000001E-4</v>
      </c>
      <c r="G1863" s="85">
        <f t="shared" si="251"/>
        <v>5.2359877559829886E-10</v>
      </c>
      <c r="H1863" s="85">
        <v>7950</v>
      </c>
      <c r="I1863" s="85">
        <f t="shared" si="247"/>
        <v>4.1626102660064759E-6</v>
      </c>
      <c r="J1863" s="87">
        <v>1</v>
      </c>
      <c r="K1863" s="88">
        <f t="shared" si="248"/>
        <v>240233.87636512503</v>
      </c>
    </row>
    <row r="1864" spans="1:11" hidden="1" x14ac:dyDescent="0.25">
      <c r="A1864" t="str">
        <f t="shared" si="252"/>
        <v>316Ø1,5875</v>
      </c>
      <c r="B1864" s="81">
        <v>316</v>
      </c>
      <c r="C1864" s="101" t="s">
        <v>246</v>
      </c>
      <c r="D1864" s="86">
        <f>1/16*25.4</f>
        <v>1.5874999999999999</v>
      </c>
      <c r="E1864" s="85">
        <f t="shared" si="249"/>
        <v>1.5874999999999999E-3</v>
      </c>
      <c r="F1864" s="85">
        <f t="shared" si="250"/>
        <v>7.9374999999999997E-4</v>
      </c>
      <c r="G1864" s="85">
        <f t="shared" si="251"/>
        <v>2.0947867788210349E-9</v>
      </c>
      <c r="H1864" s="85">
        <v>7950</v>
      </c>
      <c r="I1864" s="85">
        <f t="shared" si="247"/>
        <v>1.6653554891627226E-5</v>
      </c>
      <c r="J1864" s="87">
        <v>1</v>
      </c>
      <c r="K1864" s="88">
        <f t="shared" si="248"/>
        <v>60047.239553806132</v>
      </c>
    </row>
    <row r="1865" spans="1:11" hidden="1" x14ac:dyDescent="0.25">
      <c r="A1865" t="str">
        <f t="shared" si="252"/>
        <v>PPHØ2</v>
      </c>
      <c r="B1865" s="81" t="s">
        <v>202</v>
      </c>
      <c r="D1865" s="86">
        <v>2</v>
      </c>
      <c r="E1865" s="85">
        <f t="shared" si="249"/>
        <v>2E-3</v>
      </c>
      <c r="F1865" s="85">
        <f t="shared" si="250"/>
        <v>1E-3</v>
      </c>
      <c r="G1865" s="85">
        <f t="shared" si="251"/>
        <v>4.1887902047863909E-9</v>
      </c>
      <c r="H1865" s="85">
        <v>870</v>
      </c>
      <c r="I1865" s="85">
        <f t="shared" si="247"/>
        <v>3.6442474781641599E-6</v>
      </c>
      <c r="J1865" s="87">
        <v>1</v>
      </c>
      <c r="K1865" s="88">
        <f t="shared" si="248"/>
        <v>274405.07429637131</v>
      </c>
    </row>
    <row r="1866" spans="1:11" hidden="1" x14ac:dyDescent="0.25">
      <c r="A1866" t="str">
        <f t="shared" si="252"/>
        <v>Si3N4Ø2,5</v>
      </c>
      <c r="B1866" s="81" t="s">
        <v>207</v>
      </c>
      <c r="D1866" s="86">
        <v>2.5</v>
      </c>
      <c r="E1866" s="85">
        <f t="shared" si="249"/>
        <v>2.5000000000000001E-3</v>
      </c>
      <c r="F1866" s="85">
        <f t="shared" si="250"/>
        <v>1.25E-3</v>
      </c>
      <c r="G1866" s="85">
        <f t="shared" si="251"/>
        <v>8.181230868723419E-9</v>
      </c>
      <c r="H1866" s="85">
        <v>3260</v>
      </c>
      <c r="I1866" s="85">
        <f t="shared" si="247"/>
        <v>2.6670812632038345E-5</v>
      </c>
      <c r="J1866" s="87">
        <v>1</v>
      </c>
      <c r="K1866" s="88">
        <f t="shared" si="248"/>
        <v>37494.170642507866</v>
      </c>
    </row>
    <row r="1867" spans="1:11" hidden="1" x14ac:dyDescent="0.25">
      <c r="A1867" t="str">
        <f t="shared" si="252"/>
        <v>OttoneØ1,5875</v>
      </c>
      <c r="B1867" s="81" t="s">
        <v>216</v>
      </c>
      <c r="C1867" s="101" t="s">
        <v>246</v>
      </c>
      <c r="D1867" s="86">
        <f>1/16*25.4</f>
        <v>1.5874999999999999</v>
      </c>
      <c r="E1867" s="85">
        <f t="shared" si="249"/>
        <v>1.5874999999999999E-3</v>
      </c>
      <c r="F1867" s="85">
        <f t="shared" si="250"/>
        <v>7.9374999999999997E-4</v>
      </c>
      <c r="G1867" s="85">
        <f t="shared" si="251"/>
        <v>2.0947867788210349E-9</v>
      </c>
      <c r="H1867" s="85">
        <v>8490</v>
      </c>
      <c r="I1867" s="85">
        <f t="shared" si="247"/>
        <v>1.7784739752190586E-5</v>
      </c>
      <c r="J1867" s="87">
        <v>1</v>
      </c>
      <c r="K1867" s="88">
        <f t="shared" si="248"/>
        <v>56227.980500913865</v>
      </c>
    </row>
    <row r="1868" spans="1:11" hidden="1" x14ac:dyDescent="0.25">
      <c r="A1868" t="str">
        <f t="shared" si="252"/>
        <v>440CØ1</v>
      </c>
      <c r="B1868" s="81" t="s">
        <v>314</v>
      </c>
      <c r="D1868" s="86">
        <v>1</v>
      </c>
      <c r="E1868" s="85">
        <f t="shared" si="249"/>
        <v>1E-3</v>
      </c>
      <c r="F1868" s="85">
        <f t="shared" si="250"/>
        <v>5.0000000000000001E-4</v>
      </c>
      <c r="G1868" s="85">
        <f t="shared" si="251"/>
        <v>5.2359877559829886E-10</v>
      </c>
      <c r="H1868" s="85">
        <v>7700</v>
      </c>
      <c r="I1868" s="85">
        <f t="shared" si="247"/>
        <v>4.0317105721069012E-6</v>
      </c>
      <c r="J1868" s="87">
        <v>1</v>
      </c>
      <c r="K1868" s="88">
        <f t="shared" si="248"/>
        <v>248033.67754581093</v>
      </c>
    </row>
    <row r="1869" spans="1:11" hidden="1" x14ac:dyDescent="0.25">
      <c r="A1869" t="str">
        <f t="shared" si="252"/>
        <v>420CØ3</v>
      </c>
      <c r="B1869" s="81" t="s">
        <v>295</v>
      </c>
      <c r="D1869" s="86">
        <v>3</v>
      </c>
      <c r="E1869" s="85">
        <f t="shared" si="249"/>
        <v>3.0000000000000001E-3</v>
      </c>
      <c r="F1869" s="85">
        <f t="shared" si="250"/>
        <v>1.5E-3</v>
      </c>
      <c r="G1869" s="85">
        <f t="shared" si="251"/>
        <v>1.4137166941154068E-8</v>
      </c>
      <c r="H1869" s="85">
        <v>7700</v>
      </c>
      <c r="I1869" s="85">
        <f t="shared" si="247"/>
        <v>1.0885618544688632E-4</v>
      </c>
      <c r="J1869" s="87">
        <v>1</v>
      </c>
      <c r="K1869" s="88">
        <f t="shared" si="248"/>
        <v>9186.4325016967014</v>
      </c>
    </row>
    <row r="1870" spans="1:11" hidden="1" x14ac:dyDescent="0.25">
      <c r="A1870" t="str">
        <f t="shared" si="252"/>
        <v>440CØ2</v>
      </c>
      <c r="B1870" s="81" t="s">
        <v>314</v>
      </c>
      <c r="D1870" s="86">
        <v>2</v>
      </c>
      <c r="E1870" s="85">
        <f t="shared" si="249"/>
        <v>2E-3</v>
      </c>
      <c r="F1870" s="85">
        <f t="shared" si="250"/>
        <v>1E-3</v>
      </c>
      <c r="G1870" s="85">
        <f t="shared" si="251"/>
        <v>4.1887902047863909E-9</v>
      </c>
      <c r="H1870" s="85">
        <v>7700</v>
      </c>
      <c r="I1870" s="85">
        <f t="shared" si="247"/>
        <v>3.2253684576855209E-5</v>
      </c>
      <c r="J1870" s="87">
        <v>1</v>
      </c>
      <c r="K1870" s="88">
        <f t="shared" si="248"/>
        <v>31004.209693226367</v>
      </c>
    </row>
    <row r="1871" spans="1:11" hidden="1" x14ac:dyDescent="0.25">
      <c r="A1871" t="str">
        <f t="shared" si="252"/>
        <v>PPHØ1</v>
      </c>
      <c r="B1871" s="81" t="s">
        <v>202</v>
      </c>
      <c r="D1871" s="86">
        <v>1</v>
      </c>
      <c r="E1871" s="85">
        <f t="shared" si="249"/>
        <v>1E-3</v>
      </c>
      <c r="F1871" s="85">
        <f t="shared" si="250"/>
        <v>5.0000000000000001E-4</v>
      </c>
      <c r="G1871" s="85">
        <f t="shared" si="251"/>
        <v>5.2359877559829886E-10</v>
      </c>
      <c r="H1871" s="85">
        <v>870</v>
      </c>
      <c r="I1871" s="85">
        <f t="shared" si="247"/>
        <v>4.5553093477051999E-7</v>
      </c>
      <c r="J1871" s="87">
        <v>1</v>
      </c>
      <c r="K1871" s="88">
        <f t="shared" si="248"/>
        <v>2195240.5943709705</v>
      </c>
    </row>
    <row r="1872" spans="1:11" hidden="1" x14ac:dyDescent="0.25">
      <c r="A1872" t="str">
        <f t="shared" si="252"/>
        <v>Si3N4Ø2</v>
      </c>
      <c r="B1872" s="81" t="s">
        <v>207</v>
      </c>
      <c r="D1872" s="86">
        <v>2</v>
      </c>
      <c r="E1872" s="85">
        <f t="shared" si="249"/>
        <v>2E-3</v>
      </c>
      <c r="F1872" s="85">
        <f t="shared" si="250"/>
        <v>1E-3</v>
      </c>
      <c r="G1872" s="85">
        <f t="shared" si="251"/>
        <v>4.1887902047863909E-9</v>
      </c>
      <c r="H1872" s="85">
        <v>3260</v>
      </c>
      <c r="I1872" s="85">
        <f t="shared" si="247"/>
        <v>1.3655456067603634E-5</v>
      </c>
      <c r="J1872" s="87">
        <v>1</v>
      </c>
      <c r="K1872" s="88">
        <f t="shared" si="248"/>
        <v>73230.802036148161</v>
      </c>
    </row>
    <row r="1873" spans="1:11" hidden="1" x14ac:dyDescent="0.25">
      <c r="A1873" t="str">
        <f t="shared" si="252"/>
        <v>Si3N4Ø2</v>
      </c>
      <c r="B1873" s="81" t="s">
        <v>207</v>
      </c>
      <c r="D1873" s="86">
        <v>2</v>
      </c>
      <c r="E1873" s="85">
        <f t="shared" si="249"/>
        <v>2E-3</v>
      </c>
      <c r="F1873" s="85">
        <f t="shared" si="250"/>
        <v>1E-3</v>
      </c>
      <c r="G1873" s="85">
        <f t="shared" si="251"/>
        <v>4.1887902047863909E-9</v>
      </c>
      <c r="H1873" s="85">
        <v>3260</v>
      </c>
      <c r="I1873" s="85">
        <f t="shared" si="247"/>
        <v>1.3655456067603634E-5</v>
      </c>
      <c r="J1873" s="87">
        <v>1</v>
      </c>
      <c r="K1873" s="88">
        <f t="shared" si="248"/>
        <v>73230.802036148161</v>
      </c>
    </row>
    <row r="1874" spans="1:11" hidden="1" x14ac:dyDescent="0.25">
      <c r="A1874" t="str">
        <f t="shared" si="252"/>
        <v>310Ø0,6</v>
      </c>
      <c r="B1874" s="81">
        <v>310</v>
      </c>
      <c r="D1874" s="86">
        <v>0.6</v>
      </c>
      <c r="E1874" s="85">
        <f t="shared" si="249"/>
        <v>5.9999999999999995E-4</v>
      </c>
      <c r="F1874" s="85">
        <f t="shared" si="250"/>
        <v>2.9999999999999997E-4</v>
      </c>
      <c r="G1874" s="85">
        <f t="shared" si="251"/>
        <v>1.1309733552923252E-10</v>
      </c>
      <c r="H1874" s="85">
        <v>8030</v>
      </c>
      <c r="I1874" s="85">
        <f t="shared" si="247"/>
        <v>9.0817160429973707E-7</v>
      </c>
      <c r="J1874" s="87">
        <v>1</v>
      </c>
      <c r="K1874" s="88">
        <f t="shared" si="248"/>
        <v>1101113.4847924132</v>
      </c>
    </row>
    <row r="1875" spans="1:11" hidden="1" x14ac:dyDescent="0.25">
      <c r="A1875" t="str">
        <f t="shared" si="252"/>
        <v>440CØ1,5875</v>
      </c>
      <c r="B1875" s="81" t="s">
        <v>314</v>
      </c>
      <c r="C1875" s="101" t="s">
        <v>246</v>
      </c>
      <c r="D1875" s="86">
        <f>1/16*25.4</f>
        <v>1.5874999999999999</v>
      </c>
      <c r="E1875" s="85">
        <f t="shared" si="249"/>
        <v>1.5874999999999999E-3</v>
      </c>
      <c r="F1875" s="85">
        <f t="shared" si="250"/>
        <v>7.9374999999999997E-4</v>
      </c>
      <c r="G1875" s="85">
        <f t="shared" si="251"/>
        <v>2.0947867788210349E-9</v>
      </c>
      <c r="H1875" s="85">
        <v>7700</v>
      </c>
      <c r="I1875" s="85">
        <f t="shared" si="247"/>
        <v>1.6129858196921968E-5</v>
      </c>
      <c r="J1875" s="87">
        <v>1</v>
      </c>
      <c r="K1875" s="88">
        <f t="shared" si="248"/>
        <v>61996.825253605035</v>
      </c>
    </row>
    <row r="1876" spans="1:11" hidden="1" x14ac:dyDescent="0.25">
      <c r="A1876" t="str">
        <f t="shared" si="252"/>
        <v>VESCØ5</v>
      </c>
      <c r="B1876" s="81" t="s">
        <v>210</v>
      </c>
      <c r="D1876" s="86">
        <v>5</v>
      </c>
      <c r="E1876" s="85">
        <f t="shared" si="249"/>
        <v>5.0000000000000001E-3</v>
      </c>
      <c r="F1876" s="85">
        <f t="shared" si="250"/>
        <v>2.5000000000000001E-3</v>
      </c>
      <c r="G1876" s="85">
        <f t="shared" si="251"/>
        <v>6.5449846949787352E-8</v>
      </c>
      <c r="H1876" s="85">
        <v>2500</v>
      </c>
      <c r="I1876" s="85">
        <f t="shared" si="247"/>
        <v>1.6362461737446838E-4</v>
      </c>
      <c r="J1876" s="87">
        <v>1</v>
      </c>
      <c r="K1876" s="88">
        <f t="shared" si="248"/>
        <v>6111.5498147287817</v>
      </c>
    </row>
    <row r="1877" spans="1:11" hidden="1" x14ac:dyDescent="0.25">
      <c r="A1877" t="str">
        <f t="shared" si="252"/>
        <v>420CØ0,9</v>
      </c>
      <c r="B1877" s="81" t="s">
        <v>295</v>
      </c>
      <c r="D1877" s="86">
        <v>0.9</v>
      </c>
      <c r="E1877" s="85">
        <f t="shared" si="249"/>
        <v>8.9999999999999998E-4</v>
      </c>
      <c r="F1877" s="85">
        <f t="shared" si="250"/>
        <v>4.4999999999999999E-4</v>
      </c>
      <c r="G1877" s="85">
        <f t="shared" si="251"/>
        <v>3.8170350741115976E-10</v>
      </c>
      <c r="H1877" s="85">
        <v>7700</v>
      </c>
      <c r="I1877" s="85">
        <f t="shared" si="247"/>
        <v>2.93911700706593E-6</v>
      </c>
      <c r="J1877" s="87">
        <v>1</v>
      </c>
      <c r="K1877" s="88">
        <f t="shared" si="248"/>
        <v>340238.2408035816</v>
      </c>
    </row>
    <row r="1878" spans="1:11" hidden="1" x14ac:dyDescent="0.25">
      <c r="A1878" t="str">
        <f t="shared" si="252"/>
        <v>52100Ø3,96875</v>
      </c>
      <c r="B1878" s="81">
        <v>52100</v>
      </c>
      <c r="C1878" s="101" t="s">
        <v>215</v>
      </c>
      <c r="D1878" s="86">
        <f>5/32*25.4</f>
        <v>3.96875</v>
      </c>
      <c r="E1878" s="85">
        <f t="shared" si="249"/>
        <v>3.9687500000000001E-3</v>
      </c>
      <c r="F1878" s="85">
        <f t="shared" si="250"/>
        <v>1.984375E-3</v>
      </c>
      <c r="G1878" s="85">
        <f t="shared" si="251"/>
        <v>3.2731043419078684E-8</v>
      </c>
      <c r="H1878" s="85">
        <v>7800</v>
      </c>
      <c r="I1878" s="85">
        <f t="shared" si="247"/>
        <v>2.5530213866881374E-4</v>
      </c>
      <c r="J1878" s="87">
        <v>1</v>
      </c>
      <c r="K1878" s="88">
        <f t="shared" si="248"/>
        <v>3916.9276262790445</v>
      </c>
    </row>
    <row r="1879" spans="1:11" hidden="1" x14ac:dyDescent="0.25">
      <c r="A1879" t="str">
        <f t="shared" si="252"/>
        <v>52100Ø3</v>
      </c>
      <c r="B1879" s="81">
        <v>52100</v>
      </c>
      <c r="D1879" s="86">
        <v>3</v>
      </c>
      <c r="E1879" s="85">
        <f t="shared" si="249"/>
        <v>3.0000000000000001E-3</v>
      </c>
      <c r="F1879" s="85">
        <f t="shared" si="250"/>
        <v>1.5E-3</v>
      </c>
      <c r="G1879" s="85">
        <f t="shared" si="251"/>
        <v>1.4137166941154068E-8</v>
      </c>
      <c r="H1879" s="85">
        <v>7800</v>
      </c>
      <c r="I1879" s="85">
        <f t="shared" si="247"/>
        <v>1.1026990214100174E-4</v>
      </c>
      <c r="J1879" s="87">
        <v>1</v>
      </c>
      <c r="K1879" s="88">
        <f t="shared" si="248"/>
        <v>9068.6577260339218</v>
      </c>
    </row>
    <row r="1880" spans="1:11" hidden="1" x14ac:dyDescent="0.25">
      <c r="A1880" t="str">
        <f t="shared" si="252"/>
        <v>420CØ1,5</v>
      </c>
      <c r="B1880" s="81" t="s">
        <v>295</v>
      </c>
      <c r="D1880" s="86">
        <v>1.5</v>
      </c>
      <c r="E1880" s="85">
        <f t="shared" si="249"/>
        <v>1.5E-3</v>
      </c>
      <c r="F1880" s="85">
        <f t="shared" si="250"/>
        <v>7.5000000000000002E-4</v>
      </c>
      <c r="G1880" s="85">
        <f t="shared" si="251"/>
        <v>1.7671458676442585E-9</v>
      </c>
      <c r="H1880" s="85">
        <v>7700</v>
      </c>
      <c r="I1880" s="85">
        <f t="shared" si="247"/>
        <v>1.3607023180860791E-5</v>
      </c>
      <c r="J1880" s="87">
        <v>1</v>
      </c>
      <c r="K1880" s="88">
        <f t="shared" si="248"/>
        <v>73491.460013573611</v>
      </c>
    </row>
    <row r="1881" spans="1:11" hidden="1" x14ac:dyDescent="0.25">
      <c r="A1881" t="str">
        <f t="shared" si="252"/>
        <v>420CØ3</v>
      </c>
      <c r="B1881" s="81" t="s">
        <v>295</v>
      </c>
      <c r="D1881" s="86">
        <v>3</v>
      </c>
      <c r="E1881" s="85">
        <f t="shared" si="249"/>
        <v>3.0000000000000001E-3</v>
      </c>
      <c r="F1881" s="85">
        <f t="shared" si="250"/>
        <v>1.5E-3</v>
      </c>
      <c r="G1881" s="85">
        <f t="shared" si="251"/>
        <v>1.4137166941154068E-8</v>
      </c>
      <c r="H1881" s="85">
        <v>7700</v>
      </c>
      <c r="I1881" s="85">
        <f t="shared" si="247"/>
        <v>1.0885618544688632E-4</v>
      </c>
      <c r="J1881" s="87">
        <v>1</v>
      </c>
      <c r="K1881" s="88">
        <f t="shared" si="248"/>
        <v>9186.4325016967014</v>
      </c>
    </row>
    <row r="1882" spans="1:11" hidden="1" x14ac:dyDescent="0.25">
      <c r="A1882" t="str">
        <f t="shared" si="252"/>
        <v>316LØ1,5</v>
      </c>
      <c r="B1882" s="81" t="s">
        <v>298</v>
      </c>
      <c r="D1882" s="86">
        <v>1.5</v>
      </c>
      <c r="E1882" s="85">
        <f t="shared" si="249"/>
        <v>1.5E-3</v>
      </c>
      <c r="F1882" s="85">
        <f t="shared" si="250"/>
        <v>7.5000000000000002E-4</v>
      </c>
      <c r="G1882" s="85">
        <f t="shared" si="251"/>
        <v>1.7671458676442585E-9</v>
      </c>
      <c r="H1882" s="85">
        <v>7950</v>
      </c>
      <c r="I1882" s="85">
        <f t="shared" si="247"/>
        <v>1.4048809647771855E-5</v>
      </c>
      <c r="J1882" s="87">
        <v>1</v>
      </c>
      <c r="K1882" s="88">
        <f t="shared" si="248"/>
        <v>71180.407811888916</v>
      </c>
    </row>
    <row r="1883" spans="1:11" hidden="1" x14ac:dyDescent="0.25">
      <c r="A1883" t="str">
        <f t="shared" si="252"/>
        <v>PPHØ12</v>
      </c>
      <c r="B1883" s="81" t="s">
        <v>202</v>
      </c>
      <c r="D1883" s="86">
        <v>12</v>
      </c>
      <c r="E1883" s="85">
        <f t="shared" si="249"/>
        <v>1.2E-2</v>
      </c>
      <c r="F1883" s="85">
        <f t="shared" si="250"/>
        <v>6.0000000000000001E-3</v>
      </c>
      <c r="G1883" s="85">
        <f t="shared" si="251"/>
        <v>9.0477868423386037E-7</v>
      </c>
      <c r="H1883" s="85">
        <v>835</v>
      </c>
      <c r="I1883" s="85">
        <f t="shared" si="247"/>
        <v>7.5549020133527337E-4</v>
      </c>
      <c r="J1883" s="87">
        <v>1</v>
      </c>
      <c r="K1883" s="88">
        <f t="shared" si="248"/>
        <v>1323.6439046232149</v>
      </c>
    </row>
    <row r="1884" spans="1:11" hidden="1" x14ac:dyDescent="0.25">
      <c r="A1884" t="str">
        <f t="shared" si="252"/>
        <v>420CØ1,5</v>
      </c>
      <c r="B1884" s="81" t="s">
        <v>295</v>
      </c>
      <c r="D1884" s="86">
        <v>1.5</v>
      </c>
      <c r="E1884" s="85">
        <f t="shared" si="249"/>
        <v>1.5E-3</v>
      </c>
      <c r="F1884" s="85">
        <f t="shared" si="250"/>
        <v>7.5000000000000002E-4</v>
      </c>
      <c r="G1884" s="85">
        <f t="shared" si="251"/>
        <v>1.7671458676442585E-9</v>
      </c>
      <c r="H1884" s="85">
        <v>7700</v>
      </c>
      <c r="I1884" s="85">
        <f t="shared" si="247"/>
        <v>1.3607023180860791E-5</v>
      </c>
      <c r="J1884" s="87">
        <v>1</v>
      </c>
      <c r="K1884" s="88">
        <f t="shared" si="248"/>
        <v>73491.460013573611</v>
      </c>
    </row>
    <row r="1885" spans="1:11" hidden="1" x14ac:dyDescent="0.25">
      <c r="A1885" t="str">
        <f t="shared" si="252"/>
        <v>VESCØ7</v>
      </c>
      <c r="B1885" s="81" t="s">
        <v>210</v>
      </c>
      <c r="D1885" s="86">
        <v>7</v>
      </c>
      <c r="E1885" s="85">
        <f t="shared" si="249"/>
        <v>7.0000000000000001E-3</v>
      </c>
      <c r="F1885" s="85">
        <f t="shared" si="250"/>
        <v>3.5000000000000001E-3</v>
      </c>
      <c r="G1885" s="85">
        <f t="shared" si="251"/>
        <v>1.7959438003021651E-7</v>
      </c>
      <c r="H1885" s="85">
        <v>2500</v>
      </c>
      <c r="I1885" s="85">
        <f t="shared" si="247"/>
        <v>4.489859500755413E-4</v>
      </c>
      <c r="J1885" s="87">
        <v>1</v>
      </c>
      <c r="K1885" s="88">
        <f t="shared" si="248"/>
        <v>2227.2411861256492</v>
      </c>
    </row>
    <row r="1886" spans="1:11" hidden="1" x14ac:dyDescent="0.25">
      <c r="A1886" t="str">
        <f t="shared" si="252"/>
        <v>52100Ø1,5</v>
      </c>
      <c r="B1886" s="81">
        <v>52100</v>
      </c>
      <c r="D1886" s="86">
        <v>1.5</v>
      </c>
      <c r="E1886" s="85">
        <f t="shared" si="249"/>
        <v>1.5E-3</v>
      </c>
      <c r="F1886" s="85">
        <f t="shared" si="250"/>
        <v>7.5000000000000002E-4</v>
      </c>
      <c r="G1886" s="85">
        <f t="shared" si="251"/>
        <v>1.7671458676442585E-9</v>
      </c>
      <c r="H1886" s="85">
        <v>7800</v>
      </c>
      <c r="I1886" s="85">
        <f t="shared" si="247"/>
        <v>1.3783737767625217E-5</v>
      </c>
      <c r="J1886" s="87">
        <v>1</v>
      </c>
      <c r="K1886" s="88">
        <f t="shared" si="248"/>
        <v>72549.261808271374</v>
      </c>
    </row>
    <row r="1887" spans="1:11" hidden="1" x14ac:dyDescent="0.25">
      <c r="A1887" t="str">
        <f t="shared" si="252"/>
        <v>TorlonØ4,7625</v>
      </c>
      <c r="B1887" s="81" t="s">
        <v>324</v>
      </c>
      <c r="C1887" s="101" t="s">
        <v>248</v>
      </c>
      <c r="D1887" s="86">
        <f>3/16*25.4</f>
        <v>4.7624999999999993</v>
      </c>
      <c r="E1887" s="85">
        <f t="shared" si="249"/>
        <v>4.7624999999999994E-3</v>
      </c>
      <c r="F1887" s="85">
        <f t="shared" si="250"/>
        <v>2.3812499999999997E-3</v>
      </c>
      <c r="G1887" s="85">
        <f t="shared" si="251"/>
        <v>5.6559243028167934E-8</v>
      </c>
      <c r="H1887" s="85">
        <v>1420</v>
      </c>
      <c r="I1887" s="85">
        <f t="shared" si="247"/>
        <v>8.0314125099998466E-5</v>
      </c>
      <c r="J1887" s="87">
        <v>1</v>
      </c>
      <c r="K1887" s="88">
        <f t="shared" si="248"/>
        <v>12451.109923128815</v>
      </c>
    </row>
    <row r="1888" spans="1:11" hidden="1" x14ac:dyDescent="0.25">
      <c r="A1888" t="str">
        <f t="shared" si="252"/>
        <v>PA6.6Ø12,7</v>
      </c>
      <c r="B1888" s="81" t="s">
        <v>244</v>
      </c>
      <c r="C1888" s="101" t="s">
        <v>270</v>
      </c>
      <c r="D1888" s="86">
        <f>1/2*25.4</f>
        <v>12.7</v>
      </c>
      <c r="E1888" s="85">
        <f t="shared" si="249"/>
        <v>1.2699999999999999E-2</v>
      </c>
      <c r="F1888" s="85">
        <f t="shared" si="250"/>
        <v>6.3499999999999997E-3</v>
      </c>
      <c r="G1888" s="85">
        <f t="shared" si="251"/>
        <v>1.0725308307563699E-6</v>
      </c>
      <c r="H1888" s="85">
        <v>1110</v>
      </c>
      <c r="I1888" s="85">
        <f t="shared" si="247"/>
        <v>1.1905092221395706E-3</v>
      </c>
      <c r="J1888" s="87">
        <v>1</v>
      </c>
      <c r="K1888" s="88">
        <f t="shared" si="248"/>
        <v>839.97669350499496</v>
      </c>
    </row>
    <row r="1889" spans="1:11" hidden="1" x14ac:dyDescent="0.25">
      <c r="A1889" t="str">
        <f t="shared" si="252"/>
        <v>POMØ1,5875</v>
      </c>
      <c r="B1889" s="81" t="s">
        <v>201</v>
      </c>
      <c r="C1889" s="101" t="s">
        <v>246</v>
      </c>
      <c r="D1889" s="86">
        <f>1/16*25.4</f>
        <v>1.5874999999999999</v>
      </c>
      <c r="E1889" s="85">
        <f t="shared" si="249"/>
        <v>1.5874999999999999E-3</v>
      </c>
      <c r="F1889" s="85">
        <f t="shared" si="250"/>
        <v>7.9374999999999997E-4</v>
      </c>
      <c r="G1889" s="85">
        <f t="shared" si="251"/>
        <v>2.0947867788210349E-9</v>
      </c>
      <c r="H1889" s="85">
        <v>1370</v>
      </c>
      <c r="I1889" s="85">
        <f t="shared" si="247"/>
        <v>2.8698578869848178E-6</v>
      </c>
      <c r="J1889" s="87">
        <v>1</v>
      </c>
      <c r="K1889" s="88">
        <f t="shared" si="248"/>
        <v>348449.30981953192</v>
      </c>
    </row>
    <row r="1890" spans="1:11" hidden="1" x14ac:dyDescent="0.25">
      <c r="A1890" t="str">
        <f t="shared" si="252"/>
        <v>POMØ1,5875</v>
      </c>
      <c r="B1890" s="81" t="s">
        <v>201</v>
      </c>
      <c r="C1890" s="101" t="s">
        <v>246</v>
      </c>
      <c r="D1890" s="86">
        <f>1/16*25.4</f>
        <v>1.5874999999999999</v>
      </c>
      <c r="E1890" s="85">
        <f t="shared" si="249"/>
        <v>1.5874999999999999E-3</v>
      </c>
      <c r="F1890" s="85">
        <f t="shared" si="250"/>
        <v>7.9374999999999997E-4</v>
      </c>
      <c r="G1890" s="85">
        <f t="shared" si="251"/>
        <v>2.0947867788210349E-9</v>
      </c>
      <c r="H1890" s="85">
        <v>1370</v>
      </c>
      <c r="I1890" s="85">
        <f t="shared" si="247"/>
        <v>2.8698578869848178E-6</v>
      </c>
      <c r="J1890" s="87">
        <v>1</v>
      </c>
      <c r="K1890" s="88">
        <f t="shared" si="248"/>
        <v>348449.30981953192</v>
      </c>
    </row>
    <row r="1891" spans="1:11" hidden="1" x14ac:dyDescent="0.25">
      <c r="A1891" t="str">
        <f t="shared" si="252"/>
        <v>Al2O3Ø16</v>
      </c>
      <c r="B1891" s="81" t="s">
        <v>217</v>
      </c>
      <c r="D1891" s="86">
        <v>16</v>
      </c>
      <c r="E1891" s="85">
        <f t="shared" si="249"/>
        <v>1.6E-2</v>
      </c>
      <c r="F1891" s="85">
        <f t="shared" si="250"/>
        <v>8.0000000000000002E-3</v>
      </c>
      <c r="G1891" s="85">
        <f t="shared" si="251"/>
        <v>2.1446605848506321E-6</v>
      </c>
      <c r="H1891" s="85">
        <v>3800</v>
      </c>
      <c r="I1891" s="85">
        <f t="shared" si="247"/>
        <v>8.1497102224324016E-3</v>
      </c>
      <c r="J1891" s="87">
        <v>1</v>
      </c>
      <c r="K1891" s="88">
        <f t="shared" si="248"/>
        <v>122.7037492998782</v>
      </c>
    </row>
    <row r="1892" spans="1:11" hidden="1" x14ac:dyDescent="0.25">
      <c r="A1892" t="str">
        <f t="shared" si="252"/>
        <v>OttoneØ2</v>
      </c>
      <c r="B1892" s="81" t="s">
        <v>216</v>
      </c>
      <c r="D1892" s="86">
        <v>2</v>
      </c>
      <c r="E1892" s="85">
        <f t="shared" si="249"/>
        <v>2E-3</v>
      </c>
      <c r="F1892" s="85">
        <f t="shared" si="250"/>
        <v>1E-3</v>
      </c>
      <c r="G1892" s="85">
        <f t="shared" si="251"/>
        <v>4.1887902047863909E-9</v>
      </c>
      <c r="H1892" s="85">
        <v>8450</v>
      </c>
      <c r="I1892" s="85">
        <f t="shared" ref="I1892:I1893" si="253">H1892*G1892</f>
        <v>3.5395277230445004E-5</v>
      </c>
      <c r="J1892" s="87">
        <v>1</v>
      </c>
      <c r="K1892" s="88">
        <f t="shared" ref="K1892:K1893" si="254">J1892/I1892</f>
        <v>28252.356761874911</v>
      </c>
    </row>
    <row r="1893" spans="1:11" hidden="1" x14ac:dyDescent="0.25">
      <c r="A1893" t="str">
        <f t="shared" si="252"/>
        <v>POMØ1</v>
      </c>
      <c r="B1893" s="81" t="s">
        <v>201</v>
      </c>
      <c r="D1893" s="86">
        <v>1</v>
      </c>
      <c r="E1893" s="85">
        <f t="shared" si="249"/>
        <v>1E-3</v>
      </c>
      <c r="F1893" s="85">
        <f t="shared" si="250"/>
        <v>5.0000000000000001E-4</v>
      </c>
      <c r="G1893" s="85">
        <f t="shared" si="251"/>
        <v>5.2359877559829886E-10</v>
      </c>
      <c r="H1893" s="85">
        <v>1370</v>
      </c>
      <c r="I1893" s="85">
        <f t="shared" si="253"/>
        <v>7.1733032256966945E-7</v>
      </c>
      <c r="J1893" s="87">
        <v>1</v>
      </c>
      <c r="K1893" s="88">
        <f t="shared" si="254"/>
        <v>1394057.8956954337</v>
      </c>
    </row>
    <row r="1894" spans="1:11" hidden="1" x14ac:dyDescent="0.25">
      <c r="A1894" t="str">
        <f t="shared" si="252"/>
        <v>HDPEØ1</v>
      </c>
      <c r="B1894" s="81" t="s">
        <v>322</v>
      </c>
      <c r="D1894" s="86">
        <v>1</v>
      </c>
      <c r="E1894" s="85">
        <f>D1894/1000</f>
        <v>1E-3</v>
      </c>
      <c r="F1894" s="85">
        <f>E1894/2</f>
        <v>5.0000000000000001E-4</v>
      </c>
      <c r="G1894" s="85">
        <f>4/3*PI()*F1894*F1894*F1894</f>
        <v>5.2359877559829886E-10</v>
      </c>
      <c r="H1894" s="85">
        <v>970</v>
      </c>
      <c r="I1894" s="85">
        <f>H1894*G1894</f>
        <v>5.078908123303499E-7</v>
      </c>
      <c r="J1894" s="87">
        <v>1</v>
      </c>
      <c r="K1894" s="88">
        <f>J1894/I1894</f>
        <v>1968927.1310337568</v>
      </c>
    </row>
    <row r="1895" spans="1:11" hidden="1" x14ac:dyDescent="0.25">
      <c r="A1895" t="str">
        <f t="shared" si="252"/>
        <v>PPHØ1</v>
      </c>
      <c r="B1895" s="81" t="s">
        <v>202</v>
      </c>
      <c r="D1895" s="86">
        <v>1</v>
      </c>
      <c r="E1895" s="85">
        <f>D1895/1000</f>
        <v>1E-3</v>
      </c>
      <c r="F1895" s="85">
        <f>E1895/2</f>
        <v>5.0000000000000001E-4</v>
      </c>
      <c r="G1895" s="85">
        <f>4/3*PI()*F1895*F1895*F1895</f>
        <v>5.2359877559829886E-10</v>
      </c>
      <c r="H1895" s="85">
        <v>870</v>
      </c>
      <c r="I1895" s="85">
        <f>H1895*G1895</f>
        <v>4.5553093477051999E-7</v>
      </c>
      <c r="J1895" s="87">
        <v>1</v>
      </c>
      <c r="K1895" s="88">
        <f>J1895/I1895</f>
        <v>2195240.5943709705</v>
      </c>
    </row>
    <row r="1896" spans="1:11" hidden="1" x14ac:dyDescent="0.25">
      <c r="A1896" t="str">
        <f t="shared" si="252"/>
        <v>440CØ1</v>
      </c>
      <c r="B1896" s="81" t="s">
        <v>314</v>
      </c>
      <c r="D1896" s="86">
        <v>1</v>
      </c>
      <c r="E1896" s="85">
        <f>D1896/1000</f>
        <v>1E-3</v>
      </c>
      <c r="F1896" s="85">
        <f>E1896/2</f>
        <v>5.0000000000000001E-4</v>
      </c>
      <c r="G1896" s="85">
        <f>4/3*PI()*F1896*F1896*F1896</f>
        <v>5.2359877559829886E-10</v>
      </c>
      <c r="H1896" s="85">
        <v>7550</v>
      </c>
      <c r="I1896" s="85">
        <f>H1896*G1896</f>
        <v>3.9531707557671565E-6</v>
      </c>
      <c r="J1896" s="87">
        <v>1</v>
      </c>
      <c r="K1896" s="88">
        <f>J1896/I1896</f>
        <v>252961.49895400583</v>
      </c>
    </row>
    <row r="1897" spans="1:11" hidden="1" x14ac:dyDescent="0.25">
      <c r="A1897" t="str">
        <f t="shared" si="252"/>
        <v>SiCØ3</v>
      </c>
      <c r="B1897" s="81" t="s">
        <v>326</v>
      </c>
      <c r="D1897" s="86">
        <v>3</v>
      </c>
      <c r="E1897" s="85">
        <f>D1897/1000</f>
        <v>3.0000000000000001E-3</v>
      </c>
      <c r="F1897" s="85">
        <f>E1897/2</f>
        <v>1.5E-3</v>
      </c>
      <c r="G1897" s="85">
        <f>4/3*PI()*F1897*F1897*F1897</f>
        <v>1.4137166941154068E-8</v>
      </c>
      <c r="H1897" s="85">
        <v>3150</v>
      </c>
      <c r="I1897" s="85">
        <f>H1897*G1897</f>
        <v>4.4532075864635313E-5</v>
      </c>
      <c r="J1897" s="87">
        <v>1</v>
      </c>
      <c r="K1897" s="88">
        <f>J1897/I1897</f>
        <v>22455.723893036382</v>
      </c>
    </row>
    <row r="1898" spans="1:11" hidden="1" x14ac:dyDescent="0.25">
      <c r="A1898" t="str">
        <f t="shared" si="252"/>
        <v>PPHØ8</v>
      </c>
      <c r="B1898" s="81" t="s">
        <v>202</v>
      </c>
      <c r="D1898" s="86">
        <v>8</v>
      </c>
      <c r="E1898" s="85">
        <f>D1898/1000</f>
        <v>8.0000000000000002E-3</v>
      </c>
      <c r="F1898" s="85">
        <f>E1898/2</f>
        <v>4.0000000000000001E-3</v>
      </c>
      <c r="G1898" s="85">
        <f>4/3*PI()*F1898*F1898*F1898</f>
        <v>2.6808257310632902E-7</v>
      </c>
      <c r="H1898" s="85">
        <v>870</v>
      </c>
      <c r="I1898" s="85">
        <f>H1898*G1898</f>
        <v>2.3323183860250623E-4</v>
      </c>
      <c r="J1898" s="87">
        <v>1</v>
      </c>
      <c r="K1898" s="88">
        <f>J1898/I1898</f>
        <v>4287.5792858808018</v>
      </c>
    </row>
    <row r="1899" spans="1:11" hidden="1" x14ac:dyDescent="0.25">
      <c r="A1899" t="str">
        <f t="shared" si="252"/>
        <v>PA6.6Ø1</v>
      </c>
      <c r="B1899" s="81" t="s">
        <v>244</v>
      </c>
      <c r="D1899" s="86">
        <v>1</v>
      </c>
      <c r="E1899" s="85">
        <f t="shared" ref="E1899:E1962" si="255">D1899/1000</f>
        <v>1E-3</v>
      </c>
      <c r="F1899" s="85">
        <f t="shared" ref="F1899:F1962" si="256">E1899/2</f>
        <v>5.0000000000000001E-4</v>
      </c>
      <c r="G1899" s="85">
        <f t="shared" ref="G1899:G1962" si="257">4/3*PI()*F1899*F1899*F1899</f>
        <v>5.2359877559829886E-10</v>
      </c>
      <c r="H1899" s="85">
        <v>1110</v>
      </c>
      <c r="I1899" s="85">
        <f t="shared" ref="I1899:I1962" si="258">H1899*G1899</f>
        <v>5.8119464091411169E-7</v>
      </c>
      <c r="J1899" s="87">
        <v>1</v>
      </c>
      <c r="K1899" s="88">
        <f t="shared" ref="K1899:K1962" si="259">J1899/I1899</f>
        <v>1720593.9793718418</v>
      </c>
    </row>
    <row r="1900" spans="1:11" hidden="1" x14ac:dyDescent="0.25">
      <c r="A1900" t="str">
        <f t="shared" si="252"/>
        <v>Al2O3Ø30</v>
      </c>
      <c r="B1900" s="81" t="s">
        <v>217</v>
      </c>
      <c r="D1900" s="86">
        <v>30</v>
      </c>
      <c r="E1900" s="85">
        <f t="shared" si="255"/>
        <v>0.03</v>
      </c>
      <c r="F1900" s="85">
        <f t="shared" si="256"/>
        <v>1.4999999999999999E-2</v>
      </c>
      <c r="G1900" s="85">
        <f t="shared" si="257"/>
        <v>1.4137166941154067E-5</v>
      </c>
      <c r="H1900" s="85">
        <v>3800</v>
      </c>
      <c r="I1900" s="85">
        <f t="shared" si="258"/>
        <v>5.3721234376385457E-2</v>
      </c>
      <c r="J1900" s="87">
        <v>1</v>
      </c>
      <c r="K1900" s="88">
        <f t="shared" si="259"/>
        <v>18.614613227122263</v>
      </c>
    </row>
    <row r="1901" spans="1:11" hidden="1" x14ac:dyDescent="0.25">
      <c r="A1901" t="str">
        <f t="shared" si="252"/>
        <v>440CØ1,984375</v>
      </c>
      <c r="B1901" s="81" t="s">
        <v>314</v>
      </c>
      <c r="C1901" s="101" t="s">
        <v>327</v>
      </c>
      <c r="D1901" s="86">
        <f>5/64*25.4</f>
        <v>1.984375</v>
      </c>
      <c r="E1901" s="85">
        <f t="shared" si="255"/>
        <v>1.984375E-3</v>
      </c>
      <c r="F1901" s="85">
        <f t="shared" si="256"/>
        <v>9.9218750000000001E-4</v>
      </c>
      <c r="G1901" s="85">
        <f t="shared" si="257"/>
        <v>4.0913804273848354E-9</v>
      </c>
      <c r="H1901" s="85">
        <v>7540</v>
      </c>
      <c r="I1901" s="85">
        <f t="shared" si="258"/>
        <v>3.0849008422481661E-5</v>
      </c>
      <c r="J1901" s="87">
        <v>1</v>
      </c>
      <c r="K1901" s="85">
        <f t="shared" si="259"/>
        <v>32415.952769205884</v>
      </c>
    </row>
    <row r="1902" spans="1:11" hidden="1" x14ac:dyDescent="0.25">
      <c r="A1902" t="str">
        <f t="shared" si="252"/>
        <v>52100Ø0,973</v>
      </c>
      <c r="B1902" s="81">
        <v>52100</v>
      </c>
      <c r="D1902" s="86">
        <v>0.97299999999999998</v>
      </c>
      <c r="E1902" s="85">
        <f t="shared" si="255"/>
        <v>9.7300000000000002E-4</v>
      </c>
      <c r="F1902" s="85">
        <f t="shared" si="256"/>
        <v>4.8650000000000001E-4</v>
      </c>
      <c r="G1902" s="85">
        <f t="shared" si="257"/>
        <v>4.8232207930237004E-10</v>
      </c>
      <c r="H1902" s="85">
        <v>7800</v>
      </c>
      <c r="I1902" s="85">
        <f t="shared" si="258"/>
        <v>3.7621122185584865E-6</v>
      </c>
      <c r="J1902" s="87">
        <v>1</v>
      </c>
      <c r="K1902" s="88">
        <f t="shared" si="259"/>
        <v>265808.12636768341</v>
      </c>
    </row>
    <row r="1903" spans="1:11" hidden="1" x14ac:dyDescent="0.25">
      <c r="A1903" t="str">
        <f t="shared" si="252"/>
        <v>52100Ø0,68</v>
      </c>
      <c r="B1903" s="81">
        <v>52100</v>
      </c>
      <c r="D1903" s="86">
        <v>0.68</v>
      </c>
      <c r="E1903" s="85">
        <f t="shared" si="255"/>
        <v>6.8000000000000005E-4</v>
      </c>
      <c r="F1903" s="85">
        <f t="shared" si="256"/>
        <v>3.4000000000000002E-4</v>
      </c>
      <c r="G1903" s="85">
        <f t="shared" si="257"/>
        <v>1.6463621020892433E-10</v>
      </c>
      <c r="H1903" s="85">
        <v>7800</v>
      </c>
      <c r="I1903" s="85">
        <f t="shared" si="258"/>
        <v>1.2841624396296097E-6</v>
      </c>
      <c r="J1903" s="87">
        <v>1</v>
      </c>
      <c r="K1903" s="88">
        <f t="shared" si="259"/>
        <v>778717.68332394888</v>
      </c>
    </row>
    <row r="1904" spans="1:11" hidden="1" x14ac:dyDescent="0.25">
      <c r="A1904" t="str">
        <f t="shared" si="252"/>
        <v>52100Ø1</v>
      </c>
      <c r="B1904" s="81">
        <v>52100</v>
      </c>
      <c r="D1904" s="86">
        <v>1</v>
      </c>
      <c r="E1904" s="85">
        <f t="shared" si="255"/>
        <v>1E-3</v>
      </c>
      <c r="F1904" s="85">
        <f t="shared" si="256"/>
        <v>5.0000000000000001E-4</v>
      </c>
      <c r="G1904" s="85">
        <f t="shared" si="257"/>
        <v>5.2359877559829886E-10</v>
      </c>
      <c r="H1904" s="85">
        <v>7800</v>
      </c>
      <c r="I1904" s="85">
        <f t="shared" si="258"/>
        <v>4.0840704496667312E-6</v>
      </c>
      <c r="J1904" s="87">
        <v>1</v>
      </c>
      <c r="K1904" s="88">
        <f t="shared" si="259"/>
        <v>244853.75860291591</v>
      </c>
    </row>
    <row r="1905" spans="1:11" hidden="1" x14ac:dyDescent="0.25">
      <c r="A1905" t="str">
        <f t="shared" si="252"/>
        <v>440CØ1,5</v>
      </c>
      <c r="B1905" s="81" t="s">
        <v>314</v>
      </c>
      <c r="D1905" s="86">
        <v>1.5</v>
      </c>
      <c r="E1905" s="85">
        <f t="shared" si="255"/>
        <v>1.5E-3</v>
      </c>
      <c r="F1905" s="85">
        <f t="shared" si="256"/>
        <v>7.5000000000000002E-4</v>
      </c>
      <c r="G1905" s="85">
        <f t="shared" si="257"/>
        <v>1.7671458676442585E-9</v>
      </c>
      <c r="H1905" s="85">
        <v>7700</v>
      </c>
      <c r="I1905" s="85">
        <f t="shared" si="258"/>
        <v>1.3607023180860791E-5</v>
      </c>
      <c r="J1905" s="87">
        <v>1</v>
      </c>
      <c r="K1905" s="88">
        <f t="shared" si="259"/>
        <v>73491.460013573611</v>
      </c>
    </row>
    <row r="1906" spans="1:11" hidden="1" x14ac:dyDescent="0.25">
      <c r="A1906" t="str">
        <f t="shared" si="252"/>
        <v>VESCØ20</v>
      </c>
      <c r="B1906" s="81" t="s">
        <v>210</v>
      </c>
      <c r="D1906" s="86">
        <v>20</v>
      </c>
      <c r="E1906" s="85">
        <f t="shared" si="255"/>
        <v>0.02</v>
      </c>
      <c r="F1906" s="85">
        <f t="shared" si="256"/>
        <v>0.01</v>
      </c>
      <c r="G1906" s="85">
        <f t="shared" si="257"/>
        <v>4.1887902047863905E-6</v>
      </c>
      <c r="H1906" s="85">
        <v>2500</v>
      </c>
      <c r="I1906" s="85">
        <f t="shared" si="258"/>
        <v>1.0471975511965976E-2</v>
      </c>
      <c r="J1906" s="87">
        <v>1</v>
      </c>
      <c r="K1906" s="88">
        <f t="shared" si="259"/>
        <v>95.492965855137214</v>
      </c>
    </row>
    <row r="1907" spans="1:11" hidden="1" x14ac:dyDescent="0.25">
      <c r="A1907" t="str">
        <f t="shared" si="252"/>
        <v>OttoneØ12</v>
      </c>
      <c r="B1907" s="81" t="s">
        <v>216</v>
      </c>
      <c r="D1907" s="86">
        <v>12</v>
      </c>
      <c r="E1907" s="85">
        <f t="shared" si="255"/>
        <v>1.2E-2</v>
      </c>
      <c r="F1907" s="85">
        <f t="shared" si="256"/>
        <v>6.0000000000000001E-3</v>
      </c>
      <c r="G1907" s="85">
        <f t="shared" si="257"/>
        <v>9.0477868423386037E-7</v>
      </c>
      <c r="H1907" s="85">
        <v>8490</v>
      </c>
      <c r="I1907" s="85">
        <f t="shared" si="258"/>
        <v>7.6815710291454741E-3</v>
      </c>
      <c r="J1907" s="87">
        <v>1</v>
      </c>
      <c r="K1907" s="88">
        <f t="shared" si="259"/>
        <v>130.18170322266013</v>
      </c>
    </row>
    <row r="1908" spans="1:11" hidden="1" x14ac:dyDescent="0.25">
      <c r="A1908" t="str">
        <f t="shared" si="252"/>
        <v>52100Ø0,5</v>
      </c>
      <c r="B1908" s="81">
        <v>52100</v>
      </c>
      <c r="D1908" s="86">
        <v>0.5</v>
      </c>
      <c r="E1908" s="85">
        <f t="shared" si="255"/>
        <v>5.0000000000000001E-4</v>
      </c>
      <c r="F1908" s="85">
        <f t="shared" si="256"/>
        <v>2.5000000000000001E-4</v>
      </c>
      <c r="G1908" s="85">
        <f t="shared" si="257"/>
        <v>6.5449846949787358E-11</v>
      </c>
      <c r="H1908" s="85">
        <v>7800</v>
      </c>
      <c r="I1908" s="85">
        <f t="shared" si="258"/>
        <v>5.1050880620834141E-7</v>
      </c>
      <c r="J1908" s="87">
        <v>1</v>
      </c>
      <c r="K1908" s="88">
        <f t="shared" si="259"/>
        <v>1958830.0688233273</v>
      </c>
    </row>
    <row r="1909" spans="1:11" hidden="1" x14ac:dyDescent="0.25">
      <c r="A1909" t="str">
        <f t="shared" si="252"/>
        <v>310Ø0,6</v>
      </c>
      <c r="B1909" s="81">
        <v>310</v>
      </c>
      <c r="D1909" s="86">
        <v>0.6</v>
      </c>
      <c r="E1909" s="85">
        <f t="shared" si="255"/>
        <v>5.9999999999999995E-4</v>
      </c>
      <c r="F1909" s="85">
        <f t="shared" si="256"/>
        <v>2.9999999999999997E-4</v>
      </c>
      <c r="G1909" s="85">
        <f t="shared" si="257"/>
        <v>1.1309733552923252E-10</v>
      </c>
      <c r="H1909" s="85">
        <v>8100</v>
      </c>
      <c r="I1909" s="85">
        <f t="shared" si="258"/>
        <v>9.1608841778678341E-7</v>
      </c>
      <c r="J1909" s="87">
        <v>1</v>
      </c>
      <c r="K1909" s="85">
        <f t="shared" si="259"/>
        <v>1091597.6892448242</v>
      </c>
    </row>
    <row r="1910" spans="1:11" hidden="1" x14ac:dyDescent="0.25">
      <c r="A1910" t="str">
        <f t="shared" si="252"/>
        <v>VEBOØ2</v>
      </c>
      <c r="B1910" s="81" t="s">
        <v>329</v>
      </c>
      <c r="D1910" s="86">
        <v>2</v>
      </c>
      <c r="E1910" s="85">
        <f t="shared" si="255"/>
        <v>2E-3</v>
      </c>
      <c r="F1910" s="85">
        <f t="shared" si="256"/>
        <v>1E-3</v>
      </c>
      <c r="G1910" s="85">
        <f t="shared" si="257"/>
        <v>4.1887902047863909E-9</v>
      </c>
      <c r="H1910" s="85">
        <v>2230</v>
      </c>
      <c r="I1910" s="85">
        <f t="shared" si="258"/>
        <v>9.341002156673651E-6</v>
      </c>
      <c r="J1910" s="87">
        <v>1</v>
      </c>
      <c r="K1910" s="88">
        <f t="shared" si="259"/>
        <v>107054.89445643185</v>
      </c>
    </row>
    <row r="1911" spans="1:11" hidden="1" x14ac:dyDescent="0.25">
      <c r="A1911" t="str">
        <f t="shared" si="252"/>
        <v>420CØ9,525</v>
      </c>
      <c r="B1911" s="81" t="s">
        <v>295</v>
      </c>
      <c r="C1911" s="101" t="s">
        <v>254</v>
      </c>
      <c r="D1911" s="86">
        <f>3/8*25.4</f>
        <v>9.5249999999999986</v>
      </c>
      <c r="E1911" s="85">
        <f t="shared" si="255"/>
        <v>9.5249999999999987E-3</v>
      </c>
      <c r="F1911" s="85">
        <f t="shared" si="256"/>
        <v>4.7624999999999994E-3</v>
      </c>
      <c r="G1911" s="85">
        <f t="shared" si="257"/>
        <v>4.5247394422534347E-7</v>
      </c>
      <c r="H1911" s="85">
        <v>7750</v>
      </c>
      <c r="I1911" s="85">
        <f t="shared" si="258"/>
        <v>3.5066730677464119E-3</v>
      </c>
      <c r="J1911" s="87">
        <v>1</v>
      </c>
      <c r="K1911" s="88">
        <f t="shared" si="259"/>
        <v>285.17058211036965</v>
      </c>
    </row>
    <row r="1912" spans="1:11" hidden="1" x14ac:dyDescent="0.25">
      <c r="A1912" t="str">
        <f t="shared" si="252"/>
        <v>PTFEØ4,7625</v>
      </c>
      <c r="B1912" s="81" t="s">
        <v>307</v>
      </c>
      <c r="C1912" s="101" t="s">
        <v>248</v>
      </c>
      <c r="D1912" s="86">
        <f>3/16*25.4</f>
        <v>4.7624999999999993</v>
      </c>
      <c r="E1912" s="85">
        <f t="shared" si="255"/>
        <v>4.7624999999999994E-3</v>
      </c>
      <c r="F1912" s="85">
        <f t="shared" si="256"/>
        <v>2.3812499999999997E-3</v>
      </c>
      <c r="G1912" s="85">
        <f t="shared" si="257"/>
        <v>5.6559243028167934E-8</v>
      </c>
      <c r="H1912" s="85">
        <v>2100</v>
      </c>
      <c r="I1912" s="85">
        <f t="shared" si="258"/>
        <v>1.1877441035915266E-4</v>
      </c>
      <c r="J1912" s="87">
        <v>1</v>
      </c>
      <c r="K1912" s="88">
        <f t="shared" si="259"/>
        <v>8419.321948020437</v>
      </c>
    </row>
    <row r="1913" spans="1:11" hidden="1" x14ac:dyDescent="0.25">
      <c r="A1913" t="str">
        <f t="shared" si="252"/>
        <v>316LØ0,7</v>
      </c>
      <c r="B1913" s="81" t="s">
        <v>298</v>
      </c>
      <c r="D1913" s="86">
        <v>0.7</v>
      </c>
      <c r="E1913" s="85">
        <f t="shared" si="255"/>
        <v>6.9999999999999999E-4</v>
      </c>
      <c r="F1913" s="85">
        <f t="shared" si="256"/>
        <v>3.5E-4</v>
      </c>
      <c r="G1913" s="85">
        <f t="shared" si="257"/>
        <v>1.7959438003021649E-10</v>
      </c>
      <c r="H1913" s="85">
        <v>7950</v>
      </c>
      <c r="I1913" s="85">
        <f t="shared" si="258"/>
        <v>1.4277753212402211E-6</v>
      </c>
      <c r="J1913" s="87">
        <v>1</v>
      </c>
      <c r="K1913" s="88">
        <f t="shared" si="259"/>
        <v>700390.31010240538</v>
      </c>
    </row>
    <row r="1914" spans="1:11" hidden="1" x14ac:dyDescent="0.25">
      <c r="A1914" t="str">
        <f t="shared" si="252"/>
        <v>440CØ1,5875</v>
      </c>
      <c r="B1914" s="81" t="s">
        <v>314</v>
      </c>
      <c r="C1914" s="101" t="s">
        <v>246</v>
      </c>
      <c r="D1914" s="86">
        <f>1/16*25.4</f>
        <v>1.5874999999999999</v>
      </c>
      <c r="E1914" s="85">
        <f t="shared" si="255"/>
        <v>1.5874999999999999E-3</v>
      </c>
      <c r="F1914" s="85">
        <f t="shared" si="256"/>
        <v>7.9374999999999997E-4</v>
      </c>
      <c r="G1914" s="85">
        <f t="shared" si="257"/>
        <v>2.0947867788210349E-9</v>
      </c>
      <c r="H1914" s="85">
        <v>7700</v>
      </c>
      <c r="I1914" s="85">
        <f t="shared" si="258"/>
        <v>1.6129858196921968E-5</v>
      </c>
      <c r="J1914" s="87">
        <v>1</v>
      </c>
      <c r="K1914" s="88">
        <f t="shared" si="259"/>
        <v>61996.825253605035</v>
      </c>
    </row>
    <row r="1915" spans="1:11" hidden="1" x14ac:dyDescent="0.25">
      <c r="A1915" t="str">
        <f t="shared" si="252"/>
        <v>52100Ø0,6</v>
      </c>
      <c r="B1915" s="81">
        <v>52100</v>
      </c>
      <c r="D1915" s="86">
        <v>0.6</v>
      </c>
      <c r="E1915" s="85">
        <f t="shared" si="255"/>
        <v>5.9999999999999995E-4</v>
      </c>
      <c r="F1915" s="85">
        <f t="shared" si="256"/>
        <v>2.9999999999999997E-4</v>
      </c>
      <c r="G1915" s="85">
        <f t="shared" si="257"/>
        <v>1.1309733552923252E-10</v>
      </c>
      <c r="H1915" s="85">
        <v>7800</v>
      </c>
      <c r="I1915" s="85">
        <f t="shared" si="258"/>
        <v>8.8215921712801365E-7</v>
      </c>
      <c r="J1915" s="87">
        <v>1</v>
      </c>
      <c r="K1915" s="88">
        <f t="shared" si="259"/>
        <v>1133582.2157542408</v>
      </c>
    </row>
    <row r="1916" spans="1:11" hidden="1" x14ac:dyDescent="0.25">
      <c r="A1916" t="str">
        <f t="shared" si="252"/>
        <v>52100Ø0,6</v>
      </c>
      <c r="B1916" s="81">
        <v>52100</v>
      </c>
      <c r="D1916" s="86">
        <v>0.6</v>
      </c>
      <c r="E1916" s="85">
        <f t="shared" si="255"/>
        <v>5.9999999999999995E-4</v>
      </c>
      <c r="F1916" s="85">
        <f t="shared" si="256"/>
        <v>2.9999999999999997E-4</v>
      </c>
      <c r="G1916" s="85">
        <f t="shared" si="257"/>
        <v>1.1309733552923252E-10</v>
      </c>
      <c r="H1916" s="85">
        <v>7800</v>
      </c>
      <c r="I1916" s="85">
        <f t="shared" si="258"/>
        <v>8.8215921712801365E-7</v>
      </c>
      <c r="J1916" s="87">
        <v>1</v>
      </c>
      <c r="K1916" s="88">
        <f t="shared" si="259"/>
        <v>1133582.2157542408</v>
      </c>
    </row>
    <row r="1917" spans="1:11" hidden="1" x14ac:dyDescent="0.25">
      <c r="A1917" t="str">
        <f t="shared" si="252"/>
        <v>WC-CoØ1,5875</v>
      </c>
      <c r="B1917" s="81" t="s">
        <v>297</v>
      </c>
      <c r="C1917" s="101" t="s">
        <v>246</v>
      </c>
      <c r="D1917" s="86">
        <f>1/16*25.4</f>
        <v>1.5874999999999999</v>
      </c>
      <c r="E1917" s="85">
        <f t="shared" si="255"/>
        <v>1.5874999999999999E-3</v>
      </c>
      <c r="F1917" s="85">
        <f t="shared" si="256"/>
        <v>7.9374999999999997E-4</v>
      </c>
      <c r="G1917" s="85">
        <f t="shared" si="257"/>
        <v>2.0947867788210349E-9</v>
      </c>
      <c r="H1917" s="85">
        <v>14950</v>
      </c>
      <c r="I1917" s="85">
        <f t="shared" si="258"/>
        <v>3.1317062343374473E-5</v>
      </c>
      <c r="J1917" s="87">
        <v>1</v>
      </c>
      <c r="K1917" s="88">
        <f t="shared" si="259"/>
        <v>31931.475214231352</v>
      </c>
    </row>
    <row r="1918" spans="1:11" hidden="1" x14ac:dyDescent="0.25">
      <c r="A1918" t="str">
        <f t="shared" si="252"/>
        <v>Si3N4Ø1</v>
      </c>
      <c r="B1918" s="81" t="s">
        <v>207</v>
      </c>
      <c r="D1918" s="86">
        <v>1</v>
      </c>
      <c r="E1918" s="85">
        <f t="shared" si="255"/>
        <v>1E-3</v>
      </c>
      <c r="F1918" s="85">
        <f t="shared" si="256"/>
        <v>5.0000000000000001E-4</v>
      </c>
      <c r="G1918" s="85">
        <f t="shared" si="257"/>
        <v>5.2359877559829886E-10</v>
      </c>
      <c r="H1918" s="85">
        <v>3260</v>
      </c>
      <c r="I1918" s="85">
        <f t="shared" si="258"/>
        <v>1.7069320084504542E-6</v>
      </c>
      <c r="J1918" s="87">
        <v>1</v>
      </c>
      <c r="K1918" s="88">
        <f t="shared" si="259"/>
        <v>585846.41628918529</v>
      </c>
    </row>
    <row r="1919" spans="1:11" hidden="1" x14ac:dyDescent="0.25">
      <c r="A1919" t="str">
        <f t="shared" si="252"/>
        <v>420CØ1</v>
      </c>
      <c r="B1919" s="81" t="s">
        <v>295</v>
      </c>
      <c r="D1919" s="86">
        <v>1</v>
      </c>
      <c r="E1919" s="85">
        <f t="shared" si="255"/>
        <v>1E-3</v>
      </c>
      <c r="F1919" s="85">
        <f t="shared" si="256"/>
        <v>5.0000000000000001E-4</v>
      </c>
      <c r="G1919" s="85">
        <f t="shared" si="257"/>
        <v>5.2359877559829886E-10</v>
      </c>
      <c r="H1919" s="85">
        <v>7700</v>
      </c>
      <c r="I1919" s="85">
        <f t="shared" si="258"/>
        <v>4.0317105721069012E-6</v>
      </c>
      <c r="J1919" s="87">
        <v>1</v>
      </c>
      <c r="K1919" s="88">
        <f t="shared" si="259"/>
        <v>248033.67754581093</v>
      </c>
    </row>
    <row r="1920" spans="1:11" hidden="1" x14ac:dyDescent="0.25">
      <c r="A1920" t="str">
        <f t="shared" si="252"/>
        <v>PA6.6Ø2</v>
      </c>
      <c r="B1920" s="81" t="s">
        <v>244</v>
      </c>
      <c r="D1920" s="86">
        <v>2</v>
      </c>
      <c r="E1920" s="85">
        <f t="shared" si="255"/>
        <v>2E-3</v>
      </c>
      <c r="F1920" s="85">
        <f t="shared" si="256"/>
        <v>1E-3</v>
      </c>
      <c r="G1920" s="85">
        <f t="shared" si="257"/>
        <v>4.1887902047863909E-9</v>
      </c>
      <c r="H1920" s="85">
        <v>1110</v>
      </c>
      <c r="I1920" s="85">
        <f t="shared" si="258"/>
        <v>4.6495571273128935E-6</v>
      </c>
      <c r="J1920" s="87">
        <v>1</v>
      </c>
      <c r="K1920" s="88">
        <f t="shared" si="259"/>
        <v>215074.24742148022</v>
      </c>
    </row>
    <row r="1921" spans="1:11" hidden="1" x14ac:dyDescent="0.25">
      <c r="A1921" t="str">
        <f t="shared" si="252"/>
        <v>NBRØ12,075</v>
      </c>
      <c r="B1921" s="81" t="s">
        <v>341</v>
      </c>
      <c r="D1921" s="86">
        <v>12.074999999999999</v>
      </c>
      <c r="E1921" s="85">
        <f t="shared" si="255"/>
        <v>1.2074999999999999E-2</v>
      </c>
      <c r="F1921" s="85">
        <f t="shared" si="256"/>
        <v>6.0374999999999995E-3</v>
      </c>
      <c r="G1921" s="85">
        <f t="shared" si="257"/>
        <v>9.2184953420853699E-7</v>
      </c>
      <c r="H1921" s="85">
        <v>1360</v>
      </c>
      <c r="I1921" s="85">
        <f t="shared" si="258"/>
        <v>1.2537153665236104E-3</v>
      </c>
      <c r="J1921" s="87">
        <v>1</v>
      </c>
      <c r="K1921" s="85">
        <f t="shared" si="259"/>
        <v>797.62921210168292</v>
      </c>
    </row>
    <row r="1922" spans="1:11" hidden="1" x14ac:dyDescent="0.25">
      <c r="A1922" t="str">
        <f t="shared" si="252"/>
        <v>NBRØ12,075</v>
      </c>
      <c r="B1922" s="81" t="s">
        <v>341</v>
      </c>
      <c r="D1922" s="86">
        <v>12.074999999999999</v>
      </c>
      <c r="E1922" s="85">
        <f t="shared" si="255"/>
        <v>1.2074999999999999E-2</v>
      </c>
      <c r="F1922" s="85">
        <f t="shared" si="256"/>
        <v>6.0374999999999995E-3</v>
      </c>
      <c r="G1922" s="85">
        <f t="shared" si="257"/>
        <v>9.2184953420853699E-7</v>
      </c>
      <c r="H1922" s="85">
        <v>1360</v>
      </c>
      <c r="I1922" s="85">
        <f t="shared" si="258"/>
        <v>1.2537153665236104E-3</v>
      </c>
      <c r="J1922" s="87">
        <v>1</v>
      </c>
      <c r="K1922" s="85">
        <f t="shared" si="259"/>
        <v>797.62921210168292</v>
      </c>
    </row>
    <row r="1923" spans="1:11" hidden="1" x14ac:dyDescent="0.25">
      <c r="A1923" t="str">
        <f t="shared" si="252"/>
        <v>440CØ0,4</v>
      </c>
      <c r="B1923" s="81" t="s">
        <v>314</v>
      </c>
      <c r="D1923" s="86">
        <v>0.4</v>
      </c>
      <c r="E1923" s="85">
        <f t="shared" si="255"/>
        <v>4.0000000000000002E-4</v>
      </c>
      <c r="F1923" s="85">
        <f t="shared" si="256"/>
        <v>2.0000000000000001E-4</v>
      </c>
      <c r="G1923" s="85">
        <f t="shared" si="257"/>
        <v>3.3510321638291128E-11</v>
      </c>
      <c r="H1923" s="85">
        <v>7700</v>
      </c>
      <c r="I1923" s="85">
        <f t="shared" si="258"/>
        <v>2.5802947661484168E-7</v>
      </c>
      <c r="J1923" s="87">
        <v>1</v>
      </c>
      <c r="K1923" s="88">
        <f t="shared" si="259"/>
        <v>3875526.2116532954</v>
      </c>
    </row>
    <row r="1924" spans="1:11" hidden="1" x14ac:dyDescent="0.25">
      <c r="A1924" t="str">
        <f t="shared" ref="A1924:A1987" si="260">CONCATENATE(B1924,"Ø",D1924)</f>
        <v>VESCØ25,4</v>
      </c>
      <c r="B1924" s="81" t="s">
        <v>210</v>
      </c>
      <c r="C1924" s="101" t="s">
        <v>255</v>
      </c>
      <c r="D1924" s="86">
        <f>1*25.4</f>
        <v>25.4</v>
      </c>
      <c r="E1924" s="85">
        <f t="shared" si="255"/>
        <v>2.5399999999999999E-2</v>
      </c>
      <c r="F1924" s="85">
        <f t="shared" si="256"/>
        <v>1.2699999999999999E-2</v>
      </c>
      <c r="G1924" s="85">
        <f t="shared" si="257"/>
        <v>8.5802466460509588E-6</v>
      </c>
      <c r="H1924" s="85">
        <v>2500</v>
      </c>
      <c r="I1924" s="85">
        <f t="shared" si="258"/>
        <v>2.1450616615127396E-2</v>
      </c>
      <c r="J1924" s="87">
        <v>1</v>
      </c>
      <c r="K1924" s="88">
        <f t="shared" si="259"/>
        <v>46.61870648952722</v>
      </c>
    </row>
    <row r="1925" spans="1:11" hidden="1" x14ac:dyDescent="0.25">
      <c r="A1925" t="str">
        <f t="shared" si="260"/>
        <v>420CØ6</v>
      </c>
      <c r="B1925" s="81" t="s">
        <v>295</v>
      </c>
      <c r="D1925" s="86">
        <v>6</v>
      </c>
      <c r="E1925" s="85">
        <f t="shared" si="255"/>
        <v>6.0000000000000001E-3</v>
      </c>
      <c r="F1925" s="85">
        <f t="shared" si="256"/>
        <v>3.0000000000000001E-3</v>
      </c>
      <c r="G1925" s="85">
        <f t="shared" si="257"/>
        <v>1.1309733552923255E-7</v>
      </c>
      <c r="H1925" s="85">
        <v>7700</v>
      </c>
      <c r="I1925" s="85">
        <f t="shared" si="258"/>
        <v>8.708494835750906E-4</v>
      </c>
      <c r="J1925" s="87">
        <v>1</v>
      </c>
      <c r="K1925" s="88">
        <f t="shared" si="259"/>
        <v>1148.3040627120877</v>
      </c>
    </row>
    <row r="1926" spans="1:11" hidden="1" x14ac:dyDescent="0.25">
      <c r="A1926" t="str">
        <f t="shared" si="260"/>
        <v>WC-CoØ3</v>
      </c>
      <c r="B1926" s="81" t="s">
        <v>297</v>
      </c>
      <c r="D1926" s="86">
        <v>3</v>
      </c>
      <c r="E1926" s="85">
        <f t="shared" si="255"/>
        <v>3.0000000000000001E-3</v>
      </c>
      <c r="F1926" s="85">
        <f t="shared" si="256"/>
        <v>1.5E-3</v>
      </c>
      <c r="G1926" s="85">
        <f t="shared" si="257"/>
        <v>1.4137166941154068E-8</v>
      </c>
      <c r="H1926" s="85">
        <v>14950</v>
      </c>
      <c r="I1926" s="85">
        <f t="shared" si="258"/>
        <v>2.1135064577025331E-4</v>
      </c>
      <c r="J1926" s="87">
        <v>1</v>
      </c>
      <c r="K1926" s="88">
        <f t="shared" si="259"/>
        <v>4731.4735961916122</v>
      </c>
    </row>
    <row r="1927" spans="1:11" hidden="1" x14ac:dyDescent="0.25">
      <c r="A1927" t="str">
        <f t="shared" si="260"/>
        <v>52100Ø0,25</v>
      </c>
      <c r="B1927" s="81">
        <v>52100</v>
      </c>
      <c r="D1927" s="86">
        <v>0.25</v>
      </c>
      <c r="E1927" s="85">
        <f t="shared" si="255"/>
        <v>2.5000000000000001E-4</v>
      </c>
      <c r="F1927" s="85">
        <f t="shared" si="256"/>
        <v>1.25E-4</v>
      </c>
      <c r="G1927" s="85">
        <f t="shared" si="257"/>
        <v>8.1812308687234197E-12</v>
      </c>
      <c r="H1927" s="85">
        <v>7800</v>
      </c>
      <c r="I1927" s="85">
        <f t="shared" si="258"/>
        <v>6.3813600776042676E-8</v>
      </c>
      <c r="J1927" s="87">
        <v>1</v>
      </c>
      <c r="K1927" s="88">
        <f t="shared" si="259"/>
        <v>15670640.550586618</v>
      </c>
    </row>
    <row r="1928" spans="1:11" hidden="1" x14ac:dyDescent="0.25">
      <c r="A1928" t="str">
        <f t="shared" si="260"/>
        <v>420CØ1</v>
      </c>
      <c r="B1928" s="81" t="s">
        <v>295</v>
      </c>
      <c r="D1928" s="86">
        <v>1</v>
      </c>
      <c r="E1928" s="85">
        <f t="shared" si="255"/>
        <v>1E-3</v>
      </c>
      <c r="F1928" s="85">
        <f t="shared" si="256"/>
        <v>5.0000000000000001E-4</v>
      </c>
      <c r="G1928" s="85">
        <f t="shared" si="257"/>
        <v>5.2359877559829886E-10</v>
      </c>
      <c r="H1928" s="85">
        <v>7700</v>
      </c>
      <c r="I1928" s="85">
        <f t="shared" si="258"/>
        <v>4.0317105721069012E-6</v>
      </c>
      <c r="J1928" s="87">
        <v>1</v>
      </c>
      <c r="K1928" s="88">
        <f t="shared" si="259"/>
        <v>248033.67754581093</v>
      </c>
    </row>
    <row r="1929" spans="1:11" hidden="1" x14ac:dyDescent="0.25">
      <c r="A1929" t="str">
        <f t="shared" si="260"/>
        <v>420CØ3,96875</v>
      </c>
      <c r="B1929" s="81" t="s">
        <v>295</v>
      </c>
      <c r="C1929" s="101" t="s">
        <v>215</v>
      </c>
      <c r="D1929" s="86">
        <f>5/32*25.4</f>
        <v>3.96875</v>
      </c>
      <c r="E1929" s="85">
        <f t="shared" si="255"/>
        <v>3.9687500000000001E-3</v>
      </c>
      <c r="F1929" s="85">
        <f t="shared" si="256"/>
        <v>1.984375E-3</v>
      </c>
      <c r="G1929" s="85">
        <f t="shared" si="257"/>
        <v>3.2731043419078684E-8</v>
      </c>
      <c r="H1929" s="85">
        <v>7700</v>
      </c>
      <c r="I1929" s="85">
        <f t="shared" si="258"/>
        <v>2.5202903432690587E-4</v>
      </c>
      <c r="J1929" s="87">
        <v>1</v>
      </c>
      <c r="K1929" s="88">
        <f t="shared" si="259"/>
        <v>3967.7968162307202</v>
      </c>
    </row>
    <row r="1930" spans="1:11" hidden="1" x14ac:dyDescent="0.25">
      <c r="A1930" t="str">
        <f t="shared" si="260"/>
        <v>52100Ø1,2</v>
      </c>
      <c r="B1930" s="81">
        <v>52100</v>
      </c>
      <c r="D1930" s="86">
        <v>1.2</v>
      </c>
      <c r="E1930" s="85">
        <f t="shared" si="255"/>
        <v>1.1999999999999999E-3</v>
      </c>
      <c r="F1930" s="85">
        <f t="shared" si="256"/>
        <v>5.9999999999999995E-4</v>
      </c>
      <c r="G1930" s="85">
        <f t="shared" si="257"/>
        <v>9.0477868423386013E-10</v>
      </c>
      <c r="H1930" s="85">
        <v>7800</v>
      </c>
      <c r="I1930" s="85">
        <f t="shared" si="258"/>
        <v>7.0572737370241092E-6</v>
      </c>
      <c r="J1930" s="87">
        <v>1</v>
      </c>
      <c r="K1930" s="88">
        <f t="shared" si="259"/>
        <v>141697.77696928009</v>
      </c>
    </row>
    <row r="1931" spans="1:11" hidden="1" x14ac:dyDescent="0.25">
      <c r="A1931" t="str">
        <f t="shared" si="260"/>
        <v>52100Ø3,5</v>
      </c>
      <c r="B1931" s="81">
        <v>52100</v>
      </c>
      <c r="D1931" s="86">
        <v>3.5</v>
      </c>
      <c r="E1931" s="85">
        <f t="shared" si="255"/>
        <v>3.5000000000000001E-3</v>
      </c>
      <c r="F1931" s="85">
        <f t="shared" si="256"/>
        <v>1.75E-3</v>
      </c>
      <c r="G1931" s="85">
        <f t="shared" si="257"/>
        <v>2.2449297503777064E-8</v>
      </c>
      <c r="H1931" s="85">
        <v>7800</v>
      </c>
      <c r="I1931" s="85">
        <f t="shared" si="258"/>
        <v>1.751045205294611E-4</v>
      </c>
      <c r="J1931" s="87">
        <v>1</v>
      </c>
      <c r="K1931" s="88">
        <f t="shared" si="259"/>
        <v>5710.8748362196129</v>
      </c>
    </row>
    <row r="1932" spans="1:11" hidden="1" x14ac:dyDescent="0.25">
      <c r="A1932" t="str">
        <f t="shared" si="260"/>
        <v>Si3N4Ø3,96875</v>
      </c>
      <c r="B1932" s="81" t="s">
        <v>207</v>
      </c>
      <c r="C1932" s="101" t="s">
        <v>215</v>
      </c>
      <c r="D1932" s="86">
        <f>5/32*25.4</f>
        <v>3.96875</v>
      </c>
      <c r="E1932" s="85">
        <f t="shared" si="255"/>
        <v>3.9687500000000001E-3</v>
      </c>
      <c r="F1932" s="85">
        <f t="shared" si="256"/>
        <v>1.984375E-3</v>
      </c>
      <c r="G1932" s="85">
        <f t="shared" si="257"/>
        <v>3.2731043419078684E-8</v>
      </c>
      <c r="H1932" s="85">
        <v>3250</v>
      </c>
      <c r="I1932" s="85">
        <f t="shared" si="258"/>
        <v>1.0637589111200572E-4</v>
      </c>
      <c r="J1932" s="87">
        <v>1</v>
      </c>
      <c r="K1932" s="88">
        <f t="shared" si="259"/>
        <v>9400.6263030697064</v>
      </c>
    </row>
    <row r="1933" spans="1:11" hidden="1" x14ac:dyDescent="0.25">
      <c r="A1933" t="str">
        <f t="shared" si="260"/>
        <v>ZrO2Ø3,175</v>
      </c>
      <c r="B1933" s="81" t="s">
        <v>205</v>
      </c>
      <c r="C1933" s="101" t="s">
        <v>214</v>
      </c>
      <c r="D1933" s="86">
        <f>1/8*25.4</f>
        <v>3.1749999999999998</v>
      </c>
      <c r="E1933" s="85">
        <f t="shared" si="255"/>
        <v>3.1749999999999999E-3</v>
      </c>
      <c r="F1933" s="85">
        <f t="shared" si="256"/>
        <v>1.5874999999999999E-3</v>
      </c>
      <c r="G1933" s="85">
        <f t="shared" si="257"/>
        <v>1.6758294230568279E-8</v>
      </c>
      <c r="H1933" s="85">
        <v>6000</v>
      </c>
      <c r="I1933" s="85">
        <f t="shared" si="258"/>
        <v>1.0054976538340968E-4</v>
      </c>
      <c r="J1933" s="87">
        <v>1</v>
      </c>
      <c r="K1933" s="88">
        <f t="shared" si="259"/>
        <v>9945.32405109914</v>
      </c>
    </row>
    <row r="1934" spans="1:11" hidden="1" x14ac:dyDescent="0.25">
      <c r="A1934" t="str">
        <f t="shared" si="260"/>
        <v>440CØ2</v>
      </c>
      <c r="B1934" s="81" t="s">
        <v>314</v>
      </c>
      <c r="D1934" s="86">
        <v>2</v>
      </c>
      <c r="E1934" s="85">
        <f t="shared" si="255"/>
        <v>2E-3</v>
      </c>
      <c r="F1934" s="85">
        <f t="shared" si="256"/>
        <v>1E-3</v>
      </c>
      <c r="G1934" s="85">
        <f t="shared" si="257"/>
        <v>4.1887902047863909E-9</v>
      </c>
      <c r="H1934" s="85">
        <v>7700</v>
      </c>
      <c r="I1934" s="85">
        <f t="shared" si="258"/>
        <v>3.2253684576855209E-5</v>
      </c>
      <c r="J1934" s="87">
        <v>1</v>
      </c>
      <c r="K1934" s="88">
        <f t="shared" si="259"/>
        <v>31004.209693226367</v>
      </c>
    </row>
    <row r="1935" spans="1:11" hidden="1" x14ac:dyDescent="0.25">
      <c r="A1935" t="str">
        <f t="shared" si="260"/>
        <v>Inconel 625Ø0,5</v>
      </c>
      <c r="B1935" s="81" t="s">
        <v>394</v>
      </c>
      <c r="D1935" s="86">
        <v>0.5</v>
      </c>
      <c r="E1935" s="85">
        <f t="shared" si="255"/>
        <v>5.0000000000000001E-4</v>
      </c>
      <c r="F1935" s="85">
        <f t="shared" si="256"/>
        <v>2.5000000000000001E-4</v>
      </c>
      <c r="G1935" s="85">
        <f t="shared" si="257"/>
        <v>6.5449846949787358E-11</v>
      </c>
      <c r="H1935" s="85">
        <v>8420</v>
      </c>
      <c r="I1935" s="85">
        <f t="shared" si="258"/>
        <v>5.510877113172095E-7</v>
      </c>
      <c r="J1935" s="87">
        <v>1</v>
      </c>
      <c r="K1935" s="88">
        <f t="shared" si="259"/>
        <v>1814593.1753945313</v>
      </c>
    </row>
    <row r="1936" spans="1:11" hidden="1" x14ac:dyDescent="0.25">
      <c r="A1936" t="str">
        <f t="shared" si="260"/>
        <v>Inconel 625Ø0,5</v>
      </c>
      <c r="B1936" s="81" t="s">
        <v>394</v>
      </c>
      <c r="D1936" s="86">
        <v>0.5</v>
      </c>
      <c r="E1936" s="85">
        <f t="shared" si="255"/>
        <v>5.0000000000000001E-4</v>
      </c>
      <c r="F1936" s="85">
        <f t="shared" si="256"/>
        <v>2.5000000000000001E-4</v>
      </c>
      <c r="G1936" s="85">
        <f t="shared" si="257"/>
        <v>6.5449846949787358E-11</v>
      </c>
      <c r="H1936" s="85">
        <v>8420</v>
      </c>
      <c r="I1936" s="85">
        <f t="shared" si="258"/>
        <v>5.510877113172095E-7</v>
      </c>
      <c r="J1936" s="87">
        <v>1</v>
      </c>
      <c r="K1936" s="88">
        <f t="shared" si="259"/>
        <v>1814593.1753945313</v>
      </c>
    </row>
    <row r="1937" spans="1:11" hidden="1" x14ac:dyDescent="0.25">
      <c r="A1937" t="str">
        <f t="shared" si="260"/>
        <v>420CØ1,5</v>
      </c>
      <c r="B1937" s="81" t="s">
        <v>295</v>
      </c>
      <c r="D1937" s="86">
        <v>1.5</v>
      </c>
      <c r="E1937" s="85">
        <f t="shared" si="255"/>
        <v>1.5E-3</v>
      </c>
      <c r="F1937" s="85">
        <f t="shared" si="256"/>
        <v>7.5000000000000002E-4</v>
      </c>
      <c r="G1937" s="85">
        <f t="shared" si="257"/>
        <v>1.7671458676442585E-9</v>
      </c>
      <c r="H1937" s="85">
        <v>7700</v>
      </c>
      <c r="I1937" s="85">
        <f t="shared" si="258"/>
        <v>1.3607023180860791E-5</v>
      </c>
      <c r="J1937" s="87">
        <v>1</v>
      </c>
      <c r="K1937" s="88">
        <f t="shared" si="259"/>
        <v>73491.460013573611</v>
      </c>
    </row>
    <row r="1938" spans="1:11" hidden="1" x14ac:dyDescent="0.25">
      <c r="A1938" t="str">
        <f t="shared" si="260"/>
        <v>PA6.6Ø3</v>
      </c>
      <c r="B1938" s="81" t="s">
        <v>244</v>
      </c>
      <c r="D1938" s="86">
        <v>3</v>
      </c>
      <c r="E1938" s="85">
        <f t="shared" si="255"/>
        <v>3.0000000000000001E-3</v>
      </c>
      <c r="F1938" s="85">
        <f t="shared" si="256"/>
        <v>1.5E-3</v>
      </c>
      <c r="G1938" s="85">
        <f t="shared" si="257"/>
        <v>1.4137166941154068E-8</v>
      </c>
      <c r="H1938" s="85">
        <v>1110</v>
      </c>
      <c r="I1938" s="85">
        <f t="shared" si="258"/>
        <v>1.5692255304681016E-5</v>
      </c>
      <c r="J1938" s="87">
        <v>1</v>
      </c>
      <c r="K1938" s="88">
        <f t="shared" si="259"/>
        <v>63725.702939697832</v>
      </c>
    </row>
    <row r="1939" spans="1:11" hidden="1" x14ac:dyDescent="0.25">
      <c r="A1939" t="str">
        <f t="shared" si="260"/>
        <v>PA6.6Ø5</v>
      </c>
      <c r="B1939" s="81" t="s">
        <v>244</v>
      </c>
      <c r="D1939" s="86">
        <v>5</v>
      </c>
      <c r="E1939" s="85">
        <f t="shared" si="255"/>
        <v>5.0000000000000001E-3</v>
      </c>
      <c r="F1939" s="85">
        <f t="shared" si="256"/>
        <v>2.5000000000000001E-3</v>
      </c>
      <c r="G1939" s="85">
        <f t="shared" si="257"/>
        <v>6.5449846949787352E-8</v>
      </c>
      <c r="H1939" s="85">
        <v>1110</v>
      </c>
      <c r="I1939" s="85">
        <f t="shared" si="258"/>
        <v>7.2649330114263956E-5</v>
      </c>
      <c r="J1939" s="87">
        <v>1</v>
      </c>
      <c r="K1939" s="88">
        <f t="shared" si="259"/>
        <v>13764.751834974733</v>
      </c>
    </row>
    <row r="1940" spans="1:11" hidden="1" x14ac:dyDescent="0.25">
      <c r="A1940" t="str">
        <f t="shared" si="260"/>
        <v>PA6.6Ø10</v>
      </c>
      <c r="B1940" s="81" t="s">
        <v>244</v>
      </c>
      <c r="D1940" s="86">
        <v>10</v>
      </c>
      <c r="E1940" s="85">
        <f t="shared" si="255"/>
        <v>0.01</v>
      </c>
      <c r="F1940" s="85">
        <f t="shared" si="256"/>
        <v>5.0000000000000001E-3</v>
      </c>
      <c r="G1940" s="85">
        <f t="shared" si="257"/>
        <v>5.2359877559829882E-7</v>
      </c>
      <c r="H1940" s="85">
        <v>1110</v>
      </c>
      <c r="I1940" s="85">
        <f t="shared" si="258"/>
        <v>5.8119464091411165E-4</v>
      </c>
      <c r="J1940" s="87">
        <v>1</v>
      </c>
      <c r="K1940" s="88">
        <f t="shared" si="259"/>
        <v>1720.5939793718417</v>
      </c>
    </row>
    <row r="1941" spans="1:11" hidden="1" x14ac:dyDescent="0.25">
      <c r="A1941" t="str">
        <f t="shared" si="260"/>
        <v>PPHØ3</v>
      </c>
      <c r="B1941" s="81" t="s">
        <v>202</v>
      </c>
      <c r="D1941" s="86">
        <v>3</v>
      </c>
      <c r="E1941" s="85">
        <f t="shared" si="255"/>
        <v>3.0000000000000001E-3</v>
      </c>
      <c r="F1941" s="85">
        <f t="shared" si="256"/>
        <v>1.5E-3</v>
      </c>
      <c r="G1941" s="85">
        <f t="shared" si="257"/>
        <v>1.4137166941154068E-8</v>
      </c>
      <c r="H1941" s="85">
        <v>870</v>
      </c>
      <c r="I1941" s="85">
        <f t="shared" si="258"/>
        <v>1.229933523880404E-5</v>
      </c>
      <c r="J1941" s="87">
        <v>1</v>
      </c>
      <c r="K1941" s="88">
        <f t="shared" si="259"/>
        <v>81305.207198924822</v>
      </c>
    </row>
    <row r="1942" spans="1:11" hidden="1" x14ac:dyDescent="0.25">
      <c r="A1942" t="str">
        <f t="shared" si="260"/>
        <v>PPHØ5</v>
      </c>
      <c r="B1942" s="81" t="s">
        <v>202</v>
      </c>
      <c r="D1942" s="86">
        <v>5</v>
      </c>
      <c r="E1942" s="85">
        <f t="shared" si="255"/>
        <v>5.0000000000000001E-3</v>
      </c>
      <c r="F1942" s="85">
        <f t="shared" si="256"/>
        <v>2.5000000000000001E-3</v>
      </c>
      <c r="G1942" s="85">
        <f t="shared" si="257"/>
        <v>6.5449846949787352E-8</v>
      </c>
      <c r="H1942" s="85">
        <v>870</v>
      </c>
      <c r="I1942" s="85">
        <f t="shared" si="258"/>
        <v>5.6941366846314999E-5</v>
      </c>
      <c r="J1942" s="87">
        <v>1</v>
      </c>
      <c r="K1942" s="88">
        <f t="shared" si="259"/>
        <v>17561.924754967764</v>
      </c>
    </row>
    <row r="1943" spans="1:11" hidden="1" x14ac:dyDescent="0.25">
      <c r="A1943" t="str">
        <f t="shared" si="260"/>
        <v>PPHØ10</v>
      </c>
      <c r="B1943" s="81" t="s">
        <v>202</v>
      </c>
      <c r="D1943" s="86">
        <v>10</v>
      </c>
      <c r="E1943" s="85">
        <f t="shared" si="255"/>
        <v>0.01</v>
      </c>
      <c r="F1943" s="85">
        <f t="shared" si="256"/>
        <v>5.0000000000000001E-3</v>
      </c>
      <c r="G1943" s="85">
        <f t="shared" si="257"/>
        <v>5.2359877559829882E-7</v>
      </c>
      <c r="H1943" s="85">
        <v>870</v>
      </c>
      <c r="I1943" s="85">
        <f t="shared" si="258"/>
        <v>4.5553093477051999E-4</v>
      </c>
      <c r="J1943" s="87">
        <v>1</v>
      </c>
      <c r="K1943" s="88">
        <f t="shared" si="259"/>
        <v>2195.2405943709705</v>
      </c>
    </row>
    <row r="1944" spans="1:11" hidden="1" x14ac:dyDescent="0.25">
      <c r="A1944" t="str">
        <f t="shared" si="260"/>
        <v>52100Ø1,25</v>
      </c>
      <c r="B1944" s="81">
        <v>52100</v>
      </c>
      <c r="D1944" s="86">
        <v>1.25</v>
      </c>
      <c r="E1944" s="85">
        <f t="shared" si="255"/>
        <v>1.25E-3</v>
      </c>
      <c r="F1944" s="85">
        <f t="shared" si="256"/>
        <v>6.2500000000000001E-4</v>
      </c>
      <c r="G1944" s="85">
        <f t="shared" si="257"/>
        <v>1.0226538585904274E-9</v>
      </c>
      <c r="H1944" s="85">
        <v>7800</v>
      </c>
      <c r="I1944" s="85">
        <f t="shared" si="258"/>
        <v>7.976700097005333E-6</v>
      </c>
      <c r="J1944" s="87">
        <v>1</v>
      </c>
      <c r="K1944" s="88">
        <f t="shared" si="259"/>
        <v>125365.12440469296</v>
      </c>
    </row>
    <row r="1945" spans="1:11" hidden="1" x14ac:dyDescent="0.25">
      <c r="A1945" t="str">
        <f t="shared" si="260"/>
        <v>POMØ1,5875</v>
      </c>
      <c r="B1945" s="81" t="s">
        <v>201</v>
      </c>
      <c r="C1945" s="101" t="s">
        <v>246</v>
      </c>
      <c r="D1945" s="86">
        <f>1/16*25.4</f>
        <v>1.5874999999999999</v>
      </c>
      <c r="E1945" s="85">
        <f t="shared" si="255"/>
        <v>1.5874999999999999E-3</v>
      </c>
      <c r="F1945" s="85">
        <f t="shared" si="256"/>
        <v>7.9374999999999997E-4</v>
      </c>
      <c r="G1945" s="85">
        <f t="shared" si="257"/>
        <v>2.0947867788210349E-9</v>
      </c>
      <c r="H1945" s="85">
        <v>1370</v>
      </c>
      <c r="I1945" s="85">
        <f t="shared" si="258"/>
        <v>2.8698578869848178E-6</v>
      </c>
      <c r="J1945" s="87">
        <v>1</v>
      </c>
      <c r="K1945" s="88">
        <f t="shared" si="259"/>
        <v>348449.30981953192</v>
      </c>
    </row>
    <row r="1946" spans="1:11" hidden="1" x14ac:dyDescent="0.25">
      <c r="A1946" t="str">
        <f t="shared" si="260"/>
        <v>316Ø0,5</v>
      </c>
      <c r="B1946" s="81">
        <v>316</v>
      </c>
      <c r="D1946" s="86">
        <v>0.5</v>
      </c>
      <c r="E1946" s="85">
        <f t="shared" si="255"/>
        <v>5.0000000000000001E-4</v>
      </c>
      <c r="F1946" s="85">
        <f t="shared" si="256"/>
        <v>2.5000000000000001E-4</v>
      </c>
      <c r="G1946" s="85">
        <f t="shared" si="257"/>
        <v>6.5449846949787358E-11</v>
      </c>
      <c r="H1946" s="85">
        <v>7950</v>
      </c>
      <c r="I1946" s="85">
        <f t="shared" si="258"/>
        <v>5.2032628325080949E-7</v>
      </c>
      <c r="J1946" s="87">
        <v>1</v>
      </c>
      <c r="K1946" s="88">
        <f t="shared" si="259"/>
        <v>1921871.0109210003</v>
      </c>
    </row>
    <row r="1947" spans="1:11" hidden="1" x14ac:dyDescent="0.25">
      <c r="A1947" t="str">
        <f t="shared" si="260"/>
        <v>ZrO2Ø4</v>
      </c>
      <c r="B1947" s="81" t="s">
        <v>205</v>
      </c>
      <c r="D1947" s="86">
        <v>4</v>
      </c>
      <c r="E1947" s="85">
        <f t="shared" si="255"/>
        <v>4.0000000000000001E-3</v>
      </c>
      <c r="F1947" s="85">
        <f t="shared" si="256"/>
        <v>2E-3</v>
      </c>
      <c r="G1947" s="85">
        <f t="shared" si="257"/>
        <v>3.3510321638291127E-8</v>
      </c>
      <c r="H1947" s="85">
        <v>6000</v>
      </c>
      <c r="I1947" s="85">
        <f t="shared" si="258"/>
        <v>2.0106192982974677E-4</v>
      </c>
      <c r="J1947" s="87">
        <v>1</v>
      </c>
      <c r="K1947" s="88">
        <f t="shared" si="259"/>
        <v>4973.5919716217295</v>
      </c>
    </row>
    <row r="1948" spans="1:11" hidden="1" x14ac:dyDescent="0.25">
      <c r="A1948" t="str">
        <f t="shared" si="260"/>
        <v>PPHØ15,875</v>
      </c>
      <c r="B1948" s="81" t="s">
        <v>202</v>
      </c>
      <c r="C1948" s="101" t="s">
        <v>266</v>
      </c>
      <c r="D1948" s="86">
        <f>5/8*25.4</f>
        <v>15.875</v>
      </c>
      <c r="E1948" s="85">
        <f t="shared" si="255"/>
        <v>1.5875E-2</v>
      </c>
      <c r="F1948" s="85">
        <f t="shared" si="256"/>
        <v>7.9375000000000001E-3</v>
      </c>
      <c r="G1948" s="85">
        <f t="shared" si="257"/>
        <v>2.0947867788210358E-6</v>
      </c>
      <c r="H1948" s="85">
        <v>870</v>
      </c>
      <c r="I1948" s="85">
        <f t="shared" si="258"/>
        <v>1.8224644975743012E-3</v>
      </c>
      <c r="J1948" s="87">
        <v>1</v>
      </c>
      <c r="K1948" s="88">
        <f t="shared" si="259"/>
        <v>548.70753385374542</v>
      </c>
    </row>
    <row r="1949" spans="1:11" hidden="1" x14ac:dyDescent="0.25">
      <c r="A1949" t="str">
        <f t="shared" si="260"/>
        <v>POMØ2</v>
      </c>
      <c r="B1949" s="81" t="s">
        <v>201</v>
      </c>
      <c r="D1949" s="86">
        <v>2</v>
      </c>
      <c r="E1949" s="85">
        <f t="shared" si="255"/>
        <v>2E-3</v>
      </c>
      <c r="F1949" s="85">
        <f t="shared" si="256"/>
        <v>1E-3</v>
      </c>
      <c r="G1949" s="85">
        <f t="shared" si="257"/>
        <v>4.1887902047863909E-9</v>
      </c>
      <c r="H1949" s="85">
        <v>1370</v>
      </c>
      <c r="I1949" s="85">
        <f t="shared" si="258"/>
        <v>5.7386425805573556E-6</v>
      </c>
      <c r="J1949" s="87">
        <v>1</v>
      </c>
      <c r="K1949" s="88">
        <f t="shared" si="259"/>
        <v>174257.23696192921</v>
      </c>
    </row>
    <row r="1950" spans="1:11" hidden="1" x14ac:dyDescent="0.25">
      <c r="A1950" t="str">
        <f t="shared" si="260"/>
        <v>POMØ2</v>
      </c>
      <c r="B1950" s="81" t="s">
        <v>201</v>
      </c>
      <c r="D1950" s="86">
        <v>2</v>
      </c>
      <c r="E1950" s="85">
        <f t="shared" si="255"/>
        <v>2E-3</v>
      </c>
      <c r="F1950" s="85">
        <f t="shared" si="256"/>
        <v>1E-3</v>
      </c>
      <c r="G1950" s="85">
        <f t="shared" si="257"/>
        <v>4.1887902047863909E-9</v>
      </c>
      <c r="H1950" s="85">
        <v>1370</v>
      </c>
      <c r="I1950" s="85">
        <f t="shared" si="258"/>
        <v>5.7386425805573556E-6</v>
      </c>
      <c r="J1950" s="87">
        <v>1</v>
      </c>
      <c r="K1950" s="88">
        <f t="shared" si="259"/>
        <v>174257.23696192921</v>
      </c>
    </row>
    <row r="1951" spans="1:11" hidden="1" x14ac:dyDescent="0.25">
      <c r="A1951" t="str">
        <f t="shared" si="260"/>
        <v>VESCØ1</v>
      </c>
      <c r="B1951" s="81" t="s">
        <v>210</v>
      </c>
      <c r="D1951" s="86">
        <v>1</v>
      </c>
      <c r="E1951" s="85">
        <f t="shared" si="255"/>
        <v>1E-3</v>
      </c>
      <c r="F1951" s="85">
        <f t="shared" si="256"/>
        <v>5.0000000000000001E-4</v>
      </c>
      <c r="G1951" s="85">
        <f t="shared" si="257"/>
        <v>5.2359877559829886E-10</v>
      </c>
      <c r="H1951" s="85">
        <v>2500</v>
      </c>
      <c r="I1951" s="85">
        <f t="shared" si="258"/>
        <v>1.3089969389957471E-6</v>
      </c>
      <c r="J1951" s="87">
        <v>1</v>
      </c>
      <c r="K1951" s="88">
        <f t="shared" si="259"/>
        <v>763943.72684109758</v>
      </c>
    </row>
    <row r="1952" spans="1:11" hidden="1" x14ac:dyDescent="0.25">
      <c r="A1952" t="str">
        <f t="shared" si="260"/>
        <v>PTFEØ19,05</v>
      </c>
      <c r="B1952" s="81" t="s">
        <v>307</v>
      </c>
      <c r="C1952" s="101" t="s">
        <v>262</v>
      </c>
      <c r="D1952" s="86">
        <f>3/4*25.4</f>
        <v>19.049999999999997</v>
      </c>
      <c r="E1952" s="85">
        <f t="shared" si="255"/>
        <v>1.9049999999999997E-2</v>
      </c>
      <c r="F1952" s="85">
        <f t="shared" si="256"/>
        <v>9.5249999999999987E-3</v>
      </c>
      <c r="G1952" s="85">
        <f t="shared" si="257"/>
        <v>3.6197915538027477E-6</v>
      </c>
      <c r="H1952" s="85">
        <v>2160</v>
      </c>
      <c r="I1952" s="85">
        <f t="shared" si="258"/>
        <v>7.8187497562139351E-3</v>
      </c>
      <c r="J1952" s="87">
        <v>1</v>
      </c>
      <c r="K1952" s="88">
        <f t="shared" si="259"/>
        <v>127.89768584232435</v>
      </c>
    </row>
    <row r="1953" spans="1:11" hidden="1" x14ac:dyDescent="0.25">
      <c r="A1953" t="str">
        <f t="shared" si="260"/>
        <v>Bronzo AlluminioØ8</v>
      </c>
      <c r="B1953" s="81" t="s">
        <v>348</v>
      </c>
      <c r="D1953" s="86">
        <v>8</v>
      </c>
      <c r="E1953" s="85">
        <f t="shared" si="255"/>
        <v>8.0000000000000002E-3</v>
      </c>
      <c r="F1953" s="85">
        <f t="shared" si="256"/>
        <v>4.0000000000000001E-3</v>
      </c>
      <c r="G1953" s="85">
        <f t="shared" si="257"/>
        <v>2.6808257310632902E-7</v>
      </c>
      <c r="H1953" s="85">
        <v>7660</v>
      </c>
      <c r="I1953" s="85">
        <f t="shared" si="258"/>
        <v>2.0535125099944802E-3</v>
      </c>
      <c r="J1953" s="87">
        <v>1</v>
      </c>
      <c r="K1953" s="88">
        <f t="shared" si="259"/>
        <v>486.97049330499965</v>
      </c>
    </row>
    <row r="1954" spans="1:11" hidden="1" x14ac:dyDescent="0.25">
      <c r="A1954" t="str">
        <f t="shared" si="260"/>
        <v>OttoneØ8</v>
      </c>
      <c r="B1954" s="81" t="s">
        <v>216</v>
      </c>
      <c r="D1954" s="86">
        <v>8</v>
      </c>
      <c r="E1954" s="85">
        <f t="shared" si="255"/>
        <v>8.0000000000000002E-3</v>
      </c>
      <c r="F1954" s="85">
        <f t="shared" si="256"/>
        <v>4.0000000000000001E-3</v>
      </c>
      <c r="G1954" s="85">
        <f t="shared" si="257"/>
        <v>2.6808257310632902E-7</v>
      </c>
      <c r="H1954" s="85">
        <v>8490</v>
      </c>
      <c r="I1954" s="85">
        <f t="shared" si="258"/>
        <v>2.2760210456727334E-3</v>
      </c>
      <c r="J1954" s="87">
        <v>1</v>
      </c>
      <c r="K1954" s="88">
        <f t="shared" si="259"/>
        <v>439.36324837647783</v>
      </c>
    </row>
    <row r="1955" spans="1:11" hidden="1" x14ac:dyDescent="0.25">
      <c r="A1955" t="str">
        <f t="shared" si="260"/>
        <v>420CØ2,2</v>
      </c>
      <c r="B1955" s="81" t="s">
        <v>295</v>
      </c>
      <c r="D1955" s="86">
        <v>2.2000000000000002</v>
      </c>
      <c r="E1955" s="85">
        <f t="shared" si="255"/>
        <v>2.2000000000000001E-3</v>
      </c>
      <c r="F1955" s="85">
        <f t="shared" si="256"/>
        <v>1.1000000000000001E-3</v>
      </c>
      <c r="G1955" s="85">
        <f t="shared" si="257"/>
        <v>5.5752797625706871E-9</v>
      </c>
      <c r="H1955" s="85">
        <v>7770</v>
      </c>
      <c r="I1955" s="85">
        <f t="shared" si="258"/>
        <v>4.3319923755174238E-5</v>
      </c>
      <c r="J1955" s="87">
        <v>1</v>
      </c>
      <c r="K1955" s="88">
        <f t="shared" si="259"/>
        <v>23084.066482932292</v>
      </c>
    </row>
    <row r="1956" spans="1:11" hidden="1" x14ac:dyDescent="0.25">
      <c r="A1956" t="str">
        <f t="shared" si="260"/>
        <v>52100Ø18,5</v>
      </c>
      <c r="B1956" s="81">
        <v>52100</v>
      </c>
      <c r="D1956" s="86">
        <v>18.5</v>
      </c>
      <c r="E1956" s="85">
        <f t="shared" si="255"/>
        <v>1.8499999999999999E-2</v>
      </c>
      <c r="F1956" s="85">
        <f t="shared" si="256"/>
        <v>9.2499999999999995E-3</v>
      </c>
      <c r="G1956" s="85">
        <f t="shared" si="257"/>
        <v>3.3152310975475785E-6</v>
      </c>
      <c r="H1956" s="85">
        <v>7800</v>
      </c>
      <c r="I1956" s="85">
        <f t="shared" si="258"/>
        <v>2.5858802560871114E-2</v>
      </c>
      <c r="J1956" s="87">
        <v>1</v>
      </c>
      <c r="K1956" s="88">
        <f t="shared" si="259"/>
        <v>38.67155092143264</v>
      </c>
    </row>
    <row r="1957" spans="1:11" hidden="1" x14ac:dyDescent="0.25">
      <c r="A1957" t="str">
        <f t="shared" si="260"/>
        <v>Si3N4Ø4,7625</v>
      </c>
      <c r="B1957" s="81" t="s">
        <v>207</v>
      </c>
      <c r="C1957" s="101" t="s">
        <v>248</v>
      </c>
      <c r="D1957" s="86">
        <f>3/16*25.4</f>
        <v>4.7624999999999993</v>
      </c>
      <c r="E1957" s="85">
        <f t="shared" si="255"/>
        <v>4.7624999999999994E-3</v>
      </c>
      <c r="F1957" s="85">
        <f t="shared" si="256"/>
        <v>2.3812499999999997E-3</v>
      </c>
      <c r="G1957" s="85">
        <f t="shared" si="257"/>
        <v>5.6559243028167934E-8</v>
      </c>
      <c r="H1957" s="85">
        <v>3260</v>
      </c>
      <c r="I1957" s="85">
        <f t="shared" si="258"/>
        <v>1.8438313227182746E-4</v>
      </c>
      <c r="J1957" s="87">
        <v>1</v>
      </c>
      <c r="K1957" s="88">
        <f t="shared" si="259"/>
        <v>5423.489598418073</v>
      </c>
    </row>
    <row r="1958" spans="1:11" hidden="1" x14ac:dyDescent="0.25">
      <c r="A1958" t="str">
        <f t="shared" si="260"/>
        <v>420CØ1,5875</v>
      </c>
      <c r="B1958" s="81" t="s">
        <v>295</v>
      </c>
      <c r="C1958" s="101" t="s">
        <v>246</v>
      </c>
      <c r="D1958" s="86">
        <f>1/16*25.4</f>
        <v>1.5874999999999999</v>
      </c>
      <c r="E1958" s="85">
        <f t="shared" si="255"/>
        <v>1.5874999999999999E-3</v>
      </c>
      <c r="F1958" s="85">
        <f t="shared" si="256"/>
        <v>7.9374999999999997E-4</v>
      </c>
      <c r="G1958" s="85">
        <f t="shared" si="257"/>
        <v>2.0947867788210349E-9</v>
      </c>
      <c r="H1958" s="85">
        <v>7700</v>
      </c>
      <c r="I1958" s="85">
        <f t="shared" si="258"/>
        <v>1.6129858196921968E-5</v>
      </c>
      <c r="J1958" s="87">
        <v>1</v>
      </c>
      <c r="K1958" s="88">
        <f t="shared" si="259"/>
        <v>61996.825253605035</v>
      </c>
    </row>
    <row r="1959" spans="1:11" hidden="1" x14ac:dyDescent="0.25">
      <c r="A1959" t="str">
        <f t="shared" si="260"/>
        <v>PSØ1,5</v>
      </c>
      <c r="B1959" s="81" t="s">
        <v>242</v>
      </c>
      <c r="D1959" s="86">
        <v>1.5</v>
      </c>
      <c r="E1959" s="85">
        <f t="shared" si="255"/>
        <v>1.5E-3</v>
      </c>
      <c r="F1959" s="85">
        <f t="shared" si="256"/>
        <v>7.5000000000000002E-4</v>
      </c>
      <c r="G1959" s="85">
        <f t="shared" si="257"/>
        <v>1.7671458676442585E-9</v>
      </c>
      <c r="H1959" s="85">
        <v>990</v>
      </c>
      <c r="I1959" s="85">
        <f t="shared" si="258"/>
        <v>1.7494744089678159E-6</v>
      </c>
      <c r="J1959" s="87">
        <v>1</v>
      </c>
      <c r="K1959" s="88">
        <f t="shared" si="259"/>
        <v>571600.24455001694</v>
      </c>
    </row>
    <row r="1960" spans="1:11" hidden="1" x14ac:dyDescent="0.25">
      <c r="A1960" t="str">
        <f t="shared" si="260"/>
        <v>PTFEØ2</v>
      </c>
      <c r="B1960" s="81" t="s">
        <v>307</v>
      </c>
      <c r="D1960" s="86">
        <v>2</v>
      </c>
      <c r="E1960" s="85">
        <f t="shared" si="255"/>
        <v>2E-3</v>
      </c>
      <c r="F1960" s="85">
        <f t="shared" si="256"/>
        <v>1E-3</v>
      </c>
      <c r="G1960" s="85">
        <f t="shared" si="257"/>
        <v>4.1887902047863909E-9</v>
      </c>
      <c r="H1960" s="85">
        <v>2160</v>
      </c>
      <c r="I1960" s="85">
        <f t="shared" si="258"/>
        <v>9.0477868423386043E-6</v>
      </c>
      <c r="J1960" s="87">
        <v>1</v>
      </c>
      <c r="K1960" s="88">
        <f t="shared" si="259"/>
        <v>110524.26603603843</v>
      </c>
    </row>
    <row r="1961" spans="1:11" hidden="1" x14ac:dyDescent="0.25">
      <c r="A1961" t="str">
        <f t="shared" si="260"/>
        <v>304Ø4,7625</v>
      </c>
      <c r="B1961" s="81">
        <v>304</v>
      </c>
      <c r="C1961" s="101" t="s">
        <v>248</v>
      </c>
      <c r="D1961" s="86">
        <f>3/16*25.4</f>
        <v>4.7624999999999993</v>
      </c>
      <c r="E1961" s="85">
        <f t="shared" si="255"/>
        <v>4.7624999999999994E-3</v>
      </c>
      <c r="F1961" s="85">
        <f t="shared" si="256"/>
        <v>2.3812499999999997E-3</v>
      </c>
      <c r="G1961" s="85">
        <f t="shared" si="257"/>
        <v>5.6559243028167934E-8</v>
      </c>
      <c r="H1961" s="85">
        <v>7950</v>
      </c>
      <c r="I1961" s="85">
        <f t="shared" si="258"/>
        <v>4.4964598207393507E-4</v>
      </c>
      <c r="J1961" s="87">
        <v>1</v>
      </c>
      <c r="K1961" s="88">
        <f t="shared" si="259"/>
        <v>2223.9718353261533</v>
      </c>
    </row>
    <row r="1962" spans="1:11" hidden="1" x14ac:dyDescent="0.25">
      <c r="A1962" t="str">
        <f t="shared" si="260"/>
        <v>52100Ø1,5</v>
      </c>
      <c r="B1962" s="81">
        <v>52100</v>
      </c>
      <c r="D1962" s="86">
        <v>1.5</v>
      </c>
      <c r="E1962" s="85">
        <f t="shared" si="255"/>
        <v>1.5E-3</v>
      </c>
      <c r="F1962" s="85">
        <f t="shared" si="256"/>
        <v>7.5000000000000002E-4</v>
      </c>
      <c r="G1962" s="85">
        <f t="shared" si="257"/>
        <v>1.7671458676442585E-9</v>
      </c>
      <c r="H1962" s="85">
        <v>7800</v>
      </c>
      <c r="I1962" s="85">
        <f t="shared" si="258"/>
        <v>1.3783737767625217E-5</v>
      </c>
      <c r="J1962" s="87">
        <v>1</v>
      </c>
      <c r="K1962" s="88">
        <f t="shared" si="259"/>
        <v>72549.261808271374</v>
      </c>
    </row>
    <row r="1963" spans="1:11" hidden="1" x14ac:dyDescent="0.25">
      <c r="A1963" t="str">
        <f t="shared" si="260"/>
        <v>PA6.6Ø12,7</v>
      </c>
      <c r="B1963" s="81" t="s">
        <v>244</v>
      </c>
      <c r="C1963" s="101" t="s">
        <v>270</v>
      </c>
      <c r="D1963" s="86">
        <f>1/2*25.4</f>
        <v>12.7</v>
      </c>
      <c r="E1963" s="85">
        <f t="shared" ref="E1963:E2001" si="261">D1963/1000</f>
        <v>1.2699999999999999E-2</v>
      </c>
      <c r="F1963" s="85">
        <f t="shared" ref="F1963:F2001" si="262">E1963/2</f>
        <v>6.3499999999999997E-3</v>
      </c>
      <c r="G1963" s="85">
        <f t="shared" ref="G1963:G2001" si="263">4/3*PI()*F1963*F1963*F1963</f>
        <v>1.0725308307563699E-6</v>
      </c>
      <c r="H1963" s="85">
        <v>1110</v>
      </c>
      <c r="I1963" s="85">
        <f t="shared" ref="I1963:I1975" si="264">H1963*G1963</f>
        <v>1.1905092221395706E-3</v>
      </c>
      <c r="J1963" s="87">
        <v>1</v>
      </c>
      <c r="K1963" s="88">
        <f t="shared" ref="K1963:K1975" si="265">J1963/I1963</f>
        <v>839.97669350499496</v>
      </c>
    </row>
    <row r="1964" spans="1:11" hidden="1" x14ac:dyDescent="0.25">
      <c r="A1964" t="str">
        <f t="shared" si="260"/>
        <v>Alluminio serie 2Ø1</v>
      </c>
      <c r="B1964" s="81" t="s">
        <v>323</v>
      </c>
      <c r="D1964" s="86">
        <v>1</v>
      </c>
      <c r="E1964" s="85">
        <f t="shared" si="261"/>
        <v>1E-3</v>
      </c>
      <c r="F1964" s="85">
        <f t="shared" si="262"/>
        <v>5.0000000000000001E-4</v>
      </c>
      <c r="G1964" s="85">
        <f t="shared" si="263"/>
        <v>5.2359877559829886E-10</v>
      </c>
      <c r="H1964" s="85">
        <v>2780</v>
      </c>
      <c r="I1964" s="85">
        <f t="shared" si="264"/>
        <v>1.4556045961632709E-6</v>
      </c>
      <c r="J1964" s="87">
        <v>1</v>
      </c>
      <c r="K1964" s="88">
        <f t="shared" si="265"/>
        <v>686999.75435350498</v>
      </c>
    </row>
    <row r="1965" spans="1:11" hidden="1" x14ac:dyDescent="0.25">
      <c r="A1965" t="str">
        <f t="shared" si="260"/>
        <v>Alluminio serie 1Ø2,3</v>
      </c>
      <c r="B1965" s="81" t="s">
        <v>330</v>
      </c>
      <c r="D1965" s="86">
        <v>2.2999999999999998</v>
      </c>
      <c r="E1965" s="85">
        <f t="shared" si="261"/>
        <v>2.3E-3</v>
      </c>
      <c r="F1965" s="85">
        <f t="shared" si="262"/>
        <v>1.15E-3</v>
      </c>
      <c r="G1965" s="85">
        <f t="shared" si="263"/>
        <v>6.3706263027045014E-9</v>
      </c>
      <c r="H1965" s="85">
        <v>2710</v>
      </c>
      <c r="I1965" s="85">
        <f t="shared" si="264"/>
        <v>1.7264397280329198E-5</v>
      </c>
      <c r="J1965" s="87">
        <v>1</v>
      </c>
      <c r="K1965" s="88">
        <f t="shared" si="265"/>
        <v>57922.670786740142</v>
      </c>
    </row>
    <row r="1966" spans="1:11" x14ac:dyDescent="0.25">
      <c r="A1966" t="str">
        <f t="shared" si="260"/>
        <v>1085Ø5</v>
      </c>
      <c r="B1966" s="81">
        <v>1085</v>
      </c>
      <c r="D1966" s="86">
        <v>5</v>
      </c>
      <c r="E1966" s="85">
        <f t="shared" si="261"/>
        <v>5.0000000000000001E-3</v>
      </c>
      <c r="F1966" s="85">
        <f t="shared" si="262"/>
        <v>2.5000000000000001E-3</v>
      </c>
      <c r="G1966" s="85">
        <f t="shared" si="263"/>
        <v>6.5449846949787352E-8</v>
      </c>
      <c r="H1966" s="85">
        <v>7850</v>
      </c>
      <c r="I1966" s="85">
        <f t="shared" si="264"/>
        <v>5.1378129855583071E-4</v>
      </c>
      <c r="J1966" s="87">
        <v>1</v>
      </c>
      <c r="K1966" s="88">
        <f t="shared" si="265"/>
        <v>1946.3534441811407</v>
      </c>
    </row>
    <row r="1967" spans="1:11" hidden="1" x14ac:dyDescent="0.25">
      <c r="A1967" t="str">
        <f t="shared" si="260"/>
        <v>52100Ø5</v>
      </c>
      <c r="B1967" s="81">
        <v>52100</v>
      </c>
      <c r="D1967" s="86">
        <v>5</v>
      </c>
      <c r="E1967" s="85">
        <f t="shared" si="261"/>
        <v>5.0000000000000001E-3</v>
      </c>
      <c r="F1967" s="85">
        <f t="shared" si="262"/>
        <v>2.5000000000000001E-3</v>
      </c>
      <c r="G1967" s="85">
        <f t="shared" si="263"/>
        <v>6.5449846949787352E-8</v>
      </c>
      <c r="H1967" s="85">
        <v>7800</v>
      </c>
      <c r="I1967" s="85">
        <f t="shared" si="264"/>
        <v>5.1050880620834131E-4</v>
      </c>
      <c r="J1967" s="87">
        <v>1</v>
      </c>
      <c r="K1967" s="88">
        <f t="shared" si="265"/>
        <v>1958.8300688233276</v>
      </c>
    </row>
    <row r="1968" spans="1:11" hidden="1" x14ac:dyDescent="0.25">
      <c r="A1968" t="str">
        <f t="shared" si="260"/>
        <v>WC-CoØ1,5875</v>
      </c>
      <c r="B1968" s="81" t="s">
        <v>297</v>
      </c>
      <c r="C1968" s="101" t="s">
        <v>246</v>
      </c>
      <c r="D1968" s="86">
        <f>1/16*25.4</f>
        <v>1.5874999999999999</v>
      </c>
      <c r="E1968" s="85">
        <f t="shared" si="261"/>
        <v>1.5874999999999999E-3</v>
      </c>
      <c r="F1968" s="85">
        <f t="shared" si="262"/>
        <v>7.9374999999999997E-4</v>
      </c>
      <c r="G1968" s="85">
        <f t="shared" si="263"/>
        <v>2.0947867788210349E-9</v>
      </c>
      <c r="H1968" s="85">
        <v>14950</v>
      </c>
      <c r="I1968" s="85">
        <f t="shared" si="264"/>
        <v>3.1317062343374473E-5</v>
      </c>
      <c r="J1968" s="87">
        <v>1</v>
      </c>
      <c r="K1968" s="88">
        <f t="shared" si="265"/>
        <v>31931.475214231352</v>
      </c>
    </row>
    <row r="1969" spans="1:11" hidden="1" x14ac:dyDescent="0.25">
      <c r="A1969" t="str">
        <f t="shared" si="260"/>
        <v>WC-CoØ2,5</v>
      </c>
      <c r="B1969" s="81" t="s">
        <v>297</v>
      </c>
      <c r="D1969" s="86">
        <v>2.5</v>
      </c>
      <c r="E1969" s="85">
        <f t="shared" si="261"/>
        <v>2.5000000000000001E-3</v>
      </c>
      <c r="F1969" s="85">
        <f t="shared" si="262"/>
        <v>1.25E-3</v>
      </c>
      <c r="G1969" s="85">
        <f t="shared" si="263"/>
        <v>8.181230868723419E-9</v>
      </c>
      <c r="H1969" s="85">
        <v>14950</v>
      </c>
      <c r="I1969" s="85">
        <f t="shared" si="264"/>
        <v>1.2230940148741512E-4</v>
      </c>
      <c r="J1969" s="87">
        <v>1</v>
      </c>
      <c r="K1969" s="88">
        <f t="shared" si="265"/>
        <v>8175.9863742191055</v>
      </c>
    </row>
    <row r="1970" spans="1:11" hidden="1" x14ac:dyDescent="0.25">
      <c r="A1970" t="str">
        <f t="shared" si="260"/>
        <v>Al2O3Ø1,5</v>
      </c>
      <c r="B1970" s="81" t="s">
        <v>217</v>
      </c>
      <c r="D1970" s="86">
        <v>1.5</v>
      </c>
      <c r="E1970" s="85">
        <f t="shared" si="261"/>
        <v>1.5E-3</v>
      </c>
      <c r="F1970" s="85">
        <f t="shared" si="262"/>
        <v>7.5000000000000002E-4</v>
      </c>
      <c r="G1970" s="85">
        <f t="shared" si="263"/>
        <v>1.7671458676442585E-9</v>
      </c>
      <c r="H1970" s="85">
        <v>3940</v>
      </c>
      <c r="I1970" s="85">
        <f t="shared" si="264"/>
        <v>6.9625547185183786E-6</v>
      </c>
      <c r="J1970" s="87">
        <v>1</v>
      </c>
      <c r="K1970" s="88">
        <f t="shared" si="265"/>
        <v>143625.4421585068</v>
      </c>
    </row>
    <row r="1971" spans="1:11" hidden="1" x14ac:dyDescent="0.25">
      <c r="A1971" t="str">
        <f t="shared" si="260"/>
        <v>420CØ1</v>
      </c>
      <c r="B1971" s="81" t="s">
        <v>295</v>
      </c>
      <c r="D1971" s="86">
        <v>1</v>
      </c>
      <c r="E1971" s="85">
        <f t="shared" si="261"/>
        <v>1E-3</v>
      </c>
      <c r="F1971" s="85">
        <f t="shared" si="262"/>
        <v>5.0000000000000001E-4</v>
      </c>
      <c r="G1971" s="85">
        <f t="shared" si="263"/>
        <v>5.2359877559829886E-10</v>
      </c>
      <c r="H1971" s="85">
        <v>7700</v>
      </c>
      <c r="I1971" s="85">
        <f t="shared" si="264"/>
        <v>4.0317105721069012E-6</v>
      </c>
      <c r="J1971" s="87">
        <v>1</v>
      </c>
      <c r="K1971" s="88">
        <f t="shared" si="265"/>
        <v>248033.67754581093</v>
      </c>
    </row>
    <row r="1972" spans="1:11" hidden="1" x14ac:dyDescent="0.25">
      <c r="A1972" t="str">
        <f t="shared" si="260"/>
        <v>PPHØ3</v>
      </c>
      <c r="B1972" s="81" t="s">
        <v>202</v>
      </c>
      <c r="D1972" s="86">
        <v>3</v>
      </c>
      <c r="E1972" s="85">
        <f t="shared" si="261"/>
        <v>3.0000000000000001E-3</v>
      </c>
      <c r="F1972" s="85">
        <f t="shared" si="262"/>
        <v>1.5E-3</v>
      </c>
      <c r="G1972" s="85">
        <f t="shared" si="263"/>
        <v>1.4137166941154068E-8</v>
      </c>
      <c r="H1972" s="85">
        <v>870</v>
      </c>
      <c r="I1972" s="85">
        <f t="shared" si="264"/>
        <v>1.229933523880404E-5</v>
      </c>
      <c r="J1972" s="87">
        <v>1</v>
      </c>
      <c r="K1972" s="88">
        <f t="shared" si="265"/>
        <v>81305.207198924822</v>
      </c>
    </row>
    <row r="1973" spans="1:11" hidden="1" x14ac:dyDescent="0.25">
      <c r="A1973" t="str">
        <f t="shared" si="260"/>
        <v>420CØ1</v>
      </c>
      <c r="B1973" s="81" t="s">
        <v>295</v>
      </c>
      <c r="D1973" s="86">
        <v>1</v>
      </c>
      <c r="E1973" s="85">
        <f t="shared" si="261"/>
        <v>1E-3</v>
      </c>
      <c r="F1973" s="85">
        <f t="shared" si="262"/>
        <v>5.0000000000000001E-4</v>
      </c>
      <c r="G1973" s="85">
        <f t="shared" si="263"/>
        <v>5.2359877559829886E-10</v>
      </c>
      <c r="H1973" s="85">
        <v>7700</v>
      </c>
      <c r="I1973" s="85">
        <f t="shared" si="264"/>
        <v>4.0317105721069012E-6</v>
      </c>
      <c r="J1973" s="87">
        <v>1</v>
      </c>
      <c r="K1973" s="88">
        <f t="shared" si="265"/>
        <v>248033.67754581093</v>
      </c>
    </row>
    <row r="1974" spans="1:11" hidden="1" x14ac:dyDescent="0.25">
      <c r="A1974" t="str">
        <f t="shared" si="260"/>
        <v>1010Ø7,9375</v>
      </c>
      <c r="B1974" s="81">
        <v>1010</v>
      </c>
      <c r="C1974" s="101" t="s">
        <v>252</v>
      </c>
      <c r="D1974" s="86">
        <f>5/16*25.4</f>
        <v>7.9375</v>
      </c>
      <c r="E1974" s="85">
        <f t="shared" si="261"/>
        <v>7.9375000000000001E-3</v>
      </c>
      <c r="F1974" s="85">
        <f t="shared" si="262"/>
        <v>3.9687500000000001E-3</v>
      </c>
      <c r="G1974" s="85">
        <f t="shared" si="263"/>
        <v>2.6184834735262947E-7</v>
      </c>
      <c r="H1974" s="85">
        <v>7820</v>
      </c>
      <c r="I1974" s="85">
        <f t="shared" si="264"/>
        <v>2.0476540762975623E-3</v>
      </c>
      <c r="J1974" s="87">
        <v>1</v>
      </c>
      <c r="K1974" s="88">
        <f t="shared" si="265"/>
        <v>488.36373857059698</v>
      </c>
    </row>
    <row r="1975" spans="1:11" hidden="1" x14ac:dyDescent="0.25">
      <c r="A1975" t="str">
        <f t="shared" si="260"/>
        <v>PA6.6Ø3,96875</v>
      </c>
      <c r="B1975" s="81" t="s">
        <v>244</v>
      </c>
      <c r="C1975" s="101" t="s">
        <v>215</v>
      </c>
      <c r="D1975" s="86">
        <f>5/32*25.4</f>
        <v>3.96875</v>
      </c>
      <c r="E1975" s="85">
        <f t="shared" si="261"/>
        <v>3.9687500000000001E-3</v>
      </c>
      <c r="F1975" s="85">
        <f t="shared" si="262"/>
        <v>1.984375E-3</v>
      </c>
      <c r="G1975" s="85">
        <f t="shared" si="263"/>
        <v>3.2731043419078684E-8</v>
      </c>
      <c r="H1975" s="85">
        <v>1110</v>
      </c>
      <c r="I1975" s="85">
        <f t="shared" si="264"/>
        <v>3.6331458195177338E-5</v>
      </c>
      <c r="J1975" s="87">
        <v>1</v>
      </c>
      <c r="K1975" s="88">
        <f t="shared" si="265"/>
        <v>27524.356292771663</v>
      </c>
    </row>
    <row r="1976" spans="1:11" hidden="1" x14ac:dyDescent="0.25">
      <c r="A1976" t="str">
        <f t="shared" si="260"/>
        <v>420CØ3,6</v>
      </c>
      <c r="B1976" s="81" t="s">
        <v>295</v>
      </c>
      <c r="D1976" s="86">
        <v>3.6</v>
      </c>
      <c r="E1976" s="85">
        <f t="shared" si="261"/>
        <v>3.5999999999999999E-3</v>
      </c>
      <c r="F1976" s="85">
        <f t="shared" si="262"/>
        <v>1.8E-3</v>
      </c>
      <c r="G1976" s="85">
        <f t="shared" si="263"/>
        <v>2.4429024474314225E-8</v>
      </c>
      <c r="H1976" s="85">
        <v>7700</v>
      </c>
      <c r="I1976" s="85">
        <f>H1976*G1976</f>
        <v>1.8810348845221952E-4</v>
      </c>
      <c r="J1976" s="87">
        <v>1</v>
      </c>
      <c r="K1976" s="88">
        <f>J1976/I1976</f>
        <v>5316.2225125559626</v>
      </c>
    </row>
    <row r="1977" spans="1:11" hidden="1" x14ac:dyDescent="0.25">
      <c r="A1977" t="str">
        <f t="shared" si="260"/>
        <v>52100Ø0,68</v>
      </c>
      <c r="B1977" s="81">
        <v>52100</v>
      </c>
      <c r="D1977" s="86">
        <v>0.68</v>
      </c>
      <c r="E1977" s="85">
        <f t="shared" si="261"/>
        <v>6.8000000000000005E-4</v>
      </c>
      <c r="F1977" s="85">
        <f t="shared" si="262"/>
        <v>3.4000000000000002E-4</v>
      </c>
      <c r="G1977" s="85">
        <f t="shared" si="263"/>
        <v>1.6463621020892433E-10</v>
      </c>
      <c r="H1977" s="85">
        <v>7800</v>
      </c>
      <c r="I1977" s="85">
        <f>H1977*G1977</f>
        <v>1.2841624396296097E-6</v>
      </c>
      <c r="J1977" s="87">
        <v>1</v>
      </c>
      <c r="K1977" s="88">
        <f>J1977/I1977</f>
        <v>778717.68332394888</v>
      </c>
    </row>
    <row r="1978" spans="1:11" hidden="1" x14ac:dyDescent="0.25">
      <c r="A1978" t="str">
        <f t="shared" si="260"/>
        <v>52100Ø5,04</v>
      </c>
      <c r="B1978" s="81">
        <v>52100</v>
      </c>
      <c r="D1978" s="86">
        <v>5.04</v>
      </c>
      <c r="E1978" s="85">
        <f t="shared" si="261"/>
        <v>5.0400000000000002E-3</v>
      </c>
      <c r="F1978" s="85">
        <f t="shared" si="262"/>
        <v>2.5200000000000001E-3</v>
      </c>
      <c r="G1978" s="85">
        <f t="shared" si="263"/>
        <v>6.7033243157518254E-8</v>
      </c>
      <c r="H1978" s="85">
        <v>7800</v>
      </c>
      <c r="I1978" s="85">
        <f>H1978*G1978</f>
        <v>5.2285929662864241E-4</v>
      </c>
      <c r="J1978" s="87">
        <v>1</v>
      </c>
      <c r="K1978" s="88">
        <f>J1978/I1978</f>
        <v>1912.5604277248681</v>
      </c>
    </row>
    <row r="1979" spans="1:11" hidden="1" x14ac:dyDescent="0.25">
      <c r="A1979" t="str">
        <f t="shared" si="260"/>
        <v>420CØ2,5</v>
      </c>
      <c r="B1979" s="81" t="s">
        <v>295</v>
      </c>
      <c r="D1979" s="86">
        <v>2.5</v>
      </c>
      <c r="E1979" s="85">
        <f t="shared" si="261"/>
        <v>2.5000000000000001E-3</v>
      </c>
      <c r="F1979" s="85">
        <f t="shared" si="262"/>
        <v>1.25E-3</v>
      </c>
      <c r="G1979" s="85">
        <f t="shared" si="263"/>
        <v>8.181230868723419E-9</v>
      </c>
      <c r="H1979" s="85">
        <v>7700</v>
      </c>
      <c r="I1979" s="85">
        <f>H1979*G1979</f>
        <v>6.2995477689170327E-5</v>
      </c>
      <c r="J1979" s="87">
        <v>1</v>
      </c>
      <c r="K1979" s="88">
        <f>J1979/I1979</f>
        <v>15874.155362931901</v>
      </c>
    </row>
    <row r="1980" spans="1:11" hidden="1" x14ac:dyDescent="0.25">
      <c r="A1980" t="str">
        <f t="shared" si="260"/>
        <v>420CØ7</v>
      </c>
      <c r="B1980" s="81" t="s">
        <v>295</v>
      </c>
      <c r="D1980" s="86">
        <v>7</v>
      </c>
      <c r="E1980" s="85">
        <f t="shared" si="261"/>
        <v>7.0000000000000001E-3</v>
      </c>
      <c r="F1980" s="85">
        <f t="shared" si="262"/>
        <v>3.5000000000000001E-3</v>
      </c>
      <c r="G1980" s="85">
        <f t="shared" si="263"/>
        <v>1.7959438003021651E-7</v>
      </c>
      <c r="H1980" s="85">
        <v>7700</v>
      </c>
      <c r="I1980" s="85">
        <f t="shared" ref="I1980:I2043" si="266">H1980*G1980</f>
        <v>1.3828767262326672E-3</v>
      </c>
      <c r="J1980" s="87">
        <v>1</v>
      </c>
      <c r="K1980" s="88">
        <f t="shared" ref="K1980:K2043" si="267">J1980/I1980</f>
        <v>723.13025523560032</v>
      </c>
    </row>
    <row r="1981" spans="1:11" hidden="1" x14ac:dyDescent="0.25">
      <c r="A1981" t="str">
        <f t="shared" si="260"/>
        <v>420CØ7,14375</v>
      </c>
      <c r="B1981" s="81" t="s">
        <v>295</v>
      </c>
      <c r="C1981" s="101" t="s">
        <v>250</v>
      </c>
      <c r="D1981" s="86">
        <f>9/32*25.4</f>
        <v>7.1437499999999998</v>
      </c>
      <c r="E1981" s="85">
        <f t="shared" si="261"/>
        <v>7.1437499999999999E-3</v>
      </c>
      <c r="F1981" s="85">
        <f t="shared" si="262"/>
        <v>3.571875E-3</v>
      </c>
      <c r="G1981" s="85">
        <f t="shared" si="263"/>
        <v>1.9088744522006684E-7</v>
      </c>
      <c r="H1981" s="85">
        <v>7700</v>
      </c>
      <c r="I1981" s="85">
        <f t="shared" si="266"/>
        <v>1.4698333281945148E-3</v>
      </c>
      <c r="J1981" s="87">
        <v>1</v>
      </c>
      <c r="K1981" s="88">
        <f t="shared" si="267"/>
        <v>680.34924832488355</v>
      </c>
    </row>
    <row r="1982" spans="1:11" hidden="1" x14ac:dyDescent="0.25">
      <c r="A1982" t="str">
        <f t="shared" si="260"/>
        <v>420CØ7,9375</v>
      </c>
      <c r="B1982" s="81" t="s">
        <v>295</v>
      </c>
      <c r="C1982" s="101" t="s">
        <v>252</v>
      </c>
      <c r="D1982" s="86">
        <f>5/16*25.4</f>
        <v>7.9375</v>
      </c>
      <c r="E1982" s="85">
        <f t="shared" si="261"/>
        <v>7.9375000000000001E-3</v>
      </c>
      <c r="F1982" s="85">
        <f t="shared" si="262"/>
        <v>3.9687500000000001E-3</v>
      </c>
      <c r="G1982" s="85">
        <f t="shared" si="263"/>
        <v>2.6184834735262947E-7</v>
      </c>
      <c r="H1982" s="85">
        <v>7700</v>
      </c>
      <c r="I1982" s="85">
        <f t="shared" si="266"/>
        <v>2.016232274615247E-3</v>
      </c>
      <c r="J1982" s="87">
        <v>1</v>
      </c>
      <c r="K1982" s="88">
        <f t="shared" si="267"/>
        <v>495.97460202884002</v>
      </c>
    </row>
    <row r="1983" spans="1:11" hidden="1" x14ac:dyDescent="0.25">
      <c r="A1983" t="str">
        <f t="shared" si="260"/>
        <v>VESCØ3</v>
      </c>
      <c r="B1983" s="81" t="s">
        <v>210</v>
      </c>
      <c r="D1983" s="86">
        <v>3</v>
      </c>
      <c r="E1983" s="85">
        <f t="shared" si="261"/>
        <v>3.0000000000000001E-3</v>
      </c>
      <c r="F1983" s="85">
        <f t="shared" si="262"/>
        <v>1.5E-3</v>
      </c>
      <c r="G1983" s="85">
        <f t="shared" si="263"/>
        <v>1.4137166941154068E-8</v>
      </c>
      <c r="H1983" s="85">
        <v>2500</v>
      </c>
      <c r="I1983" s="85">
        <f t="shared" si="266"/>
        <v>3.5342917352885171E-5</v>
      </c>
      <c r="J1983" s="87">
        <v>1</v>
      </c>
      <c r="K1983" s="88">
        <f t="shared" si="267"/>
        <v>28294.212105225841</v>
      </c>
    </row>
    <row r="1984" spans="1:11" hidden="1" x14ac:dyDescent="0.25">
      <c r="A1984" t="str">
        <f t="shared" si="260"/>
        <v>VESCØ5</v>
      </c>
      <c r="B1984" s="81" t="s">
        <v>210</v>
      </c>
      <c r="D1984" s="86">
        <v>5</v>
      </c>
      <c r="E1984" s="85">
        <f t="shared" si="261"/>
        <v>5.0000000000000001E-3</v>
      </c>
      <c r="F1984" s="85">
        <f t="shared" si="262"/>
        <v>2.5000000000000001E-3</v>
      </c>
      <c r="G1984" s="85">
        <f t="shared" si="263"/>
        <v>6.5449846949787352E-8</v>
      </c>
      <c r="H1984" s="85">
        <v>2500</v>
      </c>
      <c r="I1984" s="85">
        <f t="shared" si="266"/>
        <v>1.6362461737446838E-4</v>
      </c>
      <c r="J1984" s="87">
        <v>1</v>
      </c>
      <c r="K1984" s="88">
        <f t="shared" si="267"/>
        <v>6111.5498147287817</v>
      </c>
    </row>
    <row r="1985" spans="1:11" hidden="1" x14ac:dyDescent="0.25">
      <c r="A1985" t="str">
        <f t="shared" si="260"/>
        <v>VESCØ8</v>
      </c>
      <c r="B1985" s="81" t="s">
        <v>210</v>
      </c>
      <c r="D1985" s="86">
        <v>8</v>
      </c>
      <c r="E1985" s="85">
        <f t="shared" si="261"/>
        <v>8.0000000000000002E-3</v>
      </c>
      <c r="F1985" s="85">
        <f t="shared" si="262"/>
        <v>4.0000000000000001E-3</v>
      </c>
      <c r="G1985" s="85">
        <f t="shared" si="263"/>
        <v>2.6808257310632902E-7</v>
      </c>
      <c r="H1985" s="85">
        <v>2500</v>
      </c>
      <c r="I1985" s="85">
        <f t="shared" si="266"/>
        <v>6.7020643276582254E-4</v>
      </c>
      <c r="J1985" s="87">
        <v>1</v>
      </c>
      <c r="K1985" s="88">
        <f t="shared" si="267"/>
        <v>1492.0775914865187</v>
      </c>
    </row>
    <row r="1986" spans="1:11" hidden="1" x14ac:dyDescent="0.25">
      <c r="A1986" t="str">
        <f t="shared" si="260"/>
        <v>Si3N4Ø1,4</v>
      </c>
      <c r="B1986" s="81" t="s">
        <v>207</v>
      </c>
      <c r="D1986" s="86">
        <v>1.4</v>
      </c>
      <c r="E1986" s="85">
        <f t="shared" si="261"/>
        <v>1.4E-3</v>
      </c>
      <c r="F1986" s="85">
        <f t="shared" si="262"/>
        <v>6.9999999999999999E-4</v>
      </c>
      <c r="G1986" s="85">
        <f t="shared" si="263"/>
        <v>1.4367550402417319E-9</v>
      </c>
      <c r="H1986" s="85">
        <v>3260</v>
      </c>
      <c r="I1986" s="85">
        <f t="shared" si="266"/>
        <v>4.6838214311880458E-6</v>
      </c>
      <c r="J1986" s="87">
        <v>1</v>
      </c>
      <c r="K1986" s="88">
        <f t="shared" si="267"/>
        <v>213500.88057186056</v>
      </c>
    </row>
    <row r="1987" spans="1:11" hidden="1" x14ac:dyDescent="0.25">
      <c r="A1987" t="str">
        <f t="shared" si="260"/>
        <v>52100Ø0,5</v>
      </c>
      <c r="B1987" s="81">
        <v>52100</v>
      </c>
      <c r="D1987" s="86">
        <v>0.5</v>
      </c>
      <c r="E1987" s="85">
        <f t="shared" si="261"/>
        <v>5.0000000000000001E-4</v>
      </c>
      <c r="F1987" s="85">
        <f t="shared" si="262"/>
        <v>2.5000000000000001E-4</v>
      </c>
      <c r="G1987" s="85">
        <f t="shared" si="263"/>
        <v>6.5449846949787358E-11</v>
      </c>
      <c r="H1987" s="85">
        <v>7800</v>
      </c>
      <c r="I1987" s="85">
        <f t="shared" si="266"/>
        <v>5.1050880620834141E-7</v>
      </c>
      <c r="J1987" s="87">
        <v>1</v>
      </c>
      <c r="K1987" s="88">
        <f t="shared" si="267"/>
        <v>1958830.0688233273</v>
      </c>
    </row>
    <row r="1988" spans="1:11" hidden="1" x14ac:dyDescent="0.25">
      <c r="A1988" t="str">
        <f t="shared" ref="A1988:A2051" si="268">CONCATENATE(B1988,"Ø",D1988)</f>
        <v>VEBOØ5</v>
      </c>
      <c r="B1988" s="81" t="s">
        <v>329</v>
      </c>
      <c r="D1988" s="86">
        <v>5</v>
      </c>
      <c r="E1988" s="85">
        <f t="shared" si="261"/>
        <v>5.0000000000000001E-3</v>
      </c>
      <c r="F1988" s="85">
        <f t="shared" si="262"/>
        <v>2.5000000000000001E-3</v>
      </c>
      <c r="G1988" s="85">
        <f t="shared" si="263"/>
        <v>6.5449846949787352E-8</v>
      </c>
      <c r="H1988" s="85">
        <v>2230</v>
      </c>
      <c r="I1988" s="85">
        <f t="shared" si="266"/>
        <v>1.4595315869802579E-4</v>
      </c>
      <c r="J1988" s="87">
        <v>1</v>
      </c>
      <c r="K1988" s="88">
        <f t="shared" si="267"/>
        <v>6851.5132452116386</v>
      </c>
    </row>
    <row r="1989" spans="1:11" hidden="1" x14ac:dyDescent="0.25">
      <c r="A1989" t="str">
        <f t="shared" si="268"/>
        <v>310Ø0,6</v>
      </c>
      <c r="B1989" s="81">
        <v>310</v>
      </c>
      <c r="D1989" s="86">
        <v>0.6</v>
      </c>
      <c r="E1989" s="85">
        <f t="shared" si="261"/>
        <v>5.9999999999999995E-4</v>
      </c>
      <c r="F1989" s="85">
        <f t="shared" si="262"/>
        <v>2.9999999999999997E-4</v>
      </c>
      <c r="G1989" s="85">
        <f t="shared" si="263"/>
        <v>1.1309733552923252E-10</v>
      </c>
      <c r="H1989" s="85">
        <v>8000</v>
      </c>
      <c r="I1989" s="85">
        <f t="shared" si="266"/>
        <v>9.0477868423386016E-7</v>
      </c>
      <c r="J1989" s="87">
        <v>1</v>
      </c>
      <c r="K1989" s="88">
        <f t="shared" si="267"/>
        <v>1105242.6603603847</v>
      </c>
    </row>
    <row r="1990" spans="1:11" hidden="1" x14ac:dyDescent="0.25">
      <c r="A1990" t="str">
        <f t="shared" si="268"/>
        <v>420CØ3</v>
      </c>
      <c r="B1990" s="81" t="s">
        <v>295</v>
      </c>
      <c r="D1990" s="86">
        <v>3</v>
      </c>
      <c r="E1990" s="85">
        <f t="shared" si="261"/>
        <v>3.0000000000000001E-3</v>
      </c>
      <c r="F1990" s="85">
        <f t="shared" si="262"/>
        <v>1.5E-3</v>
      </c>
      <c r="G1990" s="85">
        <f t="shared" si="263"/>
        <v>1.4137166941154068E-8</v>
      </c>
      <c r="H1990" s="85">
        <v>7700</v>
      </c>
      <c r="I1990" s="85">
        <f t="shared" si="266"/>
        <v>1.0885618544688632E-4</v>
      </c>
      <c r="J1990" s="87">
        <v>1</v>
      </c>
      <c r="K1990" s="88">
        <f t="shared" si="267"/>
        <v>9186.4325016967014</v>
      </c>
    </row>
    <row r="1991" spans="1:11" hidden="1" x14ac:dyDescent="0.25">
      <c r="A1991" t="str">
        <f t="shared" si="268"/>
        <v>Alluminio serie 6Ø30</v>
      </c>
      <c r="B1991" s="81" t="s">
        <v>395</v>
      </c>
      <c r="D1991" s="86">
        <v>30</v>
      </c>
      <c r="E1991" s="85">
        <f t="shared" si="261"/>
        <v>0.03</v>
      </c>
      <c r="F1991" s="85">
        <f t="shared" si="262"/>
        <v>1.4999999999999999E-2</v>
      </c>
      <c r="G1991" s="85">
        <f t="shared" si="263"/>
        <v>1.4137166941154067E-5</v>
      </c>
      <c r="H1991" s="85">
        <v>2700</v>
      </c>
      <c r="I1991" s="85">
        <f t="shared" si="266"/>
        <v>3.817035074111598E-2</v>
      </c>
      <c r="J1991" s="87">
        <v>1</v>
      </c>
      <c r="K1991" s="88">
        <f t="shared" si="267"/>
        <v>26.19834454187578</v>
      </c>
    </row>
    <row r="1992" spans="1:11" hidden="1" x14ac:dyDescent="0.25">
      <c r="A1992" t="str">
        <f t="shared" si="268"/>
        <v>WC-CoØ0,6</v>
      </c>
      <c r="B1992" s="81" t="s">
        <v>297</v>
      </c>
      <c r="D1992" s="86">
        <v>0.6</v>
      </c>
      <c r="E1992" s="85">
        <f t="shared" si="261"/>
        <v>5.9999999999999995E-4</v>
      </c>
      <c r="F1992" s="85">
        <f t="shared" si="262"/>
        <v>2.9999999999999997E-4</v>
      </c>
      <c r="G1992" s="85">
        <f t="shared" si="263"/>
        <v>1.1309733552923252E-10</v>
      </c>
      <c r="H1992" s="85">
        <v>14950</v>
      </c>
      <c r="I1992" s="85">
        <f t="shared" si="266"/>
        <v>1.690805166162026E-6</v>
      </c>
      <c r="J1992" s="87">
        <v>1</v>
      </c>
      <c r="K1992" s="88">
        <f t="shared" si="267"/>
        <v>591434.19952395174</v>
      </c>
    </row>
    <row r="1993" spans="1:11" hidden="1" x14ac:dyDescent="0.25">
      <c r="A1993" t="str">
        <f t="shared" si="268"/>
        <v>52100Ø1,4</v>
      </c>
      <c r="B1993" s="81">
        <v>52100</v>
      </c>
      <c r="D1993" s="86">
        <v>1.4</v>
      </c>
      <c r="E1993" s="85">
        <f t="shared" si="261"/>
        <v>1.4E-3</v>
      </c>
      <c r="F1993" s="85">
        <f t="shared" si="262"/>
        <v>6.9999999999999999E-4</v>
      </c>
      <c r="G1993" s="85">
        <f t="shared" si="263"/>
        <v>1.4367550402417319E-9</v>
      </c>
      <c r="H1993" s="85">
        <v>7800</v>
      </c>
      <c r="I1993" s="85">
        <f t="shared" si="266"/>
        <v>1.1206689313885508E-5</v>
      </c>
      <c r="J1993" s="87">
        <v>1</v>
      </c>
      <c r="K1993" s="88">
        <f t="shared" si="267"/>
        <v>89232.419315931475</v>
      </c>
    </row>
    <row r="1994" spans="1:11" hidden="1" x14ac:dyDescent="0.25">
      <c r="A1994" t="str">
        <f t="shared" si="268"/>
        <v>SiliconeØ1</v>
      </c>
      <c r="B1994" s="81" t="s">
        <v>315</v>
      </c>
      <c r="D1994" s="86">
        <v>1</v>
      </c>
      <c r="E1994" s="85">
        <f t="shared" si="261"/>
        <v>1E-3</v>
      </c>
      <c r="F1994" s="85">
        <f t="shared" si="262"/>
        <v>5.0000000000000001E-4</v>
      </c>
      <c r="G1994" s="85">
        <f t="shared" si="263"/>
        <v>5.2359877559829886E-10</v>
      </c>
      <c r="H1994" s="85">
        <v>1200</v>
      </c>
      <c r="I1994" s="85">
        <f t="shared" si="266"/>
        <v>6.2831853071795864E-7</v>
      </c>
      <c r="J1994" s="87">
        <v>1</v>
      </c>
      <c r="K1994" s="88">
        <f t="shared" si="267"/>
        <v>1591549.4309189534</v>
      </c>
    </row>
    <row r="1995" spans="1:11" hidden="1" x14ac:dyDescent="0.25">
      <c r="A1995" t="str">
        <f t="shared" si="268"/>
        <v>Al2O3Ø1,5</v>
      </c>
      <c r="B1995" s="81" t="s">
        <v>217</v>
      </c>
      <c r="D1995" s="86">
        <v>1.5</v>
      </c>
      <c r="E1995" s="85">
        <f t="shared" si="261"/>
        <v>1.5E-3</v>
      </c>
      <c r="F1995" s="85">
        <f t="shared" si="262"/>
        <v>7.5000000000000002E-4</v>
      </c>
      <c r="G1995" s="85">
        <f t="shared" si="263"/>
        <v>1.7671458676442585E-9</v>
      </c>
      <c r="H1995" s="85">
        <v>3900</v>
      </c>
      <c r="I1995" s="85">
        <f t="shared" si="266"/>
        <v>6.8918688838126086E-6</v>
      </c>
      <c r="J1995" s="87">
        <v>1</v>
      </c>
      <c r="K1995" s="88">
        <f t="shared" si="267"/>
        <v>145098.52361654275</v>
      </c>
    </row>
    <row r="1996" spans="1:11" hidden="1" x14ac:dyDescent="0.25">
      <c r="A1996" t="str">
        <f t="shared" si="268"/>
        <v>POMØ1</v>
      </c>
      <c r="B1996" s="81" t="s">
        <v>201</v>
      </c>
      <c r="D1996" s="86">
        <v>1</v>
      </c>
      <c r="E1996" s="85">
        <f t="shared" si="261"/>
        <v>1E-3</v>
      </c>
      <c r="F1996" s="85">
        <f t="shared" si="262"/>
        <v>5.0000000000000001E-4</v>
      </c>
      <c r="G1996" s="85">
        <f t="shared" si="263"/>
        <v>5.2359877559829886E-10</v>
      </c>
      <c r="H1996" s="85">
        <v>1370</v>
      </c>
      <c r="I1996" s="85">
        <f t="shared" si="266"/>
        <v>7.1733032256966945E-7</v>
      </c>
      <c r="J1996" s="87">
        <v>1</v>
      </c>
      <c r="K1996" s="88">
        <f t="shared" si="267"/>
        <v>1394057.8956954337</v>
      </c>
    </row>
    <row r="1997" spans="1:11" hidden="1" x14ac:dyDescent="0.25">
      <c r="A1997" t="str">
        <f t="shared" si="268"/>
        <v>POMØ4,7625</v>
      </c>
      <c r="B1997" s="81" t="s">
        <v>201</v>
      </c>
      <c r="C1997" s="101" t="s">
        <v>248</v>
      </c>
      <c r="D1997" s="86">
        <f>3/16*25.4</f>
        <v>4.7624999999999993</v>
      </c>
      <c r="E1997" s="85">
        <f t="shared" si="261"/>
        <v>4.7624999999999994E-3</v>
      </c>
      <c r="F1997" s="85">
        <f t="shared" si="262"/>
        <v>2.3812499999999997E-3</v>
      </c>
      <c r="G1997" s="85">
        <f t="shared" si="263"/>
        <v>5.6559243028167934E-8</v>
      </c>
      <c r="H1997" s="85">
        <v>1370</v>
      </c>
      <c r="I1997" s="85">
        <f t="shared" si="266"/>
        <v>7.7486162948590069E-5</v>
      </c>
      <c r="J1997" s="87">
        <v>1</v>
      </c>
      <c r="K1997" s="88">
        <f t="shared" si="267"/>
        <v>12905.529993315999</v>
      </c>
    </row>
    <row r="1998" spans="1:11" hidden="1" x14ac:dyDescent="0.25">
      <c r="A1998" t="str">
        <f t="shared" si="268"/>
        <v>PPHØ1</v>
      </c>
      <c r="B1998" s="81" t="s">
        <v>202</v>
      </c>
      <c r="D1998" s="86">
        <v>1</v>
      </c>
      <c r="E1998" s="85">
        <f t="shared" si="261"/>
        <v>1E-3</v>
      </c>
      <c r="F1998" s="85">
        <f t="shared" si="262"/>
        <v>5.0000000000000001E-4</v>
      </c>
      <c r="G1998" s="85">
        <f t="shared" si="263"/>
        <v>5.2359877559829886E-10</v>
      </c>
      <c r="H1998" s="85">
        <v>870</v>
      </c>
      <c r="I1998" s="85">
        <f t="shared" si="266"/>
        <v>4.5553093477051999E-7</v>
      </c>
      <c r="J1998" s="87">
        <v>1</v>
      </c>
      <c r="K1998" s="88">
        <f t="shared" si="267"/>
        <v>2195240.5943709705</v>
      </c>
    </row>
    <row r="1999" spans="1:11" hidden="1" x14ac:dyDescent="0.25">
      <c r="A1999" t="str">
        <f t="shared" si="268"/>
        <v>PPHØ1,5875</v>
      </c>
      <c r="B1999" s="81" t="s">
        <v>202</v>
      </c>
      <c r="C1999" s="101" t="s">
        <v>246</v>
      </c>
      <c r="D1999" s="86">
        <f>1/16*25.4</f>
        <v>1.5874999999999999</v>
      </c>
      <c r="E1999" s="85">
        <f t="shared" si="261"/>
        <v>1.5874999999999999E-3</v>
      </c>
      <c r="F1999" s="85">
        <f t="shared" si="262"/>
        <v>7.9374999999999997E-4</v>
      </c>
      <c r="G1999" s="85">
        <f t="shared" si="263"/>
        <v>2.0947867788210349E-9</v>
      </c>
      <c r="H1999" s="85">
        <v>870</v>
      </c>
      <c r="I1999" s="85">
        <f t="shared" si="266"/>
        <v>1.8224644975743004E-6</v>
      </c>
      <c r="J1999" s="87">
        <v>1</v>
      </c>
      <c r="K1999" s="88">
        <f t="shared" si="267"/>
        <v>548707.53385374567</v>
      </c>
    </row>
    <row r="2000" spans="1:11" hidden="1" x14ac:dyDescent="0.25">
      <c r="A2000" t="str">
        <f t="shared" si="268"/>
        <v>VESCØ1</v>
      </c>
      <c r="B2000" s="81" t="s">
        <v>210</v>
      </c>
      <c r="D2000" s="86">
        <v>1</v>
      </c>
      <c r="E2000" s="85">
        <f t="shared" si="261"/>
        <v>1E-3</v>
      </c>
      <c r="F2000" s="85">
        <f t="shared" si="262"/>
        <v>5.0000000000000001E-4</v>
      </c>
      <c r="G2000" s="85">
        <f t="shared" si="263"/>
        <v>5.2359877559829886E-10</v>
      </c>
      <c r="H2000" s="85">
        <v>2500</v>
      </c>
      <c r="I2000" s="85">
        <f t="shared" si="266"/>
        <v>1.3089969389957471E-6</v>
      </c>
      <c r="J2000" s="87">
        <v>1</v>
      </c>
      <c r="K2000" s="88">
        <f t="shared" si="267"/>
        <v>763943.72684109758</v>
      </c>
    </row>
    <row r="2001" spans="1:11" hidden="1" x14ac:dyDescent="0.25">
      <c r="A2001" t="str">
        <f t="shared" si="268"/>
        <v>VESCØ1</v>
      </c>
      <c r="B2001" s="81" t="s">
        <v>210</v>
      </c>
      <c r="D2001" s="86">
        <v>1</v>
      </c>
      <c r="E2001" s="85">
        <f t="shared" si="261"/>
        <v>1E-3</v>
      </c>
      <c r="F2001" s="85">
        <f t="shared" si="262"/>
        <v>5.0000000000000001E-4</v>
      </c>
      <c r="G2001" s="85">
        <f t="shared" si="263"/>
        <v>5.2359877559829886E-10</v>
      </c>
      <c r="H2001" s="85">
        <v>2500</v>
      </c>
      <c r="I2001" s="85">
        <f t="shared" si="266"/>
        <v>1.3089969389957471E-6</v>
      </c>
      <c r="J2001" s="87">
        <v>1</v>
      </c>
      <c r="K2001" s="88">
        <f t="shared" si="267"/>
        <v>763943.72684109758</v>
      </c>
    </row>
    <row r="2002" spans="1:11" hidden="1" x14ac:dyDescent="0.25">
      <c r="A2002" t="str">
        <f t="shared" si="268"/>
        <v>VESCØ2</v>
      </c>
      <c r="B2002" s="81" t="s">
        <v>210</v>
      </c>
      <c r="D2002" s="86">
        <v>2</v>
      </c>
      <c r="E2002" s="85">
        <f>D2002/1000</f>
        <v>2E-3</v>
      </c>
      <c r="F2002" s="85">
        <f>E2002/2</f>
        <v>1E-3</v>
      </c>
      <c r="G2002" s="85">
        <f>4/3*PI()*F2002*F2002*F2002</f>
        <v>4.1887902047863909E-9</v>
      </c>
      <c r="H2002" s="85">
        <v>2500</v>
      </c>
      <c r="I2002" s="85">
        <f t="shared" si="266"/>
        <v>1.0471975511965977E-5</v>
      </c>
      <c r="J2002" s="87">
        <v>1</v>
      </c>
      <c r="K2002" s="88">
        <f t="shared" si="267"/>
        <v>95492.965855137198</v>
      </c>
    </row>
    <row r="2003" spans="1:11" hidden="1" x14ac:dyDescent="0.25">
      <c r="A2003" t="str">
        <f t="shared" si="268"/>
        <v>VESCØ2</v>
      </c>
      <c r="B2003" s="81" t="s">
        <v>210</v>
      </c>
      <c r="D2003" s="86">
        <v>2</v>
      </c>
      <c r="E2003" s="85">
        <f>D2003/1000</f>
        <v>2E-3</v>
      </c>
      <c r="F2003" s="85">
        <f>E2003/2</f>
        <v>1E-3</v>
      </c>
      <c r="G2003" s="85">
        <f>4/3*PI()*F2003*F2003*F2003</f>
        <v>4.1887902047863909E-9</v>
      </c>
      <c r="H2003" s="85">
        <v>2500</v>
      </c>
      <c r="I2003" s="85">
        <f t="shared" si="266"/>
        <v>1.0471975511965977E-5</v>
      </c>
      <c r="J2003" s="87">
        <v>1</v>
      </c>
      <c r="K2003" s="88">
        <f t="shared" si="267"/>
        <v>95492.965855137198</v>
      </c>
    </row>
    <row r="2004" spans="1:11" hidden="1" x14ac:dyDescent="0.25">
      <c r="A2004" t="str">
        <f t="shared" si="268"/>
        <v>VESCØ2</v>
      </c>
      <c r="B2004" s="81" t="s">
        <v>210</v>
      </c>
      <c r="D2004" s="86">
        <v>2</v>
      </c>
      <c r="E2004" s="85">
        <f>D2004/1000</f>
        <v>2E-3</v>
      </c>
      <c r="F2004" s="85">
        <f>E2004/2</f>
        <v>1E-3</v>
      </c>
      <c r="G2004" s="85">
        <f>4/3*PI()*F2004*F2004*F2004</f>
        <v>4.1887902047863909E-9</v>
      </c>
      <c r="H2004" s="85">
        <v>2500</v>
      </c>
      <c r="I2004" s="85">
        <f t="shared" si="266"/>
        <v>1.0471975511965977E-5</v>
      </c>
      <c r="J2004" s="87">
        <v>1</v>
      </c>
      <c r="K2004" s="88">
        <f t="shared" si="267"/>
        <v>95492.965855137198</v>
      </c>
    </row>
    <row r="2005" spans="1:11" hidden="1" x14ac:dyDescent="0.25">
      <c r="A2005" t="str">
        <f t="shared" si="268"/>
        <v>VESCØ3</v>
      </c>
      <c r="B2005" s="81" t="s">
        <v>210</v>
      </c>
      <c r="D2005" s="86">
        <v>3</v>
      </c>
      <c r="E2005" s="85">
        <f t="shared" ref="E2005:E2063" si="269">D2005/1000</f>
        <v>3.0000000000000001E-3</v>
      </c>
      <c r="F2005" s="85">
        <f t="shared" ref="F2005:F2063" si="270">E2005/2</f>
        <v>1.5E-3</v>
      </c>
      <c r="G2005" s="85">
        <f t="shared" ref="G2005:G2063" si="271">4/3*PI()*F2005*F2005*F2005</f>
        <v>1.4137166941154068E-8</v>
      </c>
      <c r="H2005" s="85">
        <v>2500</v>
      </c>
      <c r="I2005" s="85">
        <f t="shared" si="266"/>
        <v>3.5342917352885171E-5</v>
      </c>
      <c r="J2005" s="87">
        <v>1</v>
      </c>
      <c r="K2005" s="88">
        <f t="shared" si="267"/>
        <v>28294.212105225841</v>
      </c>
    </row>
    <row r="2006" spans="1:11" hidden="1" x14ac:dyDescent="0.25">
      <c r="A2006" t="str">
        <f t="shared" si="268"/>
        <v>VESCØ3</v>
      </c>
      <c r="B2006" s="81" t="s">
        <v>210</v>
      </c>
      <c r="D2006" s="86">
        <v>3</v>
      </c>
      <c r="E2006" s="85">
        <f t="shared" si="269"/>
        <v>3.0000000000000001E-3</v>
      </c>
      <c r="F2006" s="85">
        <f t="shared" si="270"/>
        <v>1.5E-3</v>
      </c>
      <c r="G2006" s="85">
        <f t="shared" si="271"/>
        <v>1.4137166941154068E-8</v>
      </c>
      <c r="H2006" s="85">
        <v>2500</v>
      </c>
      <c r="I2006" s="85">
        <f t="shared" si="266"/>
        <v>3.5342917352885171E-5</v>
      </c>
      <c r="J2006" s="87">
        <v>1</v>
      </c>
      <c r="K2006" s="88">
        <f t="shared" si="267"/>
        <v>28294.212105225841</v>
      </c>
    </row>
    <row r="2007" spans="1:11" hidden="1" x14ac:dyDescent="0.25">
      <c r="A2007" t="str">
        <f t="shared" si="268"/>
        <v>VESCØ3</v>
      </c>
      <c r="B2007" s="81" t="s">
        <v>210</v>
      </c>
      <c r="D2007" s="86">
        <v>3</v>
      </c>
      <c r="E2007" s="85">
        <f t="shared" si="269"/>
        <v>3.0000000000000001E-3</v>
      </c>
      <c r="F2007" s="85">
        <f t="shared" si="270"/>
        <v>1.5E-3</v>
      </c>
      <c r="G2007" s="85">
        <f t="shared" si="271"/>
        <v>1.4137166941154068E-8</v>
      </c>
      <c r="H2007" s="85">
        <v>2500</v>
      </c>
      <c r="I2007" s="85">
        <f t="shared" si="266"/>
        <v>3.5342917352885171E-5</v>
      </c>
      <c r="J2007" s="87">
        <v>1</v>
      </c>
      <c r="K2007" s="88">
        <f t="shared" si="267"/>
        <v>28294.212105225841</v>
      </c>
    </row>
    <row r="2008" spans="1:11" hidden="1" x14ac:dyDescent="0.25">
      <c r="A2008" t="str">
        <f t="shared" si="268"/>
        <v>440CØ1,5875</v>
      </c>
      <c r="B2008" s="81" t="s">
        <v>314</v>
      </c>
      <c r="C2008" s="101" t="s">
        <v>246</v>
      </c>
      <c r="D2008" s="86">
        <f>1/16*25.4</f>
        <v>1.5874999999999999</v>
      </c>
      <c r="E2008" s="85">
        <f t="shared" si="269"/>
        <v>1.5874999999999999E-3</v>
      </c>
      <c r="F2008" s="85">
        <f t="shared" si="270"/>
        <v>7.9374999999999997E-4</v>
      </c>
      <c r="G2008" s="85">
        <f t="shared" si="271"/>
        <v>2.0947867788210349E-9</v>
      </c>
      <c r="H2008" s="85">
        <v>7700</v>
      </c>
      <c r="I2008" s="85">
        <f t="shared" si="266"/>
        <v>1.6129858196921968E-5</v>
      </c>
      <c r="J2008" s="87">
        <v>1</v>
      </c>
      <c r="K2008" s="88">
        <f t="shared" si="267"/>
        <v>61996.825253605035</v>
      </c>
    </row>
    <row r="2009" spans="1:11" hidden="1" x14ac:dyDescent="0.25">
      <c r="A2009" t="str">
        <f t="shared" si="268"/>
        <v>1010Ø2,5</v>
      </c>
      <c r="B2009" s="81">
        <v>1010</v>
      </c>
      <c r="D2009" s="86">
        <v>2.5</v>
      </c>
      <c r="E2009" s="85">
        <f t="shared" si="269"/>
        <v>2.5000000000000001E-3</v>
      </c>
      <c r="F2009" s="85">
        <f t="shared" si="270"/>
        <v>1.25E-3</v>
      </c>
      <c r="G2009" s="85">
        <f t="shared" si="271"/>
        <v>8.181230868723419E-9</v>
      </c>
      <c r="H2009" s="85">
        <v>7810</v>
      </c>
      <c r="I2009" s="85">
        <f t="shared" si="266"/>
        <v>6.3895413084729899E-5</v>
      </c>
      <c r="J2009" s="87">
        <v>1</v>
      </c>
      <c r="K2009" s="88">
        <f t="shared" si="267"/>
        <v>15650.57570993286</v>
      </c>
    </row>
    <row r="2010" spans="1:11" hidden="1" x14ac:dyDescent="0.25">
      <c r="A2010" t="str">
        <f t="shared" si="268"/>
        <v>316LØ1</v>
      </c>
      <c r="B2010" s="81" t="s">
        <v>298</v>
      </c>
      <c r="D2010" s="86">
        <v>1</v>
      </c>
      <c r="E2010" s="85">
        <f t="shared" si="269"/>
        <v>1E-3</v>
      </c>
      <c r="F2010" s="85">
        <f t="shared" si="270"/>
        <v>5.0000000000000001E-4</v>
      </c>
      <c r="G2010" s="85">
        <f t="shared" si="271"/>
        <v>5.2359877559829886E-10</v>
      </c>
      <c r="H2010" s="85">
        <v>7950</v>
      </c>
      <c r="I2010" s="85">
        <f t="shared" si="266"/>
        <v>4.1626102660064759E-6</v>
      </c>
      <c r="J2010" s="87">
        <v>1</v>
      </c>
      <c r="K2010" s="88">
        <f t="shared" si="267"/>
        <v>240233.87636512503</v>
      </c>
    </row>
    <row r="2011" spans="1:11" hidden="1" x14ac:dyDescent="0.25">
      <c r="A2011" t="str">
        <f t="shared" si="268"/>
        <v>52100Ø0,79375</v>
      </c>
      <c r="B2011" s="81">
        <v>52100</v>
      </c>
      <c r="C2011" s="101" t="s">
        <v>241</v>
      </c>
      <c r="D2011" s="86">
        <f>1/32*25.4</f>
        <v>0.79374999999999996</v>
      </c>
      <c r="E2011" s="85">
        <f t="shared" si="269"/>
        <v>7.9374999999999997E-4</v>
      </c>
      <c r="F2011" s="85">
        <f t="shared" si="270"/>
        <v>3.9687499999999998E-4</v>
      </c>
      <c r="G2011" s="85">
        <f t="shared" si="271"/>
        <v>2.6184834735262936E-10</v>
      </c>
      <c r="H2011" s="85">
        <v>7800</v>
      </c>
      <c r="I2011" s="85">
        <f t="shared" si="266"/>
        <v>2.0424171093505088E-6</v>
      </c>
      <c r="J2011" s="87">
        <v>1</v>
      </c>
      <c r="K2011" s="88">
        <f t="shared" si="267"/>
        <v>489615.95328488079</v>
      </c>
    </row>
    <row r="2012" spans="1:11" hidden="1" x14ac:dyDescent="0.25">
      <c r="A2012" t="str">
        <f t="shared" si="268"/>
        <v>440CØ1,5875</v>
      </c>
      <c r="B2012" s="81" t="s">
        <v>314</v>
      </c>
      <c r="C2012" s="101" t="s">
        <v>246</v>
      </c>
      <c r="D2012" s="86">
        <f>1/16*25.4</f>
        <v>1.5874999999999999</v>
      </c>
      <c r="E2012" s="85">
        <f t="shared" si="269"/>
        <v>1.5874999999999999E-3</v>
      </c>
      <c r="F2012" s="85">
        <f t="shared" si="270"/>
        <v>7.9374999999999997E-4</v>
      </c>
      <c r="G2012" s="85">
        <f t="shared" si="271"/>
        <v>2.0947867788210349E-9</v>
      </c>
      <c r="H2012" s="85">
        <v>7700</v>
      </c>
      <c r="I2012" s="85">
        <f t="shared" si="266"/>
        <v>1.6129858196921968E-5</v>
      </c>
      <c r="J2012" s="87">
        <v>1</v>
      </c>
      <c r="K2012" s="88">
        <f t="shared" si="267"/>
        <v>61996.825253605035</v>
      </c>
    </row>
    <row r="2013" spans="1:11" hidden="1" x14ac:dyDescent="0.25">
      <c r="A2013" t="str">
        <f t="shared" si="268"/>
        <v>420CØ3</v>
      </c>
      <c r="B2013" s="81" t="s">
        <v>295</v>
      </c>
      <c r="D2013" s="86">
        <v>3</v>
      </c>
      <c r="E2013" s="85">
        <f t="shared" si="269"/>
        <v>3.0000000000000001E-3</v>
      </c>
      <c r="F2013" s="85">
        <f t="shared" si="270"/>
        <v>1.5E-3</v>
      </c>
      <c r="G2013" s="85">
        <f t="shared" si="271"/>
        <v>1.4137166941154068E-8</v>
      </c>
      <c r="H2013" s="85">
        <v>7700</v>
      </c>
      <c r="I2013" s="85">
        <f t="shared" si="266"/>
        <v>1.0885618544688632E-4</v>
      </c>
      <c r="J2013" s="87">
        <v>1</v>
      </c>
      <c r="K2013" s="88">
        <f t="shared" si="267"/>
        <v>9186.4325016967014</v>
      </c>
    </row>
    <row r="2014" spans="1:11" hidden="1" x14ac:dyDescent="0.25">
      <c r="A2014" t="str">
        <f t="shared" si="268"/>
        <v>PA6.6Ø2</v>
      </c>
      <c r="B2014" s="81" t="s">
        <v>244</v>
      </c>
      <c r="D2014" s="86">
        <v>2</v>
      </c>
      <c r="E2014" s="85">
        <f t="shared" si="269"/>
        <v>2E-3</v>
      </c>
      <c r="F2014" s="85">
        <f t="shared" si="270"/>
        <v>1E-3</v>
      </c>
      <c r="G2014" s="85">
        <f t="shared" si="271"/>
        <v>4.1887902047863909E-9</v>
      </c>
      <c r="H2014" s="85">
        <v>1110</v>
      </c>
      <c r="I2014" s="85">
        <f t="shared" si="266"/>
        <v>4.6495571273128935E-6</v>
      </c>
      <c r="J2014" s="87">
        <v>1</v>
      </c>
      <c r="K2014" s="88">
        <f t="shared" si="267"/>
        <v>215074.24742148022</v>
      </c>
    </row>
    <row r="2015" spans="1:11" hidden="1" x14ac:dyDescent="0.25">
      <c r="A2015" t="str">
        <f t="shared" si="268"/>
        <v>PPHØ2</v>
      </c>
      <c r="B2015" s="81" t="s">
        <v>202</v>
      </c>
      <c r="D2015" s="86">
        <v>2</v>
      </c>
      <c r="E2015" s="85">
        <f t="shared" si="269"/>
        <v>2E-3</v>
      </c>
      <c r="F2015" s="85">
        <f t="shared" si="270"/>
        <v>1E-3</v>
      </c>
      <c r="G2015" s="85">
        <f t="shared" si="271"/>
        <v>4.1887902047863909E-9</v>
      </c>
      <c r="H2015" s="85">
        <v>870</v>
      </c>
      <c r="I2015" s="85">
        <f t="shared" si="266"/>
        <v>3.6442474781641599E-6</v>
      </c>
      <c r="J2015" s="87">
        <v>1</v>
      </c>
      <c r="K2015" s="88">
        <f t="shared" si="267"/>
        <v>274405.07429637131</v>
      </c>
    </row>
    <row r="2016" spans="1:11" hidden="1" x14ac:dyDescent="0.25">
      <c r="A2016" t="str">
        <f t="shared" si="268"/>
        <v>PPHØ2</v>
      </c>
      <c r="B2016" s="81" t="s">
        <v>202</v>
      </c>
      <c r="D2016" s="86">
        <v>2</v>
      </c>
      <c r="E2016" s="85">
        <f t="shared" si="269"/>
        <v>2E-3</v>
      </c>
      <c r="F2016" s="85">
        <f t="shared" si="270"/>
        <v>1E-3</v>
      </c>
      <c r="G2016" s="85">
        <f t="shared" si="271"/>
        <v>4.1887902047863909E-9</v>
      </c>
      <c r="H2016" s="85">
        <v>870</v>
      </c>
      <c r="I2016" s="85">
        <f t="shared" si="266"/>
        <v>3.6442474781641599E-6</v>
      </c>
      <c r="J2016" s="87">
        <v>1</v>
      </c>
      <c r="K2016" s="88">
        <f t="shared" si="267"/>
        <v>274405.07429637131</v>
      </c>
    </row>
    <row r="2017" spans="1:11" hidden="1" x14ac:dyDescent="0.25">
      <c r="A2017" t="str">
        <f t="shared" si="268"/>
        <v>PPHØ6,35</v>
      </c>
      <c r="B2017" s="81" t="s">
        <v>202</v>
      </c>
      <c r="C2017" s="101" t="s">
        <v>218</v>
      </c>
      <c r="D2017" s="86">
        <f>1/4*25.4</f>
        <v>6.35</v>
      </c>
      <c r="E2017" s="85">
        <f t="shared" si="269"/>
        <v>6.3499999999999997E-3</v>
      </c>
      <c r="F2017" s="85">
        <f t="shared" si="270"/>
        <v>3.1749999999999999E-3</v>
      </c>
      <c r="G2017" s="85">
        <f t="shared" si="271"/>
        <v>1.3406635384454623E-7</v>
      </c>
      <c r="H2017" s="85">
        <v>870</v>
      </c>
      <c r="I2017" s="85">
        <f t="shared" si="266"/>
        <v>1.1663772784475523E-4</v>
      </c>
      <c r="J2017" s="87">
        <v>1</v>
      </c>
      <c r="K2017" s="88">
        <f t="shared" si="267"/>
        <v>8573.5552164647761</v>
      </c>
    </row>
    <row r="2018" spans="1:11" hidden="1" x14ac:dyDescent="0.25">
      <c r="A2018" t="str">
        <f t="shared" si="268"/>
        <v>316Ø0,5</v>
      </c>
      <c r="B2018" s="81">
        <v>316</v>
      </c>
      <c r="D2018" s="86">
        <v>0.5</v>
      </c>
      <c r="E2018" s="85">
        <f t="shared" si="269"/>
        <v>5.0000000000000001E-4</v>
      </c>
      <c r="F2018" s="85">
        <f t="shared" si="270"/>
        <v>2.5000000000000001E-4</v>
      </c>
      <c r="G2018" s="85">
        <f t="shared" si="271"/>
        <v>6.5449846949787358E-11</v>
      </c>
      <c r="H2018" s="85">
        <v>7950</v>
      </c>
      <c r="I2018" s="85">
        <f t="shared" si="266"/>
        <v>5.2032628325080949E-7</v>
      </c>
      <c r="J2018" s="87">
        <v>1</v>
      </c>
      <c r="K2018" s="88">
        <f t="shared" si="267"/>
        <v>1921871.0109210003</v>
      </c>
    </row>
    <row r="2019" spans="1:11" hidden="1" x14ac:dyDescent="0.25">
      <c r="A2019" t="str">
        <f t="shared" si="268"/>
        <v>316Ø0,5</v>
      </c>
      <c r="B2019" s="81">
        <v>316</v>
      </c>
      <c r="D2019" s="86">
        <v>0.5</v>
      </c>
      <c r="E2019" s="85">
        <f t="shared" si="269"/>
        <v>5.0000000000000001E-4</v>
      </c>
      <c r="F2019" s="85">
        <f t="shared" si="270"/>
        <v>2.5000000000000001E-4</v>
      </c>
      <c r="G2019" s="85">
        <f t="shared" si="271"/>
        <v>6.5449846949787358E-11</v>
      </c>
      <c r="H2019" s="85">
        <v>7950</v>
      </c>
      <c r="I2019" s="85">
        <f t="shared" si="266"/>
        <v>5.2032628325080949E-7</v>
      </c>
      <c r="J2019" s="87">
        <v>1</v>
      </c>
      <c r="K2019" s="88">
        <f t="shared" si="267"/>
        <v>1921871.0109210003</v>
      </c>
    </row>
    <row r="2020" spans="1:11" hidden="1" x14ac:dyDescent="0.25">
      <c r="A2020" t="str">
        <f t="shared" si="268"/>
        <v>PPHØ5</v>
      </c>
      <c r="B2020" s="81" t="s">
        <v>202</v>
      </c>
      <c r="D2020" s="86">
        <v>5</v>
      </c>
      <c r="E2020" s="85">
        <f t="shared" si="269"/>
        <v>5.0000000000000001E-3</v>
      </c>
      <c r="F2020" s="85">
        <f t="shared" si="270"/>
        <v>2.5000000000000001E-3</v>
      </c>
      <c r="G2020" s="85">
        <f t="shared" si="271"/>
        <v>6.5449846949787352E-8</v>
      </c>
      <c r="H2020" s="85">
        <v>870</v>
      </c>
      <c r="I2020" s="85">
        <f t="shared" si="266"/>
        <v>5.6941366846314999E-5</v>
      </c>
      <c r="J2020" s="87">
        <v>1</v>
      </c>
      <c r="K2020" s="88">
        <f t="shared" si="267"/>
        <v>17561.924754967764</v>
      </c>
    </row>
    <row r="2021" spans="1:11" hidden="1" x14ac:dyDescent="0.25">
      <c r="A2021" t="str">
        <f t="shared" si="268"/>
        <v>420CØ3</v>
      </c>
      <c r="B2021" s="81" t="s">
        <v>295</v>
      </c>
      <c r="D2021" s="86">
        <v>3</v>
      </c>
      <c r="E2021" s="85">
        <f t="shared" si="269"/>
        <v>3.0000000000000001E-3</v>
      </c>
      <c r="F2021" s="85">
        <f t="shared" si="270"/>
        <v>1.5E-3</v>
      </c>
      <c r="G2021" s="85">
        <f t="shared" si="271"/>
        <v>1.4137166941154068E-8</v>
      </c>
      <c r="H2021" s="85">
        <v>7750</v>
      </c>
      <c r="I2021" s="85">
        <f t="shared" si="266"/>
        <v>1.0956304379394402E-4</v>
      </c>
      <c r="J2021" s="87">
        <v>1</v>
      </c>
      <c r="K2021" s="88">
        <f t="shared" si="267"/>
        <v>9127.1651952341417</v>
      </c>
    </row>
    <row r="2022" spans="1:11" hidden="1" x14ac:dyDescent="0.25">
      <c r="A2022" t="str">
        <f t="shared" si="268"/>
        <v>316Ø1,5875</v>
      </c>
      <c r="B2022" s="81">
        <v>316</v>
      </c>
      <c r="C2022" s="101" t="s">
        <v>246</v>
      </c>
      <c r="D2022" s="86">
        <f>1/16*25.4</f>
        <v>1.5874999999999999</v>
      </c>
      <c r="E2022" s="85">
        <f t="shared" si="269"/>
        <v>1.5874999999999999E-3</v>
      </c>
      <c r="F2022" s="85">
        <f t="shared" si="270"/>
        <v>7.9374999999999997E-4</v>
      </c>
      <c r="G2022" s="85">
        <f t="shared" si="271"/>
        <v>2.0947867788210349E-9</v>
      </c>
      <c r="H2022" s="85">
        <v>7950</v>
      </c>
      <c r="I2022" s="85">
        <f t="shared" si="266"/>
        <v>1.6653554891627226E-5</v>
      </c>
      <c r="J2022" s="87">
        <v>1</v>
      </c>
      <c r="K2022" s="88">
        <f t="shared" si="267"/>
        <v>60047.239553806132</v>
      </c>
    </row>
    <row r="2023" spans="1:11" hidden="1" x14ac:dyDescent="0.25">
      <c r="A2023" t="str">
        <f t="shared" si="268"/>
        <v>PA6.6Ø4,7625</v>
      </c>
      <c r="B2023" s="81" t="s">
        <v>244</v>
      </c>
      <c r="C2023" s="101" t="s">
        <v>248</v>
      </c>
      <c r="D2023" s="86">
        <f>3/16*25.4</f>
        <v>4.7624999999999993</v>
      </c>
      <c r="E2023" s="85">
        <f t="shared" si="269"/>
        <v>4.7624999999999994E-3</v>
      </c>
      <c r="F2023" s="85">
        <f t="shared" si="270"/>
        <v>2.3812499999999997E-3</v>
      </c>
      <c r="G2023" s="85">
        <f t="shared" si="271"/>
        <v>5.6559243028167934E-8</v>
      </c>
      <c r="H2023" s="85">
        <v>1110</v>
      </c>
      <c r="I2023" s="85">
        <f t="shared" si="266"/>
        <v>6.2780759761266411E-5</v>
      </c>
      <c r="J2023" s="87">
        <v>1</v>
      </c>
      <c r="K2023" s="88">
        <f t="shared" si="267"/>
        <v>15928.446928687314</v>
      </c>
    </row>
    <row r="2024" spans="1:11" hidden="1" x14ac:dyDescent="0.25">
      <c r="A2024" t="str">
        <f t="shared" si="268"/>
        <v>POMØ1,5875</v>
      </c>
      <c r="B2024" s="81" t="s">
        <v>201</v>
      </c>
      <c r="C2024" s="101" t="s">
        <v>246</v>
      </c>
      <c r="D2024" s="86">
        <f>1/16*25.4</f>
        <v>1.5874999999999999</v>
      </c>
      <c r="E2024" s="85">
        <f t="shared" si="269"/>
        <v>1.5874999999999999E-3</v>
      </c>
      <c r="F2024" s="85">
        <f t="shared" si="270"/>
        <v>7.9374999999999997E-4</v>
      </c>
      <c r="G2024" s="85">
        <f t="shared" si="271"/>
        <v>2.0947867788210349E-9</v>
      </c>
      <c r="H2024" s="85">
        <v>1370</v>
      </c>
      <c r="I2024" s="85">
        <f t="shared" si="266"/>
        <v>2.8698578869848178E-6</v>
      </c>
      <c r="J2024" s="87">
        <v>1</v>
      </c>
      <c r="K2024" s="88">
        <f t="shared" si="267"/>
        <v>348449.30981953192</v>
      </c>
    </row>
    <row r="2025" spans="1:11" hidden="1" x14ac:dyDescent="0.25">
      <c r="A2025" t="str">
        <f t="shared" si="268"/>
        <v>316LØ10</v>
      </c>
      <c r="B2025" s="81" t="s">
        <v>298</v>
      </c>
      <c r="D2025" s="86">
        <v>10</v>
      </c>
      <c r="E2025" s="85">
        <f t="shared" si="269"/>
        <v>0.01</v>
      </c>
      <c r="F2025" s="85">
        <f t="shared" si="270"/>
        <v>5.0000000000000001E-3</v>
      </c>
      <c r="G2025" s="85">
        <f t="shared" si="271"/>
        <v>5.2359877559829882E-7</v>
      </c>
      <c r="H2025" s="85">
        <v>7950</v>
      </c>
      <c r="I2025" s="85">
        <f t="shared" si="266"/>
        <v>4.1626102660064753E-3</v>
      </c>
      <c r="J2025" s="87">
        <v>1</v>
      </c>
      <c r="K2025" s="88">
        <f t="shared" si="267"/>
        <v>240.23387636512507</v>
      </c>
    </row>
    <row r="2026" spans="1:11" hidden="1" x14ac:dyDescent="0.25">
      <c r="A2026" t="str">
        <f t="shared" si="268"/>
        <v>316LØ15</v>
      </c>
      <c r="B2026" s="81" t="s">
        <v>298</v>
      </c>
      <c r="D2026" s="86">
        <v>15</v>
      </c>
      <c r="E2026" s="85">
        <f t="shared" si="269"/>
        <v>1.4999999999999999E-2</v>
      </c>
      <c r="F2026" s="85">
        <f t="shared" si="270"/>
        <v>7.4999999999999997E-3</v>
      </c>
      <c r="G2026" s="85">
        <f t="shared" si="271"/>
        <v>1.7671458676442584E-6</v>
      </c>
      <c r="H2026" s="85">
        <v>7950</v>
      </c>
      <c r="I2026" s="85">
        <f t="shared" si="266"/>
        <v>1.4048809647771854E-2</v>
      </c>
      <c r="J2026" s="87">
        <v>1</v>
      </c>
      <c r="K2026" s="88">
        <f t="shared" si="267"/>
        <v>71.180407811888912</v>
      </c>
    </row>
    <row r="2027" spans="1:11" hidden="1" x14ac:dyDescent="0.25">
      <c r="A2027" t="str">
        <f t="shared" si="268"/>
        <v>VESCØ2,38125</v>
      </c>
      <c r="B2027" s="81" t="s">
        <v>210</v>
      </c>
      <c r="C2027" s="101" t="s">
        <v>213</v>
      </c>
      <c r="D2027" s="86">
        <f>3/32*25.4</f>
        <v>2.3812499999999996</v>
      </c>
      <c r="E2027" s="85">
        <f t="shared" si="269"/>
        <v>2.3812499999999997E-3</v>
      </c>
      <c r="F2027" s="85">
        <f t="shared" si="270"/>
        <v>1.1906249999999998E-3</v>
      </c>
      <c r="G2027" s="85">
        <f t="shared" si="271"/>
        <v>7.0699053785209917E-9</v>
      </c>
      <c r="H2027" s="85">
        <v>2500</v>
      </c>
      <c r="I2027" s="85">
        <f t="shared" si="266"/>
        <v>1.7674763446302481E-5</v>
      </c>
      <c r="J2027" s="87">
        <v>1</v>
      </c>
      <c r="K2027" s="88">
        <f t="shared" si="267"/>
        <v>56577.843490697334</v>
      </c>
    </row>
    <row r="2028" spans="1:11" hidden="1" x14ac:dyDescent="0.25">
      <c r="A2028" t="str">
        <f t="shared" si="268"/>
        <v>VitonØ4,7625</v>
      </c>
      <c r="B2028" s="81" t="s">
        <v>347</v>
      </c>
      <c r="C2028" s="101" t="s">
        <v>248</v>
      </c>
      <c r="D2028" s="86">
        <f>3/16*25.4</f>
        <v>4.7624999999999993</v>
      </c>
      <c r="E2028" s="85">
        <f t="shared" si="269"/>
        <v>4.7624999999999994E-3</v>
      </c>
      <c r="F2028" s="85">
        <f t="shared" si="270"/>
        <v>2.3812499999999997E-3</v>
      </c>
      <c r="G2028" s="85">
        <f t="shared" si="271"/>
        <v>5.6559243028167934E-8</v>
      </c>
      <c r="H2028" s="85">
        <v>1920</v>
      </c>
      <c r="I2028" s="85">
        <f t="shared" si="266"/>
        <v>1.0859374661408243E-4</v>
      </c>
      <c r="J2028" s="87">
        <v>1</v>
      </c>
      <c r="K2028" s="88">
        <f t="shared" si="267"/>
        <v>9208.633380647354</v>
      </c>
    </row>
    <row r="2029" spans="1:11" hidden="1" x14ac:dyDescent="0.25">
      <c r="A2029" t="str">
        <f t="shared" si="268"/>
        <v>VitonØ4,7625</v>
      </c>
      <c r="B2029" s="81" t="s">
        <v>347</v>
      </c>
      <c r="C2029" s="101" t="s">
        <v>248</v>
      </c>
      <c r="D2029" s="86">
        <f>3/16*25.4</f>
        <v>4.7624999999999993</v>
      </c>
      <c r="E2029" s="85">
        <f t="shared" si="269"/>
        <v>4.7624999999999994E-3</v>
      </c>
      <c r="F2029" s="85">
        <f t="shared" si="270"/>
        <v>2.3812499999999997E-3</v>
      </c>
      <c r="G2029" s="85">
        <f t="shared" si="271"/>
        <v>5.6559243028167934E-8</v>
      </c>
      <c r="H2029" s="85">
        <v>1930</v>
      </c>
      <c r="I2029" s="85">
        <f t="shared" si="266"/>
        <v>1.0915933904436411E-4</v>
      </c>
      <c r="J2029" s="87">
        <v>1</v>
      </c>
      <c r="K2029" s="88">
        <f t="shared" si="267"/>
        <v>9160.9202543227566</v>
      </c>
    </row>
    <row r="2030" spans="1:11" hidden="1" x14ac:dyDescent="0.25">
      <c r="A2030" t="str">
        <f t="shared" si="268"/>
        <v>Si3N4Ø1,5875</v>
      </c>
      <c r="B2030" s="81" t="s">
        <v>207</v>
      </c>
      <c r="C2030" s="101" t="s">
        <v>246</v>
      </c>
      <c r="D2030" s="86">
        <f>1/16*25.4</f>
        <v>1.5874999999999999</v>
      </c>
      <c r="E2030" s="85">
        <f t="shared" si="269"/>
        <v>1.5874999999999999E-3</v>
      </c>
      <c r="F2030" s="85">
        <f t="shared" si="270"/>
        <v>7.9374999999999997E-4</v>
      </c>
      <c r="G2030" s="85">
        <f t="shared" si="271"/>
        <v>2.0947867788210349E-9</v>
      </c>
      <c r="H2030" s="85">
        <v>3260</v>
      </c>
      <c r="I2030" s="85">
        <f t="shared" si="266"/>
        <v>6.8290048989565737E-6</v>
      </c>
      <c r="J2030" s="87">
        <v>1</v>
      </c>
      <c r="K2030" s="88">
        <f t="shared" si="267"/>
        <v>146434.21915728797</v>
      </c>
    </row>
    <row r="2031" spans="1:11" hidden="1" x14ac:dyDescent="0.25">
      <c r="A2031" t="str">
        <f t="shared" si="268"/>
        <v>Si3N4Ø1,5875</v>
      </c>
      <c r="B2031" s="81" t="s">
        <v>207</v>
      </c>
      <c r="C2031" s="101" t="s">
        <v>246</v>
      </c>
      <c r="D2031" s="86">
        <f>1/16*25.4</f>
        <v>1.5874999999999999</v>
      </c>
      <c r="E2031" s="85">
        <f t="shared" si="269"/>
        <v>1.5874999999999999E-3</v>
      </c>
      <c r="F2031" s="85">
        <f t="shared" si="270"/>
        <v>7.9374999999999997E-4</v>
      </c>
      <c r="G2031" s="85">
        <f t="shared" si="271"/>
        <v>2.0947867788210349E-9</v>
      </c>
      <c r="H2031" s="85">
        <v>3260</v>
      </c>
      <c r="I2031" s="85">
        <f t="shared" si="266"/>
        <v>6.8290048989565737E-6</v>
      </c>
      <c r="J2031" s="87">
        <v>1</v>
      </c>
      <c r="K2031" s="88">
        <f t="shared" si="267"/>
        <v>146434.21915728797</v>
      </c>
    </row>
    <row r="2032" spans="1:11" hidden="1" x14ac:dyDescent="0.25">
      <c r="A2032" t="str">
        <f t="shared" si="268"/>
        <v>Si3N4Ø1,5875</v>
      </c>
      <c r="B2032" s="81" t="s">
        <v>207</v>
      </c>
      <c r="C2032" s="101" t="s">
        <v>246</v>
      </c>
      <c r="D2032" s="86">
        <f>1/16*25.4</f>
        <v>1.5874999999999999</v>
      </c>
      <c r="E2032" s="85">
        <f t="shared" si="269"/>
        <v>1.5874999999999999E-3</v>
      </c>
      <c r="F2032" s="85">
        <f t="shared" si="270"/>
        <v>7.9374999999999997E-4</v>
      </c>
      <c r="G2032" s="85">
        <f t="shared" si="271"/>
        <v>2.0947867788210349E-9</v>
      </c>
      <c r="H2032" s="85">
        <v>3270</v>
      </c>
      <c r="I2032" s="85">
        <f t="shared" si="266"/>
        <v>6.8499527667447838E-6</v>
      </c>
      <c r="J2032" s="87">
        <v>1</v>
      </c>
      <c r="K2032" s="88">
        <f t="shared" si="267"/>
        <v>145986.40808952868</v>
      </c>
    </row>
    <row r="2033" spans="1:11" hidden="1" x14ac:dyDescent="0.25">
      <c r="A2033" t="str">
        <f t="shared" si="268"/>
        <v>52100Ø0,8</v>
      </c>
      <c r="B2033" s="81">
        <v>52100</v>
      </c>
      <c r="D2033" s="86">
        <v>0.8</v>
      </c>
      <c r="E2033" s="85">
        <f t="shared" si="269"/>
        <v>8.0000000000000004E-4</v>
      </c>
      <c r="F2033" s="85">
        <f t="shared" si="270"/>
        <v>4.0000000000000002E-4</v>
      </c>
      <c r="G2033" s="85">
        <f t="shared" si="271"/>
        <v>2.6808257310632903E-10</v>
      </c>
      <c r="H2033" s="85">
        <v>7800</v>
      </c>
      <c r="I2033" s="85">
        <f t="shared" si="266"/>
        <v>2.0910440702293663E-6</v>
      </c>
      <c r="J2033" s="87">
        <v>1</v>
      </c>
      <c r="K2033" s="88">
        <f t="shared" si="267"/>
        <v>478229.99727132014</v>
      </c>
    </row>
    <row r="2034" spans="1:11" hidden="1" x14ac:dyDescent="0.25">
      <c r="A2034" t="str">
        <f t="shared" si="268"/>
        <v>52100Ø0,5</v>
      </c>
      <c r="B2034" s="81">
        <v>52100</v>
      </c>
      <c r="D2034" s="86">
        <v>0.5</v>
      </c>
      <c r="E2034" s="85">
        <f t="shared" si="269"/>
        <v>5.0000000000000001E-4</v>
      </c>
      <c r="F2034" s="85">
        <f t="shared" si="270"/>
        <v>2.5000000000000001E-4</v>
      </c>
      <c r="G2034" s="85">
        <f t="shared" si="271"/>
        <v>6.5449846949787358E-11</v>
      </c>
      <c r="H2034" s="85">
        <v>7800</v>
      </c>
      <c r="I2034" s="85">
        <f t="shared" si="266"/>
        <v>5.1050880620834141E-7</v>
      </c>
      <c r="J2034" s="87">
        <v>1</v>
      </c>
      <c r="K2034" s="88">
        <f t="shared" si="267"/>
        <v>1958830.0688233273</v>
      </c>
    </row>
    <row r="2035" spans="1:11" hidden="1" x14ac:dyDescent="0.25">
      <c r="A2035" t="str">
        <f t="shared" si="268"/>
        <v>316Ø1,1</v>
      </c>
      <c r="B2035" s="81">
        <v>316</v>
      </c>
      <c r="D2035" s="86">
        <v>1.1000000000000001</v>
      </c>
      <c r="E2035" s="85">
        <f t="shared" si="269"/>
        <v>1.1000000000000001E-3</v>
      </c>
      <c r="F2035" s="85">
        <f t="shared" si="270"/>
        <v>5.5000000000000003E-4</v>
      </c>
      <c r="G2035" s="85">
        <f t="shared" si="271"/>
        <v>6.9690997032133588E-10</v>
      </c>
      <c r="H2035" s="85">
        <v>7950</v>
      </c>
      <c r="I2035" s="85">
        <f t="shared" si="266"/>
        <v>5.5404342640546202E-6</v>
      </c>
      <c r="J2035" s="87">
        <v>1</v>
      </c>
      <c r="K2035" s="88">
        <f t="shared" si="267"/>
        <v>180491.26699107816</v>
      </c>
    </row>
    <row r="2036" spans="1:11" hidden="1" x14ac:dyDescent="0.25">
      <c r="A2036" t="str">
        <f t="shared" si="268"/>
        <v>PA6.6Ø3,5</v>
      </c>
      <c r="B2036" s="81" t="s">
        <v>244</v>
      </c>
      <c r="D2036" s="86">
        <v>3.5</v>
      </c>
      <c r="E2036" s="85">
        <f t="shared" si="269"/>
        <v>3.5000000000000001E-3</v>
      </c>
      <c r="F2036" s="85">
        <f t="shared" si="270"/>
        <v>1.75E-3</v>
      </c>
      <c r="G2036" s="85">
        <f t="shared" si="271"/>
        <v>2.2449297503777064E-8</v>
      </c>
      <c r="H2036" s="85">
        <v>1110</v>
      </c>
      <c r="I2036" s="85">
        <f t="shared" si="266"/>
        <v>2.491872022919254E-5</v>
      </c>
      <c r="J2036" s="87">
        <v>1</v>
      </c>
      <c r="K2036" s="88">
        <f t="shared" si="267"/>
        <v>40130.471822083768</v>
      </c>
    </row>
    <row r="2037" spans="1:11" hidden="1" x14ac:dyDescent="0.25">
      <c r="A2037" t="str">
        <f t="shared" si="268"/>
        <v>POMØ2</v>
      </c>
      <c r="B2037" s="81" t="s">
        <v>201</v>
      </c>
      <c r="D2037" s="86">
        <v>2</v>
      </c>
      <c r="E2037" s="85">
        <f t="shared" si="269"/>
        <v>2E-3</v>
      </c>
      <c r="F2037" s="85">
        <f t="shared" si="270"/>
        <v>1E-3</v>
      </c>
      <c r="G2037" s="85">
        <f t="shared" si="271"/>
        <v>4.1887902047863909E-9</v>
      </c>
      <c r="H2037" s="85">
        <v>1370</v>
      </c>
      <c r="I2037" s="85">
        <f t="shared" si="266"/>
        <v>5.7386425805573556E-6</v>
      </c>
      <c r="J2037" s="87">
        <v>1</v>
      </c>
      <c r="K2037" s="88">
        <f t="shared" si="267"/>
        <v>174257.23696192921</v>
      </c>
    </row>
    <row r="2038" spans="1:11" hidden="1" x14ac:dyDescent="0.25">
      <c r="A2038" t="str">
        <f t="shared" si="268"/>
        <v>POMØ2</v>
      </c>
      <c r="B2038" s="81" t="s">
        <v>201</v>
      </c>
      <c r="D2038" s="86">
        <v>2</v>
      </c>
      <c r="E2038" s="85">
        <f t="shared" si="269"/>
        <v>2E-3</v>
      </c>
      <c r="F2038" s="85">
        <f t="shared" si="270"/>
        <v>1E-3</v>
      </c>
      <c r="G2038" s="85">
        <f t="shared" si="271"/>
        <v>4.1887902047863909E-9</v>
      </c>
      <c r="H2038" s="85">
        <v>1410</v>
      </c>
      <c r="I2038" s="85">
        <f t="shared" si="266"/>
        <v>5.906194188748811E-6</v>
      </c>
      <c r="J2038" s="87">
        <v>1</v>
      </c>
      <c r="K2038" s="88">
        <f t="shared" si="267"/>
        <v>169313.76924669716</v>
      </c>
    </row>
    <row r="2039" spans="1:11" hidden="1" x14ac:dyDescent="0.25">
      <c r="A2039" t="str">
        <f t="shared" si="268"/>
        <v>420CØ3,175</v>
      </c>
      <c r="B2039" s="81" t="s">
        <v>295</v>
      </c>
      <c r="C2039" s="101" t="s">
        <v>214</v>
      </c>
      <c r="D2039" s="86">
        <f>1/8*25.4</f>
        <v>3.1749999999999998</v>
      </c>
      <c r="E2039" s="85">
        <f t="shared" si="269"/>
        <v>3.1749999999999999E-3</v>
      </c>
      <c r="F2039" s="85">
        <f t="shared" si="270"/>
        <v>1.5874999999999999E-3</v>
      </c>
      <c r="G2039" s="85">
        <f t="shared" si="271"/>
        <v>1.6758294230568279E-8</v>
      </c>
      <c r="H2039" s="85">
        <v>7750</v>
      </c>
      <c r="I2039" s="85">
        <f t="shared" si="266"/>
        <v>1.2987678028690417E-4</v>
      </c>
      <c r="J2039" s="87">
        <v>1</v>
      </c>
      <c r="K2039" s="88">
        <f t="shared" si="267"/>
        <v>7699.6057169799788</v>
      </c>
    </row>
    <row r="2040" spans="1:11" hidden="1" x14ac:dyDescent="0.25">
      <c r="A2040" t="str">
        <f t="shared" si="268"/>
        <v>420CØ2,5</v>
      </c>
      <c r="B2040" s="81" t="s">
        <v>295</v>
      </c>
      <c r="D2040" s="86">
        <v>2.5</v>
      </c>
      <c r="E2040" s="85">
        <f t="shared" si="269"/>
        <v>2.5000000000000001E-3</v>
      </c>
      <c r="F2040" s="85">
        <f t="shared" si="270"/>
        <v>1.25E-3</v>
      </c>
      <c r="G2040" s="85">
        <f t="shared" si="271"/>
        <v>8.181230868723419E-9</v>
      </c>
      <c r="H2040" s="85">
        <v>7750</v>
      </c>
      <c r="I2040" s="85">
        <f t="shared" si="266"/>
        <v>6.3404539232606502E-5</v>
      </c>
      <c r="J2040" s="87">
        <v>1</v>
      </c>
      <c r="K2040" s="88">
        <f t="shared" si="267"/>
        <v>15771.741457364596</v>
      </c>
    </row>
    <row r="2041" spans="1:11" hidden="1" x14ac:dyDescent="0.25">
      <c r="A2041" t="str">
        <f t="shared" si="268"/>
        <v>NBRØ3,96875</v>
      </c>
      <c r="B2041" s="81" t="s">
        <v>341</v>
      </c>
      <c r="C2041" s="101" t="s">
        <v>215</v>
      </c>
      <c r="D2041" s="86">
        <f>5/32*25.4</f>
        <v>3.96875</v>
      </c>
      <c r="E2041" s="85">
        <f t="shared" si="269"/>
        <v>3.9687500000000001E-3</v>
      </c>
      <c r="F2041" s="85">
        <f t="shared" si="270"/>
        <v>1.984375E-3</v>
      </c>
      <c r="G2041" s="85">
        <f t="shared" si="271"/>
        <v>3.2731043419078684E-8</v>
      </c>
      <c r="H2041" s="85">
        <v>1400</v>
      </c>
      <c r="I2041" s="85">
        <f t="shared" si="266"/>
        <v>4.5823460786710157E-5</v>
      </c>
      <c r="J2041" s="87">
        <v>1</v>
      </c>
      <c r="K2041" s="88">
        <f t="shared" si="267"/>
        <v>21822.882489268963</v>
      </c>
    </row>
    <row r="2042" spans="1:11" hidden="1" x14ac:dyDescent="0.25">
      <c r="A2042" t="str">
        <f t="shared" si="268"/>
        <v>420CØ3,6</v>
      </c>
      <c r="B2042" s="81" t="s">
        <v>295</v>
      </c>
      <c r="D2042" s="86">
        <v>3.6</v>
      </c>
      <c r="E2042" s="85">
        <f t="shared" si="269"/>
        <v>3.5999999999999999E-3</v>
      </c>
      <c r="F2042" s="85">
        <f t="shared" si="270"/>
        <v>1.8E-3</v>
      </c>
      <c r="G2042" s="85">
        <f t="shared" si="271"/>
        <v>2.4429024474314225E-8</v>
      </c>
      <c r="H2042" s="85">
        <v>7700</v>
      </c>
      <c r="I2042" s="85">
        <f t="shared" si="266"/>
        <v>1.8810348845221952E-4</v>
      </c>
      <c r="J2042" s="87">
        <v>1</v>
      </c>
      <c r="K2042" s="88">
        <f t="shared" si="267"/>
        <v>5316.2225125559626</v>
      </c>
    </row>
    <row r="2043" spans="1:11" hidden="1" x14ac:dyDescent="0.25">
      <c r="A2043" t="str">
        <f t="shared" si="268"/>
        <v>316LØ1</v>
      </c>
      <c r="B2043" s="81" t="s">
        <v>298</v>
      </c>
      <c r="D2043" s="86">
        <v>1</v>
      </c>
      <c r="E2043" s="85">
        <f t="shared" si="269"/>
        <v>1E-3</v>
      </c>
      <c r="F2043" s="85">
        <f t="shared" si="270"/>
        <v>5.0000000000000001E-4</v>
      </c>
      <c r="G2043" s="85">
        <f t="shared" si="271"/>
        <v>5.2359877559829886E-10</v>
      </c>
      <c r="H2043" s="85">
        <v>7950</v>
      </c>
      <c r="I2043" s="85">
        <f t="shared" si="266"/>
        <v>4.1626102660064759E-6</v>
      </c>
      <c r="J2043" s="87">
        <v>1</v>
      </c>
      <c r="K2043" s="88">
        <f t="shared" si="267"/>
        <v>240233.87636512503</v>
      </c>
    </row>
    <row r="2044" spans="1:11" hidden="1" x14ac:dyDescent="0.25">
      <c r="A2044" t="str">
        <f t="shared" si="268"/>
        <v>316LØ1</v>
      </c>
      <c r="B2044" s="81" t="s">
        <v>298</v>
      </c>
      <c r="D2044" s="86">
        <v>1</v>
      </c>
      <c r="E2044" s="85">
        <f t="shared" si="269"/>
        <v>1E-3</v>
      </c>
      <c r="F2044" s="85">
        <f t="shared" si="270"/>
        <v>5.0000000000000001E-4</v>
      </c>
      <c r="G2044" s="85">
        <f t="shared" si="271"/>
        <v>5.2359877559829886E-10</v>
      </c>
      <c r="H2044" s="85">
        <v>7950</v>
      </c>
      <c r="I2044" s="85">
        <f t="shared" ref="I2044:I2063" si="272">H2044*G2044</f>
        <v>4.1626102660064759E-6</v>
      </c>
      <c r="J2044" s="87">
        <v>1</v>
      </c>
      <c r="K2044" s="88">
        <f t="shared" ref="K2044:K2063" si="273">J2044/I2044</f>
        <v>240233.87636512503</v>
      </c>
    </row>
    <row r="2045" spans="1:11" hidden="1" x14ac:dyDescent="0.25">
      <c r="A2045" t="str">
        <f t="shared" si="268"/>
        <v>Al2O3Ø3,175</v>
      </c>
      <c r="B2045" s="81" t="s">
        <v>217</v>
      </c>
      <c r="C2045" s="101" t="s">
        <v>214</v>
      </c>
      <c r="D2045" s="86">
        <f>1/8*25.4</f>
        <v>3.1749999999999998</v>
      </c>
      <c r="E2045" s="85">
        <f t="shared" si="269"/>
        <v>3.1749999999999999E-3</v>
      </c>
      <c r="F2045" s="85">
        <f t="shared" si="270"/>
        <v>1.5874999999999999E-3</v>
      </c>
      <c r="G2045" s="85">
        <f t="shared" si="271"/>
        <v>1.6758294230568279E-8</v>
      </c>
      <c r="H2045" s="85">
        <v>3947</v>
      </c>
      <c r="I2045" s="85">
        <f t="shared" si="272"/>
        <v>6.6144987328052996E-5</v>
      </c>
      <c r="J2045" s="87">
        <v>1</v>
      </c>
      <c r="K2045" s="88">
        <f t="shared" si="273"/>
        <v>15118.303599339964</v>
      </c>
    </row>
    <row r="2046" spans="1:11" hidden="1" x14ac:dyDescent="0.25">
      <c r="A2046" t="str">
        <f t="shared" si="268"/>
        <v>52100Ø2</v>
      </c>
      <c r="B2046" s="81">
        <v>52100</v>
      </c>
      <c r="D2046" s="86">
        <v>2</v>
      </c>
      <c r="E2046" s="85">
        <f t="shared" si="269"/>
        <v>2E-3</v>
      </c>
      <c r="F2046" s="85">
        <f t="shared" si="270"/>
        <v>1E-3</v>
      </c>
      <c r="G2046" s="85">
        <f t="shared" si="271"/>
        <v>4.1887902047863909E-9</v>
      </c>
      <c r="H2046" s="85">
        <v>7800</v>
      </c>
      <c r="I2046" s="85">
        <f t="shared" si="272"/>
        <v>3.267256359733385E-5</v>
      </c>
      <c r="J2046" s="87">
        <v>1</v>
      </c>
      <c r="K2046" s="88">
        <f t="shared" si="273"/>
        <v>30606.719825364489</v>
      </c>
    </row>
    <row r="2047" spans="1:11" hidden="1" x14ac:dyDescent="0.25">
      <c r="A2047" t="str">
        <f t="shared" si="268"/>
        <v>420CØ2</v>
      </c>
      <c r="B2047" s="81" t="s">
        <v>295</v>
      </c>
      <c r="D2047" s="86">
        <v>2</v>
      </c>
      <c r="E2047" s="85">
        <f t="shared" si="269"/>
        <v>2E-3</v>
      </c>
      <c r="F2047" s="85">
        <f t="shared" si="270"/>
        <v>1E-3</v>
      </c>
      <c r="G2047" s="85">
        <f t="shared" si="271"/>
        <v>4.1887902047863909E-9</v>
      </c>
      <c r="H2047" s="85">
        <v>7750</v>
      </c>
      <c r="I2047" s="85">
        <f t="shared" si="272"/>
        <v>3.2463124087094526E-5</v>
      </c>
      <c r="J2047" s="87">
        <v>1</v>
      </c>
      <c r="K2047" s="88">
        <f t="shared" si="273"/>
        <v>30804.182533915231</v>
      </c>
    </row>
    <row r="2048" spans="1:11" hidden="1" x14ac:dyDescent="0.25">
      <c r="A2048" t="str">
        <f t="shared" si="268"/>
        <v>420CØ2,5</v>
      </c>
      <c r="B2048" s="81" t="s">
        <v>295</v>
      </c>
      <c r="D2048" s="86">
        <v>2.5</v>
      </c>
      <c r="E2048" s="85">
        <f t="shared" si="269"/>
        <v>2.5000000000000001E-3</v>
      </c>
      <c r="F2048" s="85">
        <f t="shared" si="270"/>
        <v>1.25E-3</v>
      </c>
      <c r="G2048" s="85">
        <f t="shared" si="271"/>
        <v>8.181230868723419E-9</v>
      </c>
      <c r="H2048" s="85">
        <v>7750</v>
      </c>
      <c r="I2048" s="85">
        <f t="shared" si="272"/>
        <v>6.3404539232606502E-5</v>
      </c>
      <c r="J2048" s="87">
        <v>1</v>
      </c>
      <c r="K2048" s="88">
        <f t="shared" si="273"/>
        <v>15771.741457364596</v>
      </c>
    </row>
    <row r="2049" spans="1:11" hidden="1" x14ac:dyDescent="0.25">
      <c r="A2049" t="str">
        <f t="shared" si="268"/>
        <v>420CØ2,778125</v>
      </c>
      <c r="B2049" s="81" t="s">
        <v>295</v>
      </c>
      <c r="C2049" s="101" t="s">
        <v>247</v>
      </c>
      <c r="D2049" s="86">
        <f>7/64*25.4</f>
        <v>2.7781249999999997</v>
      </c>
      <c r="E2049" s="85">
        <f t="shared" si="269"/>
        <v>2.7781249999999998E-3</v>
      </c>
      <c r="F2049" s="85">
        <f t="shared" si="270"/>
        <v>1.3890624999999999E-3</v>
      </c>
      <c r="G2049" s="85">
        <f t="shared" si="271"/>
        <v>1.1226747892743984E-8</v>
      </c>
      <c r="H2049" s="85">
        <v>7750</v>
      </c>
      <c r="I2049" s="85">
        <f t="shared" si="272"/>
        <v>8.7007296168765879E-5</v>
      </c>
      <c r="J2049" s="87">
        <v>1</v>
      </c>
      <c r="K2049" s="88">
        <f t="shared" si="273"/>
        <v>11493.289000273322</v>
      </c>
    </row>
    <row r="2050" spans="1:11" hidden="1" x14ac:dyDescent="0.25">
      <c r="A2050" t="str">
        <f t="shared" si="268"/>
        <v>WC-CoØ2</v>
      </c>
      <c r="B2050" s="81" t="s">
        <v>297</v>
      </c>
      <c r="D2050" s="86">
        <v>2</v>
      </c>
      <c r="E2050" s="85">
        <f t="shared" si="269"/>
        <v>2E-3</v>
      </c>
      <c r="F2050" s="85">
        <f t="shared" si="270"/>
        <v>1E-3</v>
      </c>
      <c r="G2050" s="85">
        <f t="shared" si="271"/>
        <v>4.1887902047863909E-9</v>
      </c>
      <c r="H2050" s="85">
        <v>14950</v>
      </c>
      <c r="I2050" s="85">
        <f t="shared" si="272"/>
        <v>6.2622413561556539E-5</v>
      </c>
      <c r="J2050" s="87">
        <v>1</v>
      </c>
      <c r="K2050" s="88">
        <f t="shared" si="273"/>
        <v>15968.723387146691</v>
      </c>
    </row>
    <row r="2051" spans="1:11" hidden="1" x14ac:dyDescent="0.25">
      <c r="A2051" t="str">
        <f t="shared" si="268"/>
        <v>WC-CoØ1</v>
      </c>
      <c r="B2051" s="81" t="s">
        <v>297</v>
      </c>
      <c r="D2051" s="86">
        <v>1</v>
      </c>
      <c r="E2051" s="85">
        <f t="shared" si="269"/>
        <v>1E-3</v>
      </c>
      <c r="F2051" s="85">
        <f t="shared" si="270"/>
        <v>5.0000000000000001E-4</v>
      </c>
      <c r="G2051" s="85">
        <f t="shared" si="271"/>
        <v>5.2359877559829886E-10</v>
      </c>
      <c r="H2051" s="85">
        <v>14950</v>
      </c>
      <c r="I2051" s="85">
        <f t="shared" si="272"/>
        <v>7.8278016951945674E-6</v>
      </c>
      <c r="J2051" s="87">
        <v>1</v>
      </c>
      <c r="K2051" s="88">
        <f t="shared" si="273"/>
        <v>127749.78709717352</v>
      </c>
    </row>
    <row r="2052" spans="1:11" hidden="1" x14ac:dyDescent="0.25">
      <c r="A2052" t="str">
        <f t="shared" ref="A2052:A2115" si="274">CONCATENATE(B2052,"Ø",D2052)</f>
        <v>52100Ø3</v>
      </c>
      <c r="B2052" s="81">
        <v>52100</v>
      </c>
      <c r="D2052" s="86">
        <v>3</v>
      </c>
      <c r="E2052" s="85">
        <f t="shared" si="269"/>
        <v>3.0000000000000001E-3</v>
      </c>
      <c r="F2052" s="85">
        <f t="shared" si="270"/>
        <v>1.5E-3</v>
      </c>
      <c r="G2052" s="85">
        <f t="shared" si="271"/>
        <v>1.4137166941154068E-8</v>
      </c>
      <c r="H2052" s="85">
        <v>7800</v>
      </c>
      <c r="I2052" s="85">
        <f t="shared" si="272"/>
        <v>1.1026990214100174E-4</v>
      </c>
      <c r="J2052" s="87">
        <v>1</v>
      </c>
      <c r="K2052" s="88">
        <f t="shared" si="273"/>
        <v>9068.6577260339218</v>
      </c>
    </row>
    <row r="2053" spans="1:11" hidden="1" x14ac:dyDescent="0.25">
      <c r="A2053" t="str">
        <f t="shared" si="274"/>
        <v>PPHØ7</v>
      </c>
      <c r="B2053" s="81" t="s">
        <v>202</v>
      </c>
      <c r="D2053" s="86">
        <v>7</v>
      </c>
      <c r="E2053" s="85">
        <f t="shared" si="269"/>
        <v>7.0000000000000001E-3</v>
      </c>
      <c r="F2053" s="85">
        <f t="shared" si="270"/>
        <v>3.5000000000000001E-3</v>
      </c>
      <c r="G2053" s="85">
        <f t="shared" si="271"/>
        <v>1.7959438003021651E-7</v>
      </c>
      <c r="H2053" s="85">
        <v>870</v>
      </c>
      <c r="I2053" s="85">
        <f t="shared" si="272"/>
        <v>1.5624711062628836E-4</v>
      </c>
      <c r="J2053" s="87">
        <v>1</v>
      </c>
      <c r="K2053" s="88">
        <f t="shared" si="273"/>
        <v>6400.1183509357734</v>
      </c>
    </row>
    <row r="2054" spans="1:11" hidden="1" x14ac:dyDescent="0.25">
      <c r="A2054" t="str">
        <f t="shared" si="274"/>
        <v>PA6.6Ø3,96875</v>
      </c>
      <c r="B2054" s="81" t="s">
        <v>244</v>
      </c>
      <c r="C2054" s="101" t="s">
        <v>215</v>
      </c>
      <c r="D2054" s="86">
        <f>5/32*25.4</f>
        <v>3.96875</v>
      </c>
      <c r="E2054" s="85">
        <f t="shared" si="269"/>
        <v>3.9687500000000001E-3</v>
      </c>
      <c r="F2054" s="85">
        <f t="shared" si="270"/>
        <v>1.984375E-3</v>
      </c>
      <c r="G2054" s="85">
        <f t="shared" si="271"/>
        <v>3.2731043419078684E-8</v>
      </c>
      <c r="H2054" s="85">
        <v>1115</v>
      </c>
      <c r="I2054" s="85">
        <f t="shared" si="272"/>
        <v>3.6495113412272732E-5</v>
      </c>
      <c r="J2054" s="87">
        <v>1</v>
      </c>
      <c r="K2054" s="88">
        <f t="shared" si="273"/>
        <v>27400.928686077619</v>
      </c>
    </row>
    <row r="2055" spans="1:11" hidden="1" x14ac:dyDescent="0.25">
      <c r="A2055" t="str">
        <f t="shared" si="274"/>
        <v>52100Ø1</v>
      </c>
      <c r="B2055" s="81">
        <v>52100</v>
      </c>
      <c r="D2055" s="86">
        <v>1</v>
      </c>
      <c r="E2055" s="85">
        <f t="shared" si="269"/>
        <v>1E-3</v>
      </c>
      <c r="F2055" s="85">
        <f t="shared" si="270"/>
        <v>5.0000000000000001E-4</v>
      </c>
      <c r="G2055" s="85">
        <f t="shared" si="271"/>
        <v>5.2359877559829886E-10</v>
      </c>
      <c r="H2055" s="85">
        <v>7800</v>
      </c>
      <c r="I2055" s="85">
        <f t="shared" si="272"/>
        <v>4.0840704496667312E-6</v>
      </c>
      <c r="J2055" s="87">
        <v>1</v>
      </c>
      <c r="K2055" s="88">
        <f t="shared" si="273"/>
        <v>244853.75860291591</v>
      </c>
    </row>
    <row r="2056" spans="1:11" hidden="1" x14ac:dyDescent="0.25">
      <c r="A2056" t="str">
        <f t="shared" si="274"/>
        <v>316LØ1</v>
      </c>
      <c r="B2056" s="81" t="s">
        <v>298</v>
      </c>
      <c r="D2056" s="86">
        <v>1</v>
      </c>
      <c r="E2056" s="85">
        <f t="shared" si="269"/>
        <v>1E-3</v>
      </c>
      <c r="F2056" s="85">
        <f t="shared" si="270"/>
        <v>5.0000000000000001E-4</v>
      </c>
      <c r="G2056" s="85">
        <f t="shared" si="271"/>
        <v>5.2359877559829886E-10</v>
      </c>
      <c r="H2056" s="85">
        <v>7950</v>
      </c>
      <c r="I2056" s="85">
        <f t="shared" si="272"/>
        <v>4.1626102660064759E-6</v>
      </c>
      <c r="J2056" s="87">
        <v>1</v>
      </c>
      <c r="K2056" s="88">
        <f t="shared" si="273"/>
        <v>240233.87636512503</v>
      </c>
    </row>
    <row r="2057" spans="1:11" hidden="1" x14ac:dyDescent="0.25">
      <c r="A2057" t="str">
        <f t="shared" si="274"/>
        <v>WC-CoØ1,5875</v>
      </c>
      <c r="B2057" s="81" t="s">
        <v>297</v>
      </c>
      <c r="C2057" s="101" t="s">
        <v>246</v>
      </c>
      <c r="D2057" s="86">
        <f>1/16*25.4</f>
        <v>1.5874999999999999</v>
      </c>
      <c r="E2057" s="85">
        <f t="shared" si="269"/>
        <v>1.5874999999999999E-3</v>
      </c>
      <c r="F2057" s="85">
        <f t="shared" si="270"/>
        <v>7.9374999999999997E-4</v>
      </c>
      <c r="G2057" s="85">
        <f t="shared" si="271"/>
        <v>2.0947867788210349E-9</v>
      </c>
      <c r="H2057" s="85">
        <v>14950</v>
      </c>
      <c r="I2057" s="85">
        <f t="shared" si="272"/>
        <v>3.1317062343374473E-5</v>
      </c>
      <c r="J2057" s="87">
        <v>1</v>
      </c>
      <c r="K2057" s="88">
        <f t="shared" si="273"/>
        <v>31931.475214231352</v>
      </c>
    </row>
    <row r="2058" spans="1:11" hidden="1" x14ac:dyDescent="0.25">
      <c r="A2058" t="str">
        <f t="shared" si="274"/>
        <v>WC-CoØ2</v>
      </c>
      <c r="B2058" s="81" t="s">
        <v>297</v>
      </c>
      <c r="D2058" s="86">
        <v>2</v>
      </c>
      <c r="E2058" s="85">
        <f t="shared" si="269"/>
        <v>2E-3</v>
      </c>
      <c r="F2058" s="85">
        <f t="shared" si="270"/>
        <v>1E-3</v>
      </c>
      <c r="G2058" s="85">
        <f t="shared" si="271"/>
        <v>4.1887902047863909E-9</v>
      </c>
      <c r="H2058" s="85">
        <v>14950</v>
      </c>
      <c r="I2058" s="85">
        <f t="shared" si="272"/>
        <v>6.2622413561556539E-5</v>
      </c>
      <c r="J2058" s="87">
        <v>1</v>
      </c>
      <c r="K2058" s="88">
        <f t="shared" si="273"/>
        <v>15968.723387146691</v>
      </c>
    </row>
    <row r="2059" spans="1:11" hidden="1" x14ac:dyDescent="0.25">
      <c r="A2059" t="str">
        <f t="shared" si="274"/>
        <v>52100Ø1</v>
      </c>
      <c r="B2059" s="81">
        <v>52100</v>
      </c>
      <c r="D2059" s="86">
        <v>1</v>
      </c>
      <c r="E2059" s="85">
        <f t="shared" si="269"/>
        <v>1E-3</v>
      </c>
      <c r="F2059" s="85">
        <f t="shared" si="270"/>
        <v>5.0000000000000001E-4</v>
      </c>
      <c r="G2059" s="85">
        <f t="shared" si="271"/>
        <v>5.2359877559829886E-10</v>
      </c>
      <c r="H2059" s="85">
        <v>7800</v>
      </c>
      <c r="I2059" s="85">
        <f t="shared" si="272"/>
        <v>4.0840704496667312E-6</v>
      </c>
      <c r="J2059" s="87">
        <v>1</v>
      </c>
      <c r="K2059" s="88">
        <f t="shared" si="273"/>
        <v>244853.75860291591</v>
      </c>
    </row>
    <row r="2060" spans="1:11" hidden="1" x14ac:dyDescent="0.25">
      <c r="A2060" t="str">
        <f t="shared" si="274"/>
        <v>52100Ø1</v>
      </c>
      <c r="B2060" s="81">
        <v>52100</v>
      </c>
      <c r="D2060" s="86">
        <v>1</v>
      </c>
      <c r="E2060" s="85">
        <f t="shared" si="269"/>
        <v>1E-3</v>
      </c>
      <c r="F2060" s="85">
        <f t="shared" si="270"/>
        <v>5.0000000000000001E-4</v>
      </c>
      <c r="G2060" s="85">
        <f t="shared" si="271"/>
        <v>5.2359877559829886E-10</v>
      </c>
      <c r="H2060" s="85">
        <v>7800</v>
      </c>
      <c r="I2060" s="85">
        <f t="shared" si="272"/>
        <v>4.0840704496667312E-6</v>
      </c>
      <c r="J2060" s="87">
        <v>1</v>
      </c>
      <c r="K2060" s="88">
        <f t="shared" si="273"/>
        <v>244853.75860291591</v>
      </c>
    </row>
    <row r="2061" spans="1:11" hidden="1" x14ac:dyDescent="0.25">
      <c r="A2061" t="str">
        <f t="shared" si="274"/>
        <v>VESCØ1</v>
      </c>
      <c r="B2061" s="81" t="s">
        <v>210</v>
      </c>
      <c r="D2061" s="86">
        <v>1</v>
      </c>
      <c r="E2061" s="85">
        <f t="shared" si="269"/>
        <v>1E-3</v>
      </c>
      <c r="F2061" s="85">
        <f t="shared" si="270"/>
        <v>5.0000000000000001E-4</v>
      </c>
      <c r="G2061" s="85">
        <f t="shared" si="271"/>
        <v>5.2359877559829886E-10</v>
      </c>
      <c r="H2061" s="85">
        <v>2500</v>
      </c>
      <c r="I2061" s="85">
        <f t="shared" si="272"/>
        <v>1.3089969389957471E-6</v>
      </c>
      <c r="J2061" s="87">
        <v>1</v>
      </c>
      <c r="K2061" s="88">
        <f t="shared" si="273"/>
        <v>763943.72684109758</v>
      </c>
    </row>
    <row r="2062" spans="1:11" hidden="1" x14ac:dyDescent="0.25">
      <c r="A2062" t="str">
        <f t="shared" si="274"/>
        <v>52100Ø1</v>
      </c>
      <c r="B2062" s="81">
        <v>52100</v>
      </c>
      <c r="D2062" s="86">
        <v>1</v>
      </c>
      <c r="E2062" s="85">
        <f t="shared" si="269"/>
        <v>1E-3</v>
      </c>
      <c r="F2062" s="85">
        <f t="shared" si="270"/>
        <v>5.0000000000000001E-4</v>
      </c>
      <c r="G2062" s="85">
        <f t="shared" si="271"/>
        <v>5.2359877559829886E-10</v>
      </c>
      <c r="H2062" s="85">
        <v>7800</v>
      </c>
      <c r="I2062" s="85">
        <f t="shared" si="272"/>
        <v>4.0840704496667312E-6</v>
      </c>
      <c r="J2062" s="87">
        <v>1</v>
      </c>
      <c r="K2062" s="88">
        <f t="shared" si="273"/>
        <v>244853.75860291591</v>
      </c>
    </row>
    <row r="2063" spans="1:11" x14ac:dyDescent="0.25">
      <c r="A2063" t="str">
        <f t="shared" si="274"/>
        <v>1085Ø3,2</v>
      </c>
      <c r="B2063" s="81">
        <v>1085</v>
      </c>
      <c r="D2063" s="86">
        <v>3.2</v>
      </c>
      <c r="E2063" s="85">
        <f t="shared" si="269"/>
        <v>3.2000000000000002E-3</v>
      </c>
      <c r="F2063" s="85">
        <f t="shared" si="270"/>
        <v>1.6000000000000001E-3</v>
      </c>
      <c r="G2063" s="85">
        <f t="shared" si="271"/>
        <v>1.7157284678805058E-8</v>
      </c>
      <c r="H2063" s="85">
        <v>7850</v>
      </c>
      <c r="I2063" s="85">
        <f t="shared" si="272"/>
        <v>1.3468468472861971E-4</v>
      </c>
      <c r="J2063" s="87">
        <v>1</v>
      </c>
      <c r="K2063" s="88">
        <f t="shared" si="273"/>
        <v>7424.7491614575965</v>
      </c>
    </row>
    <row r="2064" spans="1:11" hidden="1" x14ac:dyDescent="0.25">
      <c r="A2064" t="str">
        <f t="shared" si="274"/>
        <v>WC-CoØ5</v>
      </c>
      <c r="B2064" s="81" t="s">
        <v>297</v>
      </c>
      <c r="D2064" s="86">
        <v>5</v>
      </c>
      <c r="E2064" s="85">
        <f>D2064/1000</f>
        <v>5.0000000000000001E-3</v>
      </c>
      <c r="F2064" s="85">
        <f>E2064/2</f>
        <v>2.5000000000000001E-3</v>
      </c>
      <c r="G2064" s="85">
        <f>4/3*PI()*F2064*F2064*F2064</f>
        <v>6.5449846949787352E-8</v>
      </c>
      <c r="H2064" s="85">
        <v>14950</v>
      </c>
      <c r="I2064" s="85">
        <f>H2064*G2064</f>
        <v>9.7847521189932092E-4</v>
      </c>
      <c r="J2064" s="87">
        <v>1</v>
      </c>
      <c r="K2064" s="88">
        <f>J2064/I2064</f>
        <v>1021.9982967773882</v>
      </c>
    </row>
    <row r="2065" spans="1:11" hidden="1" x14ac:dyDescent="0.25">
      <c r="A2065" t="str">
        <f t="shared" si="274"/>
        <v>WC-CoØ5</v>
      </c>
      <c r="B2065" s="81" t="s">
        <v>297</v>
      </c>
      <c r="D2065" s="86">
        <v>5</v>
      </c>
      <c r="E2065" s="85">
        <f t="shared" ref="E2065:E2094" si="275">D2065/1000</f>
        <v>5.0000000000000001E-3</v>
      </c>
      <c r="F2065" s="85">
        <f t="shared" ref="F2065:F2094" si="276">E2065/2</f>
        <v>2.5000000000000001E-3</v>
      </c>
      <c r="G2065" s="85">
        <f t="shared" ref="G2065:G2094" si="277">4/3*PI()*F2065*F2065*F2065</f>
        <v>6.5449846949787352E-8</v>
      </c>
      <c r="H2065" s="85">
        <v>14950</v>
      </c>
      <c r="I2065" s="85">
        <f t="shared" ref="I2065:I2094" si="278">H2065*G2065</f>
        <v>9.7847521189932092E-4</v>
      </c>
      <c r="J2065" s="87">
        <v>1</v>
      </c>
      <c r="K2065" s="88">
        <f t="shared" ref="K2065:K2094" si="279">J2065/I2065</f>
        <v>1021.9982967773882</v>
      </c>
    </row>
    <row r="2066" spans="1:11" hidden="1" x14ac:dyDescent="0.25">
      <c r="A2066" t="str">
        <f t="shared" si="274"/>
        <v>WC-CoØ5</v>
      </c>
      <c r="B2066" s="81" t="s">
        <v>297</v>
      </c>
      <c r="D2066" s="86">
        <v>5</v>
      </c>
      <c r="E2066" s="85">
        <f t="shared" si="275"/>
        <v>5.0000000000000001E-3</v>
      </c>
      <c r="F2066" s="85">
        <f t="shared" si="276"/>
        <v>2.5000000000000001E-3</v>
      </c>
      <c r="G2066" s="85">
        <f t="shared" si="277"/>
        <v>6.5449846949787352E-8</v>
      </c>
      <c r="H2066" s="85">
        <v>14950</v>
      </c>
      <c r="I2066" s="85">
        <f t="shared" si="278"/>
        <v>9.7847521189932092E-4</v>
      </c>
      <c r="J2066" s="87">
        <v>1</v>
      </c>
      <c r="K2066" s="88">
        <f t="shared" si="279"/>
        <v>1021.9982967773882</v>
      </c>
    </row>
    <row r="2067" spans="1:11" hidden="1" x14ac:dyDescent="0.25">
      <c r="A2067" t="str">
        <f t="shared" si="274"/>
        <v>POMØ3,85</v>
      </c>
      <c r="B2067" s="81" t="s">
        <v>201</v>
      </c>
      <c r="D2067" s="86">
        <v>3.85</v>
      </c>
      <c r="E2067" s="85">
        <f t="shared" si="275"/>
        <v>3.8500000000000001E-3</v>
      </c>
      <c r="F2067" s="85">
        <f t="shared" si="276"/>
        <v>1.9250000000000001E-3</v>
      </c>
      <c r="G2067" s="85">
        <f t="shared" si="277"/>
        <v>2.9880014977527271E-8</v>
      </c>
      <c r="H2067" s="85">
        <v>1370</v>
      </c>
      <c r="I2067" s="85">
        <f t="shared" si="278"/>
        <v>4.0935620519212362E-5</v>
      </c>
      <c r="J2067" s="87">
        <v>1</v>
      </c>
      <c r="K2067" s="88">
        <f t="shared" si="279"/>
        <v>24428.602457135563</v>
      </c>
    </row>
    <row r="2068" spans="1:11" hidden="1" x14ac:dyDescent="0.25">
      <c r="A2068" t="str">
        <f t="shared" si="274"/>
        <v>WC-CoØ2,5</v>
      </c>
      <c r="B2068" s="81" t="s">
        <v>297</v>
      </c>
      <c r="D2068" s="86">
        <v>2.5</v>
      </c>
      <c r="E2068" s="85">
        <f t="shared" si="275"/>
        <v>2.5000000000000001E-3</v>
      </c>
      <c r="F2068" s="85">
        <f t="shared" si="276"/>
        <v>1.25E-3</v>
      </c>
      <c r="G2068" s="85">
        <f t="shared" si="277"/>
        <v>8.181230868723419E-9</v>
      </c>
      <c r="H2068" s="85">
        <v>14950</v>
      </c>
      <c r="I2068" s="85">
        <f t="shared" si="278"/>
        <v>1.2230940148741512E-4</v>
      </c>
      <c r="J2068" s="87">
        <v>1</v>
      </c>
      <c r="K2068" s="88">
        <f t="shared" si="279"/>
        <v>8175.9863742191055</v>
      </c>
    </row>
    <row r="2069" spans="1:11" hidden="1" x14ac:dyDescent="0.25">
      <c r="A2069" t="str">
        <f t="shared" si="274"/>
        <v>WC-CoØ2,5</v>
      </c>
      <c r="B2069" s="81" t="s">
        <v>297</v>
      </c>
      <c r="D2069" s="86">
        <v>2.5</v>
      </c>
      <c r="E2069" s="85">
        <f t="shared" si="275"/>
        <v>2.5000000000000001E-3</v>
      </c>
      <c r="F2069" s="85">
        <f t="shared" si="276"/>
        <v>1.25E-3</v>
      </c>
      <c r="G2069" s="85">
        <f t="shared" si="277"/>
        <v>8.181230868723419E-9</v>
      </c>
      <c r="H2069" s="85">
        <v>14930</v>
      </c>
      <c r="I2069" s="85">
        <f t="shared" si="278"/>
        <v>1.2214577687004065E-4</v>
      </c>
      <c r="J2069" s="87">
        <v>1</v>
      </c>
      <c r="K2069" s="88">
        <f t="shared" si="279"/>
        <v>8186.938800708348</v>
      </c>
    </row>
    <row r="2070" spans="1:11" hidden="1" x14ac:dyDescent="0.25">
      <c r="A2070" t="str">
        <f t="shared" si="274"/>
        <v>POMØ1,5</v>
      </c>
      <c r="B2070" s="81" t="s">
        <v>201</v>
      </c>
      <c r="D2070" s="86">
        <v>1.5</v>
      </c>
      <c r="E2070" s="85">
        <f t="shared" si="275"/>
        <v>1.5E-3</v>
      </c>
      <c r="F2070" s="85">
        <f t="shared" si="276"/>
        <v>7.5000000000000002E-4</v>
      </c>
      <c r="G2070" s="85">
        <f t="shared" si="277"/>
        <v>1.7671458676442585E-9</v>
      </c>
      <c r="H2070" s="85">
        <v>1410</v>
      </c>
      <c r="I2070" s="85">
        <f t="shared" si="278"/>
        <v>2.4916756733784047E-6</v>
      </c>
      <c r="J2070" s="87">
        <v>1</v>
      </c>
      <c r="K2070" s="88">
        <f t="shared" si="279"/>
        <v>401336.34191809699</v>
      </c>
    </row>
    <row r="2071" spans="1:11" hidden="1" x14ac:dyDescent="0.25">
      <c r="A2071" t="str">
        <f t="shared" si="274"/>
        <v>POMØ1,5</v>
      </c>
      <c r="B2071" s="81" t="s">
        <v>201</v>
      </c>
      <c r="D2071" s="86">
        <v>1.5</v>
      </c>
      <c r="E2071" s="85">
        <f t="shared" si="275"/>
        <v>1.5E-3</v>
      </c>
      <c r="F2071" s="85">
        <f t="shared" si="276"/>
        <v>7.5000000000000002E-4</v>
      </c>
      <c r="G2071" s="85">
        <f t="shared" si="277"/>
        <v>1.7671458676442585E-9</v>
      </c>
      <c r="H2071" s="85">
        <v>1410</v>
      </c>
      <c r="I2071" s="85">
        <f t="shared" si="278"/>
        <v>2.4916756733784047E-6</v>
      </c>
      <c r="J2071" s="87">
        <v>1</v>
      </c>
      <c r="K2071" s="88">
        <f t="shared" si="279"/>
        <v>401336.34191809699</v>
      </c>
    </row>
    <row r="2072" spans="1:11" hidden="1" x14ac:dyDescent="0.25">
      <c r="A2072" t="str">
        <f t="shared" si="274"/>
        <v>PPHØ1,5875</v>
      </c>
      <c r="B2072" s="81" t="s">
        <v>202</v>
      </c>
      <c r="C2072" s="101" t="s">
        <v>246</v>
      </c>
      <c r="D2072" s="86">
        <f>1/16*25.4</f>
        <v>1.5874999999999999</v>
      </c>
      <c r="E2072" s="85">
        <f t="shared" si="275"/>
        <v>1.5874999999999999E-3</v>
      </c>
      <c r="F2072" s="85">
        <f t="shared" si="276"/>
        <v>7.9374999999999997E-4</v>
      </c>
      <c r="G2072" s="85">
        <f t="shared" si="277"/>
        <v>2.0947867788210349E-9</v>
      </c>
      <c r="H2072" s="85">
        <v>870</v>
      </c>
      <c r="I2072" s="85">
        <f t="shared" si="278"/>
        <v>1.8224644975743004E-6</v>
      </c>
      <c r="J2072" s="87">
        <v>1</v>
      </c>
      <c r="K2072" s="88">
        <f t="shared" si="279"/>
        <v>548707.53385374567</v>
      </c>
    </row>
    <row r="2073" spans="1:11" hidden="1" x14ac:dyDescent="0.25">
      <c r="A2073" t="str">
        <f t="shared" si="274"/>
        <v>PPH 30% G.F.Ø3,175</v>
      </c>
      <c r="B2073" s="81" t="s">
        <v>396</v>
      </c>
      <c r="C2073" s="101" t="s">
        <v>214</v>
      </c>
      <c r="D2073" s="86">
        <f>1/8*25.4</f>
        <v>3.1749999999999998</v>
      </c>
      <c r="E2073" s="85">
        <f t="shared" si="275"/>
        <v>3.1749999999999999E-3</v>
      </c>
      <c r="F2073" s="85">
        <f t="shared" si="276"/>
        <v>1.5874999999999999E-3</v>
      </c>
      <c r="G2073" s="85">
        <f t="shared" si="277"/>
        <v>1.6758294230568279E-8</v>
      </c>
      <c r="H2073" s="85">
        <v>1160</v>
      </c>
      <c r="I2073" s="85">
        <f t="shared" si="278"/>
        <v>1.9439621307459204E-5</v>
      </c>
      <c r="J2073" s="87">
        <v>1</v>
      </c>
      <c r="K2073" s="88">
        <f t="shared" si="279"/>
        <v>51441.331298788653</v>
      </c>
    </row>
    <row r="2074" spans="1:11" hidden="1" x14ac:dyDescent="0.25">
      <c r="A2074" t="str">
        <f t="shared" si="274"/>
        <v>PPH 30% G.F.Ø3,175</v>
      </c>
      <c r="B2074" s="81" t="s">
        <v>396</v>
      </c>
      <c r="C2074" s="101" t="s">
        <v>214</v>
      </c>
      <c r="D2074" s="86">
        <f>1/8*25.4</f>
        <v>3.1749999999999998</v>
      </c>
      <c r="E2074" s="85">
        <f t="shared" si="275"/>
        <v>3.1749999999999999E-3</v>
      </c>
      <c r="F2074" s="85">
        <f t="shared" si="276"/>
        <v>1.5874999999999999E-3</v>
      </c>
      <c r="G2074" s="85">
        <f t="shared" si="277"/>
        <v>1.6758294230568279E-8</v>
      </c>
      <c r="H2074" s="85">
        <v>1160</v>
      </c>
      <c r="I2074" s="85">
        <f t="shared" si="278"/>
        <v>1.9439621307459204E-5</v>
      </c>
      <c r="J2074" s="87">
        <v>1</v>
      </c>
      <c r="K2074" s="88">
        <f t="shared" si="279"/>
        <v>51441.331298788653</v>
      </c>
    </row>
    <row r="2075" spans="1:11" hidden="1" x14ac:dyDescent="0.25">
      <c r="A2075" t="str">
        <f t="shared" si="274"/>
        <v>420CØ3,5</v>
      </c>
      <c r="B2075" s="81" t="s">
        <v>295</v>
      </c>
      <c r="D2075" s="86">
        <v>3.5</v>
      </c>
      <c r="E2075" s="85">
        <f t="shared" si="275"/>
        <v>3.5000000000000001E-3</v>
      </c>
      <c r="F2075" s="85">
        <f t="shared" si="276"/>
        <v>1.75E-3</v>
      </c>
      <c r="G2075" s="85">
        <f t="shared" si="277"/>
        <v>2.2449297503777064E-8</v>
      </c>
      <c r="H2075" s="85">
        <v>7750</v>
      </c>
      <c r="I2075" s="85">
        <f t="shared" si="278"/>
        <v>1.7398205565427225E-4</v>
      </c>
      <c r="J2075" s="87">
        <v>1</v>
      </c>
      <c r="K2075" s="88">
        <f t="shared" si="279"/>
        <v>5747.7191900016751</v>
      </c>
    </row>
    <row r="2076" spans="1:11" hidden="1" x14ac:dyDescent="0.25">
      <c r="A2076" t="str">
        <f t="shared" si="274"/>
        <v>420CØ3</v>
      </c>
      <c r="B2076" s="81" t="s">
        <v>295</v>
      </c>
      <c r="D2076" s="86">
        <v>3</v>
      </c>
      <c r="E2076" s="85">
        <f t="shared" si="275"/>
        <v>3.0000000000000001E-3</v>
      </c>
      <c r="F2076" s="85">
        <f t="shared" si="276"/>
        <v>1.5E-3</v>
      </c>
      <c r="G2076" s="85">
        <f t="shared" si="277"/>
        <v>1.4137166941154068E-8</v>
      </c>
      <c r="H2076" s="85">
        <v>7750</v>
      </c>
      <c r="I2076" s="85">
        <f t="shared" si="278"/>
        <v>1.0956304379394402E-4</v>
      </c>
      <c r="J2076" s="87">
        <v>1</v>
      </c>
      <c r="K2076" s="88">
        <f t="shared" si="279"/>
        <v>9127.1651952341417</v>
      </c>
    </row>
    <row r="2077" spans="1:11" hidden="1" x14ac:dyDescent="0.25">
      <c r="A2077" t="str">
        <f t="shared" si="274"/>
        <v>Al2O3Ø3,96875</v>
      </c>
      <c r="B2077" s="81" t="s">
        <v>217</v>
      </c>
      <c r="C2077" s="101" t="s">
        <v>215</v>
      </c>
      <c r="D2077" s="86">
        <f>5/32*25.4</f>
        <v>3.96875</v>
      </c>
      <c r="E2077" s="85">
        <f t="shared" si="275"/>
        <v>3.9687500000000001E-3</v>
      </c>
      <c r="F2077" s="85">
        <f t="shared" si="276"/>
        <v>1.984375E-3</v>
      </c>
      <c r="G2077" s="85">
        <f t="shared" si="277"/>
        <v>3.2731043419078684E-8</v>
      </c>
      <c r="H2077" s="85">
        <v>3940</v>
      </c>
      <c r="I2077" s="85">
        <f t="shared" si="278"/>
        <v>1.2896031107117E-4</v>
      </c>
      <c r="J2077" s="87">
        <v>1</v>
      </c>
      <c r="K2077" s="88">
        <f t="shared" si="279"/>
        <v>7754.3237271514081</v>
      </c>
    </row>
    <row r="2078" spans="1:11" hidden="1" x14ac:dyDescent="0.25">
      <c r="A2078" t="str">
        <f t="shared" si="274"/>
        <v>52100Ø3,94875</v>
      </c>
      <c r="B2078" s="81">
        <v>52100</v>
      </c>
      <c r="C2078" s="101" t="s">
        <v>349</v>
      </c>
      <c r="D2078" s="86">
        <f>5/32*25.4 -0.02</f>
        <v>3.94875</v>
      </c>
      <c r="E2078" s="85">
        <f t="shared" si="275"/>
        <v>3.94875E-3</v>
      </c>
      <c r="F2078" s="85">
        <f t="shared" si="276"/>
        <v>1.974375E-3</v>
      </c>
      <c r="G2078" s="85">
        <f t="shared" si="277"/>
        <v>3.2238701346901108E-8</v>
      </c>
      <c r="H2078" s="85">
        <v>7800</v>
      </c>
      <c r="I2078" s="85">
        <f t="shared" si="278"/>
        <v>2.5146187050582863E-4</v>
      </c>
      <c r="J2078" s="87">
        <v>1</v>
      </c>
      <c r="K2078" s="88">
        <f t="shared" si="279"/>
        <v>3976.7460489673763</v>
      </c>
    </row>
    <row r="2079" spans="1:11" hidden="1" x14ac:dyDescent="0.25">
      <c r="A2079" t="str">
        <f t="shared" si="274"/>
        <v>420CØ0,5</v>
      </c>
      <c r="B2079" s="81" t="s">
        <v>295</v>
      </c>
      <c r="D2079" s="86">
        <v>0.5</v>
      </c>
      <c r="E2079" s="85">
        <f t="shared" si="275"/>
        <v>5.0000000000000001E-4</v>
      </c>
      <c r="F2079" s="85">
        <f t="shared" si="276"/>
        <v>2.5000000000000001E-4</v>
      </c>
      <c r="G2079" s="85">
        <f t="shared" si="277"/>
        <v>6.5449846949787358E-11</v>
      </c>
      <c r="H2079" s="85">
        <v>7750</v>
      </c>
      <c r="I2079" s="85">
        <f t="shared" si="278"/>
        <v>5.0723631386085197E-7</v>
      </c>
      <c r="J2079" s="87">
        <v>1</v>
      </c>
      <c r="K2079" s="88">
        <f t="shared" si="279"/>
        <v>1971467.6821705748</v>
      </c>
    </row>
    <row r="2080" spans="1:11" hidden="1" x14ac:dyDescent="0.25">
      <c r="A2080" t="str">
        <f t="shared" si="274"/>
        <v>420CØ3,175</v>
      </c>
      <c r="B2080" s="81" t="s">
        <v>295</v>
      </c>
      <c r="C2080" s="101" t="s">
        <v>214</v>
      </c>
      <c r="D2080" s="86">
        <f>1/8*25.4</f>
        <v>3.1749999999999998</v>
      </c>
      <c r="E2080" s="85">
        <f t="shared" si="275"/>
        <v>3.1749999999999999E-3</v>
      </c>
      <c r="F2080" s="85">
        <f t="shared" si="276"/>
        <v>1.5874999999999999E-3</v>
      </c>
      <c r="G2080" s="85">
        <f t="shared" si="277"/>
        <v>1.6758294230568279E-8</v>
      </c>
      <c r="H2080" s="85">
        <v>7750</v>
      </c>
      <c r="I2080" s="85">
        <f t="shared" si="278"/>
        <v>1.2987678028690417E-4</v>
      </c>
      <c r="J2080" s="87">
        <v>1</v>
      </c>
      <c r="K2080" s="88">
        <f t="shared" si="279"/>
        <v>7699.6057169799788</v>
      </c>
    </row>
    <row r="2081" spans="1:11" hidden="1" x14ac:dyDescent="0.25">
      <c r="A2081" t="str">
        <f t="shared" si="274"/>
        <v>420CØ1</v>
      </c>
      <c r="B2081" s="81" t="s">
        <v>295</v>
      </c>
      <c r="D2081" s="86">
        <v>1</v>
      </c>
      <c r="E2081" s="85">
        <f t="shared" si="275"/>
        <v>1E-3</v>
      </c>
      <c r="F2081" s="85">
        <f t="shared" si="276"/>
        <v>5.0000000000000001E-4</v>
      </c>
      <c r="G2081" s="85">
        <f t="shared" si="277"/>
        <v>5.2359877559829886E-10</v>
      </c>
      <c r="H2081" s="85">
        <v>7750</v>
      </c>
      <c r="I2081" s="85">
        <f t="shared" si="278"/>
        <v>4.0578905108868158E-6</v>
      </c>
      <c r="J2081" s="87">
        <v>1</v>
      </c>
      <c r="K2081" s="88">
        <f t="shared" si="279"/>
        <v>246433.46027132185</v>
      </c>
    </row>
    <row r="2082" spans="1:11" hidden="1" x14ac:dyDescent="0.25">
      <c r="A2082" t="str">
        <f t="shared" si="274"/>
        <v>420CØ1</v>
      </c>
      <c r="B2082" s="81" t="s">
        <v>295</v>
      </c>
      <c r="D2082" s="86">
        <v>1</v>
      </c>
      <c r="E2082" s="85">
        <f t="shared" si="275"/>
        <v>1E-3</v>
      </c>
      <c r="F2082" s="85">
        <f t="shared" si="276"/>
        <v>5.0000000000000001E-4</v>
      </c>
      <c r="G2082" s="85">
        <f t="shared" si="277"/>
        <v>5.2359877559829886E-10</v>
      </c>
      <c r="H2082" s="85">
        <v>7750</v>
      </c>
      <c r="I2082" s="85">
        <f t="shared" si="278"/>
        <v>4.0578905108868158E-6</v>
      </c>
      <c r="J2082" s="87">
        <v>1</v>
      </c>
      <c r="K2082" s="85">
        <f t="shared" si="279"/>
        <v>246433.46027132185</v>
      </c>
    </row>
    <row r="2083" spans="1:11" hidden="1" x14ac:dyDescent="0.25">
      <c r="A2083" t="str">
        <f t="shared" si="274"/>
        <v>420CØ1</v>
      </c>
      <c r="B2083" s="81" t="s">
        <v>295</v>
      </c>
      <c r="D2083" s="86">
        <v>1</v>
      </c>
      <c r="E2083" s="85">
        <f t="shared" si="275"/>
        <v>1E-3</v>
      </c>
      <c r="F2083" s="85">
        <f t="shared" si="276"/>
        <v>5.0000000000000001E-4</v>
      </c>
      <c r="G2083" s="85">
        <f t="shared" si="277"/>
        <v>5.2359877559829886E-10</v>
      </c>
      <c r="H2083" s="85">
        <v>7750</v>
      </c>
      <c r="I2083" s="85">
        <f t="shared" si="278"/>
        <v>4.0578905108868158E-6</v>
      </c>
      <c r="J2083" s="87">
        <v>1</v>
      </c>
      <c r="K2083" s="88">
        <f t="shared" si="279"/>
        <v>246433.46027132185</v>
      </c>
    </row>
    <row r="2084" spans="1:11" hidden="1" x14ac:dyDescent="0.25">
      <c r="A2084" t="str">
        <f t="shared" si="274"/>
        <v>420CØ1,2</v>
      </c>
      <c r="B2084" s="81" t="s">
        <v>295</v>
      </c>
      <c r="D2084" s="86">
        <v>1.2</v>
      </c>
      <c r="E2084" s="85">
        <f t="shared" si="275"/>
        <v>1.1999999999999999E-3</v>
      </c>
      <c r="F2084" s="85">
        <f t="shared" si="276"/>
        <v>5.9999999999999995E-4</v>
      </c>
      <c r="G2084" s="85">
        <f t="shared" si="277"/>
        <v>9.0477868423386013E-10</v>
      </c>
      <c r="H2084" s="85">
        <v>7750</v>
      </c>
      <c r="I2084" s="85">
        <f t="shared" si="278"/>
        <v>7.0120348028124162E-6</v>
      </c>
      <c r="J2084" s="87">
        <v>1</v>
      </c>
      <c r="K2084" s="88">
        <f t="shared" si="279"/>
        <v>142611.9561755335</v>
      </c>
    </row>
    <row r="2085" spans="1:11" hidden="1" x14ac:dyDescent="0.25">
      <c r="A2085" t="str">
        <f t="shared" si="274"/>
        <v>WC-CoØ1</v>
      </c>
      <c r="B2085" s="81" t="s">
        <v>297</v>
      </c>
      <c r="D2085" s="86">
        <v>1</v>
      </c>
      <c r="E2085" s="85">
        <f t="shared" si="275"/>
        <v>1E-3</v>
      </c>
      <c r="F2085" s="85">
        <f t="shared" si="276"/>
        <v>5.0000000000000001E-4</v>
      </c>
      <c r="G2085" s="85">
        <f t="shared" si="277"/>
        <v>5.2359877559829886E-10</v>
      </c>
      <c r="H2085" s="85">
        <v>14950</v>
      </c>
      <c r="I2085" s="85">
        <f t="shared" si="278"/>
        <v>7.8278016951945674E-6</v>
      </c>
      <c r="J2085" s="87">
        <v>1</v>
      </c>
      <c r="K2085" s="88">
        <f t="shared" si="279"/>
        <v>127749.78709717352</v>
      </c>
    </row>
    <row r="2086" spans="1:11" hidden="1" x14ac:dyDescent="0.25">
      <c r="A2086" t="str">
        <f t="shared" si="274"/>
        <v>WC-CoØ0,5</v>
      </c>
      <c r="B2086" s="81" t="s">
        <v>297</v>
      </c>
      <c r="D2086" s="86">
        <v>0.5</v>
      </c>
      <c r="E2086" s="85">
        <f t="shared" si="275"/>
        <v>5.0000000000000001E-4</v>
      </c>
      <c r="F2086" s="85">
        <f t="shared" si="276"/>
        <v>2.5000000000000001E-4</v>
      </c>
      <c r="G2086" s="85">
        <f t="shared" si="277"/>
        <v>6.5449846949787358E-11</v>
      </c>
      <c r="H2086" s="85">
        <v>14950</v>
      </c>
      <c r="I2086" s="85">
        <f t="shared" si="278"/>
        <v>9.7847521189932093E-7</v>
      </c>
      <c r="J2086" s="87">
        <v>1</v>
      </c>
      <c r="K2086" s="88">
        <f t="shared" si="279"/>
        <v>1021998.2967773882</v>
      </c>
    </row>
    <row r="2087" spans="1:11" hidden="1" x14ac:dyDescent="0.25">
      <c r="A2087" t="str">
        <f t="shared" si="274"/>
        <v>WC-CoØ0,6</v>
      </c>
      <c r="B2087" s="81" t="s">
        <v>297</v>
      </c>
      <c r="D2087" s="86">
        <v>0.6</v>
      </c>
      <c r="E2087" s="85">
        <f t="shared" si="275"/>
        <v>5.9999999999999995E-4</v>
      </c>
      <c r="F2087" s="85">
        <f t="shared" si="276"/>
        <v>2.9999999999999997E-4</v>
      </c>
      <c r="G2087" s="85">
        <f t="shared" si="277"/>
        <v>1.1309733552923252E-10</v>
      </c>
      <c r="H2087" s="85">
        <v>14950</v>
      </c>
      <c r="I2087" s="85">
        <f t="shared" si="278"/>
        <v>1.690805166162026E-6</v>
      </c>
      <c r="J2087" s="87">
        <v>1</v>
      </c>
      <c r="K2087" s="88">
        <f t="shared" si="279"/>
        <v>591434.19952395174</v>
      </c>
    </row>
    <row r="2088" spans="1:11" hidden="1" x14ac:dyDescent="0.25">
      <c r="A2088" t="str">
        <f t="shared" si="274"/>
        <v>WC-CoØ0,8</v>
      </c>
      <c r="B2088" s="81" t="s">
        <v>297</v>
      </c>
      <c r="D2088" s="86">
        <v>0.8</v>
      </c>
      <c r="E2088" s="85">
        <f t="shared" si="275"/>
        <v>8.0000000000000004E-4</v>
      </c>
      <c r="F2088" s="85">
        <f t="shared" si="276"/>
        <v>4.0000000000000002E-4</v>
      </c>
      <c r="G2088" s="85">
        <f t="shared" si="277"/>
        <v>2.6808257310632903E-10</v>
      </c>
      <c r="H2088" s="85">
        <v>14950</v>
      </c>
      <c r="I2088" s="85">
        <f t="shared" si="278"/>
        <v>4.0078344679396193E-6</v>
      </c>
      <c r="J2088" s="87">
        <v>1</v>
      </c>
      <c r="K2088" s="88">
        <f t="shared" si="279"/>
        <v>249511.30292416699</v>
      </c>
    </row>
    <row r="2089" spans="1:11" hidden="1" x14ac:dyDescent="0.25">
      <c r="A2089" t="str">
        <f t="shared" si="274"/>
        <v>WC-CoØ1</v>
      </c>
      <c r="B2089" s="81" t="s">
        <v>297</v>
      </c>
      <c r="D2089" s="86">
        <v>1</v>
      </c>
      <c r="E2089" s="85">
        <f t="shared" si="275"/>
        <v>1E-3</v>
      </c>
      <c r="F2089" s="85">
        <f t="shared" si="276"/>
        <v>5.0000000000000001E-4</v>
      </c>
      <c r="G2089" s="85">
        <f t="shared" si="277"/>
        <v>5.2359877559829886E-10</v>
      </c>
      <c r="H2089" s="85">
        <v>14950</v>
      </c>
      <c r="I2089" s="85">
        <f t="shared" si="278"/>
        <v>7.8278016951945674E-6</v>
      </c>
      <c r="J2089" s="87">
        <v>1</v>
      </c>
      <c r="K2089" s="88">
        <f t="shared" si="279"/>
        <v>127749.78709717352</v>
      </c>
    </row>
    <row r="2090" spans="1:11" hidden="1" x14ac:dyDescent="0.25">
      <c r="A2090" t="str">
        <f t="shared" si="274"/>
        <v>440CØ2</v>
      </c>
      <c r="B2090" s="81" t="s">
        <v>314</v>
      </c>
      <c r="D2090" s="86">
        <v>2</v>
      </c>
      <c r="E2090" s="85">
        <f t="shared" si="275"/>
        <v>2E-3</v>
      </c>
      <c r="F2090" s="85">
        <f t="shared" si="276"/>
        <v>1E-3</v>
      </c>
      <c r="G2090" s="85">
        <f t="shared" si="277"/>
        <v>4.1887902047863909E-9</v>
      </c>
      <c r="H2090" s="85">
        <v>7700</v>
      </c>
      <c r="I2090" s="85">
        <f t="shared" si="278"/>
        <v>3.2253684576855209E-5</v>
      </c>
      <c r="J2090" s="87">
        <v>1</v>
      </c>
      <c r="K2090" s="88">
        <f t="shared" si="279"/>
        <v>31004.209693226367</v>
      </c>
    </row>
    <row r="2091" spans="1:11" hidden="1" x14ac:dyDescent="0.25">
      <c r="A2091" t="str">
        <f t="shared" si="274"/>
        <v>52100Ø2</v>
      </c>
      <c r="B2091" s="81">
        <v>52100</v>
      </c>
      <c r="D2091" s="86">
        <v>2</v>
      </c>
      <c r="E2091" s="85">
        <f t="shared" si="275"/>
        <v>2E-3</v>
      </c>
      <c r="F2091" s="85">
        <f t="shared" si="276"/>
        <v>1E-3</v>
      </c>
      <c r="G2091" s="85">
        <f t="shared" si="277"/>
        <v>4.1887902047863909E-9</v>
      </c>
      <c r="H2091" s="85">
        <v>7800</v>
      </c>
      <c r="I2091" s="85">
        <f t="shared" si="278"/>
        <v>3.267256359733385E-5</v>
      </c>
      <c r="J2091" s="87">
        <v>1</v>
      </c>
      <c r="K2091" s="88">
        <f t="shared" si="279"/>
        <v>30606.719825364489</v>
      </c>
    </row>
    <row r="2092" spans="1:11" hidden="1" x14ac:dyDescent="0.25">
      <c r="A2092" t="str">
        <f t="shared" si="274"/>
        <v>420CØ1,5875</v>
      </c>
      <c r="B2092" s="81" t="s">
        <v>295</v>
      </c>
      <c r="C2092" s="101" t="s">
        <v>246</v>
      </c>
      <c r="D2092" s="86">
        <f>1/16*25.4</f>
        <v>1.5874999999999999</v>
      </c>
      <c r="E2092" s="85">
        <f t="shared" si="275"/>
        <v>1.5874999999999999E-3</v>
      </c>
      <c r="F2092" s="85">
        <f t="shared" si="276"/>
        <v>7.9374999999999997E-4</v>
      </c>
      <c r="G2092" s="85">
        <f t="shared" si="277"/>
        <v>2.0947867788210349E-9</v>
      </c>
      <c r="H2092" s="85">
        <v>7700</v>
      </c>
      <c r="I2092" s="85">
        <f t="shared" si="278"/>
        <v>1.6129858196921968E-5</v>
      </c>
      <c r="J2092" s="87">
        <v>1</v>
      </c>
      <c r="K2092" s="88">
        <f t="shared" si="279"/>
        <v>61996.825253605035</v>
      </c>
    </row>
    <row r="2093" spans="1:11" hidden="1" x14ac:dyDescent="0.25">
      <c r="A2093" t="str">
        <f t="shared" si="274"/>
        <v>420CØ1,5875</v>
      </c>
      <c r="B2093" s="81" t="s">
        <v>295</v>
      </c>
      <c r="C2093" s="101" t="s">
        <v>246</v>
      </c>
      <c r="D2093" s="86">
        <f>1/16*25.4</f>
        <v>1.5874999999999999</v>
      </c>
      <c r="E2093" s="85">
        <f t="shared" si="275"/>
        <v>1.5874999999999999E-3</v>
      </c>
      <c r="F2093" s="85">
        <f t="shared" si="276"/>
        <v>7.9374999999999997E-4</v>
      </c>
      <c r="G2093" s="85">
        <f t="shared" si="277"/>
        <v>2.0947867788210349E-9</v>
      </c>
      <c r="H2093" s="85">
        <v>7700</v>
      </c>
      <c r="I2093" s="85">
        <f t="shared" si="278"/>
        <v>1.6129858196921968E-5</v>
      </c>
      <c r="J2093" s="87">
        <v>1</v>
      </c>
      <c r="K2093" s="88">
        <f t="shared" si="279"/>
        <v>61996.825253605035</v>
      </c>
    </row>
    <row r="2094" spans="1:11" hidden="1" x14ac:dyDescent="0.25">
      <c r="A2094" t="str">
        <f t="shared" si="274"/>
        <v>420CØ2,38125</v>
      </c>
      <c r="B2094" s="81" t="s">
        <v>295</v>
      </c>
      <c r="C2094" s="101" t="s">
        <v>213</v>
      </c>
      <c r="D2094" s="86">
        <f>3/32*25.4</f>
        <v>2.3812499999999996</v>
      </c>
      <c r="E2094" s="85">
        <f t="shared" si="275"/>
        <v>2.3812499999999997E-3</v>
      </c>
      <c r="F2094" s="85">
        <f t="shared" si="276"/>
        <v>1.1906249999999998E-3</v>
      </c>
      <c r="G2094" s="85">
        <f t="shared" si="277"/>
        <v>7.0699053785209917E-9</v>
      </c>
      <c r="H2094" s="85">
        <v>7750</v>
      </c>
      <c r="I2094" s="85">
        <f t="shared" si="278"/>
        <v>5.4791766683537685E-5</v>
      </c>
      <c r="J2094" s="87">
        <v>1</v>
      </c>
      <c r="K2094" s="88">
        <f t="shared" si="279"/>
        <v>18250.917255063658</v>
      </c>
    </row>
    <row r="2095" spans="1:11" hidden="1" x14ac:dyDescent="0.25">
      <c r="A2095" t="str">
        <f t="shared" si="274"/>
        <v>52100Ø0,25</v>
      </c>
      <c r="B2095" s="81">
        <v>52100</v>
      </c>
      <c r="D2095" s="86">
        <v>0.25</v>
      </c>
      <c r="E2095" s="85">
        <f>D2095/1000</f>
        <v>2.5000000000000001E-4</v>
      </c>
      <c r="F2095" s="85">
        <f>E2095/2</f>
        <v>1.25E-4</v>
      </c>
      <c r="G2095" s="85">
        <f>4/3*PI()*F2095*F2095*F2095</f>
        <v>8.1812308687234197E-12</v>
      </c>
      <c r="H2095" s="85">
        <v>7800</v>
      </c>
      <c r="I2095" s="85">
        <f>H2095*G2095</f>
        <v>6.3813600776042676E-8</v>
      </c>
      <c r="J2095" s="87">
        <v>1</v>
      </c>
      <c r="K2095" s="88">
        <f>J2095/I2095</f>
        <v>15670640.550586618</v>
      </c>
    </row>
    <row r="2096" spans="1:11" hidden="1" x14ac:dyDescent="0.25">
      <c r="A2096" t="str">
        <f t="shared" si="274"/>
        <v>52100Ø3,92</v>
      </c>
      <c r="B2096" s="81">
        <v>52100</v>
      </c>
      <c r="D2096" s="86">
        <v>3.92</v>
      </c>
      <c r="E2096" s="85">
        <f>D2096/1000</f>
        <v>3.9199999999999999E-3</v>
      </c>
      <c r="F2096" s="85">
        <f>E2096/2</f>
        <v>1.9599999999999999E-3</v>
      </c>
      <c r="G2096" s="85">
        <f>4/3*PI()*F2096*F2096*F2096</f>
        <v>3.1539646643386496E-8</v>
      </c>
      <c r="H2096" s="85">
        <v>7800</v>
      </c>
      <c r="I2096" s="85">
        <f>H2096*G2096</f>
        <v>2.4600924381841467E-4</v>
      </c>
      <c r="J2096" s="87">
        <v>1</v>
      </c>
      <c r="K2096" s="88">
        <f>J2096/I2096</f>
        <v>4064.8879061557705</v>
      </c>
    </row>
    <row r="2097" spans="1:11" hidden="1" x14ac:dyDescent="0.25">
      <c r="A2097" t="str">
        <f t="shared" si="274"/>
        <v>52100Ø2</v>
      </c>
      <c r="B2097" s="81">
        <v>52100</v>
      </c>
      <c r="D2097" s="86">
        <v>2</v>
      </c>
      <c r="E2097" s="85">
        <f t="shared" ref="E2097:E2132" si="280">D2097/1000</f>
        <v>2E-3</v>
      </c>
      <c r="F2097" s="85">
        <f t="shared" ref="F2097:F2132" si="281">E2097/2</f>
        <v>1E-3</v>
      </c>
      <c r="G2097" s="85">
        <f t="shared" ref="G2097:G2132" si="282">4/3*PI()*F2097*F2097*F2097</f>
        <v>4.1887902047863909E-9</v>
      </c>
      <c r="H2097" s="85">
        <v>7800</v>
      </c>
      <c r="I2097" s="85">
        <f t="shared" ref="I2097:I2132" si="283">H2097*G2097</f>
        <v>3.267256359733385E-5</v>
      </c>
      <c r="J2097" s="87">
        <v>1</v>
      </c>
      <c r="K2097" s="88">
        <f t="shared" ref="K2097:K2132" si="284">J2097/I2097</f>
        <v>30606.719825364489</v>
      </c>
    </row>
    <row r="2098" spans="1:11" hidden="1" x14ac:dyDescent="0.25">
      <c r="A2098" t="str">
        <f t="shared" si="274"/>
        <v>Si3N4Ø1</v>
      </c>
      <c r="B2098" s="81" t="s">
        <v>207</v>
      </c>
      <c r="D2098" s="86">
        <v>1</v>
      </c>
      <c r="E2098" s="85">
        <f t="shared" si="280"/>
        <v>1E-3</v>
      </c>
      <c r="F2098" s="85">
        <f t="shared" si="281"/>
        <v>5.0000000000000001E-4</v>
      </c>
      <c r="G2098" s="85">
        <f t="shared" si="282"/>
        <v>5.2359877559829886E-10</v>
      </c>
      <c r="H2098" s="85">
        <v>3260</v>
      </c>
      <c r="I2098" s="85">
        <f t="shared" si="283"/>
        <v>1.7069320084504542E-6</v>
      </c>
      <c r="J2098" s="87">
        <v>1</v>
      </c>
      <c r="K2098" s="88">
        <f t="shared" si="284"/>
        <v>585846.41628918529</v>
      </c>
    </row>
    <row r="2099" spans="1:11" hidden="1" x14ac:dyDescent="0.25">
      <c r="A2099" t="str">
        <f t="shared" si="274"/>
        <v>Si3N4Ø1</v>
      </c>
      <c r="B2099" s="81" t="s">
        <v>207</v>
      </c>
      <c r="D2099" s="86">
        <v>1</v>
      </c>
      <c r="E2099" s="85">
        <f t="shared" si="280"/>
        <v>1E-3</v>
      </c>
      <c r="F2099" s="85">
        <f t="shared" si="281"/>
        <v>5.0000000000000001E-4</v>
      </c>
      <c r="G2099" s="85">
        <f t="shared" si="282"/>
        <v>5.2359877559829886E-10</v>
      </c>
      <c r="H2099" s="85">
        <v>3260</v>
      </c>
      <c r="I2099" s="85">
        <f t="shared" si="283"/>
        <v>1.7069320084504542E-6</v>
      </c>
      <c r="J2099" s="87">
        <v>1</v>
      </c>
      <c r="K2099" s="88">
        <f t="shared" si="284"/>
        <v>585846.41628918529</v>
      </c>
    </row>
    <row r="2100" spans="1:11" hidden="1" x14ac:dyDescent="0.25">
      <c r="A2100" t="str">
        <f t="shared" si="274"/>
        <v>PTFEØ2</v>
      </c>
      <c r="B2100" s="81" t="s">
        <v>307</v>
      </c>
      <c r="D2100" s="86">
        <v>2</v>
      </c>
      <c r="E2100" s="85">
        <f t="shared" si="280"/>
        <v>2E-3</v>
      </c>
      <c r="F2100" s="85">
        <f t="shared" si="281"/>
        <v>1E-3</v>
      </c>
      <c r="G2100" s="85">
        <f t="shared" si="282"/>
        <v>4.1887902047863909E-9</v>
      </c>
      <c r="H2100" s="85">
        <v>2160</v>
      </c>
      <c r="I2100" s="85">
        <f t="shared" si="283"/>
        <v>9.0477868423386043E-6</v>
      </c>
      <c r="J2100" s="87">
        <v>1</v>
      </c>
      <c r="K2100" s="88">
        <f t="shared" si="284"/>
        <v>110524.26603603843</v>
      </c>
    </row>
    <row r="2101" spans="1:11" hidden="1" x14ac:dyDescent="0.25">
      <c r="A2101" t="str">
        <f t="shared" si="274"/>
        <v>Si3N4Ø2,38125</v>
      </c>
      <c r="B2101" s="81" t="s">
        <v>207</v>
      </c>
      <c r="C2101" s="101" t="s">
        <v>213</v>
      </c>
      <c r="D2101" s="86">
        <f>3/32*25.4</f>
        <v>2.3812499999999996</v>
      </c>
      <c r="E2101" s="85">
        <f t="shared" si="280"/>
        <v>2.3812499999999997E-3</v>
      </c>
      <c r="F2101" s="85">
        <f t="shared" si="281"/>
        <v>1.1906249999999998E-3</v>
      </c>
      <c r="G2101" s="85">
        <f t="shared" si="282"/>
        <v>7.0699053785209917E-9</v>
      </c>
      <c r="H2101" s="85">
        <v>3260</v>
      </c>
      <c r="I2101" s="85">
        <f t="shared" si="283"/>
        <v>2.3047891533978432E-5</v>
      </c>
      <c r="J2101" s="87">
        <v>1</v>
      </c>
      <c r="K2101" s="88">
        <f t="shared" si="284"/>
        <v>43387.916787344584</v>
      </c>
    </row>
    <row r="2102" spans="1:11" hidden="1" x14ac:dyDescent="0.25">
      <c r="A2102" t="str">
        <f t="shared" si="274"/>
        <v>52100Ø2,778125</v>
      </c>
      <c r="B2102" s="81">
        <v>52100</v>
      </c>
      <c r="C2102" s="101" t="s">
        <v>247</v>
      </c>
      <c r="D2102" s="86">
        <f>7/64*25.4</f>
        <v>2.7781249999999997</v>
      </c>
      <c r="E2102" s="85">
        <f t="shared" si="280"/>
        <v>2.7781249999999998E-3</v>
      </c>
      <c r="F2102" s="85">
        <f t="shared" si="281"/>
        <v>1.3890624999999999E-3</v>
      </c>
      <c r="G2102" s="85">
        <f t="shared" si="282"/>
        <v>1.1226747892743984E-8</v>
      </c>
      <c r="H2102" s="85">
        <v>7800</v>
      </c>
      <c r="I2102" s="85">
        <f t="shared" si="283"/>
        <v>8.7568633563403075E-5</v>
      </c>
      <c r="J2102" s="87">
        <v>1</v>
      </c>
      <c r="K2102" s="88">
        <f t="shared" si="284"/>
        <v>11419.61407078439</v>
      </c>
    </row>
    <row r="2103" spans="1:11" hidden="1" x14ac:dyDescent="0.25">
      <c r="A2103" t="str">
        <f t="shared" si="274"/>
        <v>440CØ1,984375</v>
      </c>
      <c r="B2103" s="81" t="s">
        <v>314</v>
      </c>
      <c r="C2103" s="101" t="s">
        <v>327</v>
      </c>
      <c r="D2103" s="86">
        <f>5/64*25.4</f>
        <v>1.984375</v>
      </c>
      <c r="E2103" s="85">
        <f t="shared" si="280"/>
        <v>1.984375E-3</v>
      </c>
      <c r="F2103" s="85">
        <f t="shared" si="281"/>
        <v>9.9218750000000001E-4</v>
      </c>
      <c r="G2103" s="85">
        <f t="shared" si="282"/>
        <v>4.0913804273848354E-9</v>
      </c>
      <c r="H2103" s="85">
        <v>7550</v>
      </c>
      <c r="I2103" s="85">
        <f t="shared" si="283"/>
        <v>3.0889922226755508E-5</v>
      </c>
      <c r="J2103" s="87">
        <v>1</v>
      </c>
      <c r="K2103" s="88">
        <f t="shared" si="284"/>
        <v>32373.01773242548</v>
      </c>
    </row>
    <row r="2104" spans="1:11" hidden="1" x14ac:dyDescent="0.25">
      <c r="A2104" t="str">
        <f t="shared" si="274"/>
        <v>WC-CoØ0,4</v>
      </c>
      <c r="B2104" s="81" t="s">
        <v>297</v>
      </c>
      <c r="D2104" s="86">
        <v>0.4</v>
      </c>
      <c r="E2104" s="85">
        <f t="shared" si="280"/>
        <v>4.0000000000000002E-4</v>
      </c>
      <c r="F2104" s="85">
        <f t="shared" si="281"/>
        <v>2.0000000000000001E-4</v>
      </c>
      <c r="G2104" s="85">
        <f t="shared" si="282"/>
        <v>3.3510321638291128E-11</v>
      </c>
      <c r="H2104" s="85">
        <v>14950</v>
      </c>
      <c r="I2104" s="85">
        <f t="shared" si="283"/>
        <v>5.0097930849245242E-7</v>
      </c>
      <c r="J2104" s="87">
        <v>1</v>
      </c>
      <c r="K2104" s="88">
        <f t="shared" si="284"/>
        <v>1996090.4233933359</v>
      </c>
    </row>
    <row r="2105" spans="1:11" hidden="1" x14ac:dyDescent="0.25">
      <c r="A2105" t="str">
        <f t="shared" si="274"/>
        <v>52100Ø3,275</v>
      </c>
      <c r="B2105" s="81">
        <v>52100</v>
      </c>
      <c r="D2105" s="86">
        <v>3.2749999999999999</v>
      </c>
      <c r="E2105" s="85">
        <f t="shared" si="280"/>
        <v>3.2749999999999997E-3</v>
      </c>
      <c r="F2105" s="85">
        <f t="shared" si="281"/>
        <v>1.6374999999999998E-3</v>
      </c>
      <c r="G2105" s="85">
        <f t="shared" si="282"/>
        <v>1.8392151484899296E-8</v>
      </c>
      <c r="H2105" s="85">
        <v>7800</v>
      </c>
      <c r="I2105" s="85">
        <f t="shared" si="283"/>
        <v>1.4345878158221451E-4</v>
      </c>
      <c r="J2105" s="87">
        <v>1</v>
      </c>
      <c r="K2105" s="88">
        <f t="shared" si="284"/>
        <v>6970.6433372077117</v>
      </c>
    </row>
    <row r="2106" spans="1:11" hidden="1" x14ac:dyDescent="0.25">
      <c r="A2106" t="str">
        <f t="shared" si="274"/>
        <v>PA6.6 30% G.F.Ø4,7625</v>
      </c>
      <c r="B2106" s="81" t="s">
        <v>397</v>
      </c>
      <c r="C2106" s="101" t="s">
        <v>248</v>
      </c>
      <c r="D2106" s="86">
        <f>3/16*25.4</f>
        <v>4.7624999999999993</v>
      </c>
      <c r="E2106" s="85">
        <f t="shared" si="280"/>
        <v>4.7624999999999994E-3</v>
      </c>
      <c r="F2106" s="85">
        <f t="shared" si="281"/>
        <v>2.3812499999999997E-3</v>
      </c>
      <c r="G2106" s="85">
        <f t="shared" si="282"/>
        <v>5.6559243028167934E-8</v>
      </c>
      <c r="H2106" s="85">
        <v>1380</v>
      </c>
      <c r="I2106" s="85">
        <f t="shared" si="283"/>
        <v>7.8051755378871746E-5</v>
      </c>
      <c r="J2106" s="87">
        <v>1</v>
      </c>
      <c r="K2106" s="88">
        <f t="shared" si="284"/>
        <v>12812.011660031101</v>
      </c>
    </row>
    <row r="2107" spans="1:11" hidden="1" x14ac:dyDescent="0.25">
      <c r="A2107" t="str">
        <f t="shared" si="274"/>
        <v>316LØ1</v>
      </c>
      <c r="B2107" s="81" t="s">
        <v>298</v>
      </c>
      <c r="D2107" s="86">
        <v>1</v>
      </c>
      <c r="E2107" s="85">
        <f t="shared" si="280"/>
        <v>1E-3</v>
      </c>
      <c r="F2107" s="85">
        <f t="shared" si="281"/>
        <v>5.0000000000000001E-4</v>
      </c>
      <c r="G2107" s="85">
        <f t="shared" si="282"/>
        <v>5.2359877559829886E-10</v>
      </c>
      <c r="H2107" s="85">
        <v>7950</v>
      </c>
      <c r="I2107" s="85">
        <f t="shared" si="283"/>
        <v>4.1626102660064759E-6</v>
      </c>
      <c r="J2107" s="87">
        <v>1</v>
      </c>
      <c r="K2107" s="88">
        <f t="shared" si="284"/>
        <v>240233.87636512503</v>
      </c>
    </row>
    <row r="2108" spans="1:11" hidden="1" x14ac:dyDescent="0.25">
      <c r="A2108" t="str">
        <f t="shared" si="274"/>
        <v>440CØ1,5</v>
      </c>
      <c r="B2108" s="81" t="s">
        <v>314</v>
      </c>
      <c r="D2108" s="86">
        <v>1.5</v>
      </c>
      <c r="E2108" s="85">
        <f t="shared" si="280"/>
        <v>1.5E-3</v>
      </c>
      <c r="F2108" s="85">
        <f t="shared" si="281"/>
        <v>7.5000000000000002E-4</v>
      </c>
      <c r="G2108" s="85">
        <f t="shared" si="282"/>
        <v>1.7671458676442585E-9</v>
      </c>
      <c r="H2108" s="85">
        <v>7700</v>
      </c>
      <c r="I2108" s="85">
        <f t="shared" si="283"/>
        <v>1.3607023180860791E-5</v>
      </c>
      <c r="J2108" s="87">
        <v>1</v>
      </c>
      <c r="K2108" s="88">
        <f t="shared" si="284"/>
        <v>73491.460013573611</v>
      </c>
    </row>
    <row r="2109" spans="1:11" hidden="1" x14ac:dyDescent="0.25">
      <c r="A2109" t="str">
        <f t="shared" si="274"/>
        <v>52100Ø0,79375</v>
      </c>
      <c r="B2109" s="81">
        <v>52100</v>
      </c>
      <c r="C2109" s="101" t="s">
        <v>241</v>
      </c>
      <c r="D2109" s="86">
        <f>1/32*25.4</f>
        <v>0.79374999999999996</v>
      </c>
      <c r="E2109" s="85">
        <f t="shared" si="280"/>
        <v>7.9374999999999997E-4</v>
      </c>
      <c r="F2109" s="85">
        <f t="shared" si="281"/>
        <v>3.9687499999999998E-4</v>
      </c>
      <c r="G2109" s="85">
        <f t="shared" si="282"/>
        <v>2.6184834735262936E-10</v>
      </c>
      <c r="H2109" s="85">
        <v>7800</v>
      </c>
      <c r="I2109" s="85">
        <f t="shared" si="283"/>
        <v>2.0424171093505088E-6</v>
      </c>
      <c r="J2109" s="87">
        <v>1</v>
      </c>
      <c r="K2109" s="88">
        <f t="shared" si="284"/>
        <v>489615.95328488079</v>
      </c>
    </row>
    <row r="2110" spans="1:11" hidden="1" x14ac:dyDescent="0.25">
      <c r="A2110" t="str">
        <f t="shared" si="274"/>
        <v>304Ø0,6</v>
      </c>
      <c r="B2110" s="81">
        <v>304</v>
      </c>
      <c r="D2110" s="86">
        <v>0.6</v>
      </c>
      <c r="E2110" s="85">
        <f t="shared" si="280"/>
        <v>5.9999999999999995E-4</v>
      </c>
      <c r="F2110" s="85">
        <f t="shared" si="281"/>
        <v>2.9999999999999997E-4</v>
      </c>
      <c r="G2110" s="85">
        <f t="shared" si="282"/>
        <v>1.1309733552923252E-10</v>
      </c>
      <c r="H2110" s="85">
        <v>7950</v>
      </c>
      <c r="I2110" s="85">
        <f t="shared" si="283"/>
        <v>8.9912381745739853E-7</v>
      </c>
      <c r="J2110" s="87">
        <v>1</v>
      </c>
      <c r="K2110" s="88">
        <f t="shared" si="284"/>
        <v>1112193.8720607643</v>
      </c>
    </row>
    <row r="2111" spans="1:11" hidden="1" x14ac:dyDescent="0.25">
      <c r="A2111" t="str">
        <f t="shared" si="274"/>
        <v>316Ø0,5</v>
      </c>
      <c r="B2111" s="81">
        <v>316</v>
      </c>
      <c r="D2111" s="86">
        <v>0.5</v>
      </c>
      <c r="E2111" s="85">
        <f t="shared" si="280"/>
        <v>5.0000000000000001E-4</v>
      </c>
      <c r="F2111" s="85">
        <f t="shared" si="281"/>
        <v>2.5000000000000001E-4</v>
      </c>
      <c r="G2111" s="85">
        <f t="shared" si="282"/>
        <v>6.5449846949787358E-11</v>
      </c>
      <c r="H2111" s="85">
        <v>8250</v>
      </c>
      <c r="I2111" s="85">
        <f t="shared" si="283"/>
        <v>5.3996123733574566E-7</v>
      </c>
      <c r="J2111" s="87">
        <v>1</v>
      </c>
      <c r="K2111" s="88">
        <f t="shared" si="284"/>
        <v>1851984.7923420549</v>
      </c>
    </row>
    <row r="2112" spans="1:11" hidden="1" x14ac:dyDescent="0.25">
      <c r="A2112" t="str">
        <f t="shared" si="274"/>
        <v>WC-CoØ2,778125</v>
      </c>
      <c r="B2112" s="81" t="s">
        <v>297</v>
      </c>
      <c r="C2112" s="101" t="s">
        <v>247</v>
      </c>
      <c r="D2112" s="86">
        <f>7/64*25.4</f>
        <v>2.7781249999999997</v>
      </c>
      <c r="E2112" s="85">
        <f t="shared" si="280"/>
        <v>2.7781249999999998E-3</v>
      </c>
      <c r="F2112" s="85">
        <f t="shared" si="281"/>
        <v>1.3890624999999999E-3</v>
      </c>
      <c r="G2112" s="85">
        <f t="shared" si="282"/>
        <v>1.1226747892743984E-8</v>
      </c>
      <c r="H2112" s="85">
        <v>14950</v>
      </c>
      <c r="I2112" s="85">
        <f t="shared" si="283"/>
        <v>1.6783988099652256E-4</v>
      </c>
      <c r="J2112" s="87">
        <v>1</v>
      </c>
      <c r="K2112" s="88">
        <f t="shared" si="284"/>
        <v>5958.059515191856</v>
      </c>
    </row>
    <row r="2113" spans="1:11" hidden="1" x14ac:dyDescent="0.25">
      <c r="A2113" t="str">
        <f t="shared" si="274"/>
        <v>304Ø0,6</v>
      </c>
      <c r="B2113" s="81">
        <v>304</v>
      </c>
      <c r="D2113" s="86">
        <v>0.6</v>
      </c>
      <c r="E2113" s="85">
        <f t="shared" si="280"/>
        <v>5.9999999999999995E-4</v>
      </c>
      <c r="F2113" s="85">
        <f t="shared" si="281"/>
        <v>2.9999999999999997E-4</v>
      </c>
      <c r="G2113" s="85">
        <f t="shared" si="282"/>
        <v>1.1309733552923252E-10</v>
      </c>
      <c r="H2113" s="85">
        <v>7950</v>
      </c>
      <c r="I2113" s="85">
        <f t="shared" si="283"/>
        <v>8.9912381745739853E-7</v>
      </c>
      <c r="J2113" s="87">
        <v>1</v>
      </c>
      <c r="K2113" s="88">
        <f t="shared" si="284"/>
        <v>1112193.8720607643</v>
      </c>
    </row>
    <row r="2114" spans="1:11" hidden="1" x14ac:dyDescent="0.25">
      <c r="A2114" t="str">
        <f t="shared" si="274"/>
        <v>52100Ø5,04</v>
      </c>
      <c r="B2114" s="81">
        <v>52100</v>
      </c>
      <c r="D2114" s="86">
        <v>5.04</v>
      </c>
      <c r="E2114" s="85">
        <f t="shared" si="280"/>
        <v>5.0400000000000002E-3</v>
      </c>
      <c r="F2114" s="85">
        <f t="shared" si="281"/>
        <v>2.5200000000000001E-3</v>
      </c>
      <c r="G2114" s="85">
        <f t="shared" si="282"/>
        <v>6.7033243157518254E-8</v>
      </c>
      <c r="H2114" s="85">
        <v>7800</v>
      </c>
      <c r="I2114" s="85">
        <f t="shared" si="283"/>
        <v>5.2285929662864241E-4</v>
      </c>
      <c r="J2114" s="87">
        <v>1</v>
      </c>
      <c r="K2114" s="88">
        <f t="shared" si="284"/>
        <v>1912.5604277248681</v>
      </c>
    </row>
    <row r="2115" spans="1:11" hidden="1" x14ac:dyDescent="0.25">
      <c r="A2115" t="str">
        <f t="shared" si="274"/>
        <v>52100Ø0,396875</v>
      </c>
      <c r="B2115" s="81">
        <v>52100</v>
      </c>
      <c r="C2115" s="101" t="s">
        <v>211</v>
      </c>
      <c r="D2115" s="86">
        <f>1/64*25.4</f>
        <v>0.39687499999999998</v>
      </c>
      <c r="E2115" s="85">
        <f t="shared" si="280"/>
        <v>3.9687499999999998E-4</v>
      </c>
      <c r="F2115" s="85">
        <f t="shared" si="281"/>
        <v>1.9843749999999999E-4</v>
      </c>
      <c r="G2115" s="85">
        <f t="shared" si="282"/>
        <v>3.273104341907867E-11</v>
      </c>
      <c r="H2115" s="85">
        <v>7800</v>
      </c>
      <c r="I2115" s="85">
        <f t="shared" si="283"/>
        <v>2.5530213866881361E-7</v>
      </c>
      <c r="J2115" s="87">
        <v>1</v>
      </c>
      <c r="K2115" s="88">
        <f t="shared" si="284"/>
        <v>3916927.6262790463</v>
      </c>
    </row>
    <row r="2116" spans="1:11" hidden="1" x14ac:dyDescent="0.25">
      <c r="A2116" t="str">
        <f t="shared" ref="A2116:A2179" si="285">CONCATENATE(B2116,"Ø",D2116)</f>
        <v>52100Ø5,04</v>
      </c>
      <c r="B2116" s="81">
        <v>52100</v>
      </c>
      <c r="D2116" s="86">
        <v>5.04</v>
      </c>
      <c r="E2116" s="85">
        <f t="shared" si="280"/>
        <v>5.0400000000000002E-3</v>
      </c>
      <c r="F2116" s="85">
        <f t="shared" si="281"/>
        <v>2.5200000000000001E-3</v>
      </c>
      <c r="G2116" s="85">
        <f t="shared" si="282"/>
        <v>6.7033243157518254E-8</v>
      </c>
      <c r="H2116" s="85">
        <v>7800</v>
      </c>
      <c r="I2116" s="85">
        <f t="shared" si="283"/>
        <v>5.2285929662864241E-4</v>
      </c>
      <c r="J2116" s="87">
        <v>1</v>
      </c>
      <c r="K2116" s="88">
        <f t="shared" si="284"/>
        <v>1912.5604277248681</v>
      </c>
    </row>
    <row r="2117" spans="1:11" hidden="1" x14ac:dyDescent="0.25">
      <c r="A2117" t="str">
        <f t="shared" si="285"/>
        <v>52100Ø0,396875</v>
      </c>
      <c r="B2117" s="81">
        <v>52100</v>
      </c>
      <c r="C2117" s="101" t="s">
        <v>211</v>
      </c>
      <c r="D2117" s="86">
        <f>1/64*25.4</f>
        <v>0.39687499999999998</v>
      </c>
      <c r="E2117" s="85">
        <f t="shared" si="280"/>
        <v>3.9687499999999998E-4</v>
      </c>
      <c r="F2117" s="85">
        <f t="shared" si="281"/>
        <v>1.9843749999999999E-4</v>
      </c>
      <c r="G2117" s="85">
        <f t="shared" si="282"/>
        <v>3.273104341907867E-11</v>
      </c>
      <c r="H2117" s="85">
        <v>7800</v>
      </c>
      <c r="I2117" s="85">
        <f t="shared" si="283"/>
        <v>2.5530213866881361E-7</v>
      </c>
      <c r="J2117" s="87">
        <v>1</v>
      </c>
      <c r="K2117" s="88">
        <f t="shared" si="284"/>
        <v>3916927.6262790463</v>
      </c>
    </row>
    <row r="2118" spans="1:11" hidden="1" x14ac:dyDescent="0.25">
      <c r="A2118" t="str">
        <f t="shared" si="285"/>
        <v>52100Ø4,94</v>
      </c>
      <c r="B2118" s="81">
        <v>52100</v>
      </c>
      <c r="D2118" s="86">
        <v>4.9400000000000004</v>
      </c>
      <c r="E2118" s="85">
        <f t="shared" si="280"/>
        <v>4.9400000000000008E-3</v>
      </c>
      <c r="F2118" s="85">
        <f t="shared" si="281"/>
        <v>2.4700000000000004E-3</v>
      </c>
      <c r="G2118" s="85">
        <f t="shared" si="282"/>
        <v>6.3121813696141821E-8</v>
      </c>
      <c r="H2118" s="85">
        <v>7800</v>
      </c>
      <c r="I2118" s="85">
        <f t="shared" si="283"/>
        <v>4.9235014682990621E-4</v>
      </c>
      <c r="J2118" s="87">
        <v>1</v>
      </c>
      <c r="K2118" s="88">
        <f t="shared" si="284"/>
        <v>2031.0748487406731</v>
      </c>
    </row>
    <row r="2119" spans="1:11" hidden="1" x14ac:dyDescent="0.25">
      <c r="A2119" t="str">
        <f t="shared" si="285"/>
        <v>420CØ2</v>
      </c>
      <c r="B2119" s="81" t="s">
        <v>295</v>
      </c>
      <c r="D2119" s="86">
        <v>2</v>
      </c>
      <c r="E2119" s="85">
        <f t="shared" si="280"/>
        <v>2E-3</v>
      </c>
      <c r="F2119" s="85">
        <f t="shared" si="281"/>
        <v>1E-3</v>
      </c>
      <c r="G2119" s="85">
        <f t="shared" si="282"/>
        <v>4.1887902047863909E-9</v>
      </c>
      <c r="H2119" s="85">
        <v>7750</v>
      </c>
      <c r="I2119" s="85">
        <f t="shared" si="283"/>
        <v>3.2463124087094526E-5</v>
      </c>
      <c r="J2119" s="87">
        <v>1</v>
      </c>
      <c r="K2119" s="88">
        <f t="shared" si="284"/>
        <v>30804.182533915231</v>
      </c>
    </row>
    <row r="2120" spans="1:11" hidden="1" x14ac:dyDescent="0.25">
      <c r="A2120" t="str">
        <f t="shared" si="285"/>
        <v>316Ø1,5875</v>
      </c>
      <c r="B2120" s="81">
        <v>316</v>
      </c>
      <c r="C2120" s="101" t="s">
        <v>246</v>
      </c>
      <c r="D2120" s="86">
        <f>1/16*25.4</f>
        <v>1.5874999999999999</v>
      </c>
      <c r="E2120" s="85">
        <f t="shared" si="280"/>
        <v>1.5874999999999999E-3</v>
      </c>
      <c r="F2120" s="85">
        <f t="shared" si="281"/>
        <v>7.9374999999999997E-4</v>
      </c>
      <c r="G2120" s="85">
        <f t="shared" si="282"/>
        <v>2.0947867788210349E-9</v>
      </c>
      <c r="H2120" s="85">
        <v>7950</v>
      </c>
      <c r="I2120" s="85">
        <f t="shared" si="283"/>
        <v>1.6653554891627226E-5</v>
      </c>
      <c r="J2120" s="87">
        <v>1</v>
      </c>
      <c r="K2120" s="88">
        <f t="shared" si="284"/>
        <v>60047.239553806132</v>
      </c>
    </row>
    <row r="2121" spans="1:11" hidden="1" x14ac:dyDescent="0.25">
      <c r="A2121" t="str">
        <f t="shared" si="285"/>
        <v>420CØ2</v>
      </c>
      <c r="B2121" s="81" t="s">
        <v>295</v>
      </c>
      <c r="D2121" s="86">
        <v>2</v>
      </c>
      <c r="E2121" s="85">
        <f t="shared" si="280"/>
        <v>2E-3</v>
      </c>
      <c r="F2121" s="85">
        <f t="shared" si="281"/>
        <v>1E-3</v>
      </c>
      <c r="G2121" s="85">
        <f t="shared" si="282"/>
        <v>4.1887902047863909E-9</v>
      </c>
      <c r="H2121" s="85">
        <v>7750</v>
      </c>
      <c r="I2121" s="85">
        <f t="shared" si="283"/>
        <v>3.2463124087094526E-5</v>
      </c>
      <c r="J2121" s="87">
        <v>1</v>
      </c>
      <c r="K2121" s="88">
        <f t="shared" si="284"/>
        <v>30804.182533915231</v>
      </c>
    </row>
    <row r="2122" spans="1:11" hidden="1" x14ac:dyDescent="0.25">
      <c r="A2122" t="str">
        <f t="shared" si="285"/>
        <v>52100Ø1</v>
      </c>
      <c r="B2122" s="81">
        <v>52100</v>
      </c>
      <c r="D2122" s="86">
        <v>1</v>
      </c>
      <c r="E2122" s="85">
        <f t="shared" si="280"/>
        <v>1E-3</v>
      </c>
      <c r="F2122" s="85">
        <f t="shared" si="281"/>
        <v>5.0000000000000001E-4</v>
      </c>
      <c r="G2122" s="85">
        <f t="shared" si="282"/>
        <v>5.2359877559829886E-10</v>
      </c>
      <c r="H2122" s="85">
        <v>7800</v>
      </c>
      <c r="I2122" s="85">
        <f t="shared" si="283"/>
        <v>4.0840704496667312E-6</v>
      </c>
      <c r="J2122" s="87">
        <v>1</v>
      </c>
      <c r="K2122" s="88">
        <f t="shared" si="284"/>
        <v>244853.75860291591</v>
      </c>
    </row>
    <row r="2123" spans="1:11" hidden="1" x14ac:dyDescent="0.25">
      <c r="A2123" t="str">
        <f t="shared" si="285"/>
        <v>420CØ0,5</v>
      </c>
      <c r="B2123" s="81" t="s">
        <v>295</v>
      </c>
      <c r="D2123" s="86">
        <v>0.5</v>
      </c>
      <c r="E2123" s="85">
        <f t="shared" si="280"/>
        <v>5.0000000000000001E-4</v>
      </c>
      <c r="F2123" s="85">
        <f t="shared" si="281"/>
        <v>2.5000000000000001E-4</v>
      </c>
      <c r="G2123" s="85">
        <f t="shared" si="282"/>
        <v>6.5449846949787358E-11</v>
      </c>
      <c r="H2123" s="85">
        <v>7750</v>
      </c>
      <c r="I2123" s="85">
        <f t="shared" si="283"/>
        <v>5.0723631386085197E-7</v>
      </c>
      <c r="J2123" s="87">
        <v>1</v>
      </c>
      <c r="K2123" s="88">
        <f t="shared" si="284"/>
        <v>1971467.6821705748</v>
      </c>
    </row>
    <row r="2124" spans="1:11" hidden="1" x14ac:dyDescent="0.25">
      <c r="A2124" t="str">
        <f t="shared" si="285"/>
        <v>52100Ø1</v>
      </c>
      <c r="B2124" s="81">
        <v>52100</v>
      </c>
      <c r="D2124" s="86">
        <v>1</v>
      </c>
      <c r="E2124" s="85">
        <f t="shared" si="280"/>
        <v>1E-3</v>
      </c>
      <c r="F2124" s="85">
        <f t="shared" si="281"/>
        <v>5.0000000000000001E-4</v>
      </c>
      <c r="G2124" s="85">
        <f t="shared" si="282"/>
        <v>5.2359877559829886E-10</v>
      </c>
      <c r="H2124" s="85">
        <v>7800</v>
      </c>
      <c r="I2124" s="85">
        <f t="shared" si="283"/>
        <v>4.0840704496667312E-6</v>
      </c>
      <c r="J2124" s="87">
        <v>1</v>
      </c>
      <c r="K2124" s="88">
        <f t="shared" si="284"/>
        <v>244853.75860291591</v>
      </c>
    </row>
    <row r="2125" spans="1:11" hidden="1" x14ac:dyDescent="0.25">
      <c r="A2125" t="str">
        <f t="shared" si="285"/>
        <v>316Ø4</v>
      </c>
      <c r="B2125" s="81">
        <v>316</v>
      </c>
      <c r="D2125" s="86">
        <v>4</v>
      </c>
      <c r="E2125" s="85">
        <f t="shared" si="280"/>
        <v>4.0000000000000001E-3</v>
      </c>
      <c r="F2125" s="85">
        <f t="shared" si="281"/>
        <v>2E-3</v>
      </c>
      <c r="G2125" s="85">
        <f t="shared" si="282"/>
        <v>3.3510321638291127E-8</v>
      </c>
      <c r="H2125" s="85">
        <v>7950</v>
      </c>
      <c r="I2125" s="85">
        <f t="shared" si="283"/>
        <v>2.6640705702441446E-4</v>
      </c>
      <c r="J2125" s="87">
        <v>1</v>
      </c>
      <c r="K2125" s="88">
        <f t="shared" si="284"/>
        <v>3753.6543182050787</v>
      </c>
    </row>
    <row r="2126" spans="1:11" hidden="1" x14ac:dyDescent="0.25">
      <c r="A2126" t="str">
        <f t="shared" si="285"/>
        <v>52100Ø7,9375</v>
      </c>
      <c r="B2126" s="81">
        <v>52100</v>
      </c>
      <c r="C2126" s="101" t="s">
        <v>252</v>
      </c>
      <c r="D2126" s="86">
        <f>5/16*25.4</f>
        <v>7.9375</v>
      </c>
      <c r="E2126" s="85">
        <f t="shared" si="280"/>
        <v>7.9375000000000001E-3</v>
      </c>
      <c r="F2126" s="85">
        <f t="shared" si="281"/>
        <v>3.9687500000000001E-3</v>
      </c>
      <c r="G2126" s="85">
        <f t="shared" si="282"/>
        <v>2.6184834735262947E-7</v>
      </c>
      <c r="H2126" s="85">
        <v>7800</v>
      </c>
      <c r="I2126" s="85">
        <f t="shared" si="283"/>
        <v>2.0424171093505099E-3</v>
      </c>
      <c r="J2126" s="87">
        <v>1</v>
      </c>
      <c r="K2126" s="88">
        <f t="shared" si="284"/>
        <v>489.61595328488056</v>
      </c>
    </row>
    <row r="2127" spans="1:11" hidden="1" x14ac:dyDescent="0.25">
      <c r="A2127" t="str">
        <f t="shared" si="285"/>
        <v>52100Ø7,88</v>
      </c>
      <c r="B2127" s="81">
        <v>52100</v>
      </c>
      <c r="D2127" s="86">
        <v>7.88</v>
      </c>
      <c r="E2127" s="85">
        <f t="shared" si="280"/>
        <v>7.8799999999999999E-3</v>
      </c>
      <c r="F2127" s="85">
        <f t="shared" si="281"/>
        <v>3.9399999999999999E-3</v>
      </c>
      <c r="G2127" s="85">
        <f t="shared" si="282"/>
        <v>2.561989082747067E-7</v>
      </c>
      <c r="H2127" s="85">
        <v>7800</v>
      </c>
      <c r="I2127" s="85">
        <f t="shared" si="283"/>
        <v>1.9983514845427122E-3</v>
      </c>
      <c r="J2127" s="87">
        <v>1</v>
      </c>
      <c r="K2127" s="88">
        <f t="shared" si="284"/>
        <v>500.41246884495524</v>
      </c>
    </row>
    <row r="2128" spans="1:11" hidden="1" x14ac:dyDescent="0.25">
      <c r="A2128" t="str">
        <f t="shared" si="285"/>
        <v>420CØ1,5</v>
      </c>
      <c r="B2128" s="81" t="s">
        <v>295</v>
      </c>
      <c r="D2128" s="86">
        <v>1.5</v>
      </c>
      <c r="E2128" s="85">
        <f t="shared" si="280"/>
        <v>1.5E-3</v>
      </c>
      <c r="F2128" s="85">
        <f t="shared" si="281"/>
        <v>7.5000000000000002E-4</v>
      </c>
      <c r="G2128" s="85">
        <f t="shared" si="282"/>
        <v>1.7671458676442585E-9</v>
      </c>
      <c r="H2128" s="85">
        <v>7750</v>
      </c>
      <c r="I2128" s="85">
        <f t="shared" si="283"/>
        <v>1.3695380474243003E-5</v>
      </c>
      <c r="J2128" s="87">
        <v>1</v>
      </c>
      <c r="K2128" s="88">
        <f t="shared" si="284"/>
        <v>73017.321561873134</v>
      </c>
    </row>
    <row r="2129" spans="1:11" hidden="1" x14ac:dyDescent="0.25">
      <c r="A2129" t="str">
        <f t="shared" si="285"/>
        <v>440CØ2,38125</v>
      </c>
      <c r="B2129" s="81" t="s">
        <v>314</v>
      </c>
      <c r="C2129" s="101" t="s">
        <v>213</v>
      </c>
      <c r="D2129" s="86">
        <f>3/32*25.4</f>
        <v>2.3812499999999996</v>
      </c>
      <c r="E2129" s="85">
        <f t="shared" si="280"/>
        <v>2.3812499999999997E-3</v>
      </c>
      <c r="F2129" s="85">
        <f t="shared" si="281"/>
        <v>1.1906249999999998E-3</v>
      </c>
      <c r="G2129" s="85">
        <f t="shared" si="282"/>
        <v>7.0699053785209917E-9</v>
      </c>
      <c r="H2129" s="85">
        <v>7700</v>
      </c>
      <c r="I2129" s="85">
        <f t="shared" si="283"/>
        <v>5.4438271414611634E-5</v>
      </c>
      <c r="J2129" s="87">
        <v>1</v>
      </c>
      <c r="K2129" s="88">
        <f t="shared" si="284"/>
        <v>18369.429704771865</v>
      </c>
    </row>
    <row r="2130" spans="1:11" hidden="1" x14ac:dyDescent="0.25">
      <c r="A2130" t="str">
        <f t="shared" si="285"/>
        <v>52100Ø1,5</v>
      </c>
      <c r="B2130" s="81">
        <v>52100</v>
      </c>
      <c r="D2130" s="86">
        <v>1.5</v>
      </c>
      <c r="E2130" s="85">
        <f t="shared" si="280"/>
        <v>1.5E-3</v>
      </c>
      <c r="F2130" s="85">
        <f t="shared" si="281"/>
        <v>7.5000000000000002E-4</v>
      </c>
      <c r="G2130" s="85">
        <f t="shared" si="282"/>
        <v>1.7671458676442585E-9</v>
      </c>
      <c r="H2130" s="85">
        <v>7800</v>
      </c>
      <c r="I2130" s="85">
        <f t="shared" si="283"/>
        <v>1.3783737767625217E-5</v>
      </c>
      <c r="J2130" s="87">
        <v>1</v>
      </c>
      <c r="K2130" s="88">
        <f t="shared" si="284"/>
        <v>72549.261808271374</v>
      </c>
    </row>
    <row r="2131" spans="1:11" hidden="1" x14ac:dyDescent="0.25">
      <c r="A2131" t="str">
        <f t="shared" si="285"/>
        <v>420CØ2</v>
      </c>
      <c r="B2131" s="81" t="s">
        <v>295</v>
      </c>
      <c r="D2131" s="86">
        <v>2</v>
      </c>
      <c r="E2131" s="85">
        <f t="shared" si="280"/>
        <v>2E-3</v>
      </c>
      <c r="F2131" s="85">
        <f t="shared" si="281"/>
        <v>1E-3</v>
      </c>
      <c r="G2131" s="85">
        <f t="shared" si="282"/>
        <v>4.1887902047863909E-9</v>
      </c>
      <c r="H2131" s="85">
        <v>7750</v>
      </c>
      <c r="I2131" s="85">
        <f t="shared" si="283"/>
        <v>3.2463124087094526E-5</v>
      </c>
      <c r="J2131" s="87">
        <v>1</v>
      </c>
      <c r="K2131" s="88">
        <f t="shared" si="284"/>
        <v>30804.182533915231</v>
      </c>
    </row>
    <row r="2132" spans="1:11" hidden="1" x14ac:dyDescent="0.25">
      <c r="A2132" t="str">
        <f t="shared" si="285"/>
        <v>Al2O3Ø1,5</v>
      </c>
      <c r="B2132" s="81" t="s">
        <v>217</v>
      </c>
      <c r="D2132" s="86">
        <v>1.5</v>
      </c>
      <c r="E2132" s="85">
        <f t="shared" si="280"/>
        <v>1.5E-3</v>
      </c>
      <c r="F2132" s="85">
        <f t="shared" si="281"/>
        <v>7.5000000000000002E-4</v>
      </c>
      <c r="G2132" s="85">
        <f t="shared" si="282"/>
        <v>1.7671458676442585E-9</v>
      </c>
      <c r="H2132" s="85">
        <v>3940</v>
      </c>
      <c r="I2132" s="85">
        <f t="shared" si="283"/>
        <v>6.9625547185183786E-6</v>
      </c>
      <c r="J2132" s="87">
        <v>1</v>
      </c>
      <c r="K2132" s="88">
        <f t="shared" si="284"/>
        <v>143625.4421585068</v>
      </c>
    </row>
    <row r="2133" spans="1:11" hidden="1" x14ac:dyDescent="0.25">
      <c r="A2133" t="str">
        <f t="shared" si="285"/>
        <v>Al2O3Ø1,5</v>
      </c>
      <c r="B2133" s="81" t="s">
        <v>217</v>
      </c>
      <c r="D2133" s="86">
        <v>1.5</v>
      </c>
      <c r="E2133" s="85">
        <f>D2133/1000</f>
        <v>1.5E-3</v>
      </c>
      <c r="F2133" s="85">
        <f>E2133/2</f>
        <v>7.5000000000000002E-4</v>
      </c>
      <c r="G2133" s="85">
        <f>4/3*PI()*F2133*F2133*F2133</f>
        <v>1.7671458676442585E-9</v>
      </c>
      <c r="H2133" s="85">
        <v>3940</v>
      </c>
      <c r="I2133" s="85">
        <f>H2133*G2133</f>
        <v>6.9625547185183786E-6</v>
      </c>
      <c r="J2133" s="87">
        <v>1</v>
      </c>
      <c r="K2133" s="88">
        <f>J2133/I2133</f>
        <v>143625.4421585068</v>
      </c>
    </row>
    <row r="2134" spans="1:11" hidden="1" x14ac:dyDescent="0.25">
      <c r="A2134" t="str">
        <f t="shared" si="285"/>
        <v>Al2O3Ø1,5</v>
      </c>
      <c r="B2134" s="81" t="s">
        <v>217</v>
      </c>
      <c r="D2134" s="86">
        <v>1.5</v>
      </c>
      <c r="E2134" s="85">
        <f t="shared" ref="E2134:E2196" si="286">D2134/1000</f>
        <v>1.5E-3</v>
      </c>
      <c r="F2134" s="85">
        <f t="shared" ref="F2134:F2196" si="287">E2134/2</f>
        <v>7.5000000000000002E-4</v>
      </c>
      <c r="G2134" s="85">
        <f t="shared" ref="G2134:G2196" si="288">4/3*PI()*F2134*F2134*F2134</f>
        <v>1.7671458676442585E-9</v>
      </c>
      <c r="H2134" s="85">
        <v>3940</v>
      </c>
      <c r="I2134" s="85">
        <f t="shared" ref="I2134:I2196" si="289">H2134*G2134</f>
        <v>6.9625547185183786E-6</v>
      </c>
      <c r="J2134" s="87">
        <v>1</v>
      </c>
      <c r="K2134" s="88">
        <f t="shared" ref="K2134:K2196" si="290">J2134/I2134</f>
        <v>143625.4421585068</v>
      </c>
    </row>
    <row r="2135" spans="1:11" hidden="1" x14ac:dyDescent="0.25">
      <c r="A2135" t="str">
        <f t="shared" si="285"/>
        <v>Al2O3Ø1,5</v>
      </c>
      <c r="B2135" s="81" t="s">
        <v>217</v>
      </c>
      <c r="D2135" s="86">
        <v>1.5</v>
      </c>
      <c r="E2135" s="85">
        <f t="shared" si="286"/>
        <v>1.5E-3</v>
      </c>
      <c r="F2135" s="85">
        <f t="shared" si="287"/>
        <v>7.5000000000000002E-4</v>
      </c>
      <c r="G2135" s="85">
        <f t="shared" si="288"/>
        <v>1.7671458676442585E-9</v>
      </c>
      <c r="H2135" s="85">
        <v>3900</v>
      </c>
      <c r="I2135" s="85">
        <f t="shared" si="289"/>
        <v>6.8918688838126086E-6</v>
      </c>
      <c r="J2135" s="87">
        <v>1</v>
      </c>
      <c r="K2135" s="88">
        <f t="shared" si="290"/>
        <v>145098.52361654275</v>
      </c>
    </row>
    <row r="2136" spans="1:11" hidden="1" x14ac:dyDescent="0.25">
      <c r="A2136" t="str">
        <f t="shared" si="285"/>
        <v>NBRØ2,38125</v>
      </c>
      <c r="B2136" s="81" t="s">
        <v>341</v>
      </c>
      <c r="C2136" s="101" t="s">
        <v>213</v>
      </c>
      <c r="D2136" s="86">
        <f>3/32*25.4</f>
        <v>2.3812499999999996</v>
      </c>
      <c r="E2136" s="85">
        <f t="shared" si="286"/>
        <v>2.3812499999999997E-3</v>
      </c>
      <c r="F2136" s="85">
        <f t="shared" si="287"/>
        <v>1.1906249999999998E-3</v>
      </c>
      <c r="G2136" s="85">
        <f t="shared" si="288"/>
        <v>7.0699053785209917E-9</v>
      </c>
      <c r="H2136" s="85">
        <v>1200</v>
      </c>
      <c r="I2136" s="85">
        <f t="shared" si="289"/>
        <v>8.4838864542251892E-6</v>
      </c>
      <c r="J2136" s="87">
        <v>1</v>
      </c>
      <c r="K2136" s="88">
        <f t="shared" si="290"/>
        <v>117870.50727228614</v>
      </c>
    </row>
    <row r="2137" spans="1:11" hidden="1" x14ac:dyDescent="0.25">
      <c r="A2137" t="str">
        <f t="shared" si="285"/>
        <v>Al2O3Ø1,5</v>
      </c>
      <c r="B2137" s="81" t="s">
        <v>217</v>
      </c>
      <c r="D2137" s="86">
        <v>1.5</v>
      </c>
      <c r="E2137" s="85">
        <f t="shared" si="286"/>
        <v>1.5E-3</v>
      </c>
      <c r="F2137" s="85">
        <f t="shared" si="287"/>
        <v>7.5000000000000002E-4</v>
      </c>
      <c r="G2137" s="85">
        <f t="shared" si="288"/>
        <v>1.7671458676442585E-9</v>
      </c>
      <c r="H2137" s="85">
        <v>3940</v>
      </c>
      <c r="I2137" s="85">
        <f t="shared" si="289"/>
        <v>6.9625547185183786E-6</v>
      </c>
      <c r="J2137" s="87">
        <v>1</v>
      </c>
      <c r="K2137" s="88">
        <f t="shared" si="290"/>
        <v>143625.4421585068</v>
      </c>
    </row>
    <row r="2138" spans="1:11" hidden="1" x14ac:dyDescent="0.25">
      <c r="A2138" t="str">
        <f t="shared" si="285"/>
        <v>440CØ1</v>
      </c>
      <c r="B2138" s="81" t="s">
        <v>314</v>
      </c>
      <c r="D2138" s="86">
        <v>1</v>
      </c>
      <c r="E2138" s="85">
        <f t="shared" si="286"/>
        <v>1E-3</v>
      </c>
      <c r="F2138" s="85">
        <f t="shared" si="287"/>
        <v>5.0000000000000001E-4</v>
      </c>
      <c r="G2138" s="85">
        <f t="shared" si="288"/>
        <v>5.2359877559829886E-10</v>
      </c>
      <c r="H2138" s="85">
        <v>7560</v>
      </c>
      <c r="I2138" s="85">
        <f t="shared" si="289"/>
        <v>3.9584067435231391E-6</v>
      </c>
      <c r="J2138" s="87">
        <v>1</v>
      </c>
      <c r="K2138" s="88">
        <f t="shared" si="290"/>
        <v>252626.89379665928</v>
      </c>
    </row>
    <row r="2139" spans="1:11" hidden="1" x14ac:dyDescent="0.25">
      <c r="A2139" t="str">
        <f t="shared" si="285"/>
        <v>PPHØ2</v>
      </c>
      <c r="B2139" s="81" t="s">
        <v>202</v>
      </c>
      <c r="D2139" s="86">
        <v>2</v>
      </c>
      <c r="E2139" s="85">
        <f t="shared" si="286"/>
        <v>2E-3</v>
      </c>
      <c r="F2139" s="85">
        <f t="shared" si="287"/>
        <v>1E-3</v>
      </c>
      <c r="G2139" s="85">
        <f t="shared" si="288"/>
        <v>4.1887902047863909E-9</v>
      </c>
      <c r="H2139" s="85">
        <v>870</v>
      </c>
      <c r="I2139" s="85">
        <f t="shared" si="289"/>
        <v>3.6442474781641599E-6</v>
      </c>
      <c r="J2139" s="87">
        <v>1</v>
      </c>
      <c r="K2139" s="88">
        <f t="shared" si="290"/>
        <v>274405.07429637131</v>
      </c>
    </row>
    <row r="2140" spans="1:11" hidden="1" x14ac:dyDescent="0.25">
      <c r="A2140" t="str">
        <f t="shared" si="285"/>
        <v>Si3N4Ø3</v>
      </c>
      <c r="B2140" s="81" t="s">
        <v>207</v>
      </c>
      <c r="D2140" s="86">
        <v>3</v>
      </c>
      <c r="E2140" s="85">
        <f t="shared" si="286"/>
        <v>3.0000000000000001E-3</v>
      </c>
      <c r="F2140" s="85">
        <f t="shared" si="287"/>
        <v>1.5E-3</v>
      </c>
      <c r="G2140" s="85">
        <f t="shared" si="288"/>
        <v>1.4137166941154068E-8</v>
      </c>
      <c r="H2140" s="85">
        <v>3260</v>
      </c>
      <c r="I2140" s="85">
        <f t="shared" si="289"/>
        <v>4.6087164228162259E-5</v>
      </c>
      <c r="J2140" s="87">
        <v>1</v>
      </c>
      <c r="K2140" s="88">
        <f t="shared" si="290"/>
        <v>21698.015418117979</v>
      </c>
    </row>
    <row r="2141" spans="1:11" hidden="1" x14ac:dyDescent="0.25">
      <c r="A2141" t="str">
        <f t="shared" si="285"/>
        <v>52100Ø3</v>
      </c>
      <c r="B2141" s="81">
        <v>52100</v>
      </c>
      <c r="D2141" s="86">
        <v>3</v>
      </c>
      <c r="E2141" s="85">
        <f t="shared" si="286"/>
        <v>3.0000000000000001E-3</v>
      </c>
      <c r="F2141" s="85">
        <f t="shared" si="287"/>
        <v>1.5E-3</v>
      </c>
      <c r="G2141" s="85">
        <f t="shared" si="288"/>
        <v>1.4137166941154068E-8</v>
      </c>
      <c r="H2141" s="85">
        <v>7800</v>
      </c>
      <c r="I2141" s="85">
        <f t="shared" si="289"/>
        <v>1.1026990214100174E-4</v>
      </c>
      <c r="J2141" s="87">
        <v>1</v>
      </c>
      <c r="K2141" s="88">
        <f t="shared" si="290"/>
        <v>9068.6577260339218</v>
      </c>
    </row>
    <row r="2142" spans="1:11" hidden="1" x14ac:dyDescent="0.25">
      <c r="A2142" t="str">
        <f t="shared" si="285"/>
        <v>420CØ2</v>
      </c>
      <c r="B2142" s="81" t="s">
        <v>295</v>
      </c>
      <c r="D2142" s="86">
        <v>2</v>
      </c>
      <c r="E2142" s="85">
        <f t="shared" si="286"/>
        <v>2E-3</v>
      </c>
      <c r="F2142" s="85">
        <f t="shared" si="287"/>
        <v>1E-3</v>
      </c>
      <c r="G2142" s="85">
        <f t="shared" si="288"/>
        <v>4.1887902047863909E-9</v>
      </c>
      <c r="H2142" s="85">
        <v>7750</v>
      </c>
      <c r="I2142" s="85">
        <f t="shared" si="289"/>
        <v>3.2463124087094526E-5</v>
      </c>
      <c r="J2142" s="87">
        <v>1</v>
      </c>
      <c r="K2142" s="88">
        <f t="shared" si="290"/>
        <v>30804.182533915231</v>
      </c>
    </row>
    <row r="2143" spans="1:11" hidden="1" x14ac:dyDescent="0.25">
      <c r="A2143" t="str">
        <f t="shared" si="285"/>
        <v>POMØ2</v>
      </c>
      <c r="B2143" s="81" t="s">
        <v>201</v>
      </c>
      <c r="D2143" s="86">
        <v>2</v>
      </c>
      <c r="E2143" s="85">
        <f t="shared" si="286"/>
        <v>2E-3</v>
      </c>
      <c r="F2143" s="85">
        <f t="shared" si="287"/>
        <v>1E-3</v>
      </c>
      <c r="G2143" s="85">
        <f t="shared" si="288"/>
        <v>4.1887902047863909E-9</v>
      </c>
      <c r="H2143" s="85">
        <v>1380</v>
      </c>
      <c r="I2143" s="85">
        <f t="shared" si="289"/>
        <v>5.7805304826052197E-6</v>
      </c>
      <c r="J2143" s="87">
        <v>1</v>
      </c>
      <c r="K2143" s="88">
        <f t="shared" si="290"/>
        <v>172994.5033607558</v>
      </c>
    </row>
    <row r="2144" spans="1:11" hidden="1" x14ac:dyDescent="0.25">
      <c r="A2144" t="str">
        <f t="shared" si="285"/>
        <v>316Ø1,5875</v>
      </c>
      <c r="B2144" s="81">
        <v>316</v>
      </c>
      <c r="C2144" s="101" t="s">
        <v>246</v>
      </c>
      <c r="D2144" s="86">
        <f>1/16*25.4</f>
        <v>1.5874999999999999</v>
      </c>
      <c r="E2144" s="85">
        <f t="shared" si="286"/>
        <v>1.5874999999999999E-3</v>
      </c>
      <c r="F2144" s="85">
        <f t="shared" si="287"/>
        <v>7.9374999999999997E-4</v>
      </c>
      <c r="G2144" s="85">
        <f t="shared" si="288"/>
        <v>2.0947867788210349E-9</v>
      </c>
      <c r="H2144" s="85">
        <v>8050</v>
      </c>
      <c r="I2144" s="85">
        <f t="shared" si="289"/>
        <v>1.6863033569509332E-5</v>
      </c>
      <c r="J2144" s="87">
        <v>1</v>
      </c>
      <c r="K2144" s="88">
        <f t="shared" si="290"/>
        <v>59301.311112143936</v>
      </c>
    </row>
    <row r="2145" spans="1:11" hidden="1" x14ac:dyDescent="0.25">
      <c r="A2145" t="str">
        <f t="shared" si="285"/>
        <v>PA6.6Ø2</v>
      </c>
      <c r="B2145" s="81" t="s">
        <v>244</v>
      </c>
      <c r="D2145" s="86">
        <v>2</v>
      </c>
      <c r="E2145" s="85">
        <f t="shared" si="286"/>
        <v>2E-3</v>
      </c>
      <c r="F2145" s="85">
        <f t="shared" si="287"/>
        <v>1E-3</v>
      </c>
      <c r="G2145" s="85">
        <f t="shared" si="288"/>
        <v>4.1887902047863909E-9</v>
      </c>
      <c r="H2145" s="85">
        <v>1110</v>
      </c>
      <c r="I2145" s="85">
        <f t="shared" si="289"/>
        <v>4.6495571273128935E-6</v>
      </c>
      <c r="J2145" s="87">
        <v>1</v>
      </c>
      <c r="K2145" s="88">
        <f t="shared" si="290"/>
        <v>215074.24742148022</v>
      </c>
    </row>
    <row r="2146" spans="1:11" hidden="1" x14ac:dyDescent="0.25">
      <c r="A2146" t="str">
        <f t="shared" si="285"/>
        <v>WC-CoØ2,778125</v>
      </c>
      <c r="B2146" s="81" t="s">
        <v>297</v>
      </c>
      <c r="C2146" s="101" t="s">
        <v>247</v>
      </c>
      <c r="D2146" s="86">
        <f>7/64*25.4</f>
        <v>2.7781249999999997</v>
      </c>
      <c r="E2146" s="85">
        <f t="shared" si="286"/>
        <v>2.7781249999999998E-3</v>
      </c>
      <c r="F2146" s="85">
        <f t="shared" si="287"/>
        <v>1.3890624999999999E-3</v>
      </c>
      <c r="G2146" s="85">
        <f t="shared" si="288"/>
        <v>1.1226747892743984E-8</v>
      </c>
      <c r="H2146" s="85">
        <v>14950</v>
      </c>
      <c r="I2146" s="85">
        <f t="shared" si="289"/>
        <v>1.6783988099652256E-4</v>
      </c>
      <c r="J2146" s="87">
        <v>1</v>
      </c>
      <c r="K2146" s="88">
        <f t="shared" si="290"/>
        <v>5958.059515191856</v>
      </c>
    </row>
    <row r="2147" spans="1:11" hidden="1" x14ac:dyDescent="0.25">
      <c r="A2147" t="str">
        <f t="shared" si="285"/>
        <v>POMØ2</v>
      </c>
      <c r="B2147" s="81" t="s">
        <v>201</v>
      </c>
      <c r="D2147" s="86">
        <v>2</v>
      </c>
      <c r="E2147" s="85">
        <f t="shared" si="286"/>
        <v>2E-3</v>
      </c>
      <c r="F2147" s="85">
        <f t="shared" si="287"/>
        <v>1E-3</v>
      </c>
      <c r="G2147" s="85">
        <f t="shared" si="288"/>
        <v>4.1887902047863909E-9</v>
      </c>
      <c r="H2147" s="85">
        <v>1410</v>
      </c>
      <c r="I2147" s="85">
        <f t="shared" si="289"/>
        <v>5.906194188748811E-6</v>
      </c>
      <c r="J2147" s="87">
        <v>1</v>
      </c>
      <c r="K2147" s="88">
        <f t="shared" si="290"/>
        <v>169313.76924669716</v>
      </c>
    </row>
    <row r="2148" spans="1:11" hidden="1" x14ac:dyDescent="0.25">
      <c r="A2148" t="str">
        <f t="shared" si="285"/>
        <v>52100Ø1,5</v>
      </c>
      <c r="B2148" s="81">
        <v>52100</v>
      </c>
      <c r="D2148" s="86">
        <v>1.5</v>
      </c>
      <c r="E2148" s="85">
        <f t="shared" si="286"/>
        <v>1.5E-3</v>
      </c>
      <c r="F2148" s="85">
        <f t="shared" si="287"/>
        <v>7.5000000000000002E-4</v>
      </c>
      <c r="G2148" s="85">
        <f t="shared" si="288"/>
        <v>1.7671458676442585E-9</v>
      </c>
      <c r="H2148" s="85">
        <v>7800</v>
      </c>
      <c r="I2148" s="85">
        <f t="shared" si="289"/>
        <v>1.3783737767625217E-5</v>
      </c>
      <c r="J2148" s="87">
        <v>1</v>
      </c>
      <c r="K2148" s="88">
        <f t="shared" si="290"/>
        <v>72549.261808271374</v>
      </c>
    </row>
    <row r="2149" spans="1:11" hidden="1" x14ac:dyDescent="0.25">
      <c r="A2149" t="str">
        <f t="shared" si="285"/>
        <v>Al2O3Ø3,175</v>
      </c>
      <c r="B2149" s="81" t="s">
        <v>217</v>
      </c>
      <c r="C2149" s="101" t="s">
        <v>214</v>
      </c>
      <c r="D2149" s="86">
        <f>1/8*25.4</f>
        <v>3.1749999999999998</v>
      </c>
      <c r="E2149" s="85">
        <f t="shared" si="286"/>
        <v>3.1749999999999999E-3</v>
      </c>
      <c r="F2149" s="85">
        <f t="shared" si="287"/>
        <v>1.5874999999999999E-3</v>
      </c>
      <c r="G2149" s="85">
        <f t="shared" si="288"/>
        <v>1.6758294230568279E-8</v>
      </c>
      <c r="H2149" s="85">
        <v>3900</v>
      </c>
      <c r="I2149" s="85">
        <f t="shared" si="289"/>
        <v>6.5357347499216283E-5</v>
      </c>
      <c r="J2149" s="87">
        <v>1</v>
      </c>
      <c r="K2149" s="88">
        <f t="shared" si="290"/>
        <v>15300.498540152525</v>
      </c>
    </row>
    <row r="2150" spans="1:11" hidden="1" x14ac:dyDescent="0.25">
      <c r="A2150" t="str">
        <f t="shared" si="285"/>
        <v>52100Ø1,5</v>
      </c>
      <c r="B2150" s="81">
        <v>52100</v>
      </c>
      <c r="D2150" s="86">
        <v>1.5</v>
      </c>
      <c r="E2150" s="85">
        <f t="shared" si="286"/>
        <v>1.5E-3</v>
      </c>
      <c r="F2150" s="85">
        <f t="shared" si="287"/>
        <v>7.5000000000000002E-4</v>
      </c>
      <c r="G2150" s="85">
        <f t="shared" si="288"/>
        <v>1.7671458676442585E-9</v>
      </c>
      <c r="H2150" s="85">
        <v>7800</v>
      </c>
      <c r="I2150" s="85">
        <f t="shared" si="289"/>
        <v>1.3783737767625217E-5</v>
      </c>
      <c r="J2150" s="87">
        <v>1</v>
      </c>
      <c r="K2150" s="88">
        <f t="shared" si="290"/>
        <v>72549.261808271374</v>
      </c>
    </row>
    <row r="2151" spans="1:11" hidden="1" x14ac:dyDescent="0.25">
      <c r="A2151" t="str">
        <f t="shared" si="285"/>
        <v>420CØ6</v>
      </c>
      <c r="B2151" s="81" t="s">
        <v>295</v>
      </c>
      <c r="D2151" s="86">
        <v>6</v>
      </c>
      <c r="E2151" s="85">
        <f t="shared" si="286"/>
        <v>6.0000000000000001E-3</v>
      </c>
      <c r="F2151" s="85">
        <f t="shared" si="287"/>
        <v>3.0000000000000001E-3</v>
      </c>
      <c r="G2151" s="85">
        <f t="shared" si="288"/>
        <v>1.1309733552923255E-7</v>
      </c>
      <c r="H2151" s="85">
        <v>7750</v>
      </c>
      <c r="I2151" s="85">
        <f t="shared" si="289"/>
        <v>8.765043503515522E-4</v>
      </c>
      <c r="J2151" s="87">
        <v>1</v>
      </c>
      <c r="K2151" s="88">
        <f t="shared" si="290"/>
        <v>1140.8956494042677</v>
      </c>
    </row>
    <row r="2152" spans="1:11" hidden="1" x14ac:dyDescent="0.25">
      <c r="A2152" t="str">
        <f t="shared" si="285"/>
        <v>316Ø0,5</v>
      </c>
      <c r="B2152" s="81">
        <v>316</v>
      </c>
      <c r="D2152" s="86">
        <v>0.5</v>
      </c>
      <c r="E2152" s="85">
        <f t="shared" si="286"/>
        <v>5.0000000000000001E-4</v>
      </c>
      <c r="F2152" s="85">
        <f t="shared" si="287"/>
        <v>2.5000000000000001E-4</v>
      </c>
      <c r="G2152" s="85">
        <f t="shared" si="288"/>
        <v>6.5449846949787358E-11</v>
      </c>
      <c r="H2152" s="85">
        <v>7950</v>
      </c>
      <c r="I2152" s="85">
        <f t="shared" si="289"/>
        <v>5.2032628325080949E-7</v>
      </c>
      <c r="J2152" s="87">
        <v>1</v>
      </c>
      <c r="K2152" s="88">
        <f t="shared" si="290"/>
        <v>1921871.0109210003</v>
      </c>
    </row>
    <row r="2153" spans="1:11" hidden="1" x14ac:dyDescent="0.25">
      <c r="A2153" t="str">
        <f t="shared" si="285"/>
        <v>316Ø0,5</v>
      </c>
      <c r="B2153" s="81">
        <v>316</v>
      </c>
      <c r="D2153" s="86">
        <v>0.5</v>
      </c>
      <c r="E2153" s="85">
        <f t="shared" si="286"/>
        <v>5.0000000000000001E-4</v>
      </c>
      <c r="F2153" s="85">
        <f t="shared" si="287"/>
        <v>2.5000000000000001E-4</v>
      </c>
      <c r="G2153" s="85">
        <f t="shared" si="288"/>
        <v>6.5449846949787358E-11</v>
      </c>
      <c r="H2153" s="85">
        <v>7950</v>
      </c>
      <c r="I2153" s="85">
        <f t="shared" si="289"/>
        <v>5.2032628325080949E-7</v>
      </c>
      <c r="J2153" s="87">
        <v>1</v>
      </c>
      <c r="K2153" s="88">
        <f t="shared" si="290"/>
        <v>1921871.0109210003</v>
      </c>
    </row>
    <row r="2154" spans="1:11" hidden="1" x14ac:dyDescent="0.25">
      <c r="A2154" t="str">
        <f t="shared" si="285"/>
        <v>Al2O3Ø1,5</v>
      </c>
      <c r="B2154" s="81" t="s">
        <v>217</v>
      </c>
      <c r="D2154" s="86">
        <v>1.5</v>
      </c>
      <c r="E2154" s="85">
        <f t="shared" si="286"/>
        <v>1.5E-3</v>
      </c>
      <c r="F2154" s="85">
        <f t="shared" si="287"/>
        <v>7.5000000000000002E-4</v>
      </c>
      <c r="G2154" s="85">
        <f t="shared" si="288"/>
        <v>1.7671458676442585E-9</v>
      </c>
      <c r="H2154" s="85">
        <v>3920</v>
      </c>
      <c r="I2154" s="85">
        <f t="shared" si="289"/>
        <v>6.9272118011654936E-6</v>
      </c>
      <c r="J2154" s="87">
        <v>1</v>
      </c>
      <c r="K2154" s="88">
        <f t="shared" si="290"/>
        <v>144358.22502666243</v>
      </c>
    </row>
    <row r="2155" spans="1:11" hidden="1" x14ac:dyDescent="0.25">
      <c r="A2155" t="str">
        <f t="shared" si="285"/>
        <v>Al2O3Ø1,5</v>
      </c>
      <c r="B2155" s="81" t="s">
        <v>217</v>
      </c>
      <c r="D2155" s="86">
        <v>1.5</v>
      </c>
      <c r="E2155" s="85">
        <f t="shared" si="286"/>
        <v>1.5E-3</v>
      </c>
      <c r="F2155" s="85">
        <f t="shared" si="287"/>
        <v>7.5000000000000002E-4</v>
      </c>
      <c r="G2155" s="85">
        <f t="shared" si="288"/>
        <v>1.7671458676442585E-9</v>
      </c>
      <c r="H2155" s="85">
        <v>3940</v>
      </c>
      <c r="I2155" s="85">
        <f t="shared" si="289"/>
        <v>6.9625547185183786E-6</v>
      </c>
      <c r="J2155" s="87">
        <v>1</v>
      </c>
      <c r="K2155" s="88">
        <f t="shared" si="290"/>
        <v>143625.4421585068</v>
      </c>
    </row>
    <row r="2156" spans="1:11" hidden="1" x14ac:dyDescent="0.25">
      <c r="A2156" t="str">
        <f t="shared" si="285"/>
        <v>Al2O3Ø1,5</v>
      </c>
      <c r="B2156" s="81" t="s">
        <v>217</v>
      </c>
      <c r="D2156" s="86">
        <v>1.5</v>
      </c>
      <c r="E2156" s="85">
        <f t="shared" si="286"/>
        <v>1.5E-3</v>
      </c>
      <c r="F2156" s="85">
        <f t="shared" si="287"/>
        <v>7.5000000000000002E-4</v>
      </c>
      <c r="G2156" s="85">
        <f t="shared" si="288"/>
        <v>1.7671458676442585E-9</v>
      </c>
      <c r="H2156" s="85">
        <v>3930</v>
      </c>
      <c r="I2156" s="85">
        <f t="shared" si="289"/>
        <v>6.9448832598419361E-6</v>
      </c>
      <c r="J2156" s="87">
        <v>1</v>
      </c>
      <c r="K2156" s="88">
        <f t="shared" si="290"/>
        <v>143990.90129885924</v>
      </c>
    </row>
    <row r="2157" spans="1:11" hidden="1" x14ac:dyDescent="0.25">
      <c r="A2157" t="str">
        <f t="shared" si="285"/>
        <v>Al2O3Ø1,5</v>
      </c>
      <c r="B2157" s="81" t="s">
        <v>217</v>
      </c>
      <c r="D2157" s="86">
        <v>1.5</v>
      </c>
      <c r="E2157" s="85">
        <f t="shared" si="286"/>
        <v>1.5E-3</v>
      </c>
      <c r="F2157" s="85">
        <f t="shared" si="287"/>
        <v>7.5000000000000002E-4</v>
      </c>
      <c r="G2157" s="85">
        <f t="shared" si="288"/>
        <v>1.7671458676442585E-9</v>
      </c>
      <c r="H2157" s="85">
        <v>3940</v>
      </c>
      <c r="I2157" s="85">
        <f t="shared" si="289"/>
        <v>6.9625547185183786E-6</v>
      </c>
      <c r="J2157" s="87">
        <v>1</v>
      </c>
      <c r="K2157" s="88">
        <f t="shared" si="290"/>
        <v>143625.4421585068</v>
      </c>
    </row>
    <row r="2158" spans="1:11" hidden="1" x14ac:dyDescent="0.25">
      <c r="A2158" t="str">
        <f t="shared" si="285"/>
        <v>WC-CoØ1</v>
      </c>
      <c r="B2158" s="81" t="s">
        <v>297</v>
      </c>
      <c r="D2158" s="86">
        <v>1</v>
      </c>
      <c r="E2158" s="85">
        <f t="shared" si="286"/>
        <v>1E-3</v>
      </c>
      <c r="F2158" s="85">
        <f t="shared" si="287"/>
        <v>5.0000000000000001E-4</v>
      </c>
      <c r="G2158" s="85">
        <f t="shared" si="288"/>
        <v>5.2359877559829886E-10</v>
      </c>
      <c r="H2158" s="85">
        <v>14950</v>
      </c>
      <c r="I2158" s="85">
        <f t="shared" si="289"/>
        <v>7.8278016951945674E-6</v>
      </c>
      <c r="J2158" s="87">
        <v>1</v>
      </c>
      <c r="K2158" s="88">
        <f t="shared" si="290"/>
        <v>127749.78709717352</v>
      </c>
    </row>
    <row r="2159" spans="1:11" hidden="1" x14ac:dyDescent="0.25">
      <c r="A2159" t="str">
        <f t="shared" si="285"/>
        <v>WC-CoØ1</v>
      </c>
      <c r="B2159" s="81" t="s">
        <v>297</v>
      </c>
      <c r="D2159" s="86">
        <v>1</v>
      </c>
      <c r="E2159" s="85">
        <f t="shared" si="286"/>
        <v>1E-3</v>
      </c>
      <c r="F2159" s="85">
        <f t="shared" si="287"/>
        <v>5.0000000000000001E-4</v>
      </c>
      <c r="G2159" s="85">
        <f t="shared" si="288"/>
        <v>5.2359877559829886E-10</v>
      </c>
      <c r="H2159" s="85">
        <v>14950</v>
      </c>
      <c r="I2159" s="85">
        <f t="shared" si="289"/>
        <v>7.8278016951945674E-6</v>
      </c>
      <c r="J2159" s="87">
        <v>1</v>
      </c>
      <c r="K2159" s="88">
        <f t="shared" si="290"/>
        <v>127749.78709717352</v>
      </c>
    </row>
    <row r="2160" spans="1:11" hidden="1" x14ac:dyDescent="0.25">
      <c r="A2160" t="str">
        <f t="shared" si="285"/>
        <v>HDPEØ2,7</v>
      </c>
      <c r="B2160" s="81" t="s">
        <v>322</v>
      </c>
      <c r="D2160" s="86">
        <v>2.7</v>
      </c>
      <c r="E2160" s="85">
        <f t="shared" si="286"/>
        <v>2.7000000000000001E-3</v>
      </c>
      <c r="F2160" s="85">
        <f t="shared" si="287"/>
        <v>1.3500000000000001E-3</v>
      </c>
      <c r="G2160" s="85">
        <f t="shared" si="288"/>
        <v>1.0305994700101316E-8</v>
      </c>
      <c r="H2160" s="85">
        <v>940</v>
      </c>
      <c r="I2160" s="85">
        <f t="shared" si="289"/>
        <v>9.687635018095237E-6</v>
      </c>
      <c r="J2160" s="87">
        <v>1</v>
      </c>
      <c r="K2160" s="88">
        <f t="shared" si="290"/>
        <v>103224.36777728832</v>
      </c>
    </row>
    <row r="2161" spans="1:11" hidden="1" x14ac:dyDescent="0.25">
      <c r="A2161" t="str">
        <f t="shared" si="285"/>
        <v>440CØ1,984375</v>
      </c>
      <c r="B2161" s="81" t="s">
        <v>314</v>
      </c>
      <c r="C2161" s="101" t="s">
        <v>327</v>
      </c>
      <c r="D2161" s="86">
        <f>5/64*25.4</f>
        <v>1.984375</v>
      </c>
      <c r="E2161" s="85">
        <f t="shared" si="286"/>
        <v>1.984375E-3</v>
      </c>
      <c r="F2161" s="85">
        <f t="shared" si="287"/>
        <v>9.9218750000000001E-4</v>
      </c>
      <c r="G2161" s="85">
        <f t="shared" si="288"/>
        <v>4.0913804273848354E-9</v>
      </c>
      <c r="H2161" s="85">
        <v>7550</v>
      </c>
      <c r="I2161" s="85">
        <f t="shared" si="289"/>
        <v>3.0889922226755508E-5</v>
      </c>
      <c r="J2161" s="87">
        <v>1</v>
      </c>
      <c r="K2161" s="88">
        <f t="shared" si="290"/>
        <v>32373.01773242548</v>
      </c>
    </row>
    <row r="2162" spans="1:11" hidden="1" x14ac:dyDescent="0.25">
      <c r="A2162" t="str">
        <f t="shared" si="285"/>
        <v>PPHØ5</v>
      </c>
      <c r="B2162" s="81" t="s">
        <v>202</v>
      </c>
      <c r="D2162" s="86">
        <v>5</v>
      </c>
      <c r="E2162" s="85">
        <f t="shared" si="286"/>
        <v>5.0000000000000001E-3</v>
      </c>
      <c r="F2162" s="85">
        <f t="shared" si="287"/>
        <v>2.5000000000000001E-3</v>
      </c>
      <c r="G2162" s="85">
        <f t="shared" si="288"/>
        <v>6.5449846949787352E-8</v>
      </c>
      <c r="H2162" s="85">
        <v>870</v>
      </c>
      <c r="I2162" s="85">
        <f t="shared" si="289"/>
        <v>5.6941366846314999E-5</v>
      </c>
      <c r="J2162" s="87">
        <v>1</v>
      </c>
      <c r="K2162" s="88">
        <f t="shared" si="290"/>
        <v>17561.924754967764</v>
      </c>
    </row>
    <row r="2163" spans="1:11" hidden="1" x14ac:dyDescent="0.25">
      <c r="A2163" t="str">
        <f t="shared" si="285"/>
        <v>PPHØ5</v>
      </c>
      <c r="B2163" s="81" t="s">
        <v>202</v>
      </c>
      <c r="D2163" s="86">
        <v>5</v>
      </c>
      <c r="E2163" s="85">
        <f t="shared" si="286"/>
        <v>5.0000000000000001E-3</v>
      </c>
      <c r="F2163" s="85">
        <f t="shared" si="287"/>
        <v>2.5000000000000001E-3</v>
      </c>
      <c r="G2163" s="85">
        <f t="shared" si="288"/>
        <v>6.5449846949787352E-8</v>
      </c>
      <c r="H2163" s="85">
        <v>870</v>
      </c>
      <c r="I2163" s="85">
        <f t="shared" si="289"/>
        <v>5.6941366846314999E-5</v>
      </c>
      <c r="J2163" s="87">
        <v>1</v>
      </c>
      <c r="K2163" s="88">
        <f t="shared" si="290"/>
        <v>17561.924754967764</v>
      </c>
    </row>
    <row r="2164" spans="1:11" hidden="1" x14ac:dyDescent="0.25">
      <c r="A2164" t="str">
        <f t="shared" si="285"/>
        <v>420CØ11,1125</v>
      </c>
      <c r="B2164" s="81" t="s">
        <v>295</v>
      </c>
      <c r="C2164" s="101" t="s">
        <v>274</v>
      </c>
      <c r="D2164" s="86">
        <f>7/16*25.4</f>
        <v>11.112499999999999</v>
      </c>
      <c r="E2164" s="85">
        <f t="shared" si="286"/>
        <v>1.1112499999999999E-2</v>
      </c>
      <c r="F2164" s="85">
        <f t="shared" si="287"/>
        <v>5.5562499999999996E-3</v>
      </c>
      <c r="G2164" s="85">
        <f t="shared" si="288"/>
        <v>7.1851186513561499E-7</v>
      </c>
      <c r="H2164" s="85">
        <v>7750</v>
      </c>
      <c r="I2164" s="85">
        <f t="shared" si="289"/>
        <v>5.5684669548010162E-3</v>
      </c>
      <c r="J2164" s="87">
        <v>1</v>
      </c>
      <c r="K2164" s="88">
        <f t="shared" si="290"/>
        <v>179.58264062927066</v>
      </c>
    </row>
    <row r="2165" spans="1:11" hidden="1" x14ac:dyDescent="0.25">
      <c r="A2165" t="str">
        <f t="shared" si="285"/>
        <v>420CØ1</v>
      </c>
      <c r="B2165" s="81" t="s">
        <v>295</v>
      </c>
      <c r="D2165" s="86">
        <v>1</v>
      </c>
      <c r="E2165" s="85">
        <f t="shared" si="286"/>
        <v>1E-3</v>
      </c>
      <c r="F2165" s="85">
        <f t="shared" si="287"/>
        <v>5.0000000000000001E-4</v>
      </c>
      <c r="G2165" s="85">
        <f t="shared" si="288"/>
        <v>5.2359877559829886E-10</v>
      </c>
      <c r="H2165" s="85">
        <v>7750</v>
      </c>
      <c r="I2165" s="85">
        <f t="shared" si="289"/>
        <v>4.0578905108868158E-6</v>
      </c>
      <c r="J2165" s="87">
        <v>1</v>
      </c>
      <c r="K2165" s="88">
        <f t="shared" si="290"/>
        <v>246433.46027132185</v>
      </c>
    </row>
    <row r="2166" spans="1:11" hidden="1" x14ac:dyDescent="0.25">
      <c r="A2166" t="str">
        <f t="shared" si="285"/>
        <v>Al2O3Ø3</v>
      </c>
      <c r="B2166" s="81" t="s">
        <v>217</v>
      </c>
      <c r="D2166" s="86">
        <v>3</v>
      </c>
      <c r="E2166" s="85">
        <f t="shared" si="286"/>
        <v>3.0000000000000001E-3</v>
      </c>
      <c r="F2166" s="85">
        <f t="shared" si="287"/>
        <v>1.5E-3</v>
      </c>
      <c r="G2166" s="85">
        <f t="shared" si="288"/>
        <v>1.4137166941154068E-8</v>
      </c>
      <c r="H2166" s="85">
        <v>3900</v>
      </c>
      <c r="I2166" s="85">
        <f t="shared" si="289"/>
        <v>5.5134951070500869E-5</v>
      </c>
      <c r="J2166" s="87">
        <v>1</v>
      </c>
      <c r="K2166" s="88">
        <f t="shared" si="290"/>
        <v>18137.315452067844</v>
      </c>
    </row>
    <row r="2167" spans="1:11" hidden="1" x14ac:dyDescent="0.25">
      <c r="A2167" t="str">
        <f t="shared" si="285"/>
        <v>Al2O3Ø5</v>
      </c>
      <c r="B2167" s="81" t="s">
        <v>217</v>
      </c>
      <c r="D2167" s="86">
        <v>5</v>
      </c>
      <c r="E2167" s="85">
        <f t="shared" si="286"/>
        <v>5.0000000000000001E-3</v>
      </c>
      <c r="F2167" s="85">
        <f t="shared" si="287"/>
        <v>2.5000000000000001E-3</v>
      </c>
      <c r="G2167" s="85">
        <f t="shared" si="288"/>
        <v>6.5449846949787352E-8</v>
      </c>
      <c r="H2167" s="85">
        <v>3900</v>
      </c>
      <c r="I2167" s="85">
        <f t="shared" si="289"/>
        <v>2.5525440310417065E-4</v>
      </c>
      <c r="J2167" s="87">
        <v>1</v>
      </c>
      <c r="K2167" s="88">
        <f t="shared" si="290"/>
        <v>3917.6601376466551</v>
      </c>
    </row>
    <row r="2168" spans="1:11" hidden="1" x14ac:dyDescent="0.25">
      <c r="A2168" t="str">
        <f t="shared" si="285"/>
        <v>Al2O3Ø10</v>
      </c>
      <c r="B2168" s="81" t="s">
        <v>217</v>
      </c>
      <c r="D2168" s="86">
        <v>10</v>
      </c>
      <c r="E2168" s="85">
        <f t="shared" si="286"/>
        <v>0.01</v>
      </c>
      <c r="F2168" s="85">
        <f t="shared" si="287"/>
        <v>5.0000000000000001E-3</v>
      </c>
      <c r="G2168" s="85">
        <f t="shared" si="288"/>
        <v>5.2359877559829882E-7</v>
      </c>
      <c r="H2168" s="85">
        <v>3900</v>
      </c>
      <c r="I2168" s="85">
        <f t="shared" si="289"/>
        <v>2.0420352248333652E-3</v>
      </c>
      <c r="J2168" s="87">
        <v>1</v>
      </c>
      <c r="K2168" s="88">
        <f t="shared" si="290"/>
        <v>489.70751720583189</v>
      </c>
    </row>
    <row r="2169" spans="1:11" hidden="1" x14ac:dyDescent="0.25">
      <c r="A2169" t="str">
        <f t="shared" si="285"/>
        <v>Si3N4Ø1,4</v>
      </c>
      <c r="B2169" s="81" t="s">
        <v>207</v>
      </c>
      <c r="D2169" s="86">
        <v>1.4</v>
      </c>
      <c r="E2169" s="85">
        <f t="shared" si="286"/>
        <v>1.4E-3</v>
      </c>
      <c r="F2169" s="85">
        <f t="shared" si="287"/>
        <v>6.9999999999999999E-4</v>
      </c>
      <c r="G2169" s="85">
        <f t="shared" si="288"/>
        <v>1.4367550402417319E-9</v>
      </c>
      <c r="H2169" s="85">
        <v>3260</v>
      </c>
      <c r="I2169" s="85">
        <f t="shared" si="289"/>
        <v>4.6838214311880458E-6</v>
      </c>
      <c r="J2169" s="87">
        <v>1</v>
      </c>
      <c r="K2169" s="88">
        <f t="shared" si="290"/>
        <v>213500.88057186056</v>
      </c>
    </row>
    <row r="2170" spans="1:11" hidden="1" x14ac:dyDescent="0.25">
      <c r="A2170" t="str">
        <f t="shared" si="285"/>
        <v>Si3N4Ø1,4</v>
      </c>
      <c r="B2170" s="81" t="s">
        <v>207</v>
      </c>
      <c r="D2170" s="86">
        <v>1.4</v>
      </c>
      <c r="E2170" s="85">
        <f t="shared" si="286"/>
        <v>1.4E-3</v>
      </c>
      <c r="F2170" s="85">
        <f t="shared" si="287"/>
        <v>6.9999999999999999E-4</v>
      </c>
      <c r="G2170" s="85">
        <f t="shared" si="288"/>
        <v>1.4367550402417319E-9</v>
      </c>
      <c r="H2170" s="85">
        <v>3260</v>
      </c>
      <c r="I2170" s="85">
        <f t="shared" si="289"/>
        <v>4.6838214311880458E-6</v>
      </c>
      <c r="J2170" s="87">
        <v>1</v>
      </c>
      <c r="K2170" s="88">
        <f t="shared" si="290"/>
        <v>213500.88057186056</v>
      </c>
    </row>
    <row r="2171" spans="1:11" hidden="1" x14ac:dyDescent="0.25">
      <c r="A2171" t="str">
        <f t="shared" si="285"/>
        <v>316Ø0,5</v>
      </c>
      <c r="B2171" s="81">
        <v>316</v>
      </c>
      <c r="D2171" s="86">
        <v>0.5</v>
      </c>
      <c r="E2171" s="85">
        <f t="shared" si="286"/>
        <v>5.0000000000000001E-4</v>
      </c>
      <c r="F2171" s="85">
        <f t="shared" si="287"/>
        <v>2.5000000000000001E-4</v>
      </c>
      <c r="G2171" s="85">
        <f t="shared" si="288"/>
        <v>6.5449846949787358E-11</v>
      </c>
      <c r="H2171" s="85">
        <v>8350</v>
      </c>
      <c r="I2171" s="85">
        <f t="shared" si="289"/>
        <v>5.4650622203072442E-7</v>
      </c>
      <c r="J2171" s="87">
        <v>1</v>
      </c>
      <c r="K2171" s="88">
        <f t="shared" si="290"/>
        <v>1829805.333751132</v>
      </c>
    </row>
    <row r="2172" spans="1:11" hidden="1" x14ac:dyDescent="0.25">
      <c r="A2172" t="str">
        <f t="shared" si="285"/>
        <v>52100Ø0,396875</v>
      </c>
      <c r="B2172" s="81">
        <v>52100</v>
      </c>
      <c r="C2172" s="101" t="s">
        <v>211</v>
      </c>
      <c r="D2172" s="86">
        <f>1/64*25.4</f>
        <v>0.39687499999999998</v>
      </c>
      <c r="E2172" s="85">
        <f t="shared" si="286"/>
        <v>3.9687499999999998E-4</v>
      </c>
      <c r="F2172" s="85">
        <f t="shared" si="287"/>
        <v>1.9843749999999999E-4</v>
      </c>
      <c r="G2172" s="85">
        <f t="shared" si="288"/>
        <v>3.273104341907867E-11</v>
      </c>
      <c r="H2172" s="85">
        <v>7800</v>
      </c>
      <c r="I2172" s="85">
        <f t="shared" si="289"/>
        <v>2.5530213866881361E-7</v>
      </c>
      <c r="J2172" s="87">
        <v>1</v>
      </c>
      <c r="K2172" s="88">
        <f t="shared" si="290"/>
        <v>3916927.6262790463</v>
      </c>
    </row>
    <row r="2173" spans="1:11" hidden="1" x14ac:dyDescent="0.25">
      <c r="A2173" t="str">
        <f t="shared" si="285"/>
        <v>52100Ø1</v>
      </c>
      <c r="B2173" s="81">
        <v>52100</v>
      </c>
      <c r="D2173" s="86">
        <v>1</v>
      </c>
      <c r="E2173" s="85">
        <f t="shared" si="286"/>
        <v>1E-3</v>
      </c>
      <c r="F2173" s="85">
        <f t="shared" si="287"/>
        <v>5.0000000000000001E-4</v>
      </c>
      <c r="G2173" s="85">
        <f t="shared" si="288"/>
        <v>5.2359877559829886E-10</v>
      </c>
      <c r="H2173" s="85">
        <v>7800</v>
      </c>
      <c r="I2173" s="85">
        <f t="shared" si="289"/>
        <v>4.0840704496667312E-6</v>
      </c>
      <c r="J2173" s="87">
        <v>1</v>
      </c>
      <c r="K2173" s="88">
        <f t="shared" si="290"/>
        <v>244853.75860291591</v>
      </c>
    </row>
    <row r="2174" spans="1:11" hidden="1" x14ac:dyDescent="0.25">
      <c r="A2174" t="str">
        <f t="shared" si="285"/>
        <v>52100Ø1</v>
      </c>
      <c r="B2174" s="81">
        <v>52100</v>
      </c>
      <c r="D2174" s="86">
        <v>1</v>
      </c>
      <c r="E2174" s="85">
        <f t="shared" si="286"/>
        <v>1E-3</v>
      </c>
      <c r="F2174" s="85">
        <f t="shared" si="287"/>
        <v>5.0000000000000001E-4</v>
      </c>
      <c r="G2174" s="85">
        <f t="shared" si="288"/>
        <v>5.2359877559829886E-10</v>
      </c>
      <c r="H2174" s="85">
        <v>7800</v>
      </c>
      <c r="I2174" s="85">
        <f t="shared" si="289"/>
        <v>4.0840704496667312E-6</v>
      </c>
      <c r="J2174" s="87">
        <v>1</v>
      </c>
      <c r="K2174" s="88">
        <f t="shared" si="290"/>
        <v>244853.75860291591</v>
      </c>
    </row>
    <row r="2175" spans="1:11" hidden="1" x14ac:dyDescent="0.25">
      <c r="A2175" t="str">
        <f t="shared" si="285"/>
        <v>420CØ1,5</v>
      </c>
      <c r="B2175" s="81" t="s">
        <v>295</v>
      </c>
      <c r="D2175" s="86">
        <v>1.5</v>
      </c>
      <c r="E2175" s="85">
        <f t="shared" si="286"/>
        <v>1.5E-3</v>
      </c>
      <c r="F2175" s="85">
        <f t="shared" si="287"/>
        <v>7.5000000000000002E-4</v>
      </c>
      <c r="G2175" s="85">
        <f t="shared" si="288"/>
        <v>1.7671458676442585E-9</v>
      </c>
      <c r="H2175" s="85">
        <v>7750</v>
      </c>
      <c r="I2175" s="85">
        <f t="shared" si="289"/>
        <v>1.3695380474243003E-5</v>
      </c>
      <c r="J2175" s="87">
        <v>1</v>
      </c>
      <c r="K2175" s="88">
        <f t="shared" si="290"/>
        <v>73017.321561873134</v>
      </c>
    </row>
    <row r="2176" spans="1:11" hidden="1" x14ac:dyDescent="0.25">
      <c r="A2176" t="str">
        <f t="shared" si="285"/>
        <v>Al2O3Ø1,5</v>
      </c>
      <c r="B2176" s="81" t="s">
        <v>217</v>
      </c>
      <c r="D2176" s="86">
        <v>1.5</v>
      </c>
      <c r="E2176" s="85">
        <f t="shared" si="286"/>
        <v>1.5E-3</v>
      </c>
      <c r="F2176" s="85">
        <f t="shared" si="287"/>
        <v>7.5000000000000002E-4</v>
      </c>
      <c r="G2176" s="85">
        <f t="shared" si="288"/>
        <v>1.7671458676442585E-9</v>
      </c>
      <c r="H2176" s="85">
        <v>3940</v>
      </c>
      <c r="I2176" s="85">
        <f t="shared" si="289"/>
        <v>6.9625547185183786E-6</v>
      </c>
      <c r="J2176" s="87">
        <v>1</v>
      </c>
      <c r="K2176" s="88">
        <f t="shared" si="290"/>
        <v>143625.4421585068</v>
      </c>
    </row>
    <row r="2177" spans="1:11" hidden="1" x14ac:dyDescent="0.25">
      <c r="A2177" t="str">
        <f t="shared" si="285"/>
        <v>Al2O3Ø1,5</v>
      </c>
      <c r="B2177" s="81" t="s">
        <v>217</v>
      </c>
      <c r="D2177" s="86">
        <v>1.5</v>
      </c>
      <c r="E2177" s="85">
        <f t="shared" si="286"/>
        <v>1.5E-3</v>
      </c>
      <c r="F2177" s="85">
        <f t="shared" si="287"/>
        <v>7.5000000000000002E-4</v>
      </c>
      <c r="G2177" s="85">
        <f t="shared" si="288"/>
        <v>1.7671458676442585E-9</v>
      </c>
      <c r="H2177" s="85">
        <v>3940</v>
      </c>
      <c r="I2177" s="85">
        <f t="shared" si="289"/>
        <v>6.9625547185183786E-6</v>
      </c>
      <c r="J2177" s="87">
        <v>1</v>
      </c>
      <c r="K2177" s="88">
        <f t="shared" si="290"/>
        <v>143625.4421585068</v>
      </c>
    </row>
    <row r="2178" spans="1:11" hidden="1" x14ac:dyDescent="0.25">
      <c r="A2178" t="str">
        <f t="shared" si="285"/>
        <v>NBRØ4,7625</v>
      </c>
      <c r="B2178" s="81" t="s">
        <v>341</v>
      </c>
      <c r="C2178" s="101" t="s">
        <v>248</v>
      </c>
      <c r="D2178" s="86">
        <f>3/16*25.4</f>
        <v>4.7624999999999993</v>
      </c>
      <c r="E2178" s="85">
        <f t="shared" si="286"/>
        <v>4.7624999999999994E-3</v>
      </c>
      <c r="F2178" s="85">
        <f t="shared" si="287"/>
        <v>2.3812499999999997E-3</v>
      </c>
      <c r="G2178" s="85">
        <f t="shared" si="288"/>
        <v>5.6559243028167934E-8</v>
      </c>
      <c r="H2178" s="85">
        <v>1440</v>
      </c>
      <c r="I2178" s="85">
        <f t="shared" si="289"/>
        <v>8.1445309960561819E-5</v>
      </c>
      <c r="J2178" s="87">
        <v>1</v>
      </c>
      <c r="K2178" s="88">
        <f t="shared" si="290"/>
        <v>12278.177840863138</v>
      </c>
    </row>
    <row r="2179" spans="1:11" hidden="1" x14ac:dyDescent="0.25">
      <c r="A2179" t="str">
        <f t="shared" si="285"/>
        <v>NBRØ4,7625</v>
      </c>
      <c r="B2179" s="81" t="s">
        <v>341</v>
      </c>
      <c r="C2179" s="101" t="s">
        <v>248</v>
      </c>
      <c r="D2179" s="86">
        <f>3/16*25.4</f>
        <v>4.7624999999999993</v>
      </c>
      <c r="E2179" s="85">
        <f t="shared" si="286"/>
        <v>4.7624999999999994E-3</v>
      </c>
      <c r="F2179" s="85">
        <f t="shared" si="287"/>
        <v>2.3812499999999997E-3</v>
      </c>
      <c r="G2179" s="85">
        <f t="shared" si="288"/>
        <v>5.6559243028167934E-8</v>
      </c>
      <c r="H2179" s="85">
        <v>1440</v>
      </c>
      <c r="I2179" s="85">
        <f t="shared" si="289"/>
        <v>8.1445309960561819E-5</v>
      </c>
      <c r="J2179" s="87">
        <v>1</v>
      </c>
      <c r="K2179" s="88">
        <f t="shared" si="290"/>
        <v>12278.177840863138</v>
      </c>
    </row>
    <row r="2180" spans="1:11" hidden="1" x14ac:dyDescent="0.25">
      <c r="A2180" t="str">
        <f t="shared" ref="A2180:A2243" si="291">CONCATENATE(B2180,"Ø",D2180)</f>
        <v>PA6.6 30% G.F.Ø3,5</v>
      </c>
      <c r="B2180" s="81" t="s">
        <v>397</v>
      </c>
      <c r="D2180" s="86">
        <v>3.5</v>
      </c>
      <c r="E2180" s="85">
        <f t="shared" si="286"/>
        <v>3.5000000000000001E-3</v>
      </c>
      <c r="F2180" s="85">
        <f t="shared" si="287"/>
        <v>1.75E-3</v>
      </c>
      <c r="G2180" s="85">
        <f t="shared" si="288"/>
        <v>2.2449297503777064E-8</v>
      </c>
      <c r="H2180" s="85">
        <v>1380</v>
      </c>
      <c r="I2180" s="85">
        <f t="shared" si="289"/>
        <v>3.098003055521235E-5</v>
      </c>
      <c r="J2180" s="87">
        <v>1</v>
      </c>
      <c r="K2180" s="88">
        <f t="shared" si="290"/>
        <v>32278.857769936942</v>
      </c>
    </row>
    <row r="2181" spans="1:11" hidden="1" x14ac:dyDescent="0.25">
      <c r="A2181" t="str">
        <f t="shared" si="291"/>
        <v>52100Ø0,5</v>
      </c>
      <c r="B2181" s="81">
        <v>52100</v>
      </c>
      <c r="D2181" s="86">
        <v>0.5</v>
      </c>
      <c r="E2181" s="85">
        <f t="shared" si="286"/>
        <v>5.0000000000000001E-4</v>
      </c>
      <c r="F2181" s="85">
        <f t="shared" si="287"/>
        <v>2.5000000000000001E-4</v>
      </c>
      <c r="G2181" s="85">
        <f t="shared" si="288"/>
        <v>6.5449846949787358E-11</v>
      </c>
      <c r="H2181" s="85">
        <v>7800</v>
      </c>
      <c r="I2181" s="85">
        <f t="shared" si="289"/>
        <v>5.1050880620834141E-7</v>
      </c>
      <c r="J2181" s="87">
        <v>1</v>
      </c>
      <c r="K2181" s="88">
        <f t="shared" si="290"/>
        <v>1958830.0688233273</v>
      </c>
    </row>
    <row r="2182" spans="1:11" hidden="1" x14ac:dyDescent="0.25">
      <c r="A2182" t="str">
        <f t="shared" si="291"/>
        <v>WC-CoØ0,4</v>
      </c>
      <c r="B2182" s="81" t="s">
        <v>297</v>
      </c>
      <c r="D2182" s="86">
        <v>0.4</v>
      </c>
      <c r="E2182" s="85">
        <f t="shared" si="286"/>
        <v>4.0000000000000002E-4</v>
      </c>
      <c r="F2182" s="85">
        <f t="shared" si="287"/>
        <v>2.0000000000000001E-4</v>
      </c>
      <c r="G2182" s="85">
        <f t="shared" si="288"/>
        <v>3.3510321638291128E-11</v>
      </c>
      <c r="H2182" s="85">
        <v>14950</v>
      </c>
      <c r="I2182" s="85">
        <f t="shared" si="289"/>
        <v>5.0097930849245242E-7</v>
      </c>
      <c r="J2182" s="87">
        <v>1</v>
      </c>
      <c r="K2182" s="88">
        <f t="shared" si="290"/>
        <v>1996090.4233933359</v>
      </c>
    </row>
    <row r="2183" spans="1:11" hidden="1" x14ac:dyDescent="0.25">
      <c r="A2183" t="str">
        <f t="shared" si="291"/>
        <v>Si3N4Ø1,2</v>
      </c>
      <c r="B2183" s="81" t="s">
        <v>207</v>
      </c>
      <c r="D2183" s="86">
        <v>1.2</v>
      </c>
      <c r="E2183" s="85">
        <f t="shared" si="286"/>
        <v>1.1999999999999999E-3</v>
      </c>
      <c r="F2183" s="85">
        <f t="shared" si="287"/>
        <v>5.9999999999999995E-4</v>
      </c>
      <c r="G2183" s="85">
        <f t="shared" si="288"/>
        <v>9.0477868423386013E-10</v>
      </c>
      <c r="H2183" s="85">
        <v>3260</v>
      </c>
      <c r="I2183" s="85">
        <f t="shared" si="289"/>
        <v>2.9495785106023839E-6</v>
      </c>
      <c r="J2183" s="87">
        <v>1</v>
      </c>
      <c r="K2183" s="88">
        <f t="shared" si="290"/>
        <v>339031.49090809346</v>
      </c>
    </row>
    <row r="2184" spans="1:11" hidden="1" x14ac:dyDescent="0.25">
      <c r="A2184" t="str">
        <f t="shared" si="291"/>
        <v>PPHØ3</v>
      </c>
      <c r="B2184" s="81" t="s">
        <v>202</v>
      </c>
      <c r="D2184" s="86">
        <v>3</v>
      </c>
      <c r="E2184" s="85">
        <f t="shared" si="286"/>
        <v>3.0000000000000001E-3</v>
      </c>
      <c r="F2184" s="85">
        <f t="shared" si="287"/>
        <v>1.5E-3</v>
      </c>
      <c r="G2184" s="85">
        <f t="shared" si="288"/>
        <v>1.4137166941154068E-8</v>
      </c>
      <c r="H2184" s="85">
        <v>870</v>
      </c>
      <c r="I2184" s="85">
        <f t="shared" si="289"/>
        <v>1.229933523880404E-5</v>
      </c>
      <c r="J2184" s="87">
        <v>1</v>
      </c>
      <c r="K2184" s="88">
        <f t="shared" si="290"/>
        <v>81305.207198924822</v>
      </c>
    </row>
    <row r="2185" spans="1:11" hidden="1" x14ac:dyDescent="0.25">
      <c r="A2185" t="str">
        <f t="shared" si="291"/>
        <v>420CØ9,7</v>
      </c>
      <c r="B2185" s="81" t="s">
        <v>295</v>
      </c>
      <c r="D2185" s="86">
        <v>9.6999999999999993</v>
      </c>
      <c r="E2185" s="85">
        <f t="shared" si="286"/>
        <v>9.6999999999999986E-3</v>
      </c>
      <c r="F2185" s="85">
        <f t="shared" si="287"/>
        <v>4.8499999999999993E-3</v>
      </c>
      <c r="G2185" s="85">
        <f t="shared" si="288"/>
        <v>4.7787446532162595E-7</v>
      </c>
      <c r="H2185" s="85">
        <v>7750</v>
      </c>
      <c r="I2185" s="85">
        <f t="shared" si="289"/>
        <v>3.7035271062426009E-3</v>
      </c>
      <c r="J2185" s="87">
        <v>1</v>
      </c>
      <c r="K2185" s="88">
        <f t="shared" si="290"/>
        <v>270.01287456879078</v>
      </c>
    </row>
    <row r="2186" spans="1:11" hidden="1" x14ac:dyDescent="0.25">
      <c r="A2186" t="str">
        <f t="shared" si="291"/>
        <v>Al2O3Ø0,5</v>
      </c>
      <c r="B2186" s="81" t="s">
        <v>217</v>
      </c>
      <c r="D2186" s="86">
        <v>0.5</v>
      </c>
      <c r="E2186" s="85">
        <f t="shared" si="286"/>
        <v>5.0000000000000001E-4</v>
      </c>
      <c r="F2186" s="85">
        <f t="shared" si="287"/>
        <v>2.5000000000000001E-4</v>
      </c>
      <c r="G2186" s="85">
        <f t="shared" si="288"/>
        <v>6.5449846949787358E-11</v>
      </c>
      <c r="H2186" s="85">
        <v>3900</v>
      </c>
      <c r="I2186" s="85">
        <f t="shared" si="289"/>
        <v>2.552544031041707E-7</v>
      </c>
      <c r="J2186" s="87">
        <v>1</v>
      </c>
      <c r="K2186" s="88">
        <f t="shared" si="290"/>
        <v>3917660.1376466546</v>
      </c>
    </row>
    <row r="2187" spans="1:11" hidden="1" x14ac:dyDescent="0.25">
      <c r="A2187" t="str">
        <f t="shared" si="291"/>
        <v>Al2O3Ø0,75</v>
      </c>
      <c r="B2187" s="81" t="s">
        <v>217</v>
      </c>
      <c r="D2187" s="86">
        <v>0.75</v>
      </c>
      <c r="E2187" s="85">
        <f t="shared" si="286"/>
        <v>7.5000000000000002E-4</v>
      </c>
      <c r="F2187" s="85">
        <f t="shared" si="287"/>
        <v>3.7500000000000001E-4</v>
      </c>
      <c r="G2187" s="85">
        <f t="shared" si="288"/>
        <v>2.2089323345553232E-10</v>
      </c>
      <c r="H2187" s="85">
        <v>3900</v>
      </c>
      <c r="I2187" s="85">
        <f t="shared" si="289"/>
        <v>8.6148361047657607E-7</v>
      </c>
      <c r="J2187" s="87">
        <v>1</v>
      </c>
      <c r="K2187" s="88">
        <f t="shared" si="290"/>
        <v>1160788.188932342</v>
      </c>
    </row>
    <row r="2188" spans="1:11" hidden="1" x14ac:dyDescent="0.25">
      <c r="A2188" t="str">
        <f t="shared" si="291"/>
        <v>Al2O3Ø1</v>
      </c>
      <c r="B2188" s="81" t="s">
        <v>217</v>
      </c>
      <c r="D2188" s="86">
        <v>1</v>
      </c>
      <c r="E2188" s="85">
        <f t="shared" si="286"/>
        <v>1E-3</v>
      </c>
      <c r="F2188" s="85">
        <f t="shared" si="287"/>
        <v>5.0000000000000001E-4</v>
      </c>
      <c r="G2188" s="85">
        <f t="shared" si="288"/>
        <v>5.2359877559829886E-10</v>
      </c>
      <c r="H2188" s="85">
        <v>3900</v>
      </c>
      <c r="I2188" s="85">
        <f t="shared" si="289"/>
        <v>2.0420352248333656E-6</v>
      </c>
      <c r="J2188" s="87">
        <v>1</v>
      </c>
      <c r="K2188" s="88">
        <f t="shared" si="290"/>
        <v>489707.51720583183</v>
      </c>
    </row>
    <row r="2189" spans="1:11" hidden="1" x14ac:dyDescent="0.25">
      <c r="A2189" t="str">
        <f t="shared" si="291"/>
        <v>WC-CoØ0,5</v>
      </c>
      <c r="B2189" s="81" t="s">
        <v>297</v>
      </c>
      <c r="D2189" s="86">
        <v>0.5</v>
      </c>
      <c r="E2189" s="85">
        <f t="shared" si="286"/>
        <v>5.0000000000000001E-4</v>
      </c>
      <c r="F2189" s="85">
        <f t="shared" si="287"/>
        <v>2.5000000000000001E-4</v>
      </c>
      <c r="G2189" s="85">
        <f t="shared" si="288"/>
        <v>6.5449846949787358E-11</v>
      </c>
      <c r="H2189" s="85">
        <v>14950</v>
      </c>
      <c r="I2189" s="85">
        <f t="shared" si="289"/>
        <v>9.7847521189932093E-7</v>
      </c>
      <c r="J2189" s="87">
        <v>1</v>
      </c>
      <c r="K2189" s="88">
        <f t="shared" si="290"/>
        <v>1021998.2967773882</v>
      </c>
    </row>
    <row r="2190" spans="1:11" hidden="1" x14ac:dyDescent="0.25">
      <c r="A2190" t="str">
        <f t="shared" si="291"/>
        <v>ZrO2Ø11,90625</v>
      </c>
      <c r="B2190" s="81" t="s">
        <v>205</v>
      </c>
      <c r="C2190" s="101" t="s">
        <v>272</v>
      </c>
      <c r="D2190" s="86">
        <f>15/32*25.4</f>
        <v>11.90625</v>
      </c>
      <c r="E2190" s="85">
        <f t="shared" si="286"/>
        <v>1.190625E-2</v>
      </c>
      <c r="F2190" s="85">
        <f t="shared" si="287"/>
        <v>5.9531250000000001E-3</v>
      </c>
      <c r="G2190" s="85">
        <f t="shared" si="288"/>
        <v>8.837381723151244E-7</v>
      </c>
      <c r="H2190" s="85">
        <v>5990</v>
      </c>
      <c r="I2190" s="85">
        <f t="shared" si="289"/>
        <v>5.2935916521675954E-3</v>
      </c>
      <c r="J2190" s="87">
        <v>1</v>
      </c>
      <c r="K2190" s="88">
        <f t="shared" si="290"/>
        <v>188.90765773187749</v>
      </c>
    </row>
    <row r="2191" spans="1:11" hidden="1" x14ac:dyDescent="0.25">
      <c r="A2191" t="str">
        <f t="shared" si="291"/>
        <v>316LØ1,2</v>
      </c>
      <c r="B2191" s="81" t="s">
        <v>298</v>
      </c>
      <c r="D2191" s="86">
        <v>1.2</v>
      </c>
      <c r="E2191" s="85">
        <f t="shared" si="286"/>
        <v>1.1999999999999999E-3</v>
      </c>
      <c r="F2191" s="85">
        <f t="shared" si="287"/>
        <v>5.9999999999999995E-4</v>
      </c>
      <c r="G2191" s="85">
        <f t="shared" si="288"/>
        <v>9.0477868423386013E-10</v>
      </c>
      <c r="H2191" s="85">
        <v>7950</v>
      </c>
      <c r="I2191" s="85">
        <f t="shared" si="289"/>
        <v>7.1929905396591882E-6</v>
      </c>
      <c r="J2191" s="87">
        <v>1</v>
      </c>
      <c r="K2191" s="88">
        <f t="shared" si="290"/>
        <v>139024.23400759554</v>
      </c>
    </row>
    <row r="2192" spans="1:11" hidden="1" x14ac:dyDescent="0.25">
      <c r="A2192" t="str">
        <f t="shared" si="291"/>
        <v>316Ø0,8</v>
      </c>
      <c r="B2192" s="81">
        <v>316</v>
      </c>
      <c r="D2192" s="86">
        <v>0.8</v>
      </c>
      <c r="E2192" s="85">
        <f t="shared" si="286"/>
        <v>8.0000000000000004E-4</v>
      </c>
      <c r="F2192" s="85">
        <f t="shared" si="287"/>
        <v>4.0000000000000002E-4</v>
      </c>
      <c r="G2192" s="85">
        <f t="shared" si="288"/>
        <v>2.6808257310632903E-10</v>
      </c>
      <c r="H2192" s="85">
        <v>7950</v>
      </c>
      <c r="I2192" s="85">
        <f t="shared" si="289"/>
        <v>2.1312564561953159E-6</v>
      </c>
      <c r="J2192" s="87">
        <v>1</v>
      </c>
      <c r="K2192" s="88">
        <f t="shared" si="290"/>
        <v>469206.78977563482</v>
      </c>
    </row>
    <row r="2193" spans="1:11" hidden="1" x14ac:dyDescent="0.25">
      <c r="A2193" t="str">
        <f t="shared" si="291"/>
        <v>52100Ø5,05</v>
      </c>
      <c r="B2193" s="81">
        <v>52100</v>
      </c>
      <c r="D2193" s="86">
        <v>5.05</v>
      </c>
      <c r="E2193" s="85">
        <f t="shared" si="286"/>
        <v>5.0499999999999998E-3</v>
      </c>
      <c r="F2193" s="85">
        <f t="shared" si="287"/>
        <v>2.5249999999999999E-3</v>
      </c>
      <c r="G2193" s="85">
        <f t="shared" si="288"/>
        <v>6.7433042762212854E-8</v>
      </c>
      <c r="H2193" s="85">
        <v>7800</v>
      </c>
      <c r="I2193" s="85">
        <f t="shared" si="289"/>
        <v>5.259777335452603E-4</v>
      </c>
      <c r="J2193" s="87">
        <v>1</v>
      </c>
      <c r="K2193" s="88">
        <f t="shared" si="290"/>
        <v>1901.2211662643513</v>
      </c>
    </row>
    <row r="2194" spans="1:11" hidden="1" x14ac:dyDescent="0.25">
      <c r="A2194" t="str">
        <f t="shared" si="291"/>
        <v>Si3N4Ø1</v>
      </c>
      <c r="B2194" s="81" t="s">
        <v>207</v>
      </c>
      <c r="D2194" s="86">
        <v>1</v>
      </c>
      <c r="E2194" s="85">
        <f t="shared" si="286"/>
        <v>1E-3</v>
      </c>
      <c r="F2194" s="85">
        <f t="shared" si="287"/>
        <v>5.0000000000000001E-4</v>
      </c>
      <c r="G2194" s="85">
        <f t="shared" si="288"/>
        <v>5.2359877559829886E-10</v>
      </c>
      <c r="H2194" s="85">
        <v>3260</v>
      </c>
      <c r="I2194" s="85">
        <f t="shared" si="289"/>
        <v>1.7069320084504542E-6</v>
      </c>
      <c r="J2194" s="87">
        <v>1</v>
      </c>
      <c r="K2194" s="88">
        <f t="shared" si="290"/>
        <v>585846.41628918529</v>
      </c>
    </row>
    <row r="2195" spans="1:11" hidden="1" x14ac:dyDescent="0.25">
      <c r="A2195" t="str">
        <f t="shared" si="291"/>
        <v>440CØ0,6</v>
      </c>
      <c r="B2195" s="81" t="s">
        <v>314</v>
      </c>
      <c r="D2195" s="86">
        <v>0.6</v>
      </c>
      <c r="E2195" s="85">
        <f t="shared" si="286"/>
        <v>5.9999999999999995E-4</v>
      </c>
      <c r="F2195" s="85">
        <f t="shared" si="287"/>
        <v>2.9999999999999997E-4</v>
      </c>
      <c r="G2195" s="85">
        <f t="shared" si="288"/>
        <v>1.1309733552923252E-10</v>
      </c>
      <c r="H2195" s="85">
        <v>7750</v>
      </c>
      <c r="I2195" s="85">
        <f t="shared" si="289"/>
        <v>8.7650435035155202E-7</v>
      </c>
      <c r="J2195" s="87">
        <v>1</v>
      </c>
      <c r="K2195" s="88">
        <f t="shared" si="290"/>
        <v>1140895.649404268</v>
      </c>
    </row>
    <row r="2196" spans="1:11" hidden="1" x14ac:dyDescent="0.25">
      <c r="A2196" t="str">
        <f t="shared" si="291"/>
        <v>PA6.6Ø4</v>
      </c>
      <c r="B2196" s="81" t="s">
        <v>244</v>
      </c>
      <c r="D2196" s="86">
        <v>4</v>
      </c>
      <c r="E2196" s="85">
        <f t="shared" si="286"/>
        <v>4.0000000000000001E-3</v>
      </c>
      <c r="F2196" s="85">
        <f t="shared" si="287"/>
        <v>2E-3</v>
      </c>
      <c r="G2196" s="85">
        <f t="shared" si="288"/>
        <v>3.3510321638291127E-8</v>
      </c>
      <c r="H2196" s="85">
        <v>1110</v>
      </c>
      <c r="I2196" s="85">
        <f t="shared" si="289"/>
        <v>3.7196457018503148E-5</v>
      </c>
      <c r="J2196" s="87">
        <v>1</v>
      </c>
      <c r="K2196" s="88">
        <f t="shared" si="290"/>
        <v>26884.280927685028</v>
      </c>
    </row>
    <row r="2197" spans="1:11" hidden="1" x14ac:dyDescent="0.25">
      <c r="A2197" t="str">
        <f t="shared" si="291"/>
        <v>PA6.6Ø6</v>
      </c>
      <c r="B2197" s="81" t="s">
        <v>244</v>
      </c>
      <c r="D2197" s="86">
        <v>6</v>
      </c>
      <c r="E2197" s="85">
        <f>D2197/1000</f>
        <v>6.0000000000000001E-3</v>
      </c>
      <c r="F2197" s="85">
        <f>E2197/2</f>
        <v>3.0000000000000001E-3</v>
      </c>
      <c r="G2197" s="85">
        <f>4/3*PI()*F2197*F2197*F2197</f>
        <v>1.1309733552923255E-7</v>
      </c>
      <c r="H2197" s="85">
        <v>1110</v>
      </c>
      <c r="I2197" s="85">
        <f>H2197*G2197</f>
        <v>1.2553804243744813E-4</v>
      </c>
      <c r="J2197" s="87">
        <v>1</v>
      </c>
      <c r="K2197" s="88">
        <f>J2197/I2197</f>
        <v>7965.712867462229</v>
      </c>
    </row>
    <row r="2198" spans="1:11" hidden="1" x14ac:dyDescent="0.25">
      <c r="A2198" t="str">
        <f t="shared" si="291"/>
        <v>PA6.6Ø3,96875</v>
      </c>
      <c r="B2198" s="81" t="s">
        <v>244</v>
      </c>
      <c r="C2198" s="101" t="s">
        <v>215</v>
      </c>
      <c r="D2198" s="86">
        <f>5/32*25.4</f>
        <v>3.96875</v>
      </c>
      <c r="E2198" s="85">
        <f>D2198/1000</f>
        <v>3.9687500000000001E-3</v>
      </c>
      <c r="F2198" s="85">
        <f>E2198/2</f>
        <v>1.984375E-3</v>
      </c>
      <c r="G2198" s="85">
        <f>4/3*PI()*F2198*F2198*F2198</f>
        <v>3.2731043419078684E-8</v>
      </c>
      <c r="H2198" s="85">
        <v>1110</v>
      </c>
      <c r="I2198" s="85">
        <f>H2198*G2198</f>
        <v>3.6331458195177338E-5</v>
      </c>
      <c r="J2198" s="87">
        <v>1</v>
      </c>
      <c r="K2198" s="88">
        <f>J2198/I2198</f>
        <v>27524.356292771663</v>
      </c>
    </row>
    <row r="2199" spans="1:11" hidden="1" x14ac:dyDescent="0.25">
      <c r="A2199" t="str">
        <f t="shared" si="291"/>
        <v>Si3N4Ø1,5</v>
      </c>
      <c r="B2199" s="81" t="s">
        <v>207</v>
      </c>
      <c r="D2199" s="86">
        <v>1.5</v>
      </c>
      <c r="E2199" s="85">
        <f>D2199/1000</f>
        <v>1.5E-3</v>
      </c>
      <c r="F2199" s="85">
        <f>E2199/2</f>
        <v>7.5000000000000002E-4</v>
      </c>
      <c r="G2199" s="85">
        <f>4/3*PI()*F2199*F2199*F2199</f>
        <v>1.7671458676442585E-9</v>
      </c>
      <c r="H2199" s="85">
        <v>3260</v>
      </c>
      <c r="I2199" s="85">
        <f>H2199*G2199</f>
        <v>5.7608955285202824E-6</v>
      </c>
      <c r="J2199" s="87">
        <v>1</v>
      </c>
      <c r="K2199" s="88">
        <f>J2199/I2199</f>
        <v>173584.12334494383</v>
      </c>
    </row>
    <row r="2200" spans="1:11" hidden="1" x14ac:dyDescent="0.25">
      <c r="A2200" t="str">
        <f t="shared" si="291"/>
        <v>POMØ11</v>
      </c>
      <c r="B2200" s="81" t="s">
        <v>201</v>
      </c>
      <c r="D2200" s="86">
        <v>11</v>
      </c>
      <c r="E2200" s="85">
        <f>D2200/1000</f>
        <v>1.0999999999999999E-2</v>
      </c>
      <c r="F2200" s="85">
        <f>E2200/2</f>
        <v>5.4999999999999997E-3</v>
      </c>
      <c r="G2200" s="85">
        <f>4/3*PI()*F2200*F2200*F2200</f>
        <v>6.9690997032133551E-7</v>
      </c>
      <c r="H2200" s="85">
        <v>1340</v>
      </c>
      <c r="I2200" s="85">
        <f>H2200*G2200</f>
        <v>9.338593602305896E-4</v>
      </c>
      <c r="J2200" s="87">
        <v>1</v>
      </c>
      <c r="K2200" s="88">
        <f>J2200/I2200</f>
        <v>1070.8250541634866</v>
      </c>
    </row>
    <row r="2201" spans="1:11" hidden="1" x14ac:dyDescent="0.25">
      <c r="A2201" t="str">
        <f t="shared" si="291"/>
        <v>ZrO2Ø0,3</v>
      </c>
      <c r="B2201" s="81" t="s">
        <v>205</v>
      </c>
      <c r="D2201" s="86">
        <v>0.3</v>
      </c>
      <c r="E2201" s="85">
        <f>D2201/1000</f>
        <v>2.9999999999999997E-4</v>
      </c>
      <c r="F2201" s="85">
        <f>E2201/2</f>
        <v>1.4999999999999999E-4</v>
      </c>
      <c r="G2201" s="85">
        <f>4/3*PI()*F2201*F2201*F2201</f>
        <v>1.4137166941154065E-11</v>
      </c>
      <c r="H2201" s="85">
        <v>6000</v>
      </c>
      <c r="I2201" s="85">
        <f>H2201*G2201</f>
        <v>8.4823001646924386E-8</v>
      </c>
      <c r="J2201" s="87">
        <v>1</v>
      </c>
      <c r="K2201" s="88">
        <f>J2201/I2201</f>
        <v>11789255.043844104</v>
      </c>
    </row>
    <row r="2202" spans="1:11" hidden="1" x14ac:dyDescent="0.25">
      <c r="A2202" t="str">
        <f t="shared" si="291"/>
        <v>StagnoØ0,3</v>
      </c>
      <c r="B2202" s="81" t="s">
        <v>398</v>
      </c>
      <c r="D2202" s="86">
        <v>0.3</v>
      </c>
      <c r="E2202" s="85">
        <f t="shared" ref="E2202:E2265" si="292">D2202/1000</f>
        <v>2.9999999999999997E-4</v>
      </c>
      <c r="F2202" s="85">
        <f t="shared" ref="F2202:F2265" si="293">E2202/2</f>
        <v>1.4999999999999999E-4</v>
      </c>
      <c r="G2202" s="85">
        <f t="shared" ref="G2202:G2265" si="294">4/3*PI()*F2202*F2202*F2202</f>
        <v>1.4137166941154065E-11</v>
      </c>
      <c r="H2202" s="85">
        <v>7300</v>
      </c>
      <c r="I2202" s="85">
        <f t="shared" ref="I2202:I2265" si="295">H2202*G2202</f>
        <v>1.0320131867042467E-7</v>
      </c>
      <c r="J2202" s="87">
        <v>1</v>
      </c>
      <c r="K2202" s="88">
        <f t="shared" ref="K2202:K2265" si="296">J2202/I2202</f>
        <v>9689798.6661732346</v>
      </c>
    </row>
    <row r="2203" spans="1:11" hidden="1" x14ac:dyDescent="0.25">
      <c r="A2203" t="str">
        <f t="shared" si="291"/>
        <v>WC-CoØ0,4</v>
      </c>
      <c r="B2203" s="81" t="s">
        <v>297</v>
      </c>
      <c r="D2203" s="86">
        <v>0.4</v>
      </c>
      <c r="E2203" s="85">
        <f t="shared" si="292"/>
        <v>4.0000000000000002E-4</v>
      </c>
      <c r="F2203" s="85">
        <f t="shared" si="293"/>
        <v>2.0000000000000001E-4</v>
      </c>
      <c r="G2203" s="85">
        <f t="shared" si="294"/>
        <v>3.3510321638291128E-11</v>
      </c>
      <c r="H2203" s="85">
        <v>14950</v>
      </c>
      <c r="I2203" s="85">
        <f t="shared" si="295"/>
        <v>5.0097930849245242E-7</v>
      </c>
      <c r="J2203" s="87">
        <v>1</v>
      </c>
      <c r="K2203" s="88">
        <f t="shared" si="296"/>
        <v>1996090.4233933359</v>
      </c>
    </row>
    <row r="2204" spans="1:11" hidden="1" x14ac:dyDescent="0.25">
      <c r="A2204" t="str">
        <f t="shared" si="291"/>
        <v>316Ø0,5</v>
      </c>
      <c r="B2204" s="81">
        <v>316</v>
      </c>
      <c r="D2204" s="86">
        <v>0.5</v>
      </c>
      <c r="E2204" s="85">
        <f t="shared" si="292"/>
        <v>5.0000000000000001E-4</v>
      </c>
      <c r="F2204" s="85">
        <f t="shared" si="293"/>
        <v>2.5000000000000001E-4</v>
      </c>
      <c r="G2204" s="85">
        <f t="shared" si="294"/>
        <v>6.5449846949787358E-11</v>
      </c>
      <c r="H2204" s="85">
        <v>7950</v>
      </c>
      <c r="I2204" s="85">
        <f t="shared" si="295"/>
        <v>5.2032628325080949E-7</v>
      </c>
      <c r="J2204" s="87">
        <v>1</v>
      </c>
      <c r="K2204" s="88">
        <f t="shared" si="296"/>
        <v>1921871.0109210003</v>
      </c>
    </row>
    <row r="2205" spans="1:11" hidden="1" x14ac:dyDescent="0.25">
      <c r="A2205" t="str">
        <f t="shared" si="291"/>
        <v>304Ø0,6</v>
      </c>
      <c r="B2205" s="81">
        <v>304</v>
      </c>
      <c r="D2205" s="86">
        <v>0.6</v>
      </c>
      <c r="E2205" s="85">
        <f t="shared" si="292"/>
        <v>5.9999999999999995E-4</v>
      </c>
      <c r="F2205" s="85">
        <f t="shared" si="293"/>
        <v>2.9999999999999997E-4</v>
      </c>
      <c r="G2205" s="85">
        <f t="shared" si="294"/>
        <v>1.1309733552923252E-10</v>
      </c>
      <c r="H2205" s="85">
        <v>7950</v>
      </c>
      <c r="I2205" s="85">
        <f t="shared" si="295"/>
        <v>8.9912381745739853E-7</v>
      </c>
      <c r="J2205" s="87">
        <v>1</v>
      </c>
      <c r="K2205" s="88">
        <f t="shared" si="296"/>
        <v>1112193.8720607643</v>
      </c>
    </row>
    <row r="2206" spans="1:11" hidden="1" x14ac:dyDescent="0.25">
      <c r="A2206" t="str">
        <f t="shared" si="291"/>
        <v>WC-CoØ1</v>
      </c>
      <c r="B2206" s="81" t="s">
        <v>297</v>
      </c>
      <c r="D2206" s="86">
        <v>1</v>
      </c>
      <c r="E2206" s="85">
        <f t="shared" si="292"/>
        <v>1E-3</v>
      </c>
      <c r="F2206" s="85">
        <f t="shared" si="293"/>
        <v>5.0000000000000001E-4</v>
      </c>
      <c r="G2206" s="85">
        <f t="shared" si="294"/>
        <v>5.2359877559829886E-10</v>
      </c>
      <c r="H2206" s="85">
        <v>14950</v>
      </c>
      <c r="I2206" s="85">
        <f t="shared" si="295"/>
        <v>7.8278016951945674E-6</v>
      </c>
      <c r="J2206" s="87">
        <v>1</v>
      </c>
      <c r="K2206" s="88">
        <f t="shared" si="296"/>
        <v>127749.78709717352</v>
      </c>
    </row>
    <row r="2207" spans="1:11" hidden="1" x14ac:dyDescent="0.25">
      <c r="A2207" t="str">
        <f t="shared" si="291"/>
        <v>52100Ø60</v>
      </c>
      <c r="B2207" s="81">
        <v>52100</v>
      </c>
      <c r="D2207" s="86">
        <v>60</v>
      </c>
      <c r="E2207" s="85">
        <f t="shared" si="292"/>
        <v>0.06</v>
      </c>
      <c r="F2207" s="85">
        <f t="shared" si="293"/>
        <v>0.03</v>
      </c>
      <c r="G2207" s="85">
        <f t="shared" si="294"/>
        <v>1.1309733552923254E-4</v>
      </c>
      <c r="H2207" s="85">
        <v>7800</v>
      </c>
      <c r="I2207" s="85">
        <f t="shared" si="295"/>
        <v>0.88215921712801382</v>
      </c>
      <c r="J2207" s="87">
        <v>1</v>
      </c>
      <c r="K2207" s="88">
        <f t="shared" si="296"/>
        <v>1.1335822157542403</v>
      </c>
    </row>
    <row r="2208" spans="1:11" hidden="1" x14ac:dyDescent="0.25">
      <c r="A2208" t="str">
        <f t="shared" si="291"/>
        <v>52100Ø0,4</v>
      </c>
      <c r="B2208" s="81">
        <v>52100</v>
      </c>
      <c r="D2208" s="86">
        <v>0.4</v>
      </c>
      <c r="E2208" s="85">
        <f t="shared" si="292"/>
        <v>4.0000000000000002E-4</v>
      </c>
      <c r="F2208" s="85">
        <f t="shared" si="293"/>
        <v>2.0000000000000001E-4</v>
      </c>
      <c r="G2208" s="85">
        <f t="shared" si="294"/>
        <v>3.3510321638291128E-11</v>
      </c>
      <c r="H2208" s="85">
        <v>7800</v>
      </c>
      <c r="I2208" s="85">
        <f t="shared" si="295"/>
        <v>2.6138050877867079E-7</v>
      </c>
      <c r="J2208" s="87">
        <v>1</v>
      </c>
      <c r="K2208" s="88">
        <f t="shared" si="296"/>
        <v>3825839.9781705611</v>
      </c>
    </row>
    <row r="2209" spans="1:11" hidden="1" x14ac:dyDescent="0.25">
      <c r="A2209" t="str">
        <f t="shared" si="291"/>
        <v>52100Ø0,4</v>
      </c>
      <c r="B2209" s="81">
        <v>52100</v>
      </c>
      <c r="D2209" s="86">
        <v>0.4</v>
      </c>
      <c r="E2209" s="85">
        <f t="shared" si="292"/>
        <v>4.0000000000000002E-4</v>
      </c>
      <c r="F2209" s="85">
        <f t="shared" si="293"/>
        <v>2.0000000000000001E-4</v>
      </c>
      <c r="G2209" s="85">
        <f t="shared" si="294"/>
        <v>3.3510321638291128E-11</v>
      </c>
      <c r="H2209" s="85">
        <v>7800</v>
      </c>
      <c r="I2209" s="85">
        <f t="shared" si="295"/>
        <v>2.6138050877867079E-7</v>
      </c>
      <c r="J2209" s="87">
        <v>1</v>
      </c>
      <c r="K2209" s="88">
        <f t="shared" si="296"/>
        <v>3825839.9781705611</v>
      </c>
    </row>
    <row r="2210" spans="1:11" hidden="1" x14ac:dyDescent="0.25">
      <c r="A2210" t="str">
        <f t="shared" si="291"/>
        <v>440CØ0,5</v>
      </c>
      <c r="B2210" s="81" t="s">
        <v>314</v>
      </c>
      <c r="D2210" s="86">
        <v>0.5</v>
      </c>
      <c r="E2210" s="85">
        <f t="shared" si="292"/>
        <v>5.0000000000000001E-4</v>
      </c>
      <c r="F2210" s="85">
        <f t="shared" si="293"/>
        <v>2.5000000000000001E-4</v>
      </c>
      <c r="G2210" s="85">
        <f t="shared" si="294"/>
        <v>6.5449846949787358E-11</v>
      </c>
      <c r="H2210" s="85">
        <v>7750</v>
      </c>
      <c r="I2210" s="85">
        <f t="shared" si="295"/>
        <v>5.0723631386085197E-7</v>
      </c>
      <c r="J2210" s="87">
        <v>1</v>
      </c>
      <c r="K2210" s="88">
        <f t="shared" si="296"/>
        <v>1971467.6821705748</v>
      </c>
    </row>
    <row r="2211" spans="1:11" hidden="1" x14ac:dyDescent="0.25">
      <c r="A2211" t="str">
        <f t="shared" si="291"/>
        <v>420CØ0,5</v>
      </c>
      <c r="B2211" s="81" t="s">
        <v>295</v>
      </c>
      <c r="D2211" s="86">
        <v>0.5</v>
      </c>
      <c r="E2211" s="85">
        <f t="shared" si="292"/>
        <v>5.0000000000000001E-4</v>
      </c>
      <c r="F2211" s="85">
        <f t="shared" si="293"/>
        <v>2.5000000000000001E-4</v>
      </c>
      <c r="G2211" s="85">
        <f t="shared" si="294"/>
        <v>6.5449846949787358E-11</v>
      </c>
      <c r="H2211" s="85">
        <v>7750</v>
      </c>
      <c r="I2211" s="85">
        <f t="shared" si="295"/>
        <v>5.0723631386085197E-7</v>
      </c>
      <c r="J2211" s="87">
        <v>1</v>
      </c>
      <c r="K2211" s="88">
        <f t="shared" si="296"/>
        <v>1971467.6821705748</v>
      </c>
    </row>
    <row r="2212" spans="1:11" hidden="1" x14ac:dyDescent="0.25">
      <c r="A2212" t="str">
        <f t="shared" si="291"/>
        <v>52100Ø0,396875</v>
      </c>
      <c r="B2212" s="81">
        <v>52100</v>
      </c>
      <c r="C2212" s="101" t="s">
        <v>211</v>
      </c>
      <c r="D2212" s="86">
        <f>1/64*25.4</f>
        <v>0.39687499999999998</v>
      </c>
      <c r="E2212" s="85">
        <f t="shared" si="292"/>
        <v>3.9687499999999998E-4</v>
      </c>
      <c r="F2212" s="85">
        <f t="shared" si="293"/>
        <v>1.9843749999999999E-4</v>
      </c>
      <c r="G2212" s="85">
        <f t="shared" si="294"/>
        <v>3.273104341907867E-11</v>
      </c>
      <c r="H2212" s="85">
        <v>7800</v>
      </c>
      <c r="I2212" s="85">
        <f t="shared" si="295"/>
        <v>2.5530213866881361E-7</v>
      </c>
      <c r="J2212" s="87">
        <v>1</v>
      </c>
      <c r="K2212" s="88">
        <f t="shared" si="296"/>
        <v>3916927.6262790463</v>
      </c>
    </row>
    <row r="2213" spans="1:11" hidden="1" x14ac:dyDescent="0.25">
      <c r="A2213" t="str">
        <f t="shared" si="291"/>
        <v>52100Ø0,5</v>
      </c>
      <c r="B2213" s="81">
        <v>52100</v>
      </c>
      <c r="D2213" s="86">
        <v>0.5</v>
      </c>
      <c r="E2213" s="85">
        <f t="shared" si="292"/>
        <v>5.0000000000000001E-4</v>
      </c>
      <c r="F2213" s="85">
        <f t="shared" si="293"/>
        <v>2.5000000000000001E-4</v>
      </c>
      <c r="G2213" s="85">
        <f t="shared" si="294"/>
        <v>6.5449846949787358E-11</v>
      </c>
      <c r="H2213" s="85">
        <v>7800</v>
      </c>
      <c r="I2213" s="85">
        <f t="shared" si="295"/>
        <v>5.1050880620834141E-7</v>
      </c>
      <c r="J2213" s="87">
        <v>1</v>
      </c>
      <c r="K2213" s="88">
        <f t="shared" si="296"/>
        <v>1958830.0688233273</v>
      </c>
    </row>
    <row r="2214" spans="1:11" hidden="1" x14ac:dyDescent="0.25">
      <c r="A2214" t="str">
        <f t="shared" si="291"/>
        <v>52100Ø0,5</v>
      </c>
      <c r="B2214" s="81">
        <v>52100</v>
      </c>
      <c r="D2214" s="86">
        <v>0.5</v>
      </c>
      <c r="E2214" s="85">
        <f t="shared" si="292"/>
        <v>5.0000000000000001E-4</v>
      </c>
      <c r="F2214" s="85">
        <f t="shared" si="293"/>
        <v>2.5000000000000001E-4</v>
      </c>
      <c r="G2214" s="85">
        <f t="shared" si="294"/>
        <v>6.5449846949787358E-11</v>
      </c>
      <c r="H2214" s="85">
        <v>7800</v>
      </c>
      <c r="I2214" s="85">
        <f t="shared" si="295"/>
        <v>5.1050880620834141E-7</v>
      </c>
      <c r="J2214" s="87">
        <v>1</v>
      </c>
      <c r="K2214" s="88">
        <f t="shared" si="296"/>
        <v>1958830.0688233273</v>
      </c>
    </row>
    <row r="2215" spans="1:11" hidden="1" x14ac:dyDescent="0.25">
      <c r="A2215" t="str">
        <f t="shared" si="291"/>
        <v>316LØ5</v>
      </c>
      <c r="B2215" s="81" t="s">
        <v>298</v>
      </c>
      <c r="D2215" s="86">
        <v>5</v>
      </c>
      <c r="E2215" s="85">
        <f t="shared" si="292"/>
        <v>5.0000000000000001E-3</v>
      </c>
      <c r="F2215" s="85">
        <f t="shared" si="293"/>
        <v>2.5000000000000001E-3</v>
      </c>
      <c r="G2215" s="85">
        <f t="shared" si="294"/>
        <v>6.5449846949787352E-8</v>
      </c>
      <c r="H2215" s="85">
        <v>7950</v>
      </c>
      <c r="I2215" s="85">
        <f t="shared" si="295"/>
        <v>5.2032628325080941E-4</v>
      </c>
      <c r="J2215" s="87">
        <v>1</v>
      </c>
      <c r="K2215" s="88">
        <f t="shared" si="296"/>
        <v>1921.8710109210006</v>
      </c>
    </row>
    <row r="2216" spans="1:11" hidden="1" x14ac:dyDescent="0.25">
      <c r="A2216" t="str">
        <f t="shared" si="291"/>
        <v>420CØ3,92</v>
      </c>
      <c r="B2216" s="81" t="s">
        <v>295</v>
      </c>
      <c r="D2216" s="86">
        <v>3.92</v>
      </c>
      <c r="E2216" s="85">
        <f t="shared" si="292"/>
        <v>3.9199999999999999E-3</v>
      </c>
      <c r="F2216" s="85">
        <f t="shared" si="293"/>
        <v>1.9599999999999999E-3</v>
      </c>
      <c r="G2216" s="85">
        <f t="shared" si="294"/>
        <v>3.1539646643386496E-8</v>
      </c>
      <c r="H2216" s="85">
        <v>7750</v>
      </c>
      <c r="I2216" s="85">
        <f t="shared" si="295"/>
        <v>2.4443226148624536E-4</v>
      </c>
      <c r="J2216" s="87">
        <v>1</v>
      </c>
      <c r="K2216" s="88">
        <f t="shared" si="296"/>
        <v>4091.1129894212913</v>
      </c>
    </row>
    <row r="2217" spans="1:11" hidden="1" x14ac:dyDescent="0.25">
      <c r="A2217" t="str">
        <f t="shared" si="291"/>
        <v>420CØ0,4</v>
      </c>
      <c r="B2217" s="81" t="s">
        <v>295</v>
      </c>
      <c r="D2217" s="86">
        <v>0.4</v>
      </c>
      <c r="E2217" s="85">
        <f t="shared" si="292"/>
        <v>4.0000000000000002E-4</v>
      </c>
      <c r="F2217" s="85">
        <f t="shared" si="293"/>
        <v>2.0000000000000001E-4</v>
      </c>
      <c r="G2217" s="85">
        <f t="shared" si="294"/>
        <v>3.3510321638291128E-11</v>
      </c>
      <c r="H2217" s="85">
        <v>7750</v>
      </c>
      <c r="I2217" s="85">
        <f t="shared" si="295"/>
        <v>2.5970499269675626E-7</v>
      </c>
      <c r="J2217" s="87">
        <v>1</v>
      </c>
      <c r="K2217" s="88">
        <f t="shared" si="296"/>
        <v>3850522.8167394032</v>
      </c>
    </row>
    <row r="2218" spans="1:11" hidden="1" x14ac:dyDescent="0.25">
      <c r="A2218" t="str">
        <f t="shared" si="291"/>
        <v>52100Ø0,396875</v>
      </c>
      <c r="B2218" s="81">
        <v>52100</v>
      </c>
      <c r="C2218" s="101" t="s">
        <v>211</v>
      </c>
      <c r="D2218" s="86">
        <f>1/64*25.4</f>
        <v>0.39687499999999998</v>
      </c>
      <c r="E2218" s="85">
        <f t="shared" si="292"/>
        <v>3.9687499999999998E-4</v>
      </c>
      <c r="F2218" s="85">
        <f t="shared" si="293"/>
        <v>1.9843749999999999E-4</v>
      </c>
      <c r="G2218" s="85">
        <f t="shared" si="294"/>
        <v>3.273104341907867E-11</v>
      </c>
      <c r="H2218" s="85">
        <v>7800</v>
      </c>
      <c r="I2218" s="85">
        <f t="shared" si="295"/>
        <v>2.5530213866881361E-7</v>
      </c>
      <c r="J2218" s="87">
        <v>1</v>
      </c>
      <c r="K2218" s="88">
        <f t="shared" si="296"/>
        <v>3916927.6262790463</v>
      </c>
    </row>
    <row r="2219" spans="1:11" hidden="1" x14ac:dyDescent="0.25">
      <c r="A2219" t="str">
        <f t="shared" si="291"/>
        <v>420CØ0,4</v>
      </c>
      <c r="B2219" s="81" t="s">
        <v>295</v>
      </c>
      <c r="D2219" s="86">
        <v>0.4</v>
      </c>
      <c r="E2219" s="85">
        <f t="shared" si="292"/>
        <v>4.0000000000000002E-4</v>
      </c>
      <c r="F2219" s="85">
        <f t="shared" si="293"/>
        <v>2.0000000000000001E-4</v>
      </c>
      <c r="G2219" s="85">
        <f t="shared" si="294"/>
        <v>3.3510321638291128E-11</v>
      </c>
      <c r="H2219" s="85">
        <v>7750</v>
      </c>
      <c r="I2219" s="85">
        <f t="shared" si="295"/>
        <v>2.5970499269675626E-7</v>
      </c>
      <c r="J2219" s="87">
        <v>1</v>
      </c>
      <c r="K2219" s="88">
        <f t="shared" si="296"/>
        <v>3850522.8167394032</v>
      </c>
    </row>
    <row r="2220" spans="1:11" hidden="1" x14ac:dyDescent="0.25">
      <c r="A2220" t="str">
        <f t="shared" si="291"/>
        <v>52100Ø0,5</v>
      </c>
      <c r="B2220" s="81">
        <v>52100</v>
      </c>
      <c r="D2220" s="86">
        <v>0.5</v>
      </c>
      <c r="E2220" s="85">
        <f t="shared" si="292"/>
        <v>5.0000000000000001E-4</v>
      </c>
      <c r="F2220" s="85">
        <f t="shared" si="293"/>
        <v>2.5000000000000001E-4</v>
      </c>
      <c r="G2220" s="85">
        <f t="shared" si="294"/>
        <v>6.5449846949787358E-11</v>
      </c>
      <c r="H2220" s="85">
        <v>7800</v>
      </c>
      <c r="I2220" s="85">
        <f t="shared" si="295"/>
        <v>5.1050880620834141E-7</v>
      </c>
      <c r="J2220" s="87">
        <v>1</v>
      </c>
      <c r="K2220" s="88">
        <f t="shared" si="296"/>
        <v>1958830.0688233273</v>
      </c>
    </row>
    <row r="2221" spans="1:11" hidden="1" x14ac:dyDescent="0.25">
      <c r="A2221" t="str">
        <f t="shared" si="291"/>
        <v>52100Ø0,5</v>
      </c>
      <c r="B2221" s="81">
        <v>52100</v>
      </c>
      <c r="D2221" s="86">
        <v>0.5</v>
      </c>
      <c r="E2221" s="85">
        <f t="shared" si="292"/>
        <v>5.0000000000000001E-4</v>
      </c>
      <c r="F2221" s="85">
        <f t="shared" si="293"/>
        <v>2.5000000000000001E-4</v>
      </c>
      <c r="G2221" s="85">
        <f t="shared" si="294"/>
        <v>6.5449846949787358E-11</v>
      </c>
      <c r="H2221" s="85">
        <v>7800</v>
      </c>
      <c r="I2221" s="85">
        <f t="shared" si="295"/>
        <v>5.1050880620834141E-7</v>
      </c>
      <c r="J2221" s="87">
        <v>1</v>
      </c>
      <c r="K2221" s="88">
        <f t="shared" si="296"/>
        <v>1958830.0688233273</v>
      </c>
    </row>
    <row r="2222" spans="1:11" hidden="1" x14ac:dyDescent="0.25">
      <c r="A2222" t="str">
        <f t="shared" si="291"/>
        <v>Wc-CoØ2,778125</v>
      </c>
      <c r="B2222" s="81" t="s">
        <v>206</v>
      </c>
      <c r="C2222" s="101" t="s">
        <v>247</v>
      </c>
      <c r="D2222" s="86">
        <f>7/64*25.4</f>
        <v>2.7781249999999997</v>
      </c>
      <c r="E2222" s="85">
        <f t="shared" si="292"/>
        <v>2.7781249999999998E-3</v>
      </c>
      <c r="F2222" s="85">
        <f t="shared" si="293"/>
        <v>1.3890624999999999E-3</v>
      </c>
      <c r="G2222" s="85">
        <f t="shared" si="294"/>
        <v>1.1226747892743984E-8</v>
      </c>
      <c r="H2222" s="85">
        <v>14950</v>
      </c>
      <c r="I2222" s="85">
        <f t="shared" si="295"/>
        <v>1.6783988099652256E-4</v>
      </c>
      <c r="J2222" s="87">
        <v>1</v>
      </c>
      <c r="K2222" s="88">
        <f t="shared" si="296"/>
        <v>5958.059515191856</v>
      </c>
    </row>
    <row r="2223" spans="1:11" hidden="1" x14ac:dyDescent="0.25">
      <c r="A2223" t="str">
        <f t="shared" si="291"/>
        <v>420CØ1</v>
      </c>
      <c r="B2223" s="81" t="s">
        <v>295</v>
      </c>
      <c r="D2223" s="86">
        <v>1</v>
      </c>
      <c r="E2223" s="85">
        <f t="shared" si="292"/>
        <v>1E-3</v>
      </c>
      <c r="F2223" s="85">
        <f t="shared" si="293"/>
        <v>5.0000000000000001E-4</v>
      </c>
      <c r="G2223" s="85">
        <f t="shared" si="294"/>
        <v>5.2359877559829886E-10</v>
      </c>
      <c r="H2223" s="85">
        <v>7750</v>
      </c>
      <c r="I2223" s="85">
        <f t="shared" si="295"/>
        <v>4.0578905108868158E-6</v>
      </c>
      <c r="J2223" s="87">
        <v>1</v>
      </c>
      <c r="K2223" s="88">
        <f t="shared" si="296"/>
        <v>246433.46027132185</v>
      </c>
    </row>
    <row r="2224" spans="1:11" hidden="1" x14ac:dyDescent="0.25">
      <c r="A2224" t="str">
        <f t="shared" si="291"/>
        <v>420CØ1</v>
      </c>
      <c r="B2224" s="81" t="s">
        <v>295</v>
      </c>
      <c r="D2224" s="86">
        <v>1</v>
      </c>
      <c r="E2224" s="85">
        <f t="shared" si="292"/>
        <v>1E-3</v>
      </c>
      <c r="F2224" s="85">
        <f t="shared" si="293"/>
        <v>5.0000000000000001E-4</v>
      </c>
      <c r="G2224" s="85">
        <f t="shared" si="294"/>
        <v>5.2359877559829886E-10</v>
      </c>
      <c r="H2224" s="85">
        <v>7750</v>
      </c>
      <c r="I2224" s="85">
        <f t="shared" si="295"/>
        <v>4.0578905108868158E-6</v>
      </c>
      <c r="J2224" s="87">
        <v>1</v>
      </c>
      <c r="K2224" s="88">
        <f t="shared" si="296"/>
        <v>246433.46027132185</v>
      </c>
    </row>
    <row r="2225" spans="1:11" hidden="1" x14ac:dyDescent="0.25">
      <c r="A2225" t="str">
        <f t="shared" si="291"/>
        <v>304Ø1,5</v>
      </c>
      <c r="B2225" s="81">
        <v>304</v>
      </c>
      <c r="D2225" s="86">
        <v>1.5</v>
      </c>
      <c r="E2225" s="85">
        <f t="shared" si="292"/>
        <v>1.5E-3</v>
      </c>
      <c r="F2225" s="85">
        <f t="shared" si="293"/>
        <v>7.5000000000000002E-4</v>
      </c>
      <c r="G2225" s="85">
        <f t="shared" si="294"/>
        <v>1.7671458676442585E-9</v>
      </c>
      <c r="H2225" s="85">
        <v>7950</v>
      </c>
      <c r="I2225" s="85">
        <f t="shared" si="295"/>
        <v>1.4048809647771855E-5</v>
      </c>
      <c r="J2225" s="87">
        <v>1</v>
      </c>
      <c r="K2225" s="88">
        <f t="shared" si="296"/>
        <v>71180.407811888916</v>
      </c>
    </row>
    <row r="2226" spans="1:11" hidden="1" x14ac:dyDescent="0.25">
      <c r="A2226" t="str">
        <f t="shared" si="291"/>
        <v>304Ø1,5</v>
      </c>
      <c r="B2226" s="81">
        <v>304</v>
      </c>
      <c r="D2226" s="86">
        <v>1.5</v>
      </c>
      <c r="E2226" s="85">
        <f t="shared" si="292"/>
        <v>1.5E-3</v>
      </c>
      <c r="F2226" s="85">
        <f t="shared" si="293"/>
        <v>7.5000000000000002E-4</v>
      </c>
      <c r="G2226" s="85">
        <f t="shared" si="294"/>
        <v>1.7671458676442585E-9</v>
      </c>
      <c r="H2226" s="85">
        <v>7950</v>
      </c>
      <c r="I2226" s="85">
        <f t="shared" si="295"/>
        <v>1.4048809647771855E-5</v>
      </c>
      <c r="J2226" s="87">
        <v>1</v>
      </c>
      <c r="K2226" s="88">
        <f t="shared" si="296"/>
        <v>71180.407811888916</v>
      </c>
    </row>
    <row r="2227" spans="1:11" hidden="1" x14ac:dyDescent="0.25">
      <c r="A2227" t="str">
        <f t="shared" si="291"/>
        <v>420CØ1</v>
      </c>
      <c r="B2227" s="81" t="s">
        <v>295</v>
      </c>
      <c r="D2227" s="86">
        <v>1</v>
      </c>
      <c r="E2227" s="85">
        <f t="shared" si="292"/>
        <v>1E-3</v>
      </c>
      <c r="F2227" s="85">
        <f t="shared" si="293"/>
        <v>5.0000000000000001E-4</v>
      </c>
      <c r="G2227" s="85">
        <f t="shared" si="294"/>
        <v>5.2359877559829886E-10</v>
      </c>
      <c r="H2227" s="85">
        <v>7750</v>
      </c>
      <c r="I2227" s="85">
        <f t="shared" si="295"/>
        <v>4.0578905108868158E-6</v>
      </c>
      <c r="J2227" s="87">
        <v>1</v>
      </c>
      <c r="K2227" s="88">
        <f t="shared" si="296"/>
        <v>246433.46027132185</v>
      </c>
    </row>
    <row r="2228" spans="1:11" hidden="1" x14ac:dyDescent="0.25">
      <c r="A2228" t="str">
        <f t="shared" si="291"/>
        <v>440CØ1,2</v>
      </c>
      <c r="B2228" s="81" t="s">
        <v>314</v>
      </c>
      <c r="D2228" s="86">
        <v>1.2</v>
      </c>
      <c r="E2228" s="85">
        <f t="shared" si="292"/>
        <v>1.1999999999999999E-3</v>
      </c>
      <c r="F2228" s="85">
        <f t="shared" si="293"/>
        <v>5.9999999999999995E-4</v>
      </c>
      <c r="G2228" s="85">
        <f t="shared" si="294"/>
        <v>9.0477868423386013E-10</v>
      </c>
      <c r="H2228" s="85">
        <v>7750</v>
      </c>
      <c r="I2228" s="85">
        <f t="shared" si="295"/>
        <v>7.0120348028124162E-6</v>
      </c>
      <c r="J2228" s="87">
        <v>1</v>
      </c>
      <c r="K2228" s="88">
        <f t="shared" si="296"/>
        <v>142611.9561755335</v>
      </c>
    </row>
    <row r="2229" spans="1:11" hidden="1" x14ac:dyDescent="0.25">
      <c r="A2229" t="str">
        <f t="shared" si="291"/>
        <v>420CØ1,2</v>
      </c>
      <c r="B2229" s="81" t="s">
        <v>295</v>
      </c>
      <c r="D2229" s="86">
        <v>1.2</v>
      </c>
      <c r="E2229" s="85">
        <f t="shared" si="292"/>
        <v>1.1999999999999999E-3</v>
      </c>
      <c r="F2229" s="85">
        <f t="shared" si="293"/>
        <v>5.9999999999999995E-4</v>
      </c>
      <c r="G2229" s="85">
        <f t="shared" si="294"/>
        <v>9.0477868423386013E-10</v>
      </c>
      <c r="H2229" s="85">
        <v>7750</v>
      </c>
      <c r="I2229" s="85">
        <f t="shared" si="295"/>
        <v>7.0120348028124162E-6</v>
      </c>
      <c r="J2229" s="87">
        <v>1</v>
      </c>
      <c r="K2229" s="88">
        <f t="shared" si="296"/>
        <v>142611.9561755335</v>
      </c>
    </row>
    <row r="2230" spans="1:11" hidden="1" x14ac:dyDescent="0.25">
      <c r="A2230" t="str">
        <f t="shared" si="291"/>
        <v>420CØ1,2</v>
      </c>
      <c r="B2230" s="81" t="s">
        <v>295</v>
      </c>
      <c r="D2230" s="86">
        <v>1.2</v>
      </c>
      <c r="E2230" s="85">
        <f t="shared" si="292"/>
        <v>1.1999999999999999E-3</v>
      </c>
      <c r="F2230" s="85">
        <f t="shared" si="293"/>
        <v>5.9999999999999995E-4</v>
      </c>
      <c r="G2230" s="85">
        <f t="shared" si="294"/>
        <v>9.0477868423386013E-10</v>
      </c>
      <c r="H2230" s="85">
        <v>7750</v>
      </c>
      <c r="I2230" s="85">
        <f t="shared" si="295"/>
        <v>7.0120348028124162E-6</v>
      </c>
      <c r="J2230" s="87">
        <v>1</v>
      </c>
      <c r="K2230" s="88">
        <f t="shared" si="296"/>
        <v>142611.9561755335</v>
      </c>
    </row>
    <row r="2231" spans="1:11" hidden="1" x14ac:dyDescent="0.25">
      <c r="A2231" t="str">
        <f t="shared" si="291"/>
        <v>420CØ1,2</v>
      </c>
      <c r="B2231" s="81" t="s">
        <v>295</v>
      </c>
      <c r="D2231" s="86">
        <v>1.2</v>
      </c>
      <c r="E2231" s="85">
        <f t="shared" si="292"/>
        <v>1.1999999999999999E-3</v>
      </c>
      <c r="F2231" s="85">
        <f t="shared" si="293"/>
        <v>5.9999999999999995E-4</v>
      </c>
      <c r="G2231" s="85">
        <f t="shared" si="294"/>
        <v>9.0477868423386013E-10</v>
      </c>
      <c r="H2231" s="85">
        <v>7740</v>
      </c>
      <c r="I2231" s="85">
        <f t="shared" si="295"/>
        <v>7.0029870159700777E-6</v>
      </c>
      <c r="J2231" s="87">
        <v>1</v>
      </c>
      <c r="K2231" s="88">
        <f t="shared" si="296"/>
        <v>142796.20934888691</v>
      </c>
    </row>
    <row r="2232" spans="1:11" hidden="1" x14ac:dyDescent="0.25">
      <c r="A2232" t="str">
        <f t="shared" si="291"/>
        <v>Wc-CoØ1,5875</v>
      </c>
      <c r="B2232" s="81" t="s">
        <v>206</v>
      </c>
      <c r="C2232" s="101" t="s">
        <v>246</v>
      </c>
      <c r="D2232" s="86">
        <f>1/16*25.4</f>
        <v>1.5874999999999999</v>
      </c>
      <c r="E2232" s="85">
        <f t="shared" si="292"/>
        <v>1.5874999999999999E-3</v>
      </c>
      <c r="F2232" s="85">
        <f t="shared" si="293"/>
        <v>7.9374999999999997E-4</v>
      </c>
      <c r="G2232" s="85">
        <f t="shared" si="294"/>
        <v>2.0947867788210349E-9</v>
      </c>
      <c r="H2232" s="85">
        <v>14950</v>
      </c>
      <c r="I2232" s="85">
        <f t="shared" si="295"/>
        <v>3.1317062343374473E-5</v>
      </c>
      <c r="J2232" s="87">
        <v>1</v>
      </c>
      <c r="K2232" s="88">
        <f t="shared" si="296"/>
        <v>31931.475214231352</v>
      </c>
    </row>
    <row r="2233" spans="1:11" hidden="1" x14ac:dyDescent="0.25">
      <c r="A2233" t="str">
        <f t="shared" si="291"/>
        <v>ZrO2Ø30</v>
      </c>
      <c r="B2233" s="81" t="s">
        <v>205</v>
      </c>
      <c r="D2233" s="86">
        <v>30</v>
      </c>
      <c r="E2233" s="85">
        <f t="shared" si="292"/>
        <v>0.03</v>
      </c>
      <c r="F2233" s="85">
        <f t="shared" si="293"/>
        <v>1.4999999999999999E-2</v>
      </c>
      <c r="G2233" s="85">
        <f t="shared" si="294"/>
        <v>1.4137166941154067E-5</v>
      </c>
      <c r="H2233" s="85">
        <v>6000</v>
      </c>
      <c r="I2233" s="85">
        <f t="shared" si="295"/>
        <v>8.4823001646924398E-2</v>
      </c>
      <c r="J2233" s="87">
        <v>1</v>
      </c>
      <c r="K2233" s="88">
        <f t="shared" si="296"/>
        <v>11.789255043844102</v>
      </c>
    </row>
    <row r="2234" spans="1:11" hidden="1" x14ac:dyDescent="0.25">
      <c r="A2234" t="str">
        <f t="shared" si="291"/>
        <v>420CØ1,5</v>
      </c>
      <c r="B2234" s="81" t="s">
        <v>295</v>
      </c>
      <c r="D2234" s="86">
        <v>1.5</v>
      </c>
      <c r="E2234" s="85">
        <f t="shared" si="292"/>
        <v>1.5E-3</v>
      </c>
      <c r="F2234" s="85">
        <f t="shared" si="293"/>
        <v>7.5000000000000002E-4</v>
      </c>
      <c r="G2234" s="85">
        <f t="shared" si="294"/>
        <v>1.7671458676442585E-9</v>
      </c>
      <c r="H2234" s="85">
        <v>7750</v>
      </c>
      <c r="I2234" s="85">
        <f t="shared" si="295"/>
        <v>1.3695380474243003E-5</v>
      </c>
      <c r="J2234" s="87">
        <v>1</v>
      </c>
      <c r="K2234" s="88">
        <f t="shared" si="296"/>
        <v>73017.321561873134</v>
      </c>
    </row>
    <row r="2235" spans="1:11" hidden="1" x14ac:dyDescent="0.25">
      <c r="A2235" t="str">
        <f t="shared" si="291"/>
        <v>POMØ1,5</v>
      </c>
      <c r="B2235" s="81" t="s">
        <v>201</v>
      </c>
      <c r="D2235" s="86">
        <v>1.5</v>
      </c>
      <c r="E2235" s="85">
        <f t="shared" si="292"/>
        <v>1.5E-3</v>
      </c>
      <c r="F2235" s="85">
        <f t="shared" si="293"/>
        <v>7.5000000000000002E-4</v>
      </c>
      <c r="G2235" s="85">
        <f t="shared" si="294"/>
        <v>1.7671458676442585E-9</v>
      </c>
      <c r="H2235" s="85">
        <v>1370</v>
      </c>
      <c r="I2235" s="85">
        <f t="shared" si="295"/>
        <v>2.4209898386726343E-6</v>
      </c>
      <c r="J2235" s="87">
        <v>1</v>
      </c>
      <c r="K2235" s="88">
        <f t="shared" si="296"/>
        <v>413054.1913171655</v>
      </c>
    </row>
    <row r="2236" spans="1:11" hidden="1" x14ac:dyDescent="0.25">
      <c r="A2236" t="str">
        <f t="shared" si="291"/>
        <v>POMØ6</v>
      </c>
      <c r="B2236" s="81" t="s">
        <v>201</v>
      </c>
      <c r="D2236" s="86">
        <v>6</v>
      </c>
      <c r="E2236" s="85">
        <f t="shared" si="292"/>
        <v>6.0000000000000001E-3</v>
      </c>
      <c r="F2236" s="85">
        <f t="shared" si="293"/>
        <v>3.0000000000000001E-3</v>
      </c>
      <c r="G2236" s="85">
        <f t="shared" si="294"/>
        <v>1.1309733552923255E-7</v>
      </c>
      <c r="H2236" s="85">
        <v>1370</v>
      </c>
      <c r="I2236" s="85">
        <f t="shared" si="295"/>
        <v>1.549433496750486E-4</v>
      </c>
      <c r="J2236" s="87">
        <v>1</v>
      </c>
      <c r="K2236" s="88">
        <f t="shared" si="296"/>
        <v>6453.971739330711</v>
      </c>
    </row>
    <row r="2237" spans="1:11" hidden="1" x14ac:dyDescent="0.25">
      <c r="A2237" t="str">
        <f t="shared" si="291"/>
        <v>POMØ5</v>
      </c>
      <c r="B2237" s="81" t="s">
        <v>201</v>
      </c>
      <c r="D2237" s="86">
        <v>5</v>
      </c>
      <c r="E2237" s="85">
        <f t="shared" si="292"/>
        <v>5.0000000000000001E-3</v>
      </c>
      <c r="F2237" s="85">
        <f t="shared" si="293"/>
        <v>2.5000000000000001E-3</v>
      </c>
      <c r="G2237" s="85">
        <f t="shared" si="294"/>
        <v>6.5449846949787352E-8</v>
      </c>
      <c r="H2237" s="85">
        <v>1370</v>
      </c>
      <c r="I2237" s="85">
        <f t="shared" si="295"/>
        <v>8.9666290321208675E-5</v>
      </c>
      <c r="J2237" s="87">
        <v>1</v>
      </c>
      <c r="K2237" s="88">
        <f t="shared" si="296"/>
        <v>11152.463165563469</v>
      </c>
    </row>
    <row r="2238" spans="1:11" hidden="1" x14ac:dyDescent="0.25">
      <c r="A2238" t="str">
        <f t="shared" si="291"/>
        <v>POMØ1</v>
      </c>
      <c r="B2238" s="81" t="s">
        <v>201</v>
      </c>
      <c r="D2238" s="86">
        <v>1</v>
      </c>
      <c r="E2238" s="85">
        <f t="shared" si="292"/>
        <v>1E-3</v>
      </c>
      <c r="F2238" s="85">
        <f t="shared" si="293"/>
        <v>5.0000000000000001E-4</v>
      </c>
      <c r="G2238" s="85">
        <f t="shared" si="294"/>
        <v>5.2359877559829886E-10</v>
      </c>
      <c r="H2238" s="85">
        <v>1370</v>
      </c>
      <c r="I2238" s="85">
        <f t="shared" si="295"/>
        <v>7.1733032256966945E-7</v>
      </c>
      <c r="J2238" s="87">
        <v>1</v>
      </c>
      <c r="K2238" s="88">
        <f t="shared" si="296"/>
        <v>1394057.8956954337</v>
      </c>
    </row>
    <row r="2239" spans="1:11" hidden="1" x14ac:dyDescent="0.25">
      <c r="A2239" t="str">
        <f t="shared" si="291"/>
        <v>Al2O3Ø1</v>
      </c>
      <c r="B2239" s="81" t="s">
        <v>217</v>
      </c>
      <c r="D2239" s="86">
        <v>1</v>
      </c>
      <c r="E2239" s="85">
        <f t="shared" si="292"/>
        <v>1E-3</v>
      </c>
      <c r="F2239" s="85">
        <f t="shared" si="293"/>
        <v>5.0000000000000001E-4</v>
      </c>
      <c r="G2239" s="85">
        <f t="shared" si="294"/>
        <v>5.2359877559829886E-10</v>
      </c>
      <c r="H2239" s="85">
        <v>3900</v>
      </c>
      <c r="I2239" s="85">
        <f t="shared" si="295"/>
        <v>2.0420352248333656E-6</v>
      </c>
      <c r="J2239" s="87">
        <v>1</v>
      </c>
      <c r="K2239" s="88">
        <f t="shared" si="296"/>
        <v>489707.51720583183</v>
      </c>
    </row>
    <row r="2240" spans="1:11" hidden="1" x14ac:dyDescent="0.25">
      <c r="A2240" t="str">
        <f t="shared" si="291"/>
        <v>52100Ø1,5</v>
      </c>
      <c r="B2240" s="81">
        <v>52100</v>
      </c>
      <c r="D2240" s="86">
        <v>1.5</v>
      </c>
      <c r="E2240" s="85">
        <f t="shared" si="292"/>
        <v>1.5E-3</v>
      </c>
      <c r="F2240" s="85">
        <f t="shared" si="293"/>
        <v>7.5000000000000002E-4</v>
      </c>
      <c r="G2240" s="85">
        <f t="shared" si="294"/>
        <v>1.7671458676442585E-9</v>
      </c>
      <c r="H2240" s="85">
        <v>7800</v>
      </c>
      <c r="I2240" s="85">
        <f t="shared" si="295"/>
        <v>1.3783737767625217E-5</v>
      </c>
      <c r="J2240" s="87">
        <v>1</v>
      </c>
      <c r="K2240" s="88">
        <f t="shared" si="296"/>
        <v>72549.261808271374</v>
      </c>
    </row>
    <row r="2241" spans="1:11" hidden="1" x14ac:dyDescent="0.25">
      <c r="A2241" t="str">
        <f t="shared" si="291"/>
        <v>PPHØ1</v>
      </c>
      <c r="B2241" s="81" t="s">
        <v>202</v>
      </c>
      <c r="D2241" s="86">
        <v>1</v>
      </c>
      <c r="E2241" s="85">
        <f t="shared" si="292"/>
        <v>1E-3</v>
      </c>
      <c r="F2241" s="85">
        <f t="shared" si="293"/>
        <v>5.0000000000000001E-4</v>
      </c>
      <c r="G2241" s="85">
        <f t="shared" si="294"/>
        <v>5.2359877559829886E-10</v>
      </c>
      <c r="H2241" s="85">
        <v>870</v>
      </c>
      <c r="I2241" s="85">
        <f t="shared" si="295"/>
        <v>4.5553093477051999E-7</v>
      </c>
      <c r="J2241" s="87">
        <v>1</v>
      </c>
      <c r="K2241" s="88">
        <f t="shared" si="296"/>
        <v>2195240.5943709705</v>
      </c>
    </row>
    <row r="2242" spans="1:11" hidden="1" x14ac:dyDescent="0.25">
      <c r="A2242" t="str">
        <f t="shared" si="291"/>
        <v>PPHØ1</v>
      </c>
      <c r="B2242" s="81" t="s">
        <v>202</v>
      </c>
      <c r="D2242" s="86">
        <v>1</v>
      </c>
      <c r="E2242" s="85">
        <f t="shared" si="292"/>
        <v>1E-3</v>
      </c>
      <c r="F2242" s="85">
        <f t="shared" si="293"/>
        <v>5.0000000000000001E-4</v>
      </c>
      <c r="G2242" s="85">
        <f t="shared" si="294"/>
        <v>5.2359877559829886E-10</v>
      </c>
      <c r="H2242" s="85">
        <v>870</v>
      </c>
      <c r="I2242" s="85">
        <f t="shared" si="295"/>
        <v>4.5553093477051999E-7</v>
      </c>
      <c r="J2242" s="87">
        <v>1</v>
      </c>
      <c r="K2242" s="88">
        <f t="shared" si="296"/>
        <v>2195240.5943709705</v>
      </c>
    </row>
    <row r="2243" spans="1:11" hidden="1" x14ac:dyDescent="0.25">
      <c r="A2243" t="str">
        <f t="shared" si="291"/>
        <v>PPHØ5</v>
      </c>
      <c r="B2243" s="81" t="s">
        <v>202</v>
      </c>
      <c r="D2243" s="86">
        <v>5</v>
      </c>
      <c r="E2243" s="85">
        <f t="shared" si="292"/>
        <v>5.0000000000000001E-3</v>
      </c>
      <c r="F2243" s="85">
        <f t="shared" si="293"/>
        <v>2.5000000000000001E-3</v>
      </c>
      <c r="G2243" s="85">
        <f t="shared" si="294"/>
        <v>6.5449846949787352E-8</v>
      </c>
      <c r="H2243" s="85">
        <v>870</v>
      </c>
      <c r="I2243" s="85">
        <f t="shared" si="295"/>
        <v>5.6941366846314999E-5</v>
      </c>
      <c r="J2243" s="87">
        <v>1</v>
      </c>
      <c r="K2243" s="88">
        <f t="shared" si="296"/>
        <v>17561.924754967764</v>
      </c>
    </row>
    <row r="2244" spans="1:11" hidden="1" x14ac:dyDescent="0.25">
      <c r="A2244" t="str">
        <f t="shared" ref="A2244:A2307" si="297">CONCATENATE(B2244,"Ø",D2244)</f>
        <v>PPHØ5</v>
      </c>
      <c r="B2244" s="81" t="s">
        <v>202</v>
      </c>
      <c r="D2244" s="86">
        <v>5</v>
      </c>
      <c r="E2244" s="85">
        <f t="shared" si="292"/>
        <v>5.0000000000000001E-3</v>
      </c>
      <c r="F2244" s="85">
        <f t="shared" si="293"/>
        <v>2.5000000000000001E-3</v>
      </c>
      <c r="G2244" s="85">
        <f t="shared" si="294"/>
        <v>6.5449846949787352E-8</v>
      </c>
      <c r="H2244" s="85">
        <v>870</v>
      </c>
      <c r="I2244" s="85">
        <f t="shared" si="295"/>
        <v>5.6941366846314999E-5</v>
      </c>
      <c r="J2244" s="87">
        <v>1</v>
      </c>
      <c r="K2244" s="88">
        <f t="shared" si="296"/>
        <v>17561.924754967764</v>
      </c>
    </row>
    <row r="2245" spans="1:11" hidden="1" x14ac:dyDescent="0.25">
      <c r="A2245" t="str">
        <f t="shared" si="297"/>
        <v>POMØ1</v>
      </c>
      <c r="B2245" s="81" t="s">
        <v>201</v>
      </c>
      <c r="D2245" s="86">
        <v>1</v>
      </c>
      <c r="E2245" s="85">
        <f t="shared" si="292"/>
        <v>1E-3</v>
      </c>
      <c r="F2245" s="85">
        <f t="shared" si="293"/>
        <v>5.0000000000000001E-4</v>
      </c>
      <c r="G2245" s="85">
        <f t="shared" si="294"/>
        <v>5.2359877559829886E-10</v>
      </c>
      <c r="H2245" s="85">
        <v>1370</v>
      </c>
      <c r="I2245" s="85">
        <f t="shared" si="295"/>
        <v>7.1733032256966945E-7</v>
      </c>
      <c r="J2245" s="87">
        <v>1</v>
      </c>
      <c r="K2245" s="88">
        <f t="shared" si="296"/>
        <v>1394057.8956954337</v>
      </c>
    </row>
    <row r="2246" spans="1:11" hidden="1" x14ac:dyDescent="0.25">
      <c r="A2246" t="str">
        <f t="shared" si="297"/>
        <v>POMØ1</v>
      </c>
      <c r="B2246" s="81" t="s">
        <v>201</v>
      </c>
      <c r="D2246" s="86">
        <v>1</v>
      </c>
      <c r="E2246" s="85">
        <f t="shared" si="292"/>
        <v>1E-3</v>
      </c>
      <c r="F2246" s="85">
        <f t="shared" si="293"/>
        <v>5.0000000000000001E-4</v>
      </c>
      <c r="G2246" s="85">
        <f t="shared" si="294"/>
        <v>5.2359877559829886E-10</v>
      </c>
      <c r="H2246" s="85">
        <v>1370</v>
      </c>
      <c r="I2246" s="85">
        <f t="shared" si="295"/>
        <v>7.1733032256966945E-7</v>
      </c>
      <c r="J2246" s="87">
        <v>1</v>
      </c>
      <c r="K2246" s="88">
        <f t="shared" si="296"/>
        <v>1394057.8956954337</v>
      </c>
    </row>
    <row r="2247" spans="1:11" hidden="1" x14ac:dyDescent="0.25">
      <c r="A2247" t="str">
        <f t="shared" si="297"/>
        <v>POMØ5</v>
      </c>
      <c r="B2247" s="81" t="s">
        <v>201</v>
      </c>
      <c r="D2247" s="86">
        <v>5</v>
      </c>
      <c r="E2247" s="85">
        <f t="shared" si="292"/>
        <v>5.0000000000000001E-3</v>
      </c>
      <c r="F2247" s="85">
        <f t="shared" si="293"/>
        <v>2.5000000000000001E-3</v>
      </c>
      <c r="G2247" s="85">
        <f t="shared" si="294"/>
        <v>6.5449846949787352E-8</v>
      </c>
      <c r="H2247" s="85">
        <v>1370</v>
      </c>
      <c r="I2247" s="85">
        <f t="shared" si="295"/>
        <v>8.9666290321208675E-5</v>
      </c>
      <c r="J2247" s="87">
        <v>1</v>
      </c>
      <c r="K2247" s="88">
        <f t="shared" si="296"/>
        <v>11152.463165563469</v>
      </c>
    </row>
    <row r="2248" spans="1:11" hidden="1" x14ac:dyDescent="0.25">
      <c r="A2248" t="str">
        <f t="shared" si="297"/>
        <v>POMØ5</v>
      </c>
      <c r="B2248" s="81" t="s">
        <v>201</v>
      </c>
      <c r="D2248" s="86">
        <v>5</v>
      </c>
      <c r="E2248" s="85">
        <f t="shared" si="292"/>
        <v>5.0000000000000001E-3</v>
      </c>
      <c r="F2248" s="85">
        <f t="shared" si="293"/>
        <v>2.5000000000000001E-3</v>
      </c>
      <c r="G2248" s="85">
        <f t="shared" si="294"/>
        <v>6.5449846949787352E-8</v>
      </c>
      <c r="H2248" s="85">
        <v>1370</v>
      </c>
      <c r="I2248" s="85">
        <f t="shared" si="295"/>
        <v>8.9666290321208675E-5</v>
      </c>
      <c r="J2248" s="87">
        <v>1</v>
      </c>
      <c r="K2248" s="88">
        <f t="shared" si="296"/>
        <v>11152.463165563469</v>
      </c>
    </row>
    <row r="2249" spans="1:11" x14ac:dyDescent="0.25">
      <c r="A2249" t="str">
        <f t="shared" si="297"/>
        <v>1085Ø3,89875</v>
      </c>
      <c r="B2249" s="81">
        <v>1085</v>
      </c>
      <c r="C2249" s="101" t="s">
        <v>339</v>
      </c>
      <c r="D2249" s="86">
        <f>5/32*25.4-0.07</f>
        <v>3.8987500000000002</v>
      </c>
      <c r="E2249" s="85">
        <f t="shared" si="292"/>
        <v>3.8987500000000003E-3</v>
      </c>
      <c r="F2249" s="85">
        <f t="shared" si="293"/>
        <v>1.9493750000000002E-3</v>
      </c>
      <c r="G2249" s="85">
        <f t="shared" si="294"/>
        <v>3.1029500575569767E-8</v>
      </c>
      <c r="H2249" s="85">
        <v>7850</v>
      </c>
      <c r="I2249" s="85">
        <f t="shared" si="295"/>
        <v>2.4358157951822267E-4</v>
      </c>
      <c r="J2249" s="87">
        <v>1</v>
      </c>
      <c r="K2249" s="88">
        <f t="shared" si="296"/>
        <v>4105.400753118889</v>
      </c>
    </row>
    <row r="2250" spans="1:11" x14ac:dyDescent="0.25">
      <c r="A2250" t="str">
        <f t="shared" si="297"/>
        <v>1085Ø3,87</v>
      </c>
      <c r="B2250" s="81">
        <v>1085</v>
      </c>
      <c r="D2250" s="86">
        <v>3.87</v>
      </c>
      <c r="E2250" s="85">
        <f t="shared" si="292"/>
        <v>3.8700000000000002E-3</v>
      </c>
      <c r="F2250" s="85">
        <f t="shared" si="293"/>
        <v>1.9350000000000001E-3</v>
      </c>
      <c r="G2250" s="85">
        <f t="shared" si="294"/>
        <v>3.0348100763739089E-8</v>
      </c>
      <c r="H2250" s="85">
        <v>7850</v>
      </c>
      <c r="I2250" s="85">
        <f t="shared" si="295"/>
        <v>2.3823259099535184E-4</v>
      </c>
      <c r="J2250" s="87">
        <v>1</v>
      </c>
      <c r="K2250" s="88">
        <f t="shared" si="296"/>
        <v>4197.5784917669434</v>
      </c>
    </row>
    <row r="2251" spans="1:11" hidden="1" x14ac:dyDescent="0.25">
      <c r="A2251" t="str">
        <f t="shared" si="297"/>
        <v>52100Ø0,5</v>
      </c>
      <c r="B2251" s="81">
        <v>52100</v>
      </c>
      <c r="D2251" s="86">
        <v>0.5</v>
      </c>
      <c r="E2251" s="85">
        <f t="shared" si="292"/>
        <v>5.0000000000000001E-4</v>
      </c>
      <c r="F2251" s="85">
        <f t="shared" si="293"/>
        <v>2.5000000000000001E-4</v>
      </c>
      <c r="G2251" s="85">
        <f t="shared" si="294"/>
        <v>6.5449846949787358E-11</v>
      </c>
      <c r="H2251" s="85">
        <v>7800</v>
      </c>
      <c r="I2251" s="85">
        <f t="shared" si="295"/>
        <v>5.1050880620834141E-7</v>
      </c>
      <c r="J2251" s="87">
        <v>1</v>
      </c>
      <c r="K2251" s="88">
        <f t="shared" si="296"/>
        <v>1958830.0688233273</v>
      </c>
    </row>
    <row r="2252" spans="1:11" hidden="1" x14ac:dyDescent="0.25">
      <c r="A2252" t="str">
        <f t="shared" si="297"/>
        <v>316LØ1</v>
      </c>
      <c r="B2252" s="81" t="s">
        <v>298</v>
      </c>
      <c r="D2252" s="86">
        <v>1</v>
      </c>
      <c r="E2252" s="85">
        <f t="shared" si="292"/>
        <v>1E-3</v>
      </c>
      <c r="F2252" s="85">
        <f t="shared" si="293"/>
        <v>5.0000000000000001E-4</v>
      </c>
      <c r="G2252" s="85">
        <f t="shared" si="294"/>
        <v>5.2359877559829886E-10</v>
      </c>
      <c r="H2252" s="85">
        <v>7950</v>
      </c>
      <c r="I2252" s="85">
        <f t="shared" si="295"/>
        <v>4.1626102660064759E-6</v>
      </c>
      <c r="J2252" s="87">
        <v>1</v>
      </c>
      <c r="K2252" s="88">
        <f t="shared" si="296"/>
        <v>240233.87636512503</v>
      </c>
    </row>
    <row r="2253" spans="1:11" hidden="1" x14ac:dyDescent="0.25">
      <c r="A2253" t="str">
        <f t="shared" si="297"/>
        <v>316LØ1</v>
      </c>
      <c r="B2253" s="81" t="s">
        <v>298</v>
      </c>
      <c r="D2253" s="86">
        <v>1</v>
      </c>
      <c r="E2253" s="85">
        <f t="shared" si="292"/>
        <v>1E-3</v>
      </c>
      <c r="F2253" s="85">
        <f t="shared" si="293"/>
        <v>5.0000000000000001E-4</v>
      </c>
      <c r="G2253" s="85">
        <f t="shared" si="294"/>
        <v>5.2359877559829886E-10</v>
      </c>
      <c r="H2253" s="85">
        <v>7950</v>
      </c>
      <c r="I2253" s="85">
        <f t="shared" si="295"/>
        <v>4.1626102660064759E-6</v>
      </c>
      <c r="J2253" s="87">
        <v>1</v>
      </c>
      <c r="K2253" s="88">
        <f t="shared" si="296"/>
        <v>240233.87636512503</v>
      </c>
    </row>
    <row r="2254" spans="1:11" hidden="1" x14ac:dyDescent="0.25">
      <c r="A2254" t="str">
        <f t="shared" si="297"/>
        <v>316LØ0,7</v>
      </c>
      <c r="B2254" s="81" t="s">
        <v>298</v>
      </c>
      <c r="D2254" s="86">
        <v>0.7</v>
      </c>
      <c r="E2254" s="85">
        <f t="shared" si="292"/>
        <v>6.9999999999999999E-4</v>
      </c>
      <c r="F2254" s="85">
        <f t="shared" si="293"/>
        <v>3.5E-4</v>
      </c>
      <c r="G2254" s="85">
        <f t="shared" si="294"/>
        <v>1.7959438003021649E-10</v>
      </c>
      <c r="H2254" s="85">
        <v>7950</v>
      </c>
      <c r="I2254" s="85">
        <f t="shared" si="295"/>
        <v>1.4277753212402211E-6</v>
      </c>
      <c r="J2254" s="87">
        <v>1</v>
      </c>
      <c r="K2254" s="88">
        <f t="shared" si="296"/>
        <v>700390.31010240538</v>
      </c>
    </row>
    <row r="2255" spans="1:11" hidden="1" x14ac:dyDescent="0.25">
      <c r="A2255" t="str">
        <f t="shared" si="297"/>
        <v>LDPEØ1</v>
      </c>
      <c r="B2255" s="81" t="s">
        <v>321</v>
      </c>
      <c r="D2255" s="86">
        <v>1</v>
      </c>
      <c r="E2255" s="85">
        <f t="shared" si="292"/>
        <v>1E-3</v>
      </c>
      <c r="F2255" s="85">
        <f t="shared" si="293"/>
        <v>5.0000000000000001E-4</v>
      </c>
      <c r="G2255" s="85">
        <f t="shared" si="294"/>
        <v>5.2359877559829886E-10</v>
      </c>
      <c r="H2255" s="85">
        <v>920</v>
      </c>
      <c r="I2255" s="85">
        <f t="shared" si="295"/>
        <v>4.8171087355043497E-7</v>
      </c>
      <c r="J2255" s="87">
        <v>1</v>
      </c>
      <c r="K2255" s="88">
        <f t="shared" si="296"/>
        <v>2075934.0403290696</v>
      </c>
    </row>
    <row r="2256" spans="1:11" hidden="1" x14ac:dyDescent="0.25">
      <c r="A2256" t="str">
        <f t="shared" si="297"/>
        <v>LDPEØ5</v>
      </c>
      <c r="B2256" s="81" t="s">
        <v>321</v>
      </c>
      <c r="D2256" s="86">
        <v>5</v>
      </c>
      <c r="E2256" s="85">
        <f t="shared" si="292"/>
        <v>5.0000000000000001E-3</v>
      </c>
      <c r="F2256" s="85">
        <f t="shared" si="293"/>
        <v>2.5000000000000001E-3</v>
      </c>
      <c r="G2256" s="85">
        <f t="shared" si="294"/>
        <v>6.5449846949787352E-8</v>
      </c>
      <c r="H2256" s="85">
        <v>920</v>
      </c>
      <c r="I2256" s="85">
        <f t="shared" si="295"/>
        <v>6.0213859193804361E-5</v>
      </c>
      <c r="J2256" s="87">
        <v>1</v>
      </c>
      <c r="K2256" s="88">
        <f t="shared" si="296"/>
        <v>16607.472322632559</v>
      </c>
    </row>
    <row r="2257" spans="1:11" hidden="1" x14ac:dyDescent="0.25">
      <c r="A2257" t="str">
        <f t="shared" si="297"/>
        <v>PVCØ1</v>
      </c>
      <c r="B2257" s="81" t="s">
        <v>358</v>
      </c>
      <c r="D2257" s="86">
        <v>1</v>
      </c>
      <c r="E2257" s="85">
        <f t="shared" si="292"/>
        <v>1E-3</v>
      </c>
      <c r="F2257" s="85">
        <f t="shared" si="293"/>
        <v>5.0000000000000001E-4</v>
      </c>
      <c r="G2257" s="85">
        <f t="shared" si="294"/>
        <v>5.2359877559829886E-10</v>
      </c>
      <c r="H2257" s="85">
        <v>1380</v>
      </c>
      <c r="I2257" s="85">
        <f t="shared" si="295"/>
        <v>7.2256631032565246E-7</v>
      </c>
      <c r="J2257" s="87">
        <v>1</v>
      </c>
      <c r="K2257" s="88">
        <f t="shared" si="296"/>
        <v>1383956.0268860464</v>
      </c>
    </row>
    <row r="2258" spans="1:11" hidden="1" x14ac:dyDescent="0.25">
      <c r="A2258" t="str">
        <f t="shared" si="297"/>
        <v>PVCØ5</v>
      </c>
      <c r="B2258" s="81" t="s">
        <v>358</v>
      </c>
      <c r="D2258" s="86">
        <v>5</v>
      </c>
      <c r="E2258" s="85">
        <f t="shared" si="292"/>
        <v>5.0000000000000001E-3</v>
      </c>
      <c r="F2258" s="85">
        <f t="shared" si="293"/>
        <v>2.5000000000000001E-3</v>
      </c>
      <c r="G2258" s="85">
        <f t="shared" si="294"/>
        <v>6.5449846949787352E-8</v>
      </c>
      <c r="H2258" s="85">
        <v>1380</v>
      </c>
      <c r="I2258" s="85">
        <f t="shared" si="295"/>
        <v>9.0320788790706542E-5</v>
      </c>
      <c r="J2258" s="87">
        <v>1</v>
      </c>
      <c r="K2258" s="88">
        <f t="shared" si="296"/>
        <v>11071.648215088373</v>
      </c>
    </row>
    <row r="2259" spans="1:11" hidden="1" x14ac:dyDescent="0.25">
      <c r="A2259" t="str">
        <f t="shared" si="297"/>
        <v>PSØ1</v>
      </c>
      <c r="B2259" s="81" t="s">
        <v>242</v>
      </c>
      <c r="D2259" s="86">
        <v>1</v>
      </c>
      <c r="E2259" s="85">
        <f t="shared" si="292"/>
        <v>1E-3</v>
      </c>
      <c r="F2259" s="85">
        <f t="shared" si="293"/>
        <v>5.0000000000000001E-4</v>
      </c>
      <c r="G2259" s="85">
        <f t="shared" si="294"/>
        <v>5.2359877559829886E-10</v>
      </c>
      <c r="H2259" s="85">
        <v>1050</v>
      </c>
      <c r="I2259" s="85">
        <f t="shared" si="295"/>
        <v>5.4977871437821385E-7</v>
      </c>
      <c r="J2259" s="87">
        <v>1</v>
      </c>
      <c r="K2259" s="88">
        <f t="shared" si="296"/>
        <v>1818913.6353359467</v>
      </c>
    </row>
    <row r="2260" spans="1:11" hidden="1" x14ac:dyDescent="0.25">
      <c r="A2260" t="str">
        <f t="shared" si="297"/>
        <v>PSØ5</v>
      </c>
      <c r="B2260" s="81" t="s">
        <v>242</v>
      </c>
      <c r="D2260" s="86">
        <v>5</v>
      </c>
      <c r="E2260" s="85">
        <f t="shared" si="292"/>
        <v>5.0000000000000001E-3</v>
      </c>
      <c r="F2260" s="85">
        <f t="shared" si="293"/>
        <v>2.5000000000000001E-3</v>
      </c>
      <c r="G2260" s="85">
        <f t="shared" si="294"/>
        <v>6.5449846949787352E-8</v>
      </c>
      <c r="H2260" s="85">
        <v>1050</v>
      </c>
      <c r="I2260" s="85">
        <f t="shared" si="295"/>
        <v>6.8722339297276714E-5</v>
      </c>
      <c r="J2260" s="87">
        <v>1</v>
      </c>
      <c r="K2260" s="88">
        <f t="shared" si="296"/>
        <v>14551.309082687576</v>
      </c>
    </row>
    <row r="2261" spans="1:11" hidden="1" x14ac:dyDescent="0.25">
      <c r="A2261" t="str">
        <f t="shared" si="297"/>
        <v>PURØ1</v>
      </c>
      <c r="B2261" s="81" t="s">
        <v>300</v>
      </c>
      <c r="D2261" s="86">
        <v>1</v>
      </c>
      <c r="E2261" s="85">
        <f t="shared" si="292"/>
        <v>1E-3</v>
      </c>
      <c r="F2261" s="85">
        <f t="shared" si="293"/>
        <v>5.0000000000000001E-4</v>
      </c>
      <c r="G2261" s="85">
        <f t="shared" si="294"/>
        <v>5.2359877559829886E-10</v>
      </c>
      <c r="H2261" s="85">
        <v>1140</v>
      </c>
      <c r="I2261" s="85">
        <f t="shared" si="295"/>
        <v>5.9690260418206071E-7</v>
      </c>
      <c r="J2261" s="87">
        <v>1</v>
      </c>
      <c r="K2261" s="88">
        <f t="shared" si="296"/>
        <v>1675315.1904410035</v>
      </c>
    </row>
    <row r="2262" spans="1:11" hidden="1" x14ac:dyDescent="0.25">
      <c r="A2262" t="str">
        <f t="shared" si="297"/>
        <v>PURØ5</v>
      </c>
      <c r="B2262" s="81" t="s">
        <v>300</v>
      </c>
      <c r="D2262" s="86">
        <v>5</v>
      </c>
      <c r="E2262" s="85">
        <f t="shared" si="292"/>
        <v>5.0000000000000001E-3</v>
      </c>
      <c r="F2262" s="85">
        <f t="shared" si="293"/>
        <v>2.5000000000000001E-3</v>
      </c>
      <c r="G2262" s="85">
        <f t="shared" si="294"/>
        <v>6.5449846949787352E-8</v>
      </c>
      <c r="H2262" s="85">
        <v>1140</v>
      </c>
      <c r="I2262" s="85">
        <f t="shared" si="295"/>
        <v>7.4612825522757585E-5</v>
      </c>
      <c r="J2262" s="87">
        <v>1</v>
      </c>
      <c r="K2262" s="88">
        <f t="shared" si="296"/>
        <v>13402.521523528028</v>
      </c>
    </row>
    <row r="2263" spans="1:11" hidden="1" x14ac:dyDescent="0.25">
      <c r="A2263" t="str">
        <f t="shared" si="297"/>
        <v>LDPEØ1</v>
      </c>
      <c r="B2263" s="81" t="s">
        <v>321</v>
      </c>
      <c r="D2263" s="86">
        <v>1</v>
      </c>
      <c r="E2263" s="85">
        <f t="shared" si="292"/>
        <v>1E-3</v>
      </c>
      <c r="F2263" s="85">
        <f t="shared" si="293"/>
        <v>5.0000000000000001E-4</v>
      </c>
      <c r="G2263" s="85">
        <f t="shared" si="294"/>
        <v>5.2359877559829886E-10</v>
      </c>
      <c r="H2263" s="85">
        <v>920</v>
      </c>
      <c r="I2263" s="85">
        <f t="shared" si="295"/>
        <v>4.8171087355043497E-7</v>
      </c>
      <c r="J2263" s="87">
        <v>1</v>
      </c>
      <c r="K2263" s="88">
        <f t="shared" si="296"/>
        <v>2075934.0403290696</v>
      </c>
    </row>
    <row r="2264" spans="1:11" hidden="1" x14ac:dyDescent="0.25">
      <c r="A2264" t="str">
        <f t="shared" si="297"/>
        <v>POMØ1</v>
      </c>
      <c r="B2264" s="81" t="s">
        <v>201</v>
      </c>
      <c r="D2264" s="86">
        <v>1</v>
      </c>
      <c r="E2264" s="85">
        <f t="shared" si="292"/>
        <v>1E-3</v>
      </c>
      <c r="F2264" s="85">
        <f t="shared" si="293"/>
        <v>5.0000000000000001E-4</v>
      </c>
      <c r="G2264" s="85">
        <f t="shared" si="294"/>
        <v>5.2359877559829886E-10</v>
      </c>
      <c r="H2264" s="85">
        <v>1370</v>
      </c>
      <c r="I2264" s="85">
        <f t="shared" si="295"/>
        <v>7.1733032256966945E-7</v>
      </c>
      <c r="J2264" s="87">
        <v>1</v>
      </c>
      <c r="K2264" s="88">
        <f t="shared" si="296"/>
        <v>1394057.8956954337</v>
      </c>
    </row>
    <row r="2265" spans="1:11" hidden="1" x14ac:dyDescent="0.25">
      <c r="A2265" t="str">
        <f t="shared" si="297"/>
        <v>Si3N4Ø1,5875</v>
      </c>
      <c r="B2265" s="81" t="s">
        <v>207</v>
      </c>
      <c r="C2265" s="101" t="s">
        <v>246</v>
      </c>
      <c r="D2265" s="86">
        <f>1/16*25.4</f>
        <v>1.5874999999999999</v>
      </c>
      <c r="E2265" s="85">
        <f t="shared" si="292"/>
        <v>1.5874999999999999E-3</v>
      </c>
      <c r="F2265" s="85">
        <f t="shared" si="293"/>
        <v>7.9374999999999997E-4</v>
      </c>
      <c r="G2265" s="85">
        <f t="shared" si="294"/>
        <v>2.0947867788210349E-9</v>
      </c>
      <c r="H2265" s="85">
        <v>3260</v>
      </c>
      <c r="I2265" s="85">
        <f t="shared" si="295"/>
        <v>6.8290048989565737E-6</v>
      </c>
      <c r="J2265" s="87">
        <v>1</v>
      </c>
      <c r="K2265" s="88">
        <f t="shared" si="296"/>
        <v>146434.21915728797</v>
      </c>
    </row>
    <row r="2266" spans="1:11" hidden="1" x14ac:dyDescent="0.25">
      <c r="A2266" t="str">
        <f t="shared" si="297"/>
        <v>52100Ø1,5</v>
      </c>
      <c r="B2266" s="81">
        <v>52100</v>
      </c>
      <c r="D2266" s="86">
        <v>1.5</v>
      </c>
      <c r="E2266" s="85">
        <f t="shared" ref="E2266:E2329" si="298">D2266/1000</f>
        <v>1.5E-3</v>
      </c>
      <c r="F2266" s="85">
        <f t="shared" ref="F2266:F2329" si="299">E2266/2</f>
        <v>7.5000000000000002E-4</v>
      </c>
      <c r="G2266" s="85">
        <f t="shared" ref="G2266:G2329" si="300">4/3*PI()*F2266*F2266*F2266</f>
        <v>1.7671458676442585E-9</v>
      </c>
      <c r="H2266" s="85">
        <v>7800</v>
      </c>
      <c r="I2266" s="85">
        <f t="shared" ref="I2266:I2329" si="301">H2266*G2266</f>
        <v>1.3783737767625217E-5</v>
      </c>
      <c r="J2266" s="87">
        <v>1</v>
      </c>
      <c r="K2266" s="88">
        <f t="shared" ref="K2266:K2329" si="302">J2266/I2266</f>
        <v>72549.261808271374</v>
      </c>
    </row>
    <row r="2267" spans="1:11" hidden="1" x14ac:dyDescent="0.25">
      <c r="A2267" t="str">
        <f t="shared" si="297"/>
        <v>52100Ø1,5</v>
      </c>
      <c r="B2267" s="81">
        <v>52100</v>
      </c>
      <c r="D2267" s="86">
        <v>1.5</v>
      </c>
      <c r="E2267" s="85">
        <f t="shared" si="298"/>
        <v>1.5E-3</v>
      </c>
      <c r="F2267" s="85">
        <f t="shared" si="299"/>
        <v>7.5000000000000002E-4</v>
      </c>
      <c r="G2267" s="85">
        <f t="shared" si="300"/>
        <v>1.7671458676442585E-9</v>
      </c>
      <c r="H2267" s="85">
        <v>7800</v>
      </c>
      <c r="I2267" s="85">
        <f t="shared" si="301"/>
        <v>1.3783737767625217E-5</v>
      </c>
      <c r="J2267" s="87">
        <v>1</v>
      </c>
      <c r="K2267" s="88">
        <f t="shared" si="302"/>
        <v>72549.261808271374</v>
      </c>
    </row>
    <row r="2268" spans="1:11" hidden="1" x14ac:dyDescent="0.25">
      <c r="A2268" t="str">
        <f t="shared" si="297"/>
        <v>52100Ø1,5875</v>
      </c>
      <c r="B2268" s="81">
        <v>52100</v>
      </c>
      <c r="C2268" s="101" t="s">
        <v>246</v>
      </c>
      <c r="D2268" s="86">
        <f>1/16*25.4</f>
        <v>1.5874999999999999</v>
      </c>
      <c r="E2268" s="85">
        <f t="shared" si="298"/>
        <v>1.5874999999999999E-3</v>
      </c>
      <c r="F2268" s="85">
        <f t="shared" si="299"/>
        <v>7.9374999999999997E-4</v>
      </c>
      <c r="G2268" s="85">
        <f t="shared" si="300"/>
        <v>2.0947867788210349E-9</v>
      </c>
      <c r="H2268" s="85">
        <v>7800</v>
      </c>
      <c r="I2268" s="85">
        <f t="shared" si="301"/>
        <v>1.6339336874804071E-5</v>
      </c>
      <c r="J2268" s="87">
        <v>1</v>
      </c>
      <c r="K2268" s="88">
        <f t="shared" si="302"/>
        <v>61201.994160610098</v>
      </c>
    </row>
    <row r="2269" spans="1:11" hidden="1" x14ac:dyDescent="0.25">
      <c r="A2269" t="str">
        <f t="shared" si="297"/>
        <v>ZrO2Ø3,96875</v>
      </c>
      <c r="B2269" s="81" t="s">
        <v>205</v>
      </c>
      <c r="C2269" s="101" t="s">
        <v>215</v>
      </c>
      <c r="D2269" s="86">
        <f>5/32*25.4</f>
        <v>3.96875</v>
      </c>
      <c r="E2269" s="85">
        <f t="shared" si="298"/>
        <v>3.9687500000000001E-3</v>
      </c>
      <c r="F2269" s="85">
        <f t="shared" si="299"/>
        <v>1.984375E-3</v>
      </c>
      <c r="G2269" s="85">
        <f t="shared" si="300"/>
        <v>3.2731043419078684E-8</v>
      </c>
      <c r="H2269" s="85">
        <v>6000</v>
      </c>
      <c r="I2269" s="85">
        <f t="shared" si="301"/>
        <v>1.9638626051447211E-4</v>
      </c>
      <c r="J2269" s="87">
        <v>1</v>
      </c>
      <c r="K2269" s="88">
        <f t="shared" si="302"/>
        <v>5092.0059141627571</v>
      </c>
    </row>
    <row r="2270" spans="1:11" hidden="1" x14ac:dyDescent="0.25">
      <c r="A2270" t="str">
        <f t="shared" si="297"/>
        <v>420CØ1,5</v>
      </c>
      <c r="B2270" s="81" t="s">
        <v>295</v>
      </c>
      <c r="D2270" s="86">
        <v>1.5</v>
      </c>
      <c r="E2270" s="85">
        <f t="shared" si="298"/>
        <v>1.5E-3</v>
      </c>
      <c r="F2270" s="85">
        <f t="shared" si="299"/>
        <v>7.5000000000000002E-4</v>
      </c>
      <c r="G2270" s="85">
        <f t="shared" si="300"/>
        <v>1.7671458676442585E-9</v>
      </c>
      <c r="H2270" s="85">
        <v>7750</v>
      </c>
      <c r="I2270" s="85">
        <f t="shared" si="301"/>
        <v>1.3695380474243003E-5</v>
      </c>
      <c r="J2270" s="87">
        <v>1</v>
      </c>
      <c r="K2270" s="88">
        <f t="shared" si="302"/>
        <v>73017.321561873134</v>
      </c>
    </row>
    <row r="2271" spans="1:11" hidden="1" x14ac:dyDescent="0.25">
      <c r="A2271" t="str">
        <f t="shared" si="297"/>
        <v>420CØ1,5</v>
      </c>
      <c r="B2271" s="81" t="s">
        <v>295</v>
      </c>
      <c r="D2271" s="86">
        <v>1.5</v>
      </c>
      <c r="E2271" s="85">
        <f t="shared" si="298"/>
        <v>1.5E-3</v>
      </c>
      <c r="F2271" s="85">
        <f t="shared" si="299"/>
        <v>7.5000000000000002E-4</v>
      </c>
      <c r="G2271" s="85">
        <f t="shared" si="300"/>
        <v>1.7671458676442585E-9</v>
      </c>
      <c r="H2271" s="85">
        <v>7750</v>
      </c>
      <c r="I2271" s="85">
        <f t="shared" si="301"/>
        <v>1.3695380474243003E-5</v>
      </c>
      <c r="J2271" s="87">
        <v>1</v>
      </c>
      <c r="K2271" s="88">
        <f t="shared" si="302"/>
        <v>73017.321561873134</v>
      </c>
    </row>
    <row r="2272" spans="1:11" hidden="1" x14ac:dyDescent="0.25">
      <c r="A2272" t="str">
        <f t="shared" si="297"/>
        <v>52100Ø0,5</v>
      </c>
      <c r="B2272" s="81">
        <v>52100</v>
      </c>
      <c r="D2272" s="86">
        <v>0.5</v>
      </c>
      <c r="E2272" s="85">
        <f t="shared" si="298"/>
        <v>5.0000000000000001E-4</v>
      </c>
      <c r="F2272" s="85">
        <f t="shared" si="299"/>
        <v>2.5000000000000001E-4</v>
      </c>
      <c r="G2272" s="85">
        <f t="shared" si="300"/>
        <v>6.5449846949787358E-11</v>
      </c>
      <c r="H2272" s="85">
        <v>7800</v>
      </c>
      <c r="I2272" s="85">
        <f t="shared" si="301"/>
        <v>5.1050880620834141E-7</v>
      </c>
      <c r="J2272" s="87">
        <v>1</v>
      </c>
      <c r="K2272" s="88">
        <f t="shared" si="302"/>
        <v>1958830.0688233273</v>
      </c>
    </row>
    <row r="2273" spans="1:11" hidden="1" x14ac:dyDescent="0.25">
      <c r="A2273" t="str">
        <f t="shared" si="297"/>
        <v>Al2O3Ø1,5</v>
      </c>
      <c r="B2273" s="81" t="s">
        <v>217</v>
      </c>
      <c r="D2273" s="86">
        <v>1.5</v>
      </c>
      <c r="E2273" s="85">
        <f t="shared" si="298"/>
        <v>1.5E-3</v>
      </c>
      <c r="F2273" s="85">
        <f t="shared" si="299"/>
        <v>7.5000000000000002E-4</v>
      </c>
      <c r="G2273" s="85">
        <f t="shared" si="300"/>
        <v>1.7671458676442585E-9</v>
      </c>
      <c r="H2273" s="85">
        <v>3950</v>
      </c>
      <c r="I2273" s="85">
        <f t="shared" si="301"/>
        <v>6.9802261771948211E-6</v>
      </c>
      <c r="J2273" s="87">
        <v>1</v>
      </c>
      <c r="K2273" s="88">
        <f t="shared" si="302"/>
        <v>143261.83344418148</v>
      </c>
    </row>
    <row r="2274" spans="1:11" hidden="1" x14ac:dyDescent="0.25">
      <c r="A2274" t="str">
        <f t="shared" si="297"/>
        <v>Al2O3Ø1,5</v>
      </c>
      <c r="B2274" s="81" t="s">
        <v>217</v>
      </c>
      <c r="D2274" s="86">
        <v>1.5</v>
      </c>
      <c r="E2274" s="85">
        <f t="shared" si="298"/>
        <v>1.5E-3</v>
      </c>
      <c r="F2274" s="85">
        <f t="shared" si="299"/>
        <v>7.5000000000000002E-4</v>
      </c>
      <c r="G2274" s="85">
        <f t="shared" si="300"/>
        <v>1.7671458676442585E-9</v>
      </c>
      <c r="H2274" s="85">
        <v>3940</v>
      </c>
      <c r="I2274" s="85">
        <f t="shared" si="301"/>
        <v>6.9625547185183786E-6</v>
      </c>
      <c r="J2274" s="87">
        <v>1</v>
      </c>
      <c r="K2274" s="88">
        <f t="shared" si="302"/>
        <v>143625.4421585068</v>
      </c>
    </row>
    <row r="2275" spans="1:11" hidden="1" x14ac:dyDescent="0.25">
      <c r="A2275" t="str">
        <f t="shared" si="297"/>
        <v>Al2O3Ø1,5</v>
      </c>
      <c r="B2275" s="81" t="s">
        <v>217</v>
      </c>
      <c r="D2275" s="86">
        <v>1.5</v>
      </c>
      <c r="E2275" s="85">
        <f t="shared" si="298"/>
        <v>1.5E-3</v>
      </c>
      <c r="F2275" s="85">
        <f t="shared" si="299"/>
        <v>7.5000000000000002E-4</v>
      </c>
      <c r="G2275" s="85">
        <f t="shared" si="300"/>
        <v>1.7671458676442585E-9</v>
      </c>
      <c r="H2275" s="85">
        <v>3930</v>
      </c>
      <c r="I2275" s="85">
        <f t="shared" si="301"/>
        <v>6.9448832598419361E-6</v>
      </c>
      <c r="J2275" s="87">
        <v>1</v>
      </c>
      <c r="K2275" s="88">
        <f t="shared" si="302"/>
        <v>143990.90129885924</v>
      </c>
    </row>
    <row r="2276" spans="1:11" hidden="1" x14ac:dyDescent="0.25">
      <c r="A2276" t="str">
        <f t="shared" si="297"/>
        <v>Wc-CoØ0,4</v>
      </c>
      <c r="B2276" s="81" t="s">
        <v>206</v>
      </c>
      <c r="D2276" s="86">
        <v>0.4</v>
      </c>
      <c r="E2276" s="85">
        <f t="shared" si="298"/>
        <v>4.0000000000000002E-4</v>
      </c>
      <c r="F2276" s="85">
        <f t="shared" si="299"/>
        <v>2.0000000000000001E-4</v>
      </c>
      <c r="G2276" s="85">
        <f t="shared" si="300"/>
        <v>3.3510321638291128E-11</v>
      </c>
      <c r="H2276" s="85">
        <v>14950</v>
      </c>
      <c r="I2276" s="85">
        <f t="shared" si="301"/>
        <v>5.0097930849245242E-7</v>
      </c>
      <c r="J2276" s="87">
        <v>1</v>
      </c>
      <c r="K2276" s="88">
        <f t="shared" si="302"/>
        <v>1996090.4233933359</v>
      </c>
    </row>
    <row r="2277" spans="1:11" hidden="1" x14ac:dyDescent="0.25">
      <c r="A2277" t="str">
        <f t="shared" si="297"/>
        <v>52100Ø1,34</v>
      </c>
      <c r="B2277" s="81">
        <v>52100</v>
      </c>
      <c r="D2277" s="86">
        <v>1.34</v>
      </c>
      <c r="E2277" s="85">
        <f t="shared" si="298"/>
        <v>1.34E-3</v>
      </c>
      <c r="F2277" s="85">
        <f t="shared" si="299"/>
        <v>6.7000000000000002E-4</v>
      </c>
      <c r="G2277" s="85">
        <f t="shared" si="300"/>
        <v>1.2598331083621693E-9</v>
      </c>
      <c r="H2277" s="85">
        <v>7800</v>
      </c>
      <c r="I2277" s="85">
        <f t="shared" si="301"/>
        <v>9.82669824522492E-6</v>
      </c>
      <c r="J2277" s="87">
        <v>1</v>
      </c>
      <c r="K2277" s="88">
        <f t="shared" si="302"/>
        <v>101763.58071094014</v>
      </c>
    </row>
    <row r="2278" spans="1:11" hidden="1" x14ac:dyDescent="0.25">
      <c r="A2278" t="str">
        <f t="shared" si="297"/>
        <v>52100Ø1,5</v>
      </c>
      <c r="B2278" s="81">
        <v>52100</v>
      </c>
      <c r="D2278" s="86">
        <v>1.5</v>
      </c>
      <c r="E2278" s="85">
        <f t="shared" si="298"/>
        <v>1.5E-3</v>
      </c>
      <c r="F2278" s="85">
        <f t="shared" si="299"/>
        <v>7.5000000000000002E-4</v>
      </c>
      <c r="G2278" s="85">
        <f t="shared" si="300"/>
        <v>1.7671458676442585E-9</v>
      </c>
      <c r="H2278" s="85">
        <v>7800</v>
      </c>
      <c r="I2278" s="85">
        <f t="shared" si="301"/>
        <v>1.3783737767625217E-5</v>
      </c>
      <c r="J2278" s="87">
        <v>1</v>
      </c>
      <c r="K2278" s="88">
        <f t="shared" si="302"/>
        <v>72549.261808271374</v>
      </c>
    </row>
    <row r="2279" spans="1:11" hidden="1" x14ac:dyDescent="0.25">
      <c r="A2279" t="str">
        <f t="shared" si="297"/>
        <v>Wc-CoØ1</v>
      </c>
      <c r="B2279" s="81" t="s">
        <v>206</v>
      </c>
      <c r="D2279" s="86">
        <v>1</v>
      </c>
      <c r="E2279" s="85">
        <f t="shared" si="298"/>
        <v>1E-3</v>
      </c>
      <c r="F2279" s="85">
        <f t="shared" si="299"/>
        <v>5.0000000000000001E-4</v>
      </c>
      <c r="G2279" s="85">
        <f t="shared" si="300"/>
        <v>5.2359877559829886E-10</v>
      </c>
      <c r="H2279" s="85">
        <v>14950</v>
      </c>
      <c r="I2279" s="85">
        <f t="shared" si="301"/>
        <v>7.8278016951945674E-6</v>
      </c>
      <c r="J2279" s="87">
        <v>1</v>
      </c>
      <c r="K2279" s="88">
        <f t="shared" si="302"/>
        <v>127749.78709717352</v>
      </c>
    </row>
    <row r="2280" spans="1:11" hidden="1" x14ac:dyDescent="0.25">
      <c r="A2280" t="str">
        <f t="shared" si="297"/>
        <v>Wc-CoØ0,4</v>
      </c>
      <c r="B2280" s="81" t="s">
        <v>206</v>
      </c>
      <c r="D2280" s="86">
        <v>0.4</v>
      </c>
      <c r="E2280" s="85">
        <f t="shared" si="298"/>
        <v>4.0000000000000002E-4</v>
      </c>
      <c r="F2280" s="85">
        <f t="shared" si="299"/>
        <v>2.0000000000000001E-4</v>
      </c>
      <c r="G2280" s="85">
        <f t="shared" si="300"/>
        <v>3.3510321638291128E-11</v>
      </c>
      <c r="H2280" s="85">
        <v>14950</v>
      </c>
      <c r="I2280" s="85">
        <f t="shared" si="301"/>
        <v>5.0097930849245242E-7</v>
      </c>
      <c r="J2280" s="87">
        <v>1</v>
      </c>
      <c r="K2280" s="88">
        <f t="shared" si="302"/>
        <v>1996090.4233933359</v>
      </c>
    </row>
    <row r="2281" spans="1:11" hidden="1" x14ac:dyDescent="0.25">
      <c r="A2281" t="str">
        <f t="shared" si="297"/>
        <v>52100Ø0,79375</v>
      </c>
      <c r="B2281" s="81">
        <v>52100</v>
      </c>
      <c r="C2281" s="101" t="s">
        <v>241</v>
      </c>
      <c r="D2281" s="86">
        <f>1/32*25.4</f>
        <v>0.79374999999999996</v>
      </c>
      <c r="E2281" s="85">
        <f t="shared" si="298"/>
        <v>7.9374999999999997E-4</v>
      </c>
      <c r="F2281" s="85">
        <f t="shared" si="299"/>
        <v>3.9687499999999998E-4</v>
      </c>
      <c r="G2281" s="85">
        <f t="shared" si="300"/>
        <v>2.6184834735262936E-10</v>
      </c>
      <c r="H2281" s="85">
        <v>7800</v>
      </c>
      <c r="I2281" s="85">
        <f t="shared" si="301"/>
        <v>2.0424171093505088E-6</v>
      </c>
      <c r="J2281" s="87">
        <v>1</v>
      </c>
      <c r="K2281" s="88">
        <f t="shared" si="302"/>
        <v>489615.95328488079</v>
      </c>
    </row>
    <row r="2282" spans="1:11" hidden="1" x14ac:dyDescent="0.25">
      <c r="A2282" t="str">
        <f t="shared" si="297"/>
        <v>52100Ø0,7</v>
      </c>
      <c r="B2282" s="81">
        <v>52100</v>
      </c>
      <c r="D2282" s="86">
        <v>0.7</v>
      </c>
      <c r="E2282" s="85">
        <f t="shared" si="298"/>
        <v>6.9999999999999999E-4</v>
      </c>
      <c r="F2282" s="85">
        <f t="shared" si="299"/>
        <v>3.5E-4</v>
      </c>
      <c r="G2282" s="85">
        <f t="shared" si="300"/>
        <v>1.7959438003021649E-10</v>
      </c>
      <c r="H2282" s="85">
        <v>7800</v>
      </c>
      <c r="I2282" s="85">
        <f t="shared" si="301"/>
        <v>1.4008361642356885E-6</v>
      </c>
      <c r="J2282" s="87">
        <v>1</v>
      </c>
      <c r="K2282" s="88">
        <f t="shared" si="302"/>
        <v>713859.3545274518</v>
      </c>
    </row>
    <row r="2283" spans="1:11" hidden="1" x14ac:dyDescent="0.25">
      <c r="A2283" t="str">
        <f t="shared" si="297"/>
        <v>WC-Ni 9%Ø1</v>
      </c>
      <c r="B2283" s="81" t="s">
        <v>399</v>
      </c>
      <c r="D2283" s="86">
        <v>1</v>
      </c>
      <c r="E2283" s="85">
        <f t="shared" si="298"/>
        <v>1E-3</v>
      </c>
      <c r="F2283" s="85">
        <f t="shared" si="299"/>
        <v>5.0000000000000001E-4</v>
      </c>
      <c r="G2283" s="85">
        <f t="shared" si="300"/>
        <v>5.2359877559829886E-10</v>
      </c>
      <c r="H2283" s="85">
        <v>14700</v>
      </c>
      <c r="I2283" s="85">
        <f t="shared" si="301"/>
        <v>7.6969020012949927E-6</v>
      </c>
      <c r="J2283" s="87">
        <v>1</v>
      </c>
      <c r="K2283" s="88">
        <f t="shared" si="302"/>
        <v>129922.40252399621</v>
      </c>
    </row>
    <row r="2284" spans="1:11" hidden="1" x14ac:dyDescent="0.25">
      <c r="A2284" t="str">
        <f t="shared" si="297"/>
        <v>52100Ø1,5875</v>
      </c>
      <c r="B2284" s="81">
        <v>52100</v>
      </c>
      <c r="C2284" s="101" t="s">
        <v>246</v>
      </c>
      <c r="D2284" s="86">
        <f>1/16*25.4</f>
        <v>1.5874999999999999</v>
      </c>
      <c r="E2284" s="85">
        <f t="shared" si="298"/>
        <v>1.5874999999999999E-3</v>
      </c>
      <c r="F2284" s="85">
        <f t="shared" si="299"/>
        <v>7.9374999999999997E-4</v>
      </c>
      <c r="G2284" s="85">
        <f t="shared" si="300"/>
        <v>2.0947867788210349E-9</v>
      </c>
      <c r="H2284" s="85">
        <v>7800</v>
      </c>
      <c r="I2284" s="85">
        <f t="shared" si="301"/>
        <v>1.6339336874804071E-5</v>
      </c>
      <c r="J2284" s="87">
        <v>1</v>
      </c>
      <c r="K2284" s="88">
        <f t="shared" si="302"/>
        <v>61201.994160610098</v>
      </c>
    </row>
    <row r="2285" spans="1:11" hidden="1" x14ac:dyDescent="0.25">
      <c r="A2285" t="str">
        <f t="shared" si="297"/>
        <v>52100Ø1</v>
      </c>
      <c r="B2285" s="81">
        <v>52100</v>
      </c>
      <c r="D2285" s="86">
        <v>1</v>
      </c>
      <c r="E2285" s="85">
        <f t="shared" si="298"/>
        <v>1E-3</v>
      </c>
      <c r="F2285" s="85">
        <f t="shared" si="299"/>
        <v>5.0000000000000001E-4</v>
      </c>
      <c r="G2285" s="85">
        <f t="shared" si="300"/>
        <v>5.2359877559829886E-10</v>
      </c>
      <c r="H2285" s="85">
        <v>7800</v>
      </c>
      <c r="I2285" s="85">
        <f t="shared" si="301"/>
        <v>4.0840704496667312E-6</v>
      </c>
      <c r="J2285" s="87">
        <v>1</v>
      </c>
      <c r="K2285" s="88">
        <f t="shared" si="302"/>
        <v>244853.75860291591</v>
      </c>
    </row>
    <row r="2286" spans="1:11" hidden="1" x14ac:dyDescent="0.25">
      <c r="A2286" t="str">
        <f t="shared" si="297"/>
        <v>52100Ø1</v>
      </c>
      <c r="B2286" s="81">
        <v>52100</v>
      </c>
      <c r="D2286" s="86">
        <v>1</v>
      </c>
      <c r="E2286" s="85">
        <f t="shared" si="298"/>
        <v>1E-3</v>
      </c>
      <c r="F2286" s="85">
        <f t="shared" si="299"/>
        <v>5.0000000000000001E-4</v>
      </c>
      <c r="G2286" s="85">
        <f t="shared" si="300"/>
        <v>5.2359877559829886E-10</v>
      </c>
      <c r="H2286" s="85">
        <v>7800</v>
      </c>
      <c r="I2286" s="85">
        <f t="shared" si="301"/>
        <v>4.0840704496667312E-6</v>
      </c>
      <c r="J2286" s="87">
        <v>1</v>
      </c>
      <c r="K2286" s="88">
        <f t="shared" si="302"/>
        <v>244853.75860291591</v>
      </c>
    </row>
    <row r="2287" spans="1:11" hidden="1" x14ac:dyDescent="0.25">
      <c r="A2287" t="str">
        <f t="shared" si="297"/>
        <v>304Ø2,38125</v>
      </c>
      <c r="B2287" s="81">
        <v>304</v>
      </c>
      <c r="C2287" s="101" t="s">
        <v>213</v>
      </c>
      <c r="D2287" s="86">
        <f>3/32*25.4</f>
        <v>2.3812499999999996</v>
      </c>
      <c r="E2287" s="85">
        <f t="shared" si="298"/>
        <v>2.3812499999999997E-3</v>
      </c>
      <c r="F2287" s="85">
        <f t="shared" si="299"/>
        <v>1.1906249999999998E-3</v>
      </c>
      <c r="G2287" s="85">
        <f t="shared" si="300"/>
        <v>7.0699053785209917E-9</v>
      </c>
      <c r="H2287" s="85">
        <v>7950</v>
      </c>
      <c r="I2287" s="85">
        <f t="shared" si="301"/>
        <v>5.6205747759241884E-5</v>
      </c>
      <c r="J2287" s="87">
        <v>1</v>
      </c>
      <c r="K2287" s="88">
        <f t="shared" si="302"/>
        <v>17791.774682609226</v>
      </c>
    </row>
    <row r="2288" spans="1:11" hidden="1" x14ac:dyDescent="0.25">
      <c r="A2288" t="str">
        <f t="shared" si="297"/>
        <v>316Ø0,5</v>
      </c>
      <c r="B2288" s="81">
        <v>316</v>
      </c>
      <c r="D2288" s="86">
        <v>0.5</v>
      </c>
      <c r="E2288" s="85">
        <f t="shared" si="298"/>
        <v>5.0000000000000001E-4</v>
      </c>
      <c r="F2288" s="85">
        <f t="shared" si="299"/>
        <v>2.5000000000000001E-4</v>
      </c>
      <c r="G2288" s="85">
        <f t="shared" si="300"/>
        <v>6.5449846949787358E-11</v>
      </c>
      <c r="H2288" s="85">
        <v>7950</v>
      </c>
      <c r="I2288" s="85">
        <f t="shared" si="301"/>
        <v>5.2032628325080949E-7</v>
      </c>
      <c r="J2288" s="87">
        <v>1</v>
      </c>
      <c r="K2288" s="88">
        <f t="shared" si="302"/>
        <v>1921871.0109210003</v>
      </c>
    </row>
    <row r="2289" spans="1:11" hidden="1" x14ac:dyDescent="0.25">
      <c r="A2289" t="str">
        <f t="shared" si="297"/>
        <v>Wc-CoØ0,6</v>
      </c>
      <c r="B2289" s="81" t="s">
        <v>206</v>
      </c>
      <c r="D2289" s="86">
        <v>0.6</v>
      </c>
      <c r="E2289" s="85">
        <f t="shared" si="298"/>
        <v>5.9999999999999995E-4</v>
      </c>
      <c r="F2289" s="85">
        <f t="shared" si="299"/>
        <v>2.9999999999999997E-4</v>
      </c>
      <c r="G2289" s="85">
        <f t="shared" si="300"/>
        <v>1.1309733552923252E-10</v>
      </c>
      <c r="H2289" s="85">
        <v>14950</v>
      </c>
      <c r="I2289" s="85">
        <f t="shared" si="301"/>
        <v>1.690805166162026E-6</v>
      </c>
      <c r="J2289" s="87">
        <v>1</v>
      </c>
      <c r="K2289" s="88">
        <f t="shared" si="302"/>
        <v>591434.19952395174</v>
      </c>
    </row>
    <row r="2290" spans="1:11" hidden="1" x14ac:dyDescent="0.25">
      <c r="A2290" t="str">
        <f t="shared" si="297"/>
        <v>316LØ1</v>
      </c>
      <c r="B2290" s="81" t="s">
        <v>298</v>
      </c>
      <c r="D2290" s="86">
        <v>1</v>
      </c>
      <c r="E2290" s="85">
        <f t="shared" si="298"/>
        <v>1E-3</v>
      </c>
      <c r="F2290" s="85">
        <f t="shared" si="299"/>
        <v>5.0000000000000001E-4</v>
      </c>
      <c r="G2290" s="85">
        <f t="shared" si="300"/>
        <v>5.2359877559829886E-10</v>
      </c>
      <c r="H2290" s="85">
        <v>7950</v>
      </c>
      <c r="I2290" s="85">
        <f t="shared" si="301"/>
        <v>4.1626102660064759E-6</v>
      </c>
      <c r="J2290" s="87">
        <v>1</v>
      </c>
      <c r="K2290" s="88">
        <f t="shared" si="302"/>
        <v>240233.87636512503</v>
      </c>
    </row>
    <row r="2291" spans="1:11" hidden="1" x14ac:dyDescent="0.25">
      <c r="A2291" t="str">
        <f t="shared" si="297"/>
        <v>304Ø0,6</v>
      </c>
      <c r="B2291" s="81">
        <v>304</v>
      </c>
      <c r="D2291" s="86">
        <v>0.6</v>
      </c>
      <c r="E2291" s="85">
        <f t="shared" si="298"/>
        <v>5.9999999999999995E-4</v>
      </c>
      <c r="F2291" s="85">
        <f t="shared" si="299"/>
        <v>2.9999999999999997E-4</v>
      </c>
      <c r="G2291" s="85">
        <f t="shared" si="300"/>
        <v>1.1309733552923252E-10</v>
      </c>
      <c r="H2291" s="85">
        <v>7950</v>
      </c>
      <c r="I2291" s="85">
        <f t="shared" si="301"/>
        <v>8.9912381745739853E-7</v>
      </c>
      <c r="J2291" s="87">
        <v>1</v>
      </c>
      <c r="K2291" s="88">
        <f t="shared" si="302"/>
        <v>1112193.8720607643</v>
      </c>
    </row>
    <row r="2292" spans="1:11" hidden="1" x14ac:dyDescent="0.25">
      <c r="A2292" t="str">
        <f t="shared" si="297"/>
        <v>POMØ1,5875</v>
      </c>
      <c r="B2292" s="81" t="s">
        <v>201</v>
      </c>
      <c r="C2292" s="101" t="s">
        <v>246</v>
      </c>
      <c r="D2292" s="86">
        <f>1/16*25.4</f>
        <v>1.5874999999999999</v>
      </c>
      <c r="E2292" s="85">
        <f t="shared" si="298"/>
        <v>1.5874999999999999E-3</v>
      </c>
      <c r="F2292" s="85">
        <f t="shared" si="299"/>
        <v>7.9374999999999997E-4</v>
      </c>
      <c r="G2292" s="85">
        <f t="shared" si="300"/>
        <v>2.0947867788210349E-9</v>
      </c>
      <c r="H2292" s="85">
        <v>1370</v>
      </c>
      <c r="I2292" s="85">
        <f t="shared" si="301"/>
        <v>2.8698578869848178E-6</v>
      </c>
      <c r="J2292" s="87">
        <v>1</v>
      </c>
      <c r="K2292" s="88">
        <f t="shared" si="302"/>
        <v>348449.30981953192</v>
      </c>
    </row>
    <row r="2293" spans="1:11" hidden="1" x14ac:dyDescent="0.25">
      <c r="A2293" t="str">
        <f t="shared" si="297"/>
        <v>POMØ3</v>
      </c>
      <c r="B2293" s="81" t="s">
        <v>201</v>
      </c>
      <c r="D2293" s="86">
        <v>3</v>
      </c>
      <c r="E2293" s="85">
        <f t="shared" si="298"/>
        <v>3.0000000000000001E-3</v>
      </c>
      <c r="F2293" s="85">
        <f t="shared" si="299"/>
        <v>1.5E-3</v>
      </c>
      <c r="G2293" s="85">
        <f t="shared" si="300"/>
        <v>1.4137166941154068E-8</v>
      </c>
      <c r="H2293" s="85">
        <v>1370</v>
      </c>
      <c r="I2293" s="85">
        <f t="shared" si="301"/>
        <v>1.9367918709381075E-5</v>
      </c>
      <c r="J2293" s="87">
        <v>1</v>
      </c>
      <c r="K2293" s="88">
        <f t="shared" si="302"/>
        <v>51631.773914645688</v>
      </c>
    </row>
    <row r="2294" spans="1:11" hidden="1" x14ac:dyDescent="0.25">
      <c r="A2294" t="str">
        <f t="shared" si="297"/>
        <v>420CØ1,5</v>
      </c>
      <c r="B2294" s="81" t="s">
        <v>295</v>
      </c>
      <c r="D2294" s="86">
        <v>1.5</v>
      </c>
      <c r="E2294" s="85">
        <f t="shared" si="298"/>
        <v>1.5E-3</v>
      </c>
      <c r="F2294" s="85">
        <f t="shared" si="299"/>
        <v>7.5000000000000002E-4</v>
      </c>
      <c r="G2294" s="85">
        <f t="shared" si="300"/>
        <v>1.7671458676442585E-9</v>
      </c>
      <c r="H2294" s="85">
        <v>7750</v>
      </c>
      <c r="I2294" s="85">
        <f t="shared" si="301"/>
        <v>1.3695380474243003E-5</v>
      </c>
      <c r="J2294" s="87">
        <v>1</v>
      </c>
      <c r="K2294" s="88">
        <f t="shared" si="302"/>
        <v>73017.321561873134</v>
      </c>
    </row>
    <row r="2295" spans="1:11" hidden="1" x14ac:dyDescent="0.25">
      <c r="A2295" t="str">
        <f t="shared" si="297"/>
        <v>316Ø1,1</v>
      </c>
      <c r="B2295" s="81">
        <v>316</v>
      </c>
      <c r="D2295" s="86">
        <v>1.1000000000000001</v>
      </c>
      <c r="E2295" s="85">
        <f t="shared" si="298"/>
        <v>1.1000000000000001E-3</v>
      </c>
      <c r="F2295" s="85">
        <f t="shared" si="299"/>
        <v>5.5000000000000003E-4</v>
      </c>
      <c r="G2295" s="85">
        <f t="shared" si="300"/>
        <v>6.9690997032133588E-10</v>
      </c>
      <c r="H2295" s="85">
        <v>7950</v>
      </c>
      <c r="I2295" s="85">
        <f t="shared" si="301"/>
        <v>5.5404342640546202E-6</v>
      </c>
      <c r="J2295" s="87">
        <v>1</v>
      </c>
      <c r="K2295" s="88">
        <f t="shared" si="302"/>
        <v>180491.26699107816</v>
      </c>
    </row>
    <row r="2296" spans="1:11" hidden="1" x14ac:dyDescent="0.25">
      <c r="A2296" t="str">
        <f t="shared" si="297"/>
        <v>SiliconeØ5</v>
      </c>
      <c r="B2296" s="81" t="s">
        <v>315</v>
      </c>
      <c r="D2296" s="86">
        <v>5</v>
      </c>
      <c r="E2296" s="85">
        <f t="shared" si="298"/>
        <v>5.0000000000000001E-3</v>
      </c>
      <c r="F2296" s="85">
        <f t="shared" si="299"/>
        <v>2.5000000000000001E-3</v>
      </c>
      <c r="G2296" s="85">
        <f t="shared" si="300"/>
        <v>6.5449846949787352E-8</v>
      </c>
      <c r="H2296" s="85">
        <v>1300</v>
      </c>
      <c r="I2296" s="85">
        <f t="shared" si="301"/>
        <v>8.5084801034723552E-5</v>
      </c>
      <c r="J2296" s="87">
        <v>1</v>
      </c>
      <c r="K2296" s="88">
        <f t="shared" si="302"/>
        <v>11752.980412939965</v>
      </c>
    </row>
    <row r="2297" spans="1:11" hidden="1" x14ac:dyDescent="0.25">
      <c r="A2297" t="str">
        <f t="shared" si="297"/>
        <v>Wc-CoØ2,778125</v>
      </c>
      <c r="B2297" s="81" t="s">
        <v>206</v>
      </c>
      <c r="C2297" s="101" t="s">
        <v>247</v>
      </c>
      <c r="D2297" s="86">
        <f>7/64*25.4</f>
        <v>2.7781249999999997</v>
      </c>
      <c r="E2297" s="85">
        <f t="shared" si="298"/>
        <v>2.7781249999999998E-3</v>
      </c>
      <c r="F2297" s="85">
        <f t="shared" si="299"/>
        <v>1.3890624999999999E-3</v>
      </c>
      <c r="G2297" s="85">
        <f t="shared" si="300"/>
        <v>1.1226747892743984E-8</v>
      </c>
      <c r="H2297" s="85">
        <v>14950</v>
      </c>
      <c r="I2297" s="85">
        <f t="shared" si="301"/>
        <v>1.6783988099652256E-4</v>
      </c>
      <c r="J2297" s="87">
        <v>1</v>
      </c>
      <c r="K2297" s="88">
        <f t="shared" si="302"/>
        <v>5958.059515191856</v>
      </c>
    </row>
    <row r="2298" spans="1:11" hidden="1" x14ac:dyDescent="0.25">
      <c r="A2298" t="str">
        <f t="shared" si="297"/>
        <v>Wc-CoØ2,778125</v>
      </c>
      <c r="B2298" s="81" t="s">
        <v>206</v>
      </c>
      <c r="C2298" s="101" t="s">
        <v>247</v>
      </c>
      <c r="D2298" s="86">
        <f>7/64*25.4</f>
        <v>2.7781249999999997</v>
      </c>
      <c r="E2298" s="85">
        <f t="shared" si="298"/>
        <v>2.7781249999999998E-3</v>
      </c>
      <c r="F2298" s="85">
        <f t="shared" si="299"/>
        <v>1.3890624999999999E-3</v>
      </c>
      <c r="G2298" s="85">
        <f t="shared" si="300"/>
        <v>1.1226747892743984E-8</v>
      </c>
      <c r="H2298" s="85">
        <v>14950</v>
      </c>
      <c r="I2298" s="85">
        <f t="shared" si="301"/>
        <v>1.6783988099652256E-4</v>
      </c>
      <c r="J2298" s="87">
        <v>1</v>
      </c>
      <c r="K2298" s="88">
        <f t="shared" si="302"/>
        <v>5958.059515191856</v>
      </c>
    </row>
    <row r="2299" spans="1:11" hidden="1" x14ac:dyDescent="0.25">
      <c r="A2299" t="str">
        <f t="shared" si="297"/>
        <v>Wc-CoØ2,778125</v>
      </c>
      <c r="B2299" s="81" t="s">
        <v>206</v>
      </c>
      <c r="C2299" s="101" t="s">
        <v>247</v>
      </c>
      <c r="D2299" s="86">
        <f>7/64*25.4</f>
        <v>2.7781249999999997</v>
      </c>
      <c r="E2299" s="85">
        <f t="shared" si="298"/>
        <v>2.7781249999999998E-3</v>
      </c>
      <c r="F2299" s="85">
        <f t="shared" si="299"/>
        <v>1.3890624999999999E-3</v>
      </c>
      <c r="G2299" s="85">
        <f t="shared" si="300"/>
        <v>1.1226747892743984E-8</v>
      </c>
      <c r="H2299" s="85">
        <v>14950</v>
      </c>
      <c r="I2299" s="85">
        <f t="shared" si="301"/>
        <v>1.6783988099652256E-4</v>
      </c>
      <c r="J2299" s="87">
        <v>1</v>
      </c>
      <c r="K2299" s="88">
        <f t="shared" si="302"/>
        <v>5958.059515191856</v>
      </c>
    </row>
    <row r="2300" spans="1:11" hidden="1" x14ac:dyDescent="0.25">
      <c r="A2300" t="str">
        <f t="shared" si="297"/>
        <v>Wc-CoØ2,778125</v>
      </c>
      <c r="B2300" s="81" t="s">
        <v>206</v>
      </c>
      <c r="C2300" s="101" t="s">
        <v>247</v>
      </c>
      <c r="D2300" s="86">
        <f>7/64*25.4</f>
        <v>2.7781249999999997</v>
      </c>
      <c r="E2300" s="85">
        <f t="shared" si="298"/>
        <v>2.7781249999999998E-3</v>
      </c>
      <c r="F2300" s="85">
        <f t="shared" si="299"/>
        <v>1.3890624999999999E-3</v>
      </c>
      <c r="G2300" s="85">
        <f t="shared" si="300"/>
        <v>1.1226747892743984E-8</v>
      </c>
      <c r="H2300" s="85">
        <v>14950</v>
      </c>
      <c r="I2300" s="85">
        <f t="shared" si="301"/>
        <v>1.6783988099652256E-4</v>
      </c>
      <c r="J2300" s="87">
        <v>1</v>
      </c>
      <c r="K2300" s="88">
        <f t="shared" si="302"/>
        <v>5958.059515191856</v>
      </c>
    </row>
    <row r="2301" spans="1:11" hidden="1" x14ac:dyDescent="0.25">
      <c r="A2301" t="str">
        <f t="shared" si="297"/>
        <v>52100Ø0,6</v>
      </c>
      <c r="B2301" s="81">
        <v>52100</v>
      </c>
      <c r="D2301" s="86">
        <v>0.6</v>
      </c>
      <c r="E2301" s="85">
        <f t="shared" si="298"/>
        <v>5.9999999999999995E-4</v>
      </c>
      <c r="F2301" s="85">
        <f t="shared" si="299"/>
        <v>2.9999999999999997E-4</v>
      </c>
      <c r="G2301" s="85">
        <f t="shared" si="300"/>
        <v>1.1309733552923252E-10</v>
      </c>
      <c r="H2301" s="85">
        <v>7800</v>
      </c>
      <c r="I2301" s="85">
        <f t="shared" si="301"/>
        <v>8.8215921712801365E-7</v>
      </c>
      <c r="J2301" s="87">
        <v>1</v>
      </c>
      <c r="K2301" s="88">
        <f t="shared" si="302"/>
        <v>1133582.2157542408</v>
      </c>
    </row>
    <row r="2302" spans="1:11" hidden="1" x14ac:dyDescent="0.25">
      <c r="A2302" t="str">
        <f t="shared" si="297"/>
        <v>316Ø0,8</v>
      </c>
      <c r="B2302" s="81">
        <v>316</v>
      </c>
      <c r="D2302" s="86">
        <v>0.8</v>
      </c>
      <c r="E2302" s="85">
        <f t="shared" si="298"/>
        <v>8.0000000000000004E-4</v>
      </c>
      <c r="F2302" s="85">
        <f t="shared" si="299"/>
        <v>4.0000000000000002E-4</v>
      </c>
      <c r="G2302" s="85">
        <f t="shared" si="300"/>
        <v>2.6808257310632903E-10</v>
      </c>
      <c r="H2302" s="85">
        <v>7950</v>
      </c>
      <c r="I2302" s="85">
        <f t="shared" si="301"/>
        <v>2.1312564561953159E-6</v>
      </c>
      <c r="J2302" s="87">
        <v>1</v>
      </c>
      <c r="K2302" s="88">
        <f t="shared" si="302"/>
        <v>469206.78977563482</v>
      </c>
    </row>
    <row r="2303" spans="1:11" hidden="1" x14ac:dyDescent="0.25">
      <c r="A2303" t="str">
        <f t="shared" si="297"/>
        <v>316Ø1</v>
      </c>
      <c r="B2303" s="81">
        <v>316</v>
      </c>
      <c r="D2303" s="86">
        <v>1</v>
      </c>
      <c r="E2303" s="85">
        <f t="shared" si="298"/>
        <v>1E-3</v>
      </c>
      <c r="F2303" s="85">
        <f t="shared" si="299"/>
        <v>5.0000000000000001E-4</v>
      </c>
      <c r="G2303" s="85">
        <f t="shared" si="300"/>
        <v>5.2359877559829886E-10</v>
      </c>
      <c r="H2303" s="85">
        <v>7950</v>
      </c>
      <c r="I2303" s="85">
        <f t="shared" si="301"/>
        <v>4.1626102660064759E-6</v>
      </c>
      <c r="J2303" s="87">
        <v>1</v>
      </c>
      <c r="K2303" s="88">
        <f t="shared" si="302"/>
        <v>240233.87636512503</v>
      </c>
    </row>
    <row r="2304" spans="1:11" hidden="1" x14ac:dyDescent="0.25">
      <c r="A2304" t="str">
        <f t="shared" si="297"/>
        <v>304Ø1,2</v>
      </c>
      <c r="B2304" s="81">
        <v>304</v>
      </c>
      <c r="D2304" s="86">
        <v>1.2</v>
      </c>
      <c r="E2304" s="85">
        <f t="shared" si="298"/>
        <v>1.1999999999999999E-3</v>
      </c>
      <c r="F2304" s="85">
        <f t="shared" si="299"/>
        <v>5.9999999999999995E-4</v>
      </c>
      <c r="G2304" s="85">
        <f t="shared" si="300"/>
        <v>9.0477868423386013E-10</v>
      </c>
      <c r="H2304" s="85">
        <v>7950</v>
      </c>
      <c r="I2304" s="85">
        <f t="shared" si="301"/>
        <v>7.1929905396591882E-6</v>
      </c>
      <c r="J2304" s="87">
        <v>1</v>
      </c>
      <c r="K2304" s="88">
        <f t="shared" si="302"/>
        <v>139024.23400759554</v>
      </c>
    </row>
    <row r="2305" spans="1:13" hidden="1" x14ac:dyDescent="0.25">
      <c r="A2305" t="str">
        <f t="shared" si="297"/>
        <v>304Ø1,5</v>
      </c>
      <c r="B2305" s="81">
        <v>304</v>
      </c>
      <c r="D2305" s="86">
        <v>1.5</v>
      </c>
      <c r="E2305" s="85">
        <f t="shared" si="298"/>
        <v>1.5E-3</v>
      </c>
      <c r="F2305" s="85">
        <f t="shared" si="299"/>
        <v>7.5000000000000002E-4</v>
      </c>
      <c r="G2305" s="85">
        <f t="shared" si="300"/>
        <v>1.7671458676442585E-9</v>
      </c>
      <c r="H2305" s="85">
        <v>7950</v>
      </c>
      <c r="I2305" s="85">
        <f t="shared" si="301"/>
        <v>1.4048809647771855E-5</v>
      </c>
      <c r="J2305" s="87">
        <v>1</v>
      </c>
      <c r="K2305" s="88">
        <f t="shared" si="302"/>
        <v>71180.407811888916</v>
      </c>
    </row>
    <row r="2306" spans="1:13" hidden="1" x14ac:dyDescent="0.25">
      <c r="A2306" t="str">
        <f t="shared" si="297"/>
        <v>PPHØ10</v>
      </c>
      <c r="B2306" s="81" t="s">
        <v>202</v>
      </c>
      <c r="D2306" s="86">
        <v>10</v>
      </c>
      <c r="E2306" s="85">
        <f t="shared" si="298"/>
        <v>0.01</v>
      </c>
      <c r="F2306" s="85">
        <f t="shared" si="299"/>
        <v>5.0000000000000001E-3</v>
      </c>
      <c r="G2306" s="85">
        <f t="shared" si="300"/>
        <v>5.2359877559829882E-7</v>
      </c>
      <c r="H2306" s="85">
        <v>870</v>
      </c>
      <c r="I2306" s="85">
        <f t="shared" si="301"/>
        <v>4.5553093477051999E-4</v>
      </c>
      <c r="J2306" s="87">
        <v>1</v>
      </c>
      <c r="K2306" s="88">
        <f t="shared" si="302"/>
        <v>2195.2405943709705</v>
      </c>
    </row>
    <row r="2307" spans="1:13" hidden="1" x14ac:dyDescent="0.25">
      <c r="A2307" t="str">
        <f t="shared" si="297"/>
        <v>PPHØ13</v>
      </c>
      <c r="B2307" s="81" t="s">
        <v>202</v>
      </c>
      <c r="D2307" s="86">
        <v>13</v>
      </c>
      <c r="E2307" s="85">
        <f t="shared" si="298"/>
        <v>1.2999999999999999E-2</v>
      </c>
      <c r="F2307" s="85">
        <f t="shared" si="299"/>
        <v>6.4999999999999997E-3</v>
      </c>
      <c r="G2307" s="85">
        <f t="shared" si="300"/>
        <v>1.1503465099894625E-6</v>
      </c>
      <c r="H2307" s="85">
        <v>870</v>
      </c>
      <c r="I2307" s="85">
        <f t="shared" si="301"/>
        <v>1.0008014636908324E-3</v>
      </c>
      <c r="J2307" s="87">
        <v>1</v>
      </c>
      <c r="K2307" s="88">
        <f t="shared" si="302"/>
        <v>999.19917813881216</v>
      </c>
    </row>
    <row r="2308" spans="1:13" hidden="1" x14ac:dyDescent="0.25">
      <c r="A2308" t="str">
        <f t="shared" ref="A2308:A2371" si="303">CONCATENATE(B2308,"Ø",D2308)</f>
        <v>PPHØ15</v>
      </c>
      <c r="B2308" s="81" t="s">
        <v>202</v>
      </c>
      <c r="D2308" s="86">
        <v>15</v>
      </c>
      <c r="E2308" s="85">
        <f t="shared" si="298"/>
        <v>1.4999999999999999E-2</v>
      </c>
      <c r="F2308" s="85">
        <f t="shared" si="299"/>
        <v>7.4999999999999997E-3</v>
      </c>
      <c r="G2308" s="85">
        <f t="shared" si="300"/>
        <v>1.7671458676442584E-6</v>
      </c>
      <c r="H2308" s="85">
        <v>870</v>
      </c>
      <c r="I2308" s="85">
        <f t="shared" si="301"/>
        <v>1.5374169048505049E-3</v>
      </c>
      <c r="J2308" s="87">
        <v>1</v>
      </c>
      <c r="K2308" s="88">
        <f t="shared" si="302"/>
        <v>650.44165759139867</v>
      </c>
    </row>
    <row r="2309" spans="1:13" hidden="1" x14ac:dyDescent="0.25">
      <c r="A2309" t="str">
        <f t="shared" si="303"/>
        <v>PPHØ18</v>
      </c>
      <c r="B2309" s="81" t="s">
        <v>202</v>
      </c>
      <c r="D2309" s="86">
        <v>18</v>
      </c>
      <c r="E2309" s="85">
        <f t="shared" si="298"/>
        <v>1.7999999999999999E-2</v>
      </c>
      <c r="F2309" s="85">
        <f t="shared" si="299"/>
        <v>8.9999999999999993E-3</v>
      </c>
      <c r="G2309" s="85">
        <f t="shared" si="300"/>
        <v>3.053628059289278E-6</v>
      </c>
      <c r="H2309" s="85">
        <v>870</v>
      </c>
      <c r="I2309" s="85">
        <f t="shared" si="301"/>
        <v>2.6566564115816718E-3</v>
      </c>
      <c r="J2309" s="87">
        <v>1</v>
      </c>
      <c r="K2309" s="88">
        <f t="shared" si="302"/>
        <v>376.41299629131873</v>
      </c>
    </row>
    <row r="2310" spans="1:13" hidden="1" x14ac:dyDescent="0.25">
      <c r="A2310" t="str">
        <f t="shared" si="303"/>
        <v>PPHØ20</v>
      </c>
      <c r="B2310" s="81" t="s">
        <v>202</v>
      </c>
      <c r="D2310" s="86">
        <v>20</v>
      </c>
      <c r="E2310" s="85">
        <f t="shared" si="298"/>
        <v>0.02</v>
      </c>
      <c r="F2310" s="85">
        <f t="shared" si="299"/>
        <v>0.01</v>
      </c>
      <c r="G2310" s="85">
        <f t="shared" si="300"/>
        <v>4.1887902047863905E-6</v>
      </c>
      <c r="H2310" s="85">
        <v>870</v>
      </c>
      <c r="I2310" s="85">
        <f t="shared" si="301"/>
        <v>3.6442474781641599E-3</v>
      </c>
      <c r="J2310" s="87">
        <v>1</v>
      </c>
      <c r="K2310" s="88">
        <f t="shared" si="302"/>
        <v>274.40507429637131</v>
      </c>
      <c r="L2310" s="85"/>
      <c r="M2310" s="99"/>
    </row>
    <row r="2311" spans="1:13" hidden="1" x14ac:dyDescent="0.25">
      <c r="A2311" t="str">
        <f t="shared" si="303"/>
        <v>PPHØ23</v>
      </c>
      <c r="B2311" s="81" t="s">
        <v>202</v>
      </c>
      <c r="D2311" s="86">
        <v>23</v>
      </c>
      <c r="E2311" s="85">
        <f t="shared" si="298"/>
        <v>2.3E-2</v>
      </c>
      <c r="F2311" s="85">
        <f t="shared" si="299"/>
        <v>1.15E-2</v>
      </c>
      <c r="G2311" s="85">
        <f t="shared" si="300"/>
        <v>6.3706263027045014E-6</v>
      </c>
      <c r="H2311" s="85">
        <v>870</v>
      </c>
      <c r="I2311" s="85">
        <f t="shared" si="301"/>
        <v>5.5424448833529165E-3</v>
      </c>
      <c r="J2311" s="87">
        <v>1</v>
      </c>
      <c r="K2311" s="88">
        <f t="shared" si="302"/>
        <v>180.42579061156985</v>
      </c>
      <c r="L2311" s="85"/>
      <c r="M2311" s="99"/>
    </row>
    <row r="2312" spans="1:13" hidden="1" x14ac:dyDescent="0.25">
      <c r="A2312" t="str">
        <f t="shared" si="303"/>
        <v>PPHØ25</v>
      </c>
      <c r="B2312" s="81" t="s">
        <v>202</v>
      </c>
      <c r="D2312" s="86">
        <v>25</v>
      </c>
      <c r="E2312" s="85">
        <f t="shared" si="298"/>
        <v>2.5000000000000001E-2</v>
      </c>
      <c r="F2312" s="85">
        <f t="shared" si="299"/>
        <v>1.2500000000000001E-2</v>
      </c>
      <c r="G2312" s="85">
        <f t="shared" si="300"/>
        <v>8.1812308687234206E-6</v>
      </c>
      <c r="H2312" s="85">
        <v>870</v>
      </c>
      <c r="I2312" s="85">
        <f t="shared" si="301"/>
        <v>7.1176708557893755E-3</v>
      </c>
      <c r="J2312" s="87">
        <v>1</v>
      </c>
      <c r="K2312" s="88">
        <f t="shared" si="302"/>
        <v>140.49539803974207</v>
      </c>
      <c r="L2312" s="85"/>
      <c r="M2312" s="99"/>
    </row>
    <row r="2313" spans="1:13" hidden="1" x14ac:dyDescent="0.25">
      <c r="A2313" t="str">
        <f t="shared" si="303"/>
        <v>PPHØ28</v>
      </c>
      <c r="B2313" s="81" t="s">
        <v>202</v>
      </c>
      <c r="D2313" s="86">
        <v>28</v>
      </c>
      <c r="E2313" s="85">
        <f t="shared" si="298"/>
        <v>2.8000000000000001E-2</v>
      </c>
      <c r="F2313" s="85">
        <f t="shared" si="299"/>
        <v>1.4E-2</v>
      </c>
      <c r="G2313" s="85">
        <f t="shared" si="300"/>
        <v>1.1494040321933857E-5</v>
      </c>
      <c r="H2313" s="85">
        <v>870</v>
      </c>
      <c r="I2313" s="85">
        <f t="shared" si="301"/>
        <v>9.999815080082455E-3</v>
      </c>
      <c r="J2313" s="87">
        <v>1</v>
      </c>
      <c r="K2313" s="88">
        <f t="shared" si="302"/>
        <v>100.00184923337146</v>
      </c>
      <c r="L2313" s="85"/>
      <c r="M2313" s="99"/>
    </row>
    <row r="2314" spans="1:13" hidden="1" x14ac:dyDescent="0.25">
      <c r="A2314" t="str">
        <f t="shared" si="303"/>
        <v>PPHØ30</v>
      </c>
      <c r="B2314" s="81" t="s">
        <v>202</v>
      </c>
      <c r="D2314" s="86">
        <v>30</v>
      </c>
      <c r="E2314" s="85">
        <f t="shared" si="298"/>
        <v>0.03</v>
      </c>
      <c r="F2314" s="85">
        <f t="shared" si="299"/>
        <v>1.4999999999999999E-2</v>
      </c>
      <c r="G2314" s="85">
        <f t="shared" si="300"/>
        <v>1.4137166941154067E-5</v>
      </c>
      <c r="H2314" s="85">
        <v>870</v>
      </c>
      <c r="I2314" s="85">
        <f t="shared" si="301"/>
        <v>1.2299335238804039E-2</v>
      </c>
      <c r="J2314" s="87">
        <v>1</v>
      </c>
      <c r="K2314" s="88">
        <f t="shared" si="302"/>
        <v>81.305207198924833</v>
      </c>
      <c r="L2314" s="85"/>
      <c r="M2314" s="99"/>
    </row>
    <row r="2315" spans="1:13" hidden="1" x14ac:dyDescent="0.25">
      <c r="A2315" t="str">
        <f t="shared" si="303"/>
        <v>PPHØ32</v>
      </c>
      <c r="B2315" s="81" t="s">
        <v>202</v>
      </c>
      <c r="D2315" s="86">
        <v>32</v>
      </c>
      <c r="E2315" s="85">
        <f t="shared" si="298"/>
        <v>3.2000000000000001E-2</v>
      </c>
      <c r="F2315" s="85">
        <f t="shared" si="299"/>
        <v>1.6E-2</v>
      </c>
      <c r="G2315" s="85">
        <f t="shared" si="300"/>
        <v>1.7157284678805057E-5</v>
      </c>
      <c r="H2315" s="85">
        <v>870</v>
      </c>
      <c r="I2315" s="85">
        <f t="shared" si="301"/>
        <v>1.4926837670560399E-2</v>
      </c>
      <c r="J2315" s="87">
        <v>1</v>
      </c>
      <c r="K2315" s="88">
        <f t="shared" si="302"/>
        <v>66.993426341887528</v>
      </c>
      <c r="L2315" s="85"/>
      <c r="M2315" s="99"/>
    </row>
    <row r="2316" spans="1:13" hidden="1" x14ac:dyDescent="0.25">
      <c r="A2316" t="str">
        <f t="shared" si="303"/>
        <v>PPHØ38</v>
      </c>
      <c r="B2316" s="81" t="s">
        <v>202</v>
      </c>
      <c r="D2316" s="86">
        <v>38</v>
      </c>
      <c r="E2316" s="85">
        <f t="shared" si="298"/>
        <v>3.7999999999999999E-2</v>
      </c>
      <c r="F2316" s="85">
        <f t="shared" si="299"/>
        <v>1.9E-2</v>
      </c>
      <c r="G2316" s="85">
        <f t="shared" si="300"/>
        <v>2.8730912014629851E-5</v>
      </c>
      <c r="H2316" s="85">
        <v>870</v>
      </c>
      <c r="I2316" s="85">
        <f t="shared" si="301"/>
        <v>2.4995893452727971E-2</v>
      </c>
      <c r="J2316" s="87">
        <v>1</v>
      </c>
      <c r="K2316" s="88">
        <f t="shared" si="302"/>
        <v>40.006571555091313</v>
      </c>
      <c r="L2316" s="85"/>
      <c r="M2316" s="99"/>
    </row>
    <row r="2317" spans="1:13" hidden="1" x14ac:dyDescent="0.25">
      <c r="A2317" t="str">
        <f t="shared" si="303"/>
        <v>LDPEØ10</v>
      </c>
      <c r="B2317" s="81" t="s">
        <v>321</v>
      </c>
      <c r="D2317" s="86">
        <v>10</v>
      </c>
      <c r="E2317" s="85">
        <f t="shared" si="298"/>
        <v>0.01</v>
      </c>
      <c r="F2317" s="85">
        <f t="shared" si="299"/>
        <v>5.0000000000000001E-3</v>
      </c>
      <c r="G2317" s="85">
        <f t="shared" si="300"/>
        <v>5.2359877559829882E-7</v>
      </c>
      <c r="H2317" s="85">
        <v>920</v>
      </c>
      <c r="I2317" s="85">
        <f t="shared" si="301"/>
        <v>4.8171087355043489E-4</v>
      </c>
      <c r="J2317" s="87">
        <v>1</v>
      </c>
      <c r="K2317" s="88">
        <f t="shared" si="302"/>
        <v>2075.9340403290698</v>
      </c>
      <c r="L2317" s="85"/>
      <c r="M2317" s="99"/>
    </row>
    <row r="2318" spans="1:13" hidden="1" x14ac:dyDescent="0.25">
      <c r="A2318" t="str">
        <f t="shared" si="303"/>
        <v>LDPEØ13</v>
      </c>
      <c r="B2318" s="81" t="s">
        <v>321</v>
      </c>
      <c r="D2318" s="86">
        <v>13</v>
      </c>
      <c r="E2318" s="85">
        <f t="shared" si="298"/>
        <v>1.2999999999999999E-2</v>
      </c>
      <c r="F2318" s="85">
        <f t="shared" si="299"/>
        <v>6.4999999999999997E-3</v>
      </c>
      <c r="G2318" s="85">
        <f t="shared" si="300"/>
        <v>1.1503465099894625E-6</v>
      </c>
      <c r="H2318" s="85">
        <v>920</v>
      </c>
      <c r="I2318" s="85">
        <f t="shared" si="301"/>
        <v>1.0583187891903055E-3</v>
      </c>
      <c r="J2318" s="87">
        <v>1</v>
      </c>
      <c r="K2318" s="88">
        <f t="shared" si="302"/>
        <v>944.8948749790942</v>
      </c>
      <c r="L2318" s="85"/>
      <c r="M2318" s="99"/>
    </row>
    <row r="2319" spans="1:13" hidden="1" x14ac:dyDescent="0.25">
      <c r="A2319" t="str">
        <f t="shared" si="303"/>
        <v>LDPEØ15</v>
      </c>
      <c r="B2319" s="81" t="s">
        <v>321</v>
      </c>
      <c r="D2319" s="86">
        <v>15</v>
      </c>
      <c r="E2319" s="85">
        <f t="shared" si="298"/>
        <v>1.4999999999999999E-2</v>
      </c>
      <c r="F2319" s="85">
        <f t="shared" si="299"/>
        <v>7.4999999999999997E-3</v>
      </c>
      <c r="G2319" s="85">
        <f t="shared" si="300"/>
        <v>1.7671458676442584E-6</v>
      </c>
      <c r="H2319" s="85">
        <v>920</v>
      </c>
      <c r="I2319" s="85">
        <f t="shared" si="301"/>
        <v>1.6257741982327178E-3</v>
      </c>
      <c r="J2319" s="87">
        <v>1</v>
      </c>
      <c r="K2319" s="88">
        <f t="shared" si="302"/>
        <v>615.09156750490956</v>
      </c>
      <c r="L2319" s="85"/>
      <c r="M2319" s="99"/>
    </row>
    <row r="2320" spans="1:13" hidden="1" x14ac:dyDescent="0.25">
      <c r="A2320" t="str">
        <f t="shared" si="303"/>
        <v>LDPEØ18</v>
      </c>
      <c r="B2320" s="81" t="s">
        <v>321</v>
      </c>
      <c r="D2320" s="86">
        <v>18</v>
      </c>
      <c r="E2320" s="85">
        <f t="shared" si="298"/>
        <v>1.7999999999999999E-2</v>
      </c>
      <c r="F2320" s="85">
        <f t="shared" si="299"/>
        <v>8.9999999999999993E-3</v>
      </c>
      <c r="G2320" s="85">
        <f t="shared" si="300"/>
        <v>3.053628059289278E-6</v>
      </c>
      <c r="H2320" s="85">
        <v>920</v>
      </c>
      <c r="I2320" s="85">
        <f t="shared" si="301"/>
        <v>2.8093378145461357E-3</v>
      </c>
      <c r="J2320" s="87">
        <v>1</v>
      </c>
      <c r="K2320" s="88">
        <f t="shared" si="302"/>
        <v>355.95576823200793</v>
      </c>
      <c r="L2320" s="85"/>
      <c r="M2320" s="99"/>
    </row>
    <row r="2321" spans="1:11" hidden="1" x14ac:dyDescent="0.25">
      <c r="A2321" t="str">
        <f t="shared" si="303"/>
        <v>LDPEØ20</v>
      </c>
      <c r="B2321" s="81" t="s">
        <v>321</v>
      </c>
      <c r="D2321" s="86">
        <v>20</v>
      </c>
      <c r="E2321" s="85">
        <f t="shared" si="298"/>
        <v>0.02</v>
      </c>
      <c r="F2321" s="85">
        <f t="shared" si="299"/>
        <v>0.01</v>
      </c>
      <c r="G2321" s="85">
        <f t="shared" si="300"/>
        <v>4.1887902047863905E-6</v>
      </c>
      <c r="H2321" s="85">
        <v>920</v>
      </c>
      <c r="I2321" s="85">
        <f t="shared" si="301"/>
        <v>3.8536869884034791E-3</v>
      </c>
      <c r="J2321" s="87">
        <v>1</v>
      </c>
      <c r="K2321" s="88">
        <f t="shared" si="302"/>
        <v>259.49175504113373</v>
      </c>
    </row>
    <row r="2322" spans="1:11" hidden="1" x14ac:dyDescent="0.25">
      <c r="A2322" t="str">
        <f t="shared" si="303"/>
        <v>LDPEØ23</v>
      </c>
      <c r="B2322" s="81" t="s">
        <v>321</v>
      </c>
      <c r="D2322" s="86">
        <v>23</v>
      </c>
      <c r="E2322" s="85">
        <f t="shared" si="298"/>
        <v>2.3E-2</v>
      </c>
      <c r="F2322" s="85">
        <f t="shared" si="299"/>
        <v>1.15E-2</v>
      </c>
      <c r="G2322" s="85">
        <f t="shared" si="300"/>
        <v>6.3706263027045014E-6</v>
      </c>
      <c r="H2322" s="85">
        <v>920</v>
      </c>
      <c r="I2322" s="85">
        <f t="shared" si="301"/>
        <v>5.8609761984881412E-3</v>
      </c>
      <c r="J2322" s="87">
        <v>1</v>
      </c>
      <c r="K2322" s="88">
        <f t="shared" si="302"/>
        <v>170.62004112181063</v>
      </c>
    </row>
    <row r="2323" spans="1:11" hidden="1" x14ac:dyDescent="0.25">
      <c r="A2323" t="str">
        <f t="shared" si="303"/>
        <v>LDPEØ25</v>
      </c>
      <c r="B2323" s="81" t="s">
        <v>321</v>
      </c>
      <c r="D2323" s="86">
        <v>25</v>
      </c>
      <c r="E2323" s="85">
        <f t="shared" si="298"/>
        <v>2.5000000000000001E-2</v>
      </c>
      <c r="F2323" s="85">
        <f t="shared" si="299"/>
        <v>1.2500000000000001E-2</v>
      </c>
      <c r="G2323" s="85">
        <f t="shared" si="300"/>
        <v>8.1812308687234206E-6</v>
      </c>
      <c r="H2323" s="85">
        <v>920</v>
      </c>
      <c r="I2323" s="85">
        <f t="shared" si="301"/>
        <v>7.5267323992255471E-3</v>
      </c>
      <c r="J2323" s="87">
        <v>1</v>
      </c>
      <c r="K2323" s="88">
        <f t="shared" si="302"/>
        <v>132.85977858106045</v>
      </c>
    </row>
    <row r="2324" spans="1:11" hidden="1" x14ac:dyDescent="0.25">
      <c r="A2324" t="str">
        <f t="shared" si="303"/>
        <v>LDPEØ28</v>
      </c>
      <c r="B2324" s="81" t="s">
        <v>321</v>
      </c>
      <c r="D2324" s="86">
        <v>28</v>
      </c>
      <c r="E2324" s="85">
        <f t="shared" si="298"/>
        <v>2.8000000000000001E-2</v>
      </c>
      <c r="F2324" s="85">
        <f t="shared" si="299"/>
        <v>1.4E-2</v>
      </c>
      <c r="G2324" s="85">
        <f t="shared" si="300"/>
        <v>1.1494040321933857E-5</v>
      </c>
      <c r="H2324" s="85">
        <v>920</v>
      </c>
      <c r="I2324" s="85">
        <f t="shared" si="301"/>
        <v>1.0574517096179148E-2</v>
      </c>
      <c r="J2324" s="87">
        <v>1</v>
      </c>
      <c r="K2324" s="88">
        <f t="shared" si="302"/>
        <v>94.566966122862141</v>
      </c>
    </row>
    <row r="2325" spans="1:11" hidden="1" x14ac:dyDescent="0.25">
      <c r="A2325" t="str">
        <f t="shared" si="303"/>
        <v>LDPEØ30</v>
      </c>
      <c r="B2325" s="81" t="s">
        <v>321</v>
      </c>
      <c r="D2325" s="86">
        <v>30</v>
      </c>
      <c r="E2325" s="85">
        <f t="shared" si="298"/>
        <v>0.03</v>
      </c>
      <c r="F2325" s="85">
        <f t="shared" si="299"/>
        <v>1.4999999999999999E-2</v>
      </c>
      <c r="G2325" s="85">
        <f t="shared" si="300"/>
        <v>1.4137166941154067E-5</v>
      </c>
      <c r="H2325" s="85">
        <v>920</v>
      </c>
      <c r="I2325" s="85">
        <f t="shared" si="301"/>
        <v>1.3006193585861742E-2</v>
      </c>
      <c r="J2325" s="87">
        <v>1</v>
      </c>
      <c r="K2325" s="88">
        <f t="shared" si="302"/>
        <v>76.886445938113695</v>
      </c>
    </row>
    <row r="2326" spans="1:11" hidden="1" x14ac:dyDescent="0.25">
      <c r="A2326" t="str">
        <f t="shared" si="303"/>
        <v>LDPEØ32</v>
      </c>
      <c r="B2326" s="81" t="s">
        <v>321</v>
      </c>
      <c r="D2326" s="86">
        <v>32</v>
      </c>
      <c r="E2326" s="85">
        <f t="shared" si="298"/>
        <v>3.2000000000000001E-2</v>
      </c>
      <c r="F2326" s="85">
        <f t="shared" si="299"/>
        <v>1.6E-2</v>
      </c>
      <c r="G2326" s="85">
        <f t="shared" si="300"/>
        <v>1.7157284678805057E-5</v>
      </c>
      <c r="H2326" s="85">
        <v>920</v>
      </c>
      <c r="I2326" s="85">
        <f t="shared" si="301"/>
        <v>1.5784701904500653E-2</v>
      </c>
      <c r="J2326" s="87">
        <v>1</v>
      </c>
      <c r="K2326" s="88">
        <f t="shared" si="302"/>
        <v>63.352479258089282</v>
      </c>
    </row>
    <row r="2327" spans="1:11" hidden="1" x14ac:dyDescent="0.25">
      <c r="A2327" t="str">
        <f t="shared" si="303"/>
        <v>LDPEØ38</v>
      </c>
      <c r="B2327" s="81" t="s">
        <v>321</v>
      </c>
      <c r="D2327" s="86">
        <v>38</v>
      </c>
      <c r="E2327" s="85">
        <f t="shared" si="298"/>
        <v>3.7999999999999999E-2</v>
      </c>
      <c r="F2327" s="85">
        <f t="shared" si="299"/>
        <v>1.9E-2</v>
      </c>
      <c r="G2327" s="85">
        <f t="shared" si="300"/>
        <v>2.8730912014629851E-5</v>
      </c>
      <c r="H2327" s="85">
        <v>920</v>
      </c>
      <c r="I2327" s="85">
        <f t="shared" si="301"/>
        <v>2.6432439053459461E-2</v>
      </c>
      <c r="J2327" s="87">
        <v>1</v>
      </c>
      <c r="K2327" s="88">
        <f t="shared" si="302"/>
        <v>37.832301361879829</v>
      </c>
    </row>
    <row r="2328" spans="1:11" hidden="1" x14ac:dyDescent="0.25">
      <c r="A2328" t="str">
        <f t="shared" si="303"/>
        <v>HDPEØ10</v>
      </c>
      <c r="B2328" s="81" t="s">
        <v>322</v>
      </c>
      <c r="D2328" s="86">
        <v>10</v>
      </c>
      <c r="E2328" s="85">
        <f t="shared" si="298"/>
        <v>0.01</v>
      </c>
      <c r="F2328" s="85">
        <f t="shared" si="299"/>
        <v>5.0000000000000001E-3</v>
      </c>
      <c r="G2328" s="85">
        <f t="shared" si="300"/>
        <v>5.2359877559829882E-7</v>
      </c>
      <c r="H2328" s="85">
        <v>970</v>
      </c>
      <c r="I2328" s="85">
        <f t="shared" si="301"/>
        <v>5.078908123303499E-4</v>
      </c>
      <c r="J2328" s="87">
        <v>1</v>
      </c>
      <c r="K2328" s="88">
        <f t="shared" si="302"/>
        <v>1968.9271310337567</v>
      </c>
    </row>
    <row r="2329" spans="1:11" hidden="1" x14ac:dyDescent="0.25">
      <c r="A2329" t="str">
        <f t="shared" si="303"/>
        <v>HDPEØ13</v>
      </c>
      <c r="B2329" s="81" t="s">
        <v>322</v>
      </c>
      <c r="D2329" s="86">
        <v>13</v>
      </c>
      <c r="E2329" s="85">
        <f t="shared" si="298"/>
        <v>1.2999999999999999E-2</v>
      </c>
      <c r="F2329" s="85">
        <f t="shared" si="299"/>
        <v>6.4999999999999997E-3</v>
      </c>
      <c r="G2329" s="85">
        <f t="shared" si="300"/>
        <v>1.1503465099894625E-6</v>
      </c>
      <c r="H2329" s="85">
        <v>970</v>
      </c>
      <c r="I2329" s="85">
        <f t="shared" si="301"/>
        <v>1.1158361146897785E-3</v>
      </c>
      <c r="J2329" s="87">
        <v>1</v>
      </c>
      <c r="K2329" s="88">
        <f t="shared" si="302"/>
        <v>896.18895358841928</v>
      </c>
    </row>
    <row r="2330" spans="1:11" hidden="1" x14ac:dyDescent="0.25">
      <c r="A2330" t="str">
        <f t="shared" si="303"/>
        <v>HDPEØ15</v>
      </c>
      <c r="B2330" s="81" t="s">
        <v>322</v>
      </c>
      <c r="D2330" s="86">
        <v>15</v>
      </c>
      <c r="E2330" s="85">
        <f t="shared" ref="E2330:E2371" si="304">D2330/1000</f>
        <v>1.4999999999999999E-2</v>
      </c>
      <c r="F2330" s="85">
        <f t="shared" ref="F2330:F2371" si="305">E2330/2</f>
        <v>7.4999999999999997E-3</v>
      </c>
      <c r="G2330" s="85">
        <f t="shared" ref="G2330:G2371" si="306">4/3*PI()*F2330*F2330*F2330</f>
        <v>1.7671458676442584E-6</v>
      </c>
      <c r="H2330" s="85">
        <v>970</v>
      </c>
      <c r="I2330" s="85">
        <f t="shared" ref="I2330:I2393" si="307">H2330*G2330</f>
        <v>1.7141314916149307E-3</v>
      </c>
      <c r="J2330" s="87">
        <v>1</v>
      </c>
      <c r="K2330" s="88">
        <f t="shared" ref="K2330:K2393" si="308">J2330/I2330</f>
        <v>583.38581660259467</v>
      </c>
    </row>
    <row r="2331" spans="1:11" hidden="1" x14ac:dyDescent="0.25">
      <c r="A2331" t="str">
        <f t="shared" si="303"/>
        <v>HDPEØ18</v>
      </c>
      <c r="B2331" s="81" t="s">
        <v>322</v>
      </c>
      <c r="D2331" s="86">
        <v>18</v>
      </c>
      <c r="E2331" s="85">
        <f t="shared" si="304"/>
        <v>1.7999999999999999E-2</v>
      </c>
      <c r="F2331" s="85">
        <f t="shared" si="305"/>
        <v>8.9999999999999993E-3</v>
      </c>
      <c r="G2331" s="85">
        <f t="shared" si="306"/>
        <v>3.053628059289278E-6</v>
      </c>
      <c r="H2331" s="85">
        <v>970</v>
      </c>
      <c r="I2331" s="85">
        <f t="shared" si="307"/>
        <v>2.9620192175105996E-3</v>
      </c>
      <c r="J2331" s="87">
        <v>1</v>
      </c>
      <c r="K2331" s="88">
        <f t="shared" si="308"/>
        <v>337.60753275613126</v>
      </c>
    </row>
    <row r="2332" spans="1:11" hidden="1" x14ac:dyDescent="0.25">
      <c r="A2332" t="str">
        <f t="shared" si="303"/>
        <v>HDPEØ20</v>
      </c>
      <c r="B2332" s="81" t="s">
        <v>322</v>
      </c>
      <c r="D2332" s="86">
        <v>20</v>
      </c>
      <c r="E2332" s="85">
        <f t="shared" si="304"/>
        <v>0.02</v>
      </c>
      <c r="F2332" s="85">
        <f t="shared" si="305"/>
        <v>0.01</v>
      </c>
      <c r="G2332" s="85">
        <f t="shared" si="306"/>
        <v>4.1887902047863905E-6</v>
      </c>
      <c r="H2332" s="85">
        <v>970</v>
      </c>
      <c r="I2332" s="85">
        <f t="shared" si="307"/>
        <v>4.0631264986427992E-3</v>
      </c>
      <c r="J2332" s="87">
        <v>1</v>
      </c>
      <c r="K2332" s="88">
        <f t="shared" si="308"/>
        <v>246.11589137921959</v>
      </c>
    </row>
    <row r="2333" spans="1:11" hidden="1" x14ac:dyDescent="0.25">
      <c r="A2333" t="str">
        <f t="shared" si="303"/>
        <v>HDPEØ23</v>
      </c>
      <c r="B2333" s="81" t="s">
        <v>322</v>
      </c>
      <c r="D2333" s="86">
        <v>23</v>
      </c>
      <c r="E2333" s="85">
        <f t="shared" si="304"/>
        <v>2.3E-2</v>
      </c>
      <c r="F2333" s="85">
        <f t="shared" si="305"/>
        <v>1.15E-2</v>
      </c>
      <c r="G2333" s="85">
        <f t="shared" si="306"/>
        <v>6.3706263027045014E-6</v>
      </c>
      <c r="H2333" s="85">
        <v>970</v>
      </c>
      <c r="I2333" s="85">
        <f t="shared" si="307"/>
        <v>6.1795075136233659E-3</v>
      </c>
      <c r="J2333" s="87">
        <v>1</v>
      </c>
      <c r="K2333" s="88">
        <f t="shared" si="308"/>
        <v>161.82519364130493</v>
      </c>
    </row>
    <row r="2334" spans="1:11" hidden="1" x14ac:dyDescent="0.25">
      <c r="A2334" t="str">
        <f t="shared" si="303"/>
        <v>HDPEØ25</v>
      </c>
      <c r="B2334" s="81" t="s">
        <v>322</v>
      </c>
      <c r="D2334" s="86">
        <v>25</v>
      </c>
      <c r="E2334" s="85">
        <f t="shared" si="304"/>
        <v>2.5000000000000001E-2</v>
      </c>
      <c r="F2334" s="85">
        <f t="shared" si="305"/>
        <v>1.2500000000000001E-2</v>
      </c>
      <c r="G2334" s="85">
        <f t="shared" si="306"/>
        <v>8.1812308687234206E-6</v>
      </c>
      <c r="H2334" s="85">
        <v>970</v>
      </c>
      <c r="I2334" s="85">
        <f t="shared" si="307"/>
        <v>7.9357939426617178E-3</v>
      </c>
      <c r="J2334" s="87">
        <v>1</v>
      </c>
      <c r="K2334" s="88">
        <f t="shared" si="308"/>
        <v>126.01133638616042</v>
      </c>
    </row>
    <row r="2335" spans="1:11" hidden="1" x14ac:dyDescent="0.25">
      <c r="A2335" t="str">
        <f t="shared" si="303"/>
        <v>HDPEØ28</v>
      </c>
      <c r="B2335" s="81" t="s">
        <v>322</v>
      </c>
      <c r="D2335" s="86">
        <v>28</v>
      </c>
      <c r="E2335" s="85">
        <f t="shared" si="304"/>
        <v>2.8000000000000001E-2</v>
      </c>
      <c r="F2335" s="85">
        <f t="shared" si="305"/>
        <v>1.4E-2</v>
      </c>
      <c r="G2335" s="85">
        <f t="shared" si="306"/>
        <v>1.1494040321933857E-5</v>
      </c>
      <c r="H2335" s="85">
        <v>970</v>
      </c>
      <c r="I2335" s="85">
        <f t="shared" si="307"/>
        <v>1.1149219112275842E-2</v>
      </c>
      <c r="J2335" s="87">
        <v>1</v>
      </c>
      <c r="K2335" s="88">
        <f t="shared" si="308"/>
        <v>89.692380240240368</v>
      </c>
    </row>
    <row r="2336" spans="1:11" hidden="1" x14ac:dyDescent="0.25">
      <c r="A2336" t="str">
        <f t="shared" si="303"/>
        <v>HDPEØ30</v>
      </c>
      <c r="B2336" s="81" t="s">
        <v>322</v>
      </c>
      <c r="D2336" s="86">
        <v>30</v>
      </c>
      <c r="E2336" s="85">
        <f t="shared" si="304"/>
        <v>0.03</v>
      </c>
      <c r="F2336" s="85">
        <f t="shared" si="305"/>
        <v>1.4999999999999999E-2</v>
      </c>
      <c r="G2336" s="85">
        <f t="shared" si="306"/>
        <v>1.4137166941154067E-5</v>
      </c>
      <c r="H2336" s="85">
        <v>970</v>
      </c>
      <c r="I2336" s="85">
        <f t="shared" si="307"/>
        <v>1.3713051932919445E-2</v>
      </c>
      <c r="J2336" s="87">
        <v>1</v>
      </c>
      <c r="K2336" s="88">
        <f t="shared" si="308"/>
        <v>72.923227075324334</v>
      </c>
    </row>
    <row r="2337" spans="1:11" hidden="1" x14ac:dyDescent="0.25">
      <c r="A2337" t="str">
        <f t="shared" si="303"/>
        <v>HDPEØ32</v>
      </c>
      <c r="B2337" s="81" t="s">
        <v>322</v>
      </c>
      <c r="D2337" s="86">
        <v>32</v>
      </c>
      <c r="E2337" s="85">
        <f t="shared" si="304"/>
        <v>3.2000000000000001E-2</v>
      </c>
      <c r="F2337" s="85">
        <f t="shared" si="305"/>
        <v>1.6E-2</v>
      </c>
      <c r="G2337" s="85">
        <f t="shared" si="306"/>
        <v>1.7157284678805057E-5</v>
      </c>
      <c r="H2337" s="85">
        <v>970</v>
      </c>
      <c r="I2337" s="85">
        <f t="shared" si="307"/>
        <v>1.6642566138440906E-2</v>
      </c>
      <c r="J2337" s="87">
        <v>1</v>
      </c>
      <c r="K2337" s="88">
        <f t="shared" si="308"/>
        <v>60.086887543754784</v>
      </c>
    </row>
    <row r="2338" spans="1:11" hidden="1" x14ac:dyDescent="0.25">
      <c r="A2338" t="str">
        <f t="shared" si="303"/>
        <v>HDPEØ38</v>
      </c>
      <c r="B2338" s="81" t="s">
        <v>322</v>
      </c>
      <c r="D2338" s="86">
        <v>38</v>
      </c>
      <c r="E2338" s="85">
        <f t="shared" si="304"/>
        <v>3.7999999999999999E-2</v>
      </c>
      <c r="F2338" s="85">
        <f t="shared" si="305"/>
        <v>1.9E-2</v>
      </c>
      <c r="G2338" s="85">
        <f t="shared" si="306"/>
        <v>2.8730912014629851E-5</v>
      </c>
      <c r="H2338" s="85">
        <v>970</v>
      </c>
      <c r="I2338" s="85">
        <f t="shared" si="307"/>
        <v>2.7868984654190954E-2</v>
      </c>
      <c r="J2338" s="87">
        <v>1</v>
      </c>
      <c r="K2338" s="88">
        <f t="shared" si="308"/>
        <v>35.882182734978805</v>
      </c>
    </row>
    <row r="2339" spans="1:11" hidden="1" x14ac:dyDescent="0.25">
      <c r="A2339" t="str">
        <f t="shared" si="303"/>
        <v>PVCØ10</v>
      </c>
      <c r="B2339" s="81" t="s">
        <v>358</v>
      </c>
      <c r="D2339" s="86">
        <v>10</v>
      </c>
      <c r="E2339" s="85">
        <f t="shared" si="304"/>
        <v>0.01</v>
      </c>
      <c r="F2339" s="85">
        <f t="shared" si="305"/>
        <v>5.0000000000000001E-3</v>
      </c>
      <c r="G2339" s="85">
        <f t="shared" si="306"/>
        <v>5.2359877559829882E-7</v>
      </c>
      <c r="H2339" s="85">
        <v>1380</v>
      </c>
      <c r="I2339" s="85">
        <f t="shared" si="307"/>
        <v>7.2256631032565233E-4</v>
      </c>
      <c r="J2339" s="87">
        <v>1</v>
      </c>
      <c r="K2339" s="88">
        <f t="shared" si="308"/>
        <v>1383.9560268860466</v>
      </c>
    </row>
    <row r="2340" spans="1:11" hidden="1" x14ac:dyDescent="0.25">
      <c r="A2340" t="str">
        <f t="shared" si="303"/>
        <v>PVCØ13</v>
      </c>
      <c r="B2340" s="81" t="s">
        <v>358</v>
      </c>
      <c r="D2340" s="86">
        <v>13</v>
      </c>
      <c r="E2340" s="85">
        <f t="shared" si="304"/>
        <v>1.2999999999999999E-2</v>
      </c>
      <c r="F2340" s="85">
        <f t="shared" si="305"/>
        <v>6.4999999999999997E-3</v>
      </c>
      <c r="G2340" s="85">
        <f t="shared" si="306"/>
        <v>1.1503465099894625E-6</v>
      </c>
      <c r="H2340" s="85">
        <v>1380</v>
      </c>
      <c r="I2340" s="85">
        <f t="shared" si="307"/>
        <v>1.5874781837854582E-3</v>
      </c>
      <c r="J2340" s="87">
        <v>1</v>
      </c>
      <c r="K2340" s="88">
        <f t="shared" si="308"/>
        <v>629.92991665272939</v>
      </c>
    </row>
    <row r="2341" spans="1:11" hidden="1" x14ac:dyDescent="0.25">
      <c r="A2341" t="str">
        <f t="shared" si="303"/>
        <v>PVCØ15</v>
      </c>
      <c r="B2341" s="81" t="s">
        <v>358</v>
      </c>
      <c r="D2341" s="86">
        <v>15</v>
      </c>
      <c r="E2341" s="85">
        <f t="shared" si="304"/>
        <v>1.4999999999999999E-2</v>
      </c>
      <c r="F2341" s="85">
        <f t="shared" si="305"/>
        <v>7.4999999999999997E-3</v>
      </c>
      <c r="G2341" s="85">
        <f t="shared" si="306"/>
        <v>1.7671458676442584E-6</v>
      </c>
      <c r="H2341" s="85">
        <v>1380</v>
      </c>
      <c r="I2341" s="85">
        <f t="shared" si="307"/>
        <v>2.4386612973490767E-3</v>
      </c>
      <c r="J2341" s="87">
        <v>1</v>
      </c>
      <c r="K2341" s="88">
        <f t="shared" si="308"/>
        <v>410.06104500327302</v>
      </c>
    </row>
    <row r="2342" spans="1:11" hidden="1" x14ac:dyDescent="0.25">
      <c r="A2342" t="str">
        <f t="shared" si="303"/>
        <v>PVCØ18</v>
      </c>
      <c r="B2342" s="81" t="s">
        <v>358</v>
      </c>
      <c r="D2342" s="86">
        <v>18</v>
      </c>
      <c r="E2342" s="85">
        <f t="shared" si="304"/>
        <v>1.7999999999999999E-2</v>
      </c>
      <c r="F2342" s="85">
        <f t="shared" si="305"/>
        <v>8.9999999999999993E-3</v>
      </c>
      <c r="G2342" s="85">
        <f t="shared" si="306"/>
        <v>3.053628059289278E-6</v>
      </c>
      <c r="H2342" s="85">
        <v>1380</v>
      </c>
      <c r="I2342" s="85">
        <f t="shared" si="307"/>
        <v>4.2140067218192035E-3</v>
      </c>
      <c r="J2342" s="87">
        <v>1</v>
      </c>
      <c r="K2342" s="88">
        <f t="shared" si="308"/>
        <v>237.30384548800529</v>
      </c>
    </row>
    <row r="2343" spans="1:11" hidden="1" x14ac:dyDescent="0.25">
      <c r="A2343" t="str">
        <f t="shared" si="303"/>
        <v>PVCØ20</v>
      </c>
      <c r="B2343" s="81" t="s">
        <v>358</v>
      </c>
      <c r="D2343" s="86">
        <v>20</v>
      </c>
      <c r="E2343" s="85">
        <f t="shared" si="304"/>
        <v>0.02</v>
      </c>
      <c r="F2343" s="85">
        <f t="shared" si="305"/>
        <v>0.01</v>
      </c>
      <c r="G2343" s="85">
        <f t="shared" si="306"/>
        <v>4.1887902047863905E-6</v>
      </c>
      <c r="H2343" s="85">
        <v>1380</v>
      </c>
      <c r="I2343" s="85">
        <f t="shared" si="307"/>
        <v>5.7805304826052187E-3</v>
      </c>
      <c r="J2343" s="87">
        <v>1</v>
      </c>
      <c r="K2343" s="88">
        <f t="shared" si="308"/>
        <v>172.99450336075583</v>
      </c>
    </row>
    <row r="2344" spans="1:11" hidden="1" x14ac:dyDescent="0.25">
      <c r="A2344" t="str">
        <f t="shared" si="303"/>
        <v>PVCØ23</v>
      </c>
      <c r="B2344" s="81" t="s">
        <v>358</v>
      </c>
      <c r="D2344" s="86">
        <v>23</v>
      </c>
      <c r="E2344" s="85">
        <f t="shared" si="304"/>
        <v>2.3E-2</v>
      </c>
      <c r="F2344" s="85">
        <f t="shared" si="305"/>
        <v>1.15E-2</v>
      </c>
      <c r="G2344" s="85">
        <f t="shared" si="306"/>
        <v>6.3706263027045014E-6</v>
      </c>
      <c r="H2344" s="85">
        <v>1380</v>
      </c>
      <c r="I2344" s="85">
        <f t="shared" si="307"/>
        <v>8.7914642977322127E-3</v>
      </c>
      <c r="J2344" s="87">
        <v>1</v>
      </c>
      <c r="K2344" s="88">
        <f t="shared" si="308"/>
        <v>113.74669408120708</v>
      </c>
    </row>
    <row r="2345" spans="1:11" hidden="1" x14ac:dyDescent="0.25">
      <c r="A2345" t="str">
        <f t="shared" si="303"/>
        <v>PVCØ25</v>
      </c>
      <c r="B2345" s="81" t="s">
        <v>358</v>
      </c>
      <c r="D2345" s="86">
        <v>25</v>
      </c>
      <c r="E2345" s="85">
        <f t="shared" si="304"/>
        <v>2.5000000000000001E-2</v>
      </c>
      <c r="F2345" s="85">
        <f t="shared" si="305"/>
        <v>1.2500000000000001E-2</v>
      </c>
      <c r="G2345" s="85">
        <f t="shared" si="306"/>
        <v>8.1812308687234206E-6</v>
      </c>
      <c r="H2345" s="85">
        <v>1380</v>
      </c>
      <c r="I2345" s="85">
        <f t="shared" si="307"/>
        <v>1.1290098598838321E-2</v>
      </c>
      <c r="J2345" s="87">
        <v>1</v>
      </c>
      <c r="K2345" s="88">
        <f t="shared" si="308"/>
        <v>88.57318572070696</v>
      </c>
    </row>
    <row r="2346" spans="1:11" hidden="1" x14ac:dyDescent="0.25">
      <c r="A2346" t="str">
        <f t="shared" si="303"/>
        <v>PVCØ28</v>
      </c>
      <c r="B2346" s="81" t="s">
        <v>358</v>
      </c>
      <c r="D2346" s="86">
        <v>28</v>
      </c>
      <c r="E2346" s="85">
        <f t="shared" si="304"/>
        <v>2.8000000000000001E-2</v>
      </c>
      <c r="F2346" s="85">
        <f t="shared" si="305"/>
        <v>1.4E-2</v>
      </c>
      <c r="G2346" s="85">
        <f t="shared" si="306"/>
        <v>1.1494040321933857E-5</v>
      </c>
      <c r="H2346" s="85">
        <v>1380</v>
      </c>
      <c r="I2346" s="85">
        <f t="shared" si="307"/>
        <v>1.5861775644268723E-2</v>
      </c>
      <c r="J2346" s="87">
        <v>1</v>
      </c>
      <c r="K2346" s="88">
        <f t="shared" si="308"/>
        <v>63.044644081908089</v>
      </c>
    </row>
    <row r="2347" spans="1:11" hidden="1" x14ac:dyDescent="0.25">
      <c r="A2347" t="str">
        <f t="shared" si="303"/>
        <v>PVCØ30</v>
      </c>
      <c r="B2347" s="81" t="s">
        <v>358</v>
      </c>
      <c r="D2347" s="86">
        <v>30</v>
      </c>
      <c r="E2347" s="85">
        <f t="shared" si="304"/>
        <v>0.03</v>
      </c>
      <c r="F2347" s="85">
        <f t="shared" si="305"/>
        <v>1.4999999999999999E-2</v>
      </c>
      <c r="G2347" s="85">
        <f t="shared" si="306"/>
        <v>1.4137166941154067E-5</v>
      </c>
      <c r="H2347" s="85">
        <v>1380</v>
      </c>
      <c r="I2347" s="85">
        <f t="shared" si="307"/>
        <v>1.9509290378792614E-2</v>
      </c>
      <c r="J2347" s="87">
        <v>1</v>
      </c>
      <c r="K2347" s="88">
        <f t="shared" si="308"/>
        <v>51.257630625409128</v>
      </c>
    </row>
    <row r="2348" spans="1:11" hidden="1" x14ac:dyDescent="0.25">
      <c r="A2348" t="str">
        <f t="shared" si="303"/>
        <v>PVCØ32</v>
      </c>
      <c r="B2348" s="81" t="s">
        <v>358</v>
      </c>
      <c r="D2348" s="86">
        <v>32</v>
      </c>
      <c r="E2348" s="85">
        <f t="shared" si="304"/>
        <v>3.2000000000000001E-2</v>
      </c>
      <c r="F2348" s="85">
        <f t="shared" si="305"/>
        <v>1.6E-2</v>
      </c>
      <c r="G2348" s="85">
        <f t="shared" si="306"/>
        <v>1.7157284678805057E-5</v>
      </c>
      <c r="H2348" s="85">
        <v>1380</v>
      </c>
      <c r="I2348" s="85">
        <f t="shared" si="307"/>
        <v>2.367705285675098E-2</v>
      </c>
      <c r="J2348" s="87">
        <v>1</v>
      </c>
      <c r="K2348" s="88">
        <f t="shared" si="308"/>
        <v>42.234986172059521</v>
      </c>
    </row>
    <row r="2349" spans="1:11" hidden="1" x14ac:dyDescent="0.25">
      <c r="A2349" t="str">
        <f t="shared" si="303"/>
        <v>PVCØ38</v>
      </c>
      <c r="B2349" s="81" t="s">
        <v>358</v>
      </c>
      <c r="D2349" s="86">
        <v>38</v>
      </c>
      <c r="E2349" s="85">
        <f t="shared" si="304"/>
        <v>3.7999999999999999E-2</v>
      </c>
      <c r="F2349" s="85">
        <f t="shared" si="305"/>
        <v>1.9E-2</v>
      </c>
      <c r="G2349" s="85">
        <f t="shared" si="306"/>
        <v>2.8730912014629851E-5</v>
      </c>
      <c r="H2349" s="85">
        <v>1380</v>
      </c>
      <c r="I2349" s="85">
        <f t="shared" si="307"/>
        <v>3.9648658580189192E-2</v>
      </c>
      <c r="J2349" s="87">
        <v>1</v>
      </c>
      <c r="K2349" s="88">
        <f t="shared" si="308"/>
        <v>25.22153424125322</v>
      </c>
    </row>
    <row r="2350" spans="1:11" hidden="1" x14ac:dyDescent="0.25">
      <c r="A2350" t="str">
        <f t="shared" si="303"/>
        <v>Wc-CoØ1,5875</v>
      </c>
      <c r="B2350" s="81" t="s">
        <v>206</v>
      </c>
      <c r="C2350" s="101" t="s">
        <v>246</v>
      </c>
      <c r="D2350" s="86">
        <f>1/16*25.4</f>
        <v>1.5874999999999999</v>
      </c>
      <c r="E2350" s="85">
        <f t="shared" si="304"/>
        <v>1.5874999999999999E-3</v>
      </c>
      <c r="F2350" s="85">
        <f t="shared" si="305"/>
        <v>7.9374999999999997E-4</v>
      </c>
      <c r="G2350" s="85">
        <f t="shared" si="306"/>
        <v>2.0947867788210349E-9</v>
      </c>
      <c r="H2350" s="85">
        <v>14950</v>
      </c>
      <c r="I2350" s="85">
        <f t="shared" si="307"/>
        <v>3.1317062343374473E-5</v>
      </c>
      <c r="J2350" s="87">
        <v>1</v>
      </c>
      <c r="K2350" s="88">
        <f t="shared" si="308"/>
        <v>31931.475214231352</v>
      </c>
    </row>
    <row r="2351" spans="1:11" hidden="1" x14ac:dyDescent="0.25">
      <c r="A2351" t="str">
        <f t="shared" si="303"/>
        <v>52100Ø1</v>
      </c>
      <c r="B2351" s="81">
        <v>52100</v>
      </c>
      <c r="D2351" s="86">
        <v>1</v>
      </c>
      <c r="E2351" s="85">
        <f t="shared" si="304"/>
        <v>1E-3</v>
      </c>
      <c r="F2351" s="85">
        <f t="shared" si="305"/>
        <v>5.0000000000000001E-4</v>
      </c>
      <c r="G2351" s="85">
        <f t="shared" si="306"/>
        <v>5.2359877559829886E-10</v>
      </c>
      <c r="H2351" s="85">
        <v>7800</v>
      </c>
      <c r="I2351" s="85">
        <f t="shared" si="307"/>
        <v>4.0840704496667312E-6</v>
      </c>
      <c r="J2351" s="87">
        <v>1</v>
      </c>
      <c r="K2351" s="88">
        <f t="shared" si="308"/>
        <v>244853.75860291591</v>
      </c>
    </row>
    <row r="2352" spans="1:11" hidden="1" x14ac:dyDescent="0.25">
      <c r="A2352" t="str">
        <f t="shared" si="303"/>
        <v>ZrO2Ø3,96875</v>
      </c>
      <c r="B2352" s="81" t="s">
        <v>205</v>
      </c>
      <c r="C2352" s="101" t="s">
        <v>215</v>
      </c>
      <c r="D2352" s="86">
        <f>5/32*25.4</f>
        <v>3.96875</v>
      </c>
      <c r="E2352" s="85">
        <f t="shared" si="304"/>
        <v>3.9687500000000001E-3</v>
      </c>
      <c r="F2352" s="85">
        <f t="shared" si="305"/>
        <v>1.984375E-3</v>
      </c>
      <c r="G2352" s="85">
        <f t="shared" si="306"/>
        <v>3.2731043419078684E-8</v>
      </c>
      <c r="H2352" s="85">
        <v>6000</v>
      </c>
      <c r="I2352" s="85">
        <f t="shared" si="307"/>
        <v>1.9638626051447211E-4</v>
      </c>
      <c r="J2352" s="87">
        <v>1</v>
      </c>
      <c r="K2352" s="88">
        <f t="shared" si="308"/>
        <v>5092.0059141627571</v>
      </c>
    </row>
    <row r="2353" spans="1:11" hidden="1" x14ac:dyDescent="0.25">
      <c r="A2353" t="str">
        <f t="shared" si="303"/>
        <v>ZrO2Ø3,96875</v>
      </c>
      <c r="B2353" s="81" t="s">
        <v>205</v>
      </c>
      <c r="C2353" s="101" t="s">
        <v>215</v>
      </c>
      <c r="D2353" s="86">
        <f>5/32*25.4</f>
        <v>3.96875</v>
      </c>
      <c r="E2353" s="85">
        <f t="shared" si="304"/>
        <v>3.9687500000000001E-3</v>
      </c>
      <c r="F2353" s="85">
        <f t="shared" si="305"/>
        <v>1.984375E-3</v>
      </c>
      <c r="G2353" s="85">
        <f t="shared" si="306"/>
        <v>3.2731043419078684E-8</v>
      </c>
      <c r="H2353" s="85">
        <v>6000</v>
      </c>
      <c r="I2353" s="85">
        <f t="shared" si="307"/>
        <v>1.9638626051447211E-4</v>
      </c>
      <c r="J2353" s="87">
        <v>1</v>
      </c>
      <c r="K2353" s="88">
        <f t="shared" si="308"/>
        <v>5092.0059141627571</v>
      </c>
    </row>
    <row r="2354" spans="1:11" hidden="1" x14ac:dyDescent="0.25">
      <c r="A2354" t="str">
        <f t="shared" si="303"/>
        <v>420CØ0,6</v>
      </c>
      <c r="B2354" s="81" t="s">
        <v>295</v>
      </c>
      <c r="D2354" s="86">
        <v>0.6</v>
      </c>
      <c r="E2354" s="85">
        <f t="shared" si="304"/>
        <v>5.9999999999999995E-4</v>
      </c>
      <c r="F2354" s="85">
        <f t="shared" si="305"/>
        <v>2.9999999999999997E-4</v>
      </c>
      <c r="G2354" s="85">
        <f t="shared" si="306"/>
        <v>1.1309733552923252E-10</v>
      </c>
      <c r="H2354" s="85">
        <v>7750</v>
      </c>
      <c r="I2354" s="85">
        <f t="shared" si="307"/>
        <v>8.7650435035155202E-7</v>
      </c>
      <c r="J2354" s="87">
        <v>1</v>
      </c>
      <c r="K2354" s="88">
        <f t="shared" si="308"/>
        <v>1140895.649404268</v>
      </c>
    </row>
    <row r="2355" spans="1:11" hidden="1" x14ac:dyDescent="0.25">
      <c r="A2355" t="str">
        <f t="shared" si="303"/>
        <v>52100Ø3,175</v>
      </c>
      <c r="B2355" s="81">
        <v>52100</v>
      </c>
      <c r="C2355" s="101" t="s">
        <v>214</v>
      </c>
      <c r="D2355" s="86">
        <f>1/8*25.4</f>
        <v>3.1749999999999998</v>
      </c>
      <c r="E2355" s="85">
        <f t="shared" si="304"/>
        <v>3.1749999999999999E-3</v>
      </c>
      <c r="F2355" s="85">
        <f t="shared" si="305"/>
        <v>1.5874999999999999E-3</v>
      </c>
      <c r="G2355" s="85">
        <f t="shared" si="306"/>
        <v>1.6758294230568279E-8</v>
      </c>
      <c r="H2355" s="85">
        <v>7800</v>
      </c>
      <c r="I2355" s="85">
        <f t="shared" si="307"/>
        <v>1.3071469499843257E-4</v>
      </c>
      <c r="J2355" s="87">
        <v>1</v>
      </c>
      <c r="K2355" s="88">
        <f t="shared" si="308"/>
        <v>7650.2492700762623</v>
      </c>
    </row>
    <row r="2356" spans="1:11" hidden="1" x14ac:dyDescent="0.25">
      <c r="A2356" t="str">
        <f t="shared" si="303"/>
        <v>52100Ø4</v>
      </c>
      <c r="B2356" s="81">
        <v>52100</v>
      </c>
      <c r="D2356" s="86">
        <v>4</v>
      </c>
      <c r="E2356" s="85">
        <f t="shared" si="304"/>
        <v>4.0000000000000001E-3</v>
      </c>
      <c r="F2356" s="85">
        <f t="shared" si="305"/>
        <v>2E-3</v>
      </c>
      <c r="G2356" s="85">
        <f t="shared" si="306"/>
        <v>3.3510321638291127E-8</v>
      </c>
      <c r="H2356" s="85">
        <v>7800</v>
      </c>
      <c r="I2356" s="85">
        <f t="shared" si="307"/>
        <v>2.613805087786708E-4</v>
      </c>
      <c r="J2356" s="87">
        <v>1</v>
      </c>
      <c r="K2356" s="88">
        <f t="shared" si="308"/>
        <v>3825.8399781705612</v>
      </c>
    </row>
    <row r="2357" spans="1:11" hidden="1" x14ac:dyDescent="0.25">
      <c r="A2357" t="str">
        <f t="shared" si="303"/>
        <v>52100Ø6</v>
      </c>
      <c r="B2357" s="81">
        <v>52100</v>
      </c>
      <c r="D2357" s="86">
        <v>6</v>
      </c>
      <c r="E2357" s="85">
        <f t="shared" si="304"/>
        <v>6.0000000000000001E-3</v>
      </c>
      <c r="F2357" s="85">
        <f t="shared" si="305"/>
        <v>3.0000000000000001E-3</v>
      </c>
      <c r="G2357" s="85">
        <f t="shared" si="306"/>
        <v>1.1309733552923255E-7</v>
      </c>
      <c r="H2357" s="85">
        <v>7800</v>
      </c>
      <c r="I2357" s="85">
        <f t="shared" si="307"/>
        <v>8.821592171280139E-4</v>
      </c>
      <c r="J2357" s="87">
        <v>1</v>
      </c>
      <c r="K2357" s="88">
        <f t="shared" si="308"/>
        <v>1133.5822157542402</v>
      </c>
    </row>
    <row r="2358" spans="1:11" hidden="1" x14ac:dyDescent="0.25">
      <c r="A2358" t="str">
        <f t="shared" si="303"/>
        <v>420CØ3,175</v>
      </c>
      <c r="B2358" s="81" t="s">
        <v>295</v>
      </c>
      <c r="C2358" s="101" t="s">
        <v>214</v>
      </c>
      <c r="D2358" s="86">
        <f>1/8*25.4</f>
        <v>3.1749999999999998</v>
      </c>
      <c r="E2358" s="85">
        <f t="shared" si="304"/>
        <v>3.1749999999999999E-3</v>
      </c>
      <c r="F2358" s="85">
        <f t="shared" si="305"/>
        <v>1.5874999999999999E-3</v>
      </c>
      <c r="G2358" s="85">
        <f t="shared" si="306"/>
        <v>1.6758294230568279E-8</v>
      </c>
      <c r="H2358" s="85">
        <v>7750</v>
      </c>
      <c r="I2358" s="85">
        <f t="shared" si="307"/>
        <v>1.2987678028690417E-4</v>
      </c>
      <c r="J2358" s="87">
        <v>1</v>
      </c>
      <c r="K2358" s="88">
        <f t="shared" si="308"/>
        <v>7699.6057169799788</v>
      </c>
    </row>
    <row r="2359" spans="1:11" hidden="1" x14ac:dyDescent="0.25">
      <c r="A2359" t="str">
        <f t="shared" si="303"/>
        <v>420CØ4</v>
      </c>
      <c r="B2359" s="81" t="s">
        <v>295</v>
      </c>
      <c r="D2359" s="86">
        <v>4</v>
      </c>
      <c r="E2359" s="85">
        <f t="shared" si="304"/>
        <v>4.0000000000000001E-3</v>
      </c>
      <c r="F2359" s="85">
        <f t="shared" si="305"/>
        <v>2E-3</v>
      </c>
      <c r="G2359" s="85">
        <f t="shared" si="306"/>
        <v>3.3510321638291127E-8</v>
      </c>
      <c r="H2359" s="85">
        <v>7750</v>
      </c>
      <c r="I2359" s="85">
        <f t="shared" si="307"/>
        <v>2.5970499269675621E-4</v>
      </c>
      <c r="J2359" s="87">
        <v>1</v>
      </c>
      <c r="K2359" s="88">
        <f t="shared" si="308"/>
        <v>3850.5228167394039</v>
      </c>
    </row>
    <row r="2360" spans="1:11" hidden="1" x14ac:dyDescent="0.25">
      <c r="A2360" t="str">
        <f t="shared" si="303"/>
        <v>420CØ6</v>
      </c>
      <c r="B2360" s="81" t="s">
        <v>295</v>
      </c>
      <c r="D2360" s="86">
        <v>6</v>
      </c>
      <c r="E2360" s="85">
        <f t="shared" si="304"/>
        <v>6.0000000000000001E-3</v>
      </c>
      <c r="F2360" s="85">
        <f t="shared" si="305"/>
        <v>3.0000000000000001E-3</v>
      </c>
      <c r="G2360" s="85">
        <f t="shared" si="306"/>
        <v>1.1309733552923255E-7</v>
      </c>
      <c r="H2360" s="85">
        <v>7750</v>
      </c>
      <c r="I2360" s="85">
        <f t="shared" si="307"/>
        <v>8.765043503515522E-4</v>
      </c>
      <c r="J2360" s="87">
        <v>1</v>
      </c>
      <c r="K2360" s="88">
        <f t="shared" si="308"/>
        <v>1140.8956494042677</v>
      </c>
    </row>
    <row r="2361" spans="1:11" hidden="1" x14ac:dyDescent="0.25">
      <c r="A2361" t="str">
        <f t="shared" si="303"/>
        <v>420CØ3,175</v>
      </c>
      <c r="B2361" s="81" t="s">
        <v>295</v>
      </c>
      <c r="C2361" s="101" t="s">
        <v>214</v>
      </c>
      <c r="D2361" s="86">
        <f>1/8*25.4</f>
        <v>3.1749999999999998</v>
      </c>
      <c r="E2361" s="85">
        <f t="shared" si="304"/>
        <v>3.1749999999999999E-3</v>
      </c>
      <c r="F2361" s="85">
        <f t="shared" si="305"/>
        <v>1.5874999999999999E-3</v>
      </c>
      <c r="G2361" s="85">
        <f t="shared" si="306"/>
        <v>1.6758294230568279E-8</v>
      </c>
      <c r="H2361" s="85">
        <v>7750</v>
      </c>
      <c r="I2361" s="85">
        <f t="shared" si="307"/>
        <v>1.2987678028690417E-4</v>
      </c>
      <c r="J2361" s="87">
        <v>1</v>
      </c>
      <c r="K2361" s="88">
        <f t="shared" si="308"/>
        <v>7699.6057169799788</v>
      </c>
    </row>
    <row r="2362" spans="1:11" hidden="1" x14ac:dyDescent="0.25">
      <c r="A2362" t="str">
        <f t="shared" si="303"/>
        <v>420CØ3,175</v>
      </c>
      <c r="B2362" s="81" t="s">
        <v>295</v>
      </c>
      <c r="C2362" s="101" t="s">
        <v>214</v>
      </c>
      <c r="D2362" s="86">
        <f>1/8*25.4</f>
        <v>3.1749999999999998</v>
      </c>
      <c r="E2362" s="85">
        <f t="shared" si="304"/>
        <v>3.1749999999999999E-3</v>
      </c>
      <c r="F2362" s="85">
        <f t="shared" si="305"/>
        <v>1.5874999999999999E-3</v>
      </c>
      <c r="G2362" s="85">
        <f t="shared" si="306"/>
        <v>1.6758294230568279E-8</v>
      </c>
      <c r="H2362" s="85">
        <v>7750</v>
      </c>
      <c r="I2362" s="85">
        <f t="shared" si="307"/>
        <v>1.2987678028690417E-4</v>
      </c>
      <c r="J2362" s="87">
        <v>1</v>
      </c>
      <c r="K2362" s="88">
        <f t="shared" si="308"/>
        <v>7699.6057169799788</v>
      </c>
    </row>
    <row r="2363" spans="1:11" hidden="1" x14ac:dyDescent="0.25">
      <c r="A2363" t="str">
        <f t="shared" si="303"/>
        <v>PPHØ6,35</v>
      </c>
      <c r="B2363" s="81" t="s">
        <v>202</v>
      </c>
      <c r="C2363" s="101" t="s">
        <v>218</v>
      </c>
      <c r="D2363" s="86">
        <f>1/4*25.4</f>
        <v>6.35</v>
      </c>
      <c r="E2363" s="85">
        <f t="shared" si="304"/>
        <v>6.3499999999999997E-3</v>
      </c>
      <c r="F2363" s="85">
        <f t="shared" si="305"/>
        <v>3.1749999999999999E-3</v>
      </c>
      <c r="G2363" s="85">
        <f t="shared" si="306"/>
        <v>1.3406635384454623E-7</v>
      </c>
      <c r="H2363" s="85">
        <v>870</v>
      </c>
      <c r="I2363" s="85">
        <f t="shared" si="307"/>
        <v>1.1663772784475523E-4</v>
      </c>
      <c r="J2363" s="87">
        <v>1</v>
      </c>
      <c r="K2363" s="88">
        <f t="shared" si="308"/>
        <v>8573.5552164647761</v>
      </c>
    </row>
    <row r="2364" spans="1:11" hidden="1" x14ac:dyDescent="0.25">
      <c r="A2364" t="str">
        <f t="shared" si="303"/>
        <v>PPHØ12,7</v>
      </c>
      <c r="B2364" s="81" t="s">
        <v>202</v>
      </c>
      <c r="C2364" s="101" t="s">
        <v>270</v>
      </c>
      <c r="D2364" s="86">
        <f>1/2*25.4</f>
        <v>12.7</v>
      </c>
      <c r="E2364" s="85">
        <f t="shared" si="304"/>
        <v>1.2699999999999999E-2</v>
      </c>
      <c r="F2364" s="85">
        <f t="shared" si="305"/>
        <v>6.3499999999999997E-3</v>
      </c>
      <c r="G2364" s="85">
        <f t="shared" si="306"/>
        <v>1.0725308307563699E-6</v>
      </c>
      <c r="H2364" s="85">
        <v>870</v>
      </c>
      <c r="I2364" s="85">
        <f t="shared" si="307"/>
        <v>9.331018227580418E-4</v>
      </c>
      <c r="J2364" s="87">
        <v>1</v>
      </c>
      <c r="K2364" s="88">
        <f t="shared" si="308"/>
        <v>1071.694402058097</v>
      </c>
    </row>
    <row r="2365" spans="1:11" hidden="1" x14ac:dyDescent="0.25">
      <c r="A2365" t="str">
        <f t="shared" si="303"/>
        <v>PPHØ15,875</v>
      </c>
      <c r="B2365" s="81" t="s">
        <v>202</v>
      </c>
      <c r="C2365" s="101" t="s">
        <v>266</v>
      </c>
      <c r="D2365" s="86">
        <f>5/8*25.4</f>
        <v>15.875</v>
      </c>
      <c r="E2365" s="85">
        <f t="shared" si="304"/>
        <v>1.5875E-2</v>
      </c>
      <c r="F2365" s="85">
        <f t="shared" si="305"/>
        <v>7.9375000000000001E-3</v>
      </c>
      <c r="G2365" s="85">
        <f t="shared" si="306"/>
        <v>2.0947867788210358E-6</v>
      </c>
      <c r="H2365" s="85">
        <v>870</v>
      </c>
      <c r="I2365" s="85">
        <f t="shared" si="307"/>
        <v>1.8224644975743012E-3</v>
      </c>
      <c r="J2365" s="87">
        <v>1</v>
      </c>
      <c r="K2365" s="88">
        <f t="shared" si="308"/>
        <v>548.70753385374542</v>
      </c>
    </row>
    <row r="2366" spans="1:11" hidden="1" x14ac:dyDescent="0.25">
      <c r="A2366" t="str">
        <f t="shared" si="303"/>
        <v>420CØ2</v>
      </c>
      <c r="B2366" s="81" t="s">
        <v>295</v>
      </c>
      <c r="D2366" s="86">
        <v>2</v>
      </c>
      <c r="E2366" s="85">
        <f t="shared" si="304"/>
        <v>2E-3</v>
      </c>
      <c r="F2366" s="85">
        <f t="shared" si="305"/>
        <v>1E-3</v>
      </c>
      <c r="G2366" s="85">
        <f t="shared" si="306"/>
        <v>4.1887902047863909E-9</v>
      </c>
      <c r="H2366" s="85">
        <v>7750</v>
      </c>
      <c r="I2366" s="85">
        <f t="shared" si="307"/>
        <v>3.2463124087094526E-5</v>
      </c>
      <c r="J2366" s="87">
        <v>1</v>
      </c>
      <c r="K2366" s="88">
        <f t="shared" si="308"/>
        <v>30804.182533915231</v>
      </c>
    </row>
    <row r="2367" spans="1:11" hidden="1" x14ac:dyDescent="0.25">
      <c r="A2367" t="str">
        <f t="shared" si="303"/>
        <v>52100Ø0,396875</v>
      </c>
      <c r="B2367" s="81">
        <v>52100</v>
      </c>
      <c r="C2367" s="101" t="s">
        <v>211</v>
      </c>
      <c r="D2367" s="86">
        <f>1/64*25.4</f>
        <v>0.39687499999999998</v>
      </c>
      <c r="E2367" s="85">
        <f t="shared" si="304"/>
        <v>3.9687499999999998E-4</v>
      </c>
      <c r="F2367" s="85">
        <f t="shared" si="305"/>
        <v>1.9843749999999999E-4</v>
      </c>
      <c r="G2367" s="85">
        <f t="shared" si="306"/>
        <v>3.273104341907867E-11</v>
      </c>
      <c r="H2367" s="85">
        <v>7800</v>
      </c>
      <c r="I2367" s="85">
        <f t="shared" si="307"/>
        <v>2.5530213866881361E-7</v>
      </c>
      <c r="J2367" s="87">
        <v>1</v>
      </c>
      <c r="K2367" s="88">
        <f t="shared" si="308"/>
        <v>3916927.6262790463</v>
      </c>
    </row>
    <row r="2368" spans="1:11" hidden="1" x14ac:dyDescent="0.25">
      <c r="A2368" t="str">
        <f t="shared" si="303"/>
        <v>420CØ2,38125</v>
      </c>
      <c r="B2368" s="81" t="s">
        <v>295</v>
      </c>
      <c r="C2368" s="101" t="s">
        <v>213</v>
      </c>
      <c r="D2368" s="86">
        <f>3/32*25.4</f>
        <v>2.3812499999999996</v>
      </c>
      <c r="E2368" s="85">
        <f t="shared" si="304"/>
        <v>2.3812499999999997E-3</v>
      </c>
      <c r="F2368" s="85">
        <f t="shared" si="305"/>
        <v>1.1906249999999998E-3</v>
      </c>
      <c r="G2368" s="85">
        <f t="shared" si="306"/>
        <v>7.0699053785209917E-9</v>
      </c>
      <c r="H2368" s="85">
        <v>7750</v>
      </c>
      <c r="I2368" s="85">
        <f t="shared" si="307"/>
        <v>5.4791766683537685E-5</v>
      </c>
      <c r="J2368" s="87">
        <v>1</v>
      </c>
      <c r="K2368" s="88">
        <f t="shared" si="308"/>
        <v>18250.917255063658</v>
      </c>
    </row>
    <row r="2369" spans="1:11" hidden="1" x14ac:dyDescent="0.25">
      <c r="A2369" t="str">
        <f t="shared" si="303"/>
        <v>POMØ12</v>
      </c>
      <c r="B2369" s="81" t="s">
        <v>201</v>
      </c>
      <c r="D2369" s="86">
        <v>12</v>
      </c>
      <c r="E2369" s="85">
        <f t="shared" si="304"/>
        <v>1.2E-2</v>
      </c>
      <c r="F2369" s="85">
        <f t="shared" si="305"/>
        <v>6.0000000000000001E-3</v>
      </c>
      <c r="G2369" s="85">
        <f t="shared" si="306"/>
        <v>9.0477868423386037E-7</v>
      </c>
      <c r="H2369" s="85">
        <v>1370</v>
      </c>
      <c r="I2369" s="85">
        <f t="shared" si="307"/>
        <v>1.2395467974003888E-3</v>
      </c>
      <c r="J2369" s="87">
        <v>1</v>
      </c>
      <c r="K2369" s="88">
        <f t="shared" si="308"/>
        <v>806.74646741633887</v>
      </c>
    </row>
    <row r="2370" spans="1:11" hidden="1" x14ac:dyDescent="0.25">
      <c r="A2370" t="str">
        <f t="shared" si="303"/>
        <v>52100Ø1,2</v>
      </c>
      <c r="B2370" s="81">
        <v>52100</v>
      </c>
      <c r="D2370" s="86">
        <v>1.2</v>
      </c>
      <c r="E2370" s="85">
        <f t="shared" si="304"/>
        <v>1.1999999999999999E-3</v>
      </c>
      <c r="F2370" s="85">
        <f t="shared" si="305"/>
        <v>5.9999999999999995E-4</v>
      </c>
      <c r="G2370" s="85">
        <f t="shared" si="306"/>
        <v>9.0477868423386013E-10</v>
      </c>
      <c r="H2370" s="85">
        <v>7800</v>
      </c>
      <c r="I2370" s="85">
        <f t="shared" si="307"/>
        <v>7.0572737370241092E-6</v>
      </c>
      <c r="J2370" s="87">
        <v>1</v>
      </c>
      <c r="K2370" s="88">
        <f t="shared" si="308"/>
        <v>141697.77696928009</v>
      </c>
    </row>
    <row r="2371" spans="1:11" hidden="1" x14ac:dyDescent="0.25">
      <c r="A2371" t="str">
        <f t="shared" si="303"/>
        <v>52100Ø1,5875</v>
      </c>
      <c r="B2371" s="81">
        <v>52100</v>
      </c>
      <c r="C2371" s="101" t="s">
        <v>246</v>
      </c>
      <c r="D2371" s="86">
        <f>1/16*25.4</f>
        <v>1.5874999999999999</v>
      </c>
      <c r="E2371" s="85">
        <f t="shared" si="304"/>
        <v>1.5874999999999999E-3</v>
      </c>
      <c r="F2371" s="85">
        <f t="shared" si="305"/>
        <v>7.9374999999999997E-4</v>
      </c>
      <c r="G2371" s="85">
        <f t="shared" si="306"/>
        <v>2.0947867788210349E-9</v>
      </c>
      <c r="H2371" s="85">
        <v>7800</v>
      </c>
      <c r="I2371" s="85">
        <f t="shared" si="307"/>
        <v>1.6339336874804071E-5</v>
      </c>
      <c r="J2371" s="87">
        <v>1</v>
      </c>
      <c r="K2371" s="88">
        <f t="shared" si="308"/>
        <v>61201.994160610098</v>
      </c>
    </row>
    <row r="2372" spans="1:11" hidden="1" x14ac:dyDescent="0.25">
      <c r="A2372" t="str">
        <f t="shared" ref="A2372:A2435" si="309">CONCATENATE(B2372,"Ø",D2372)</f>
        <v>52100Ø0,68</v>
      </c>
      <c r="B2372" s="81">
        <v>52100</v>
      </c>
      <c r="D2372" s="86">
        <v>0.68</v>
      </c>
      <c r="E2372" s="85">
        <f>D2372/1000</f>
        <v>6.8000000000000005E-4</v>
      </c>
      <c r="F2372" s="85">
        <f>E2372/2</f>
        <v>3.4000000000000002E-4</v>
      </c>
      <c r="G2372" s="85">
        <f>4/3*PI()*F2372*F2372*F2372</f>
        <v>1.6463621020892433E-10</v>
      </c>
      <c r="H2372" s="85">
        <v>7800</v>
      </c>
      <c r="I2372" s="85">
        <f t="shared" si="307"/>
        <v>1.2841624396296097E-6</v>
      </c>
      <c r="J2372" s="87">
        <v>1</v>
      </c>
      <c r="K2372" s="88">
        <f t="shared" si="308"/>
        <v>778717.68332394888</v>
      </c>
    </row>
    <row r="2373" spans="1:11" hidden="1" x14ac:dyDescent="0.25">
      <c r="A2373" t="str">
        <f t="shared" si="309"/>
        <v>420CØ2</v>
      </c>
      <c r="B2373" s="81" t="s">
        <v>295</v>
      </c>
      <c r="D2373" s="86">
        <v>2</v>
      </c>
      <c r="E2373" s="85">
        <f>D2373/1000</f>
        <v>2E-3</v>
      </c>
      <c r="F2373" s="85">
        <f>E2373/2</f>
        <v>1E-3</v>
      </c>
      <c r="G2373" s="85">
        <f>4/3*PI()*F2373*F2373*F2373</f>
        <v>4.1887902047863909E-9</v>
      </c>
      <c r="H2373" s="85">
        <v>7750</v>
      </c>
      <c r="I2373" s="85">
        <f t="shared" si="307"/>
        <v>3.2463124087094526E-5</v>
      </c>
      <c r="J2373" s="87">
        <v>1</v>
      </c>
      <c r="K2373" s="88">
        <f t="shared" si="308"/>
        <v>30804.182533915231</v>
      </c>
    </row>
    <row r="2374" spans="1:11" hidden="1" x14ac:dyDescent="0.25">
      <c r="A2374" t="str">
        <f t="shared" si="309"/>
        <v>PTFEØ2</v>
      </c>
      <c r="B2374" s="81" t="s">
        <v>307</v>
      </c>
      <c r="D2374" s="86">
        <v>2</v>
      </c>
      <c r="E2374" s="85">
        <f>D2374/1000</f>
        <v>2E-3</v>
      </c>
      <c r="F2374" s="85">
        <f>E2374/2</f>
        <v>1E-3</v>
      </c>
      <c r="G2374" s="85">
        <f>4/3*PI()*F2374*F2374*F2374</f>
        <v>4.1887902047863909E-9</v>
      </c>
      <c r="H2374" s="85">
        <v>2160</v>
      </c>
      <c r="I2374" s="85">
        <f t="shared" si="307"/>
        <v>9.0477868423386043E-6</v>
      </c>
      <c r="J2374" s="87">
        <v>1</v>
      </c>
      <c r="K2374" s="88">
        <f t="shared" si="308"/>
        <v>110524.26603603843</v>
      </c>
    </row>
    <row r="2375" spans="1:11" hidden="1" x14ac:dyDescent="0.25">
      <c r="A2375" t="str">
        <f t="shared" si="309"/>
        <v>PTFEØ4</v>
      </c>
      <c r="B2375" s="81" t="s">
        <v>307</v>
      </c>
      <c r="D2375" s="86">
        <v>4</v>
      </c>
      <c r="E2375" s="85">
        <f t="shared" ref="E2375:E2393" si="310">D2375/1000</f>
        <v>4.0000000000000001E-3</v>
      </c>
      <c r="F2375" s="85">
        <f t="shared" ref="F2375:F2393" si="311">E2375/2</f>
        <v>2E-3</v>
      </c>
      <c r="G2375" s="85">
        <f t="shared" ref="G2375:G2393" si="312">4/3*PI()*F2375*F2375*F2375</f>
        <v>3.3510321638291127E-8</v>
      </c>
      <c r="H2375" s="85">
        <v>2160</v>
      </c>
      <c r="I2375" s="85">
        <f t="shared" si="307"/>
        <v>7.2382294738708834E-5</v>
      </c>
      <c r="J2375" s="87">
        <v>1</v>
      </c>
      <c r="K2375" s="88">
        <f t="shared" si="308"/>
        <v>13815.533254504804</v>
      </c>
    </row>
    <row r="2376" spans="1:11" hidden="1" x14ac:dyDescent="0.25">
      <c r="A2376" t="str">
        <f t="shared" si="309"/>
        <v>PTFEØ6</v>
      </c>
      <c r="B2376" s="81" t="s">
        <v>307</v>
      </c>
      <c r="D2376" s="86">
        <v>6</v>
      </c>
      <c r="E2376" s="85">
        <f t="shared" si="310"/>
        <v>6.0000000000000001E-3</v>
      </c>
      <c r="F2376" s="85">
        <f t="shared" si="311"/>
        <v>3.0000000000000001E-3</v>
      </c>
      <c r="G2376" s="85">
        <f t="shared" si="312"/>
        <v>1.1309733552923255E-7</v>
      </c>
      <c r="H2376" s="85">
        <v>2160</v>
      </c>
      <c r="I2376" s="85">
        <f t="shared" si="307"/>
        <v>2.4429024474314229E-4</v>
      </c>
      <c r="J2376" s="87">
        <v>1</v>
      </c>
      <c r="K2376" s="88">
        <f t="shared" si="308"/>
        <v>4093.4913346680905</v>
      </c>
    </row>
    <row r="2377" spans="1:11" hidden="1" x14ac:dyDescent="0.25">
      <c r="A2377" t="str">
        <f t="shared" si="309"/>
        <v>PTFEØ8</v>
      </c>
      <c r="B2377" s="81" t="s">
        <v>307</v>
      </c>
      <c r="D2377" s="86">
        <v>8</v>
      </c>
      <c r="E2377" s="85">
        <f t="shared" si="310"/>
        <v>8.0000000000000002E-3</v>
      </c>
      <c r="F2377" s="85">
        <f t="shared" si="311"/>
        <v>4.0000000000000001E-3</v>
      </c>
      <c r="G2377" s="85">
        <f t="shared" si="312"/>
        <v>2.6808257310632902E-7</v>
      </c>
      <c r="H2377" s="85">
        <v>2160</v>
      </c>
      <c r="I2377" s="85">
        <f t="shared" si="307"/>
        <v>5.7905835790967068E-4</v>
      </c>
      <c r="J2377" s="87">
        <v>1</v>
      </c>
      <c r="K2377" s="88">
        <f t="shared" si="308"/>
        <v>1726.9416568131005</v>
      </c>
    </row>
    <row r="2378" spans="1:11" hidden="1" x14ac:dyDescent="0.25">
      <c r="A2378" t="str">
        <f t="shared" si="309"/>
        <v>PTFEØ3,96875</v>
      </c>
      <c r="B2378" s="81" t="s">
        <v>307</v>
      </c>
      <c r="C2378" s="101" t="s">
        <v>215</v>
      </c>
      <c r="D2378" s="86">
        <f>5/32*25.4</f>
        <v>3.96875</v>
      </c>
      <c r="E2378" s="85">
        <f t="shared" si="310"/>
        <v>3.9687500000000001E-3</v>
      </c>
      <c r="F2378" s="85">
        <f t="shared" si="311"/>
        <v>1.984375E-3</v>
      </c>
      <c r="G2378" s="85">
        <f t="shared" si="312"/>
        <v>3.2731043419078684E-8</v>
      </c>
      <c r="H2378" s="85">
        <v>2160</v>
      </c>
      <c r="I2378" s="85">
        <f t="shared" si="307"/>
        <v>7.0699053785209951E-5</v>
      </c>
      <c r="J2378" s="87">
        <v>1</v>
      </c>
      <c r="K2378" s="88">
        <f t="shared" si="308"/>
        <v>14144.460872674328</v>
      </c>
    </row>
    <row r="2379" spans="1:11" hidden="1" x14ac:dyDescent="0.25">
      <c r="A2379" t="str">
        <f t="shared" si="309"/>
        <v>52100Ø14,6</v>
      </c>
      <c r="B2379" s="81">
        <v>52100</v>
      </c>
      <c r="D2379" s="86">
        <v>14.6</v>
      </c>
      <c r="E2379" s="85">
        <f t="shared" si="310"/>
        <v>1.46E-2</v>
      </c>
      <c r="F2379" s="85">
        <f t="shared" si="311"/>
        <v>7.3000000000000001E-3</v>
      </c>
      <c r="G2379" s="85">
        <f t="shared" si="312"/>
        <v>1.6295105990953872E-6</v>
      </c>
      <c r="H2379" s="85">
        <v>7800</v>
      </c>
      <c r="I2379" s="85">
        <f t="shared" si="307"/>
        <v>1.271018267294402E-2</v>
      </c>
      <c r="J2379" s="87">
        <v>1</v>
      </c>
      <c r="K2379" s="88">
        <f t="shared" si="308"/>
        <v>78.677075360111488</v>
      </c>
    </row>
    <row r="2380" spans="1:11" hidden="1" x14ac:dyDescent="0.25">
      <c r="A2380" t="str">
        <f t="shared" si="309"/>
        <v>420CØ2,5</v>
      </c>
      <c r="B2380" s="81" t="s">
        <v>295</v>
      </c>
      <c r="D2380" s="86">
        <v>2.5</v>
      </c>
      <c r="E2380" s="85">
        <f t="shared" si="310"/>
        <v>2.5000000000000001E-3</v>
      </c>
      <c r="F2380" s="85">
        <f t="shared" si="311"/>
        <v>1.25E-3</v>
      </c>
      <c r="G2380" s="85">
        <f t="shared" si="312"/>
        <v>8.181230868723419E-9</v>
      </c>
      <c r="H2380" s="85">
        <v>7750</v>
      </c>
      <c r="I2380" s="85">
        <f t="shared" si="307"/>
        <v>6.3404539232606502E-5</v>
      </c>
      <c r="J2380" s="87">
        <v>1</v>
      </c>
      <c r="K2380" s="88">
        <f t="shared" si="308"/>
        <v>15771.741457364596</v>
      </c>
    </row>
    <row r="2381" spans="1:11" hidden="1" x14ac:dyDescent="0.25">
      <c r="A2381" t="str">
        <f t="shared" si="309"/>
        <v>420CØ1</v>
      </c>
      <c r="B2381" s="81" t="s">
        <v>295</v>
      </c>
      <c r="D2381" s="86">
        <v>1</v>
      </c>
      <c r="E2381" s="85">
        <f t="shared" si="310"/>
        <v>1E-3</v>
      </c>
      <c r="F2381" s="85">
        <f t="shared" si="311"/>
        <v>5.0000000000000001E-4</v>
      </c>
      <c r="G2381" s="85">
        <f t="shared" si="312"/>
        <v>5.2359877559829886E-10</v>
      </c>
      <c r="H2381" s="85">
        <v>7750</v>
      </c>
      <c r="I2381" s="85">
        <f t="shared" si="307"/>
        <v>4.0578905108868158E-6</v>
      </c>
      <c r="J2381" s="87">
        <v>1</v>
      </c>
      <c r="K2381" s="88">
        <f t="shared" si="308"/>
        <v>246433.46027132185</v>
      </c>
    </row>
    <row r="2382" spans="1:11" hidden="1" x14ac:dyDescent="0.25">
      <c r="A2382" t="str">
        <f t="shared" si="309"/>
        <v>OttoneØ1</v>
      </c>
      <c r="B2382" s="81" t="s">
        <v>216</v>
      </c>
      <c r="D2382" s="86">
        <v>1</v>
      </c>
      <c r="E2382" s="85">
        <f t="shared" si="310"/>
        <v>1E-3</v>
      </c>
      <c r="F2382" s="85">
        <f t="shared" si="311"/>
        <v>5.0000000000000001E-4</v>
      </c>
      <c r="G2382" s="85">
        <f t="shared" si="312"/>
        <v>5.2359877559829886E-10</v>
      </c>
      <c r="H2382" s="85">
        <v>8490</v>
      </c>
      <c r="I2382" s="85">
        <f t="shared" si="307"/>
        <v>4.4453536048295575E-6</v>
      </c>
      <c r="J2382" s="87">
        <v>1</v>
      </c>
      <c r="K2382" s="88">
        <f t="shared" si="308"/>
        <v>224953.98316875665</v>
      </c>
    </row>
    <row r="2383" spans="1:11" hidden="1" x14ac:dyDescent="0.25">
      <c r="A2383" t="str">
        <f t="shared" si="309"/>
        <v>Si3N4Ø1</v>
      </c>
      <c r="B2383" s="81" t="s">
        <v>207</v>
      </c>
      <c r="D2383" s="86">
        <v>1</v>
      </c>
      <c r="E2383" s="85">
        <f t="shared" si="310"/>
        <v>1E-3</v>
      </c>
      <c r="F2383" s="85">
        <f t="shared" si="311"/>
        <v>5.0000000000000001E-4</v>
      </c>
      <c r="G2383" s="85">
        <f t="shared" si="312"/>
        <v>5.2359877559829886E-10</v>
      </c>
      <c r="H2383" s="85">
        <v>3260</v>
      </c>
      <c r="I2383" s="85">
        <f t="shared" si="307"/>
        <v>1.7069320084504542E-6</v>
      </c>
      <c r="J2383" s="87">
        <v>1</v>
      </c>
      <c r="K2383" s="88">
        <f t="shared" si="308"/>
        <v>585846.41628918529</v>
      </c>
    </row>
    <row r="2384" spans="1:11" hidden="1" x14ac:dyDescent="0.25">
      <c r="A2384" t="str">
        <f t="shared" si="309"/>
        <v>316LØ1</v>
      </c>
      <c r="B2384" s="81" t="s">
        <v>298</v>
      </c>
      <c r="D2384" s="86">
        <v>1</v>
      </c>
      <c r="E2384" s="85">
        <f t="shared" si="310"/>
        <v>1E-3</v>
      </c>
      <c r="F2384" s="85">
        <f t="shared" si="311"/>
        <v>5.0000000000000001E-4</v>
      </c>
      <c r="G2384" s="85">
        <f t="shared" si="312"/>
        <v>5.2359877559829886E-10</v>
      </c>
      <c r="H2384" s="85">
        <v>7950</v>
      </c>
      <c r="I2384" s="85">
        <f t="shared" si="307"/>
        <v>4.1626102660064759E-6</v>
      </c>
      <c r="J2384" s="87">
        <v>1</v>
      </c>
      <c r="K2384" s="88">
        <f t="shared" si="308"/>
        <v>240233.87636512503</v>
      </c>
    </row>
    <row r="2385" spans="1:11" hidden="1" x14ac:dyDescent="0.25">
      <c r="A2385" t="str">
        <f t="shared" si="309"/>
        <v>Wc-CoØ2</v>
      </c>
      <c r="B2385" s="81" t="s">
        <v>206</v>
      </c>
      <c r="D2385" s="86">
        <v>2</v>
      </c>
      <c r="E2385" s="85">
        <f t="shared" si="310"/>
        <v>2E-3</v>
      </c>
      <c r="F2385" s="85">
        <f t="shared" si="311"/>
        <v>1E-3</v>
      </c>
      <c r="G2385" s="85">
        <f t="shared" si="312"/>
        <v>4.1887902047863909E-9</v>
      </c>
      <c r="H2385" s="85">
        <v>14950</v>
      </c>
      <c r="I2385" s="85">
        <f t="shared" si="307"/>
        <v>6.2622413561556539E-5</v>
      </c>
      <c r="J2385" s="87">
        <v>1</v>
      </c>
      <c r="K2385" s="88">
        <f t="shared" si="308"/>
        <v>15968.723387146691</v>
      </c>
    </row>
    <row r="2386" spans="1:11" hidden="1" x14ac:dyDescent="0.25">
      <c r="A2386" t="str">
        <f t="shared" si="309"/>
        <v>420CØ4,7625</v>
      </c>
      <c r="B2386" s="81" t="s">
        <v>295</v>
      </c>
      <c r="C2386" s="101" t="s">
        <v>248</v>
      </c>
      <c r="D2386" s="86">
        <f>3/16*25.4</f>
        <v>4.7624999999999993</v>
      </c>
      <c r="E2386" s="85">
        <f t="shared" si="310"/>
        <v>4.7624999999999994E-3</v>
      </c>
      <c r="F2386" s="85">
        <f t="shared" si="311"/>
        <v>2.3812499999999997E-3</v>
      </c>
      <c r="G2386" s="85">
        <f t="shared" si="312"/>
        <v>5.6559243028167934E-8</v>
      </c>
      <c r="H2386" s="85">
        <v>7750</v>
      </c>
      <c r="I2386" s="85">
        <f t="shared" si="307"/>
        <v>4.3833413346830148E-4</v>
      </c>
      <c r="J2386" s="87">
        <v>1</v>
      </c>
      <c r="K2386" s="88">
        <f t="shared" si="308"/>
        <v>2281.3646568829572</v>
      </c>
    </row>
    <row r="2387" spans="1:11" hidden="1" x14ac:dyDescent="0.25">
      <c r="A2387" t="str">
        <f t="shared" si="309"/>
        <v>Si3N4Ø1,984375</v>
      </c>
      <c r="B2387" s="81" t="s">
        <v>207</v>
      </c>
      <c r="C2387" s="101" t="s">
        <v>327</v>
      </c>
      <c r="D2387" s="86">
        <f>5/64*25.4</f>
        <v>1.984375</v>
      </c>
      <c r="E2387" s="85">
        <f t="shared" si="310"/>
        <v>1.984375E-3</v>
      </c>
      <c r="F2387" s="85">
        <f t="shared" si="311"/>
        <v>9.9218750000000001E-4</v>
      </c>
      <c r="G2387" s="85">
        <f t="shared" si="312"/>
        <v>4.0913804273848354E-9</v>
      </c>
      <c r="H2387" s="85">
        <v>3260</v>
      </c>
      <c r="I2387" s="85">
        <f t="shared" si="307"/>
        <v>1.3337900193274563E-5</v>
      </c>
      <c r="J2387" s="87">
        <v>1</v>
      </c>
      <c r="K2387" s="88">
        <f t="shared" si="308"/>
        <v>74974.320208531397</v>
      </c>
    </row>
    <row r="2388" spans="1:11" hidden="1" x14ac:dyDescent="0.25">
      <c r="A2388" t="str">
        <f t="shared" si="309"/>
        <v>SiliconeØ2,38125</v>
      </c>
      <c r="B2388" s="81" t="s">
        <v>315</v>
      </c>
      <c r="C2388" s="101" t="s">
        <v>213</v>
      </c>
      <c r="D2388" s="86">
        <f>3/32*25.4</f>
        <v>2.3812499999999996</v>
      </c>
      <c r="E2388" s="85">
        <f t="shared" si="310"/>
        <v>2.3812499999999997E-3</v>
      </c>
      <c r="F2388" s="85">
        <f t="shared" si="311"/>
        <v>1.1906249999999998E-3</v>
      </c>
      <c r="G2388" s="85">
        <f t="shared" si="312"/>
        <v>7.0699053785209917E-9</v>
      </c>
      <c r="H2388" s="85">
        <v>1200</v>
      </c>
      <c r="I2388" s="85">
        <f t="shared" si="307"/>
        <v>8.4838864542251892E-6</v>
      </c>
      <c r="J2388" s="87">
        <v>1</v>
      </c>
      <c r="K2388" s="88">
        <f t="shared" si="308"/>
        <v>117870.50727228614</v>
      </c>
    </row>
    <row r="2389" spans="1:11" hidden="1" x14ac:dyDescent="0.25">
      <c r="A2389" t="str">
        <f t="shared" si="309"/>
        <v>TorlonØ6,35</v>
      </c>
      <c r="B2389" s="81" t="s">
        <v>324</v>
      </c>
      <c r="C2389" s="101" t="s">
        <v>218</v>
      </c>
      <c r="D2389" s="86">
        <f>1/4*25.4</f>
        <v>6.35</v>
      </c>
      <c r="E2389" s="85">
        <f t="shared" si="310"/>
        <v>6.3499999999999997E-3</v>
      </c>
      <c r="F2389" s="85">
        <f t="shared" si="311"/>
        <v>3.1749999999999999E-3</v>
      </c>
      <c r="G2389" s="85">
        <f t="shared" si="312"/>
        <v>1.3406635384454623E-7</v>
      </c>
      <c r="H2389" s="85">
        <v>1420</v>
      </c>
      <c r="I2389" s="85">
        <f t="shared" si="307"/>
        <v>1.9037422245925565E-4</v>
      </c>
      <c r="J2389" s="87">
        <v>1</v>
      </c>
      <c r="K2389" s="88">
        <f t="shared" si="308"/>
        <v>5252.8119988199687</v>
      </c>
    </row>
    <row r="2390" spans="1:11" hidden="1" x14ac:dyDescent="0.25">
      <c r="A2390" t="str">
        <f t="shared" si="309"/>
        <v>52100Ø3,96875</v>
      </c>
      <c r="B2390" s="81">
        <v>52100</v>
      </c>
      <c r="C2390" s="101" t="s">
        <v>215</v>
      </c>
      <c r="D2390" s="86">
        <f>5/32*25.4</f>
        <v>3.96875</v>
      </c>
      <c r="E2390" s="85">
        <f t="shared" si="310"/>
        <v>3.9687500000000001E-3</v>
      </c>
      <c r="F2390" s="85">
        <f t="shared" si="311"/>
        <v>1.984375E-3</v>
      </c>
      <c r="G2390" s="85">
        <f t="shared" si="312"/>
        <v>3.2731043419078684E-8</v>
      </c>
      <c r="H2390" s="85">
        <v>7800</v>
      </c>
      <c r="I2390" s="85">
        <f t="shared" si="307"/>
        <v>2.5530213866881374E-4</v>
      </c>
      <c r="J2390" s="87">
        <v>1</v>
      </c>
      <c r="K2390" s="88">
        <f t="shared" si="308"/>
        <v>3916.9276262790445</v>
      </c>
    </row>
    <row r="2391" spans="1:11" hidden="1" x14ac:dyDescent="0.25">
      <c r="A2391" t="str">
        <f t="shared" si="309"/>
        <v>52100Ø3,96875</v>
      </c>
      <c r="B2391" s="81">
        <v>52100</v>
      </c>
      <c r="C2391" s="101" t="s">
        <v>215</v>
      </c>
      <c r="D2391" s="86">
        <f>5/32*25.4</f>
        <v>3.96875</v>
      </c>
      <c r="E2391" s="85">
        <f t="shared" si="310"/>
        <v>3.9687500000000001E-3</v>
      </c>
      <c r="F2391" s="85">
        <f t="shared" si="311"/>
        <v>1.984375E-3</v>
      </c>
      <c r="G2391" s="85">
        <f t="shared" si="312"/>
        <v>3.2731043419078684E-8</v>
      </c>
      <c r="H2391" s="85">
        <v>7800</v>
      </c>
      <c r="I2391" s="85">
        <f t="shared" si="307"/>
        <v>2.5530213866881374E-4</v>
      </c>
      <c r="J2391" s="87">
        <v>1</v>
      </c>
      <c r="K2391" s="88">
        <f t="shared" si="308"/>
        <v>3916.9276262790445</v>
      </c>
    </row>
    <row r="2392" spans="1:11" hidden="1" x14ac:dyDescent="0.25">
      <c r="A2392" t="str">
        <f t="shared" si="309"/>
        <v>52100Ø3,96875</v>
      </c>
      <c r="B2392" s="81">
        <v>52100</v>
      </c>
      <c r="C2392" s="101" t="s">
        <v>215</v>
      </c>
      <c r="D2392" s="86">
        <f>5/32*25.4</f>
        <v>3.96875</v>
      </c>
      <c r="E2392" s="85">
        <f t="shared" si="310"/>
        <v>3.9687500000000001E-3</v>
      </c>
      <c r="F2392" s="85">
        <f t="shared" si="311"/>
        <v>1.984375E-3</v>
      </c>
      <c r="G2392" s="85">
        <f t="shared" si="312"/>
        <v>3.2731043419078684E-8</v>
      </c>
      <c r="H2392" s="85">
        <v>7800</v>
      </c>
      <c r="I2392" s="85">
        <f t="shared" si="307"/>
        <v>2.5530213866881374E-4</v>
      </c>
      <c r="J2392" s="87">
        <v>1</v>
      </c>
      <c r="K2392" s="88">
        <f t="shared" si="308"/>
        <v>3916.9276262790445</v>
      </c>
    </row>
    <row r="2393" spans="1:11" hidden="1" x14ac:dyDescent="0.25">
      <c r="A2393" t="str">
        <f t="shared" si="309"/>
        <v>440CØ0,6</v>
      </c>
      <c r="B2393" s="81" t="s">
        <v>314</v>
      </c>
      <c r="D2393" s="86">
        <v>0.6</v>
      </c>
      <c r="E2393" s="85">
        <f t="shared" si="310"/>
        <v>5.9999999999999995E-4</v>
      </c>
      <c r="F2393" s="85">
        <f t="shared" si="311"/>
        <v>2.9999999999999997E-4</v>
      </c>
      <c r="G2393" s="85">
        <f t="shared" si="312"/>
        <v>1.1309733552923252E-10</v>
      </c>
      <c r="H2393" s="85">
        <v>7750</v>
      </c>
      <c r="I2393" s="85">
        <f t="shared" si="307"/>
        <v>8.7650435035155202E-7</v>
      </c>
      <c r="J2393" s="87">
        <v>1</v>
      </c>
      <c r="K2393" s="88">
        <f t="shared" si="308"/>
        <v>1140895.649404268</v>
      </c>
    </row>
    <row r="2394" spans="1:11" hidden="1" x14ac:dyDescent="0.25">
      <c r="A2394" t="str">
        <f t="shared" si="309"/>
        <v>52100Ø3,96875</v>
      </c>
      <c r="B2394" s="81">
        <v>52100</v>
      </c>
      <c r="C2394" s="101" t="s">
        <v>215</v>
      </c>
      <c r="D2394" s="86">
        <f>5/32*25.4</f>
        <v>3.96875</v>
      </c>
      <c r="E2394" s="85">
        <f>D2394/1000</f>
        <v>3.9687500000000001E-3</v>
      </c>
      <c r="F2394" s="85">
        <f>E2394/2</f>
        <v>1.984375E-3</v>
      </c>
      <c r="G2394" s="85">
        <f>4/3*PI()*F2394*F2394*F2394</f>
        <v>3.2731043419078684E-8</v>
      </c>
      <c r="H2394" s="85">
        <v>7830</v>
      </c>
      <c r="I2394" s="85">
        <f>H2394*G2394</f>
        <v>2.5628406997138607E-4</v>
      </c>
      <c r="J2394" s="87">
        <v>1</v>
      </c>
      <c r="K2394" s="88">
        <f>J2394/I2394</f>
        <v>3901.9202407377456</v>
      </c>
    </row>
    <row r="2395" spans="1:11" hidden="1" x14ac:dyDescent="0.25">
      <c r="A2395" t="str">
        <f t="shared" si="309"/>
        <v>304LØ0,6</v>
      </c>
      <c r="B2395" s="81" t="s">
        <v>362</v>
      </c>
      <c r="D2395" s="86">
        <v>0.6</v>
      </c>
      <c r="E2395" s="85">
        <f>D2395/1000</f>
        <v>5.9999999999999995E-4</v>
      </c>
      <c r="F2395" s="85">
        <f>E2395/2</f>
        <v>2.9999999999999997E-4</v>
      </c>
      <c r="G2395" s="85">
        <f>4/3*PI()*F2395*F2395*F2395</f>
        <v>1.1309733552923252E-10</v>
      </c>
      <c r="H2395" s="85">
        <v>7950</v>
      </c>
      <c r="I2395" s="85">
        <f>H2395*G2395</f>
        <v>8.9912381745739853E-7</v>
      </c>
      <c r="J2395" s="87">
        <v>1</v>
      </c>
      <c r="K2395" s="88">
        <f>J2395/I2395</f>
        <v>1112193.8720607643</v>
      </c>
    </row>
    <row r="2396" spans="1:11" hidden="1" x14ac:dyDescent="0.25">
      <c r="A2396" t="str">
        <f t="shared" si="309"/>
        <v>440CØ1,984375</v>
      </c>
      <c r="B2396" s="81" t="s">
        <v>314</v>
      </c>
      <c r="C2396" s="101" t="s">
        <v>327</v>
      </c>
      <c r="D2396" s="86">
        <f>5/64*25.4</f>
        <v>1.984375</v>
      </c>
      <c r="E2396" s="85">
        <f>D2396/1000</f>
        <v>1.984375E-3</v>
      </c>
      <c r="F2396" s="85">
        <f>E2396/2</f>
        <v>9.9218750000000001E-4</v>
      </c>
      <c r="G2396" s="85">
        <f>4/3*PI()*F2396*F2396*F2396</f>
        <v>4.0913804273848354E-9</v>
      </c>
      <c r="H2396" s="85">
        <v>7540</v>
      </c>
      <c r="I2396" s="85">
        <f>H2396*G2396</f>
        <v>3.0849008422481661E-5</v>
      </c>
      <c r="J2396" s="87">
        <v>1</v>
      </c>
      <c r="K2396" s="88">
        <f>J2396/I2396</f>
        <v>32415.952769205884</v>
      </c>
    </row>
    <row r="2397" spans="1:11" hidden="1" x14ac:dyDescent="0.25">
      <c r="A2397" t="str">
        <f t="shared" si="309"/>
        <v>Wc-CoØ0,6</v>
      </c>
      <c r="B2397" s="81" t="s">
        <v>206</v>
      </c>
      <c r="D2397" s="86">
        <v>0.6</v>
      </c>
      <c r="E2397" s="85">
        <f>D2397/1000</f>
        <v>5.9999999999999995E-4</v>
      </c>
      <c r="F2397" s="85">
        <f>E2397/2</f>
        <v>2.9999999999999997E-4</v>
      </c>
      <c r="G2397" s="85">
        <f>4/3*PI()*F2397*F2397*F2397</f>
        <v>1.1309733552923252E-10</v>
      </c>
      <c r="H2397" s="85">
        <v>14950</v>
      </c>
      <c r="I2397" s="85">
        <f>H2397*G2397</f>
        <v>1.690805166162026E-6</v>
      </c>
      <c r="J2397" s="87">
        <v>1</v>
      </c>
      <c r="K2397" s="88">
        <f>J2397/I2397</f>
        <v>591434.19952395174</v>
      </c>
    </row>
    <row r="2398" spans="1:11" hidden="1" x14ac:dyDescent="0.25">
      <c r="A2398" t="str">
        <f t="shared" si="309"/>
        <v>Wc-CoØ3</v>
      </c>
      <c r="B2398" s="81" t="s">
        <v>206</v>
      </c>
      <c r="D2398" s="86">
        <v>3</v>
      </c>
      <c r="E2398" s="85">
        <f t="shared" ref="E2398:E2455" si="313">D2398/1000</f>
        <v>3.0000000000000001E-3</v>
      </c>
      <c r="F2398" s="85">
        <f t="shared" ref="F2398:F2455" si="314">E2398/2</f>
        <v>1.5E-3</v>
      </c>
      <c r="G2398" s="85">
        <f t="shared" ref="G2398:G2455" si="315">4/3*PI()*F2398*F2398*F2398</f>
        <v>1.4137166941154068E-8</v>
      </c>
      <c r="H2398" s="85">
        <v>14950</v>
      </c>
      <c r="I2398" s="85">
        <f t="shared" ref="I2398:I2455" si="316">H2398*G2398</f>
        <v>2.1135064577025331E-4</v>
      </c>
      <c r="J2398" s="87">
        <v>1</v>
      </c>
      <c r="K2398" s="88">
        <f t="shared" ref="K2398:K2455" si="317">J2398/I2398</f>
        <v>4731.4735961916122</v>
      </c>
    </row>
    <row r="2399" spans="1:11" hidden="1" x14ac:dyDescent="0.25">
      <c r="A2399" t="str">
        <f t="shared" si="309"/>
        <v>52100Ø0,6</v>
      </c>
      <c r="B2399" s="81">
        <v>52100</v>
      </c>
      <c r="D2399" s="86">
        <v>0.6</v>
      </c>
      <c r="E2399" s="85">
        <f t="shared" si="313"/>
        <v>5.9999999999999995E-4</v>
      </c>
      <c r="F2399" s="85">
        <f t="shared" si="314"/>
        <v>2.9999999999999997E-4</v>
      </c>
      <c r="G2399" s="85">
        <f t="shared" si="315"/>
        <v>1.1309733552923252E-10</v>
      </c>
      <c r="H2399" s="85">
        <v>7800</v>
      </c>
      <c r="I2399" s="85">
        <f t="shared" si="316"/>
        <v>8.8215921712801365E-7</v>
      </c>
      <c r="J2399" s="87">
        <v>1</v>
      </c>
      <c r="K2399" s="88">
        <f t="shared" si="317"/>
        <v>1133582.2157542408</v>
      </c>
    </row>
    <row r="2400" spans="1:11" hidden="1" x14ac:dyDescent="0.25">
      <c r="A2400" t="str">
        <f t="shared" si="309"/>
        <v>52100Ø0,6</v>
      </c>
      <c r="B2400" s="81">
        <v>52100</v>
      </c>
      <c r="D2400" s="86">
        <v>0.6</v>
      </c>
      <c r="E2400" s="85">
        <f t="shared" si="313"/>
        <v>5.9999999999999995E-4</v>
      </c>
      <c r="F2400" s="85">
        <f t="shared" si="314"/>
        <v>2.9999999999999997E-4</v>
      </c>
      <c r="G2400" s="85">
        <f t="shared" si="315"/>
        <v>1.1309733552923252E-10</v>
      </c>
      <c r="H2400" s="85">
        <v>7800</v>
      </c>
      <c r="I2400" s="85">
        <f t="shared" si="316"/>
        <v>8.8215921712801365E-7</v>
      </c>
      <c r="J2400" s="87">
        <v>1</v>
      </c>
      <c r="K2400" s="85">
        <f t="shared" si="317"/>
        <v>1133582.2157542408</v>
      </c>
    </row>
    <row r="2401" spans="1:11" hidden="1" x14ac:dyDescent="0.25">
      <c r="A2401" t="str">
        <f t="shared" si="309"/>
        <v>VESCØ1,5875</v>
      </c>
      <c r="B2401" s="81" t="s">
        <v>210</v>
      </c>
      <c r="C2401" s="101" t="s">
        <v>246</v>
      </c>
      <c r="D2401" s="86">
        <f>1/16*25.4</f>
        <v>1.5874999999999999</v>
      </c>
      <c r="E2401" s="85">
        <f t="shared" si="313"/>
        <v>1.5874999999999999E-3</v>
      </c>
      <c r="F2401" s="85">
        <f t="shared" si="314"/>
        <v>7.9374999999999997E-4</v>
      </c>
      <c r="G2401" s="85">
        <f t="shared" si="315"/>
        <v>2.0947867788210349E-9</v>
      </c>
      <c r="H2401" s="85">
        <v>2560</v>
      </c>
      <c r="I2401" s="85">
        <f t="shared" si="316"/>
        <v>5.362654153781849E-6</v>
      </c>
      <c r="J2401" s="87">
        <v>1</v>
      </c>
      <c r="K2401" s="88">
        <f t="shared" si="317"/>
        <v>186474.82595810888</v>
      </c>
    </row>
    <row r="2402" spans="1:11" hidden="1" x14ac:dyDescent="0.25">
      <c r="A2402" t="str">
        <f t="shared" si="309"/>
        <v>PA6.6Ø3,96875</v>
      </c>
      <c r="B2402" s="81" t="s">
        <v>244</v>
      </c>
      <c r="C2402" s="101" t="s">
        <v>215</v>
      </c>
      <c r="D2402" s="86">
        <f>5/32*25.4</f>
        <v>3.96875</v>
      </c>
      <c r="E2402" s="85">
        <f t="shared" si="313"/>
        <v>3.9687500000000001E-3</v>
      </c>
      <c r="F2402" s="85">
        <f t="shared" si="314"/>
        <v>1.984375E-3</v>
      </c>
      <c r="G2402" s="85">
        <f t="shared" si="315"/>
        <v>3.2731043419078684E-8</v>
      </c>
      <c r="H2402" s="85">
        <v>1120</v>
      </c>
      <c r="I2402" s="85">
        <f t="shared" si="316"/>
        <v>3.6658768629368127E-5</v>
      </c>
      <c r="J2402" s="87">
        <v>1</v>
      </c>
      <c r="K2402" s="88">
        <f t="shared" si="317"/>
        <v>27278.603111586202</v>
      </c>
    </row>
    <row r="2403" spans="1:11" hidden="1" x14ac:dyDescent="0.25">
      <c r="A2403" t="str">
        <f t="shared" si="309"/>
        <v>52100Ø1,5</v>
      </c>
      <c r="B2403" s="81">
        <v>52100</v>
      </c>
      <c r="D2403" s="86">
        <v>1.5</v>
      </c>
      <c r="E2403" s="85">
        <f t="shared" si="313"/>
        <v>1.5E-3</v>
      </c>
      <c r="F2403" s="85">
        <f t="shared" si="314"/>
        <v>7.5000000000000002E-4</v>
      </c>
      <c r="G2403" s="85">
        <f t="shared" si="315"/>
        <v>1.7671458676442585E-9</v>
      </c>
      <c r="H2403" s="85">
        <v>7800</v>
      </c>
      <c r="I2403" s="85">
        <f t="shared" si="316"/>
        <v>1.3783737767625217E-5</v>
      </c>
      <c r="J2403" s="87">
        <v>1</v>
      </c>
      <c r="K2403" s="88">
        <f t="shared" si="317"/>
        <v>72549.261808271374</v>
      </c>
    </row>
    <row r="2404" spans="1:11" hidden="1" x14ac:dyDescent="0.25">
      <c r="A2404" t="str">
        <f t="shared" si="309"/>
        <v>1010Ø2,778125</v>
      </c>
      <c r="B2404" s="81">
        <v>1010</v>
      </c>
      <c r="C2404" s="101" t="s">
        <v>247</v>
      </c>
      <c r="D2404" s="86">
        <f>7/64*25.4</f>
        <v>2.7781249999999997</v>
      </c>
      <c r="E2404" s="85">
        <f t="shared" si="313"/>
        <v>2.7781249999999998E-3</v>
      </c>
      <c r="F2404" s="85">
        <f t="shared" si="314"/>
        <v>1.3890624999999999E-3</v>
      </c>
      <c r="G2404" s="85">
        <f t="shared" si="315"/>
        <v>1.1226747892743984E-8</v>
      </c>
      <c r="H2404" s="85">
        <v>7840</v>
      </c>
      <c r="I2404" s="85">
        <f t="shared" si="316"/>
        <v>8.8017703479112834E-5</v>
      </c>
      <c r="J2404" s="87">
        <v>1</v>
      </c>
      <c r="K2404" s="88">
        <f t="shared" si="317"/>
        <v>11361.350733688552</v>
      </c>
    </row>
    <row r="2405" spans="1:11" hidden="1" x14ac:dyDescent="0.25">
      <c r="A2405" t="str">
        <f t="shared" si="309"/>
        <v>1010Ø2,778125</v>
      </c>
      <c r="B2405" s="81">
        <v>1010</v>
      </c>
      <c r="C2405" s="101" t="s">
        <v>247</v>
      </c>
      <c r="D2405" s="86">
        <f>7/64*25.4</f>
        <v>2.7781249999999997</v>
      </c>
      <c r="E2405" s="85">
        <f t="shared" si="313"/>
        <v>2.7781249999999998E-3</v>
      </c>
      <c r="F2405" s="85">
        <f t="shared" si="314"/>
        <v>1.3890624999999999E-3</v>
      </c>
      <c r="G2405" s="85">
        <f t="shared" si="315"/>
        <v>1.1226747892743984E-8</v>
      </c>
      <c r="H2405" s="85">
        <v>7830</v>
      </c>
      <c r="I2405" s="85">
        <f t="shared" si="316"/>
        <v>8.7905436000185397E-5</v>
      </c>
      <c r="J2405" s="87">
        <v>1</v>
      </c>
      <c r="K2405" s="88">
        <f t="shared" si="317"/>
        <v>11375.860760168358</v>
      </c>
    </row>
    <row r="2406" spans="1:11" hidden="1" x14ac:dyDescent="0.25">
      <c r="A2406" t="str">
        <f t="shared" si="309"/>
        <v>316LØ1</v>
      </c>
      <c r="B2406" s="81" t="s">
        <v>298</v>
      </c>
      <c r="D2406" s="86">
        <v>1</v>
      </c>
      <c r="E2406" s="85">
        <f t="shared" si="313"/>
        <v>1E-3</v>
      </c>
      <c r="F2406" s="85">
        <f t="shared" si="314"/>
        <v>5.0000000000000001E-4</v>
      </c>
      <c r="G2406" s="85">
        <f t="shared" si="315"/>
        <v>5.2359877559829886E-10</v>
      </c>
      <c r="H2406" s="85">
        <v>7950</v>
      </c>
      <c r="I2406" s="85">
        <f t="shared" si="316"/>
        <v>4.1626102660064759E-6</v>
      </c>
      <c r="J2406" s="87">
        <v>1</v>
      </c>
      <c r="K2406" s="88">
        <f t="shared" si="317"/>
        <v>240233.87636512503</v>
      </c>
    </row>
    <row r="2407" spans="1:11" hidden="1" x14ac:dyDescent="0.25">
      <c r="A2407" t="str">
        <f t="shared" si="309"/>
        <v>316LØ1</v>
      </c>
      <c r="B2407" s="81" t="s">
        <v>298</v>
      </c>
      <c r="D2407" s="86">
        <v>1</v>
      </c>
      <c r="E2407" s="85">
        <f t="shared" si="313"/>
        <v>1E-3</v>
      </c>
      <c r="F2407" s="85">
        <f t="shared" si="314"/>
        <v>5.0000000000000001E-4</v>
      </c>
      <c r="G2407" s="85">
        <f t="shared" si="315"/>
        <v>5.2359877559829886E-10</v>
      </c>
      <c r="H2407" s="85">
        <v>7950</v>
      </c>
      <c r="I2407" s="85">
        <f t="shared" si="316"/>
        <v>4.1626102660064759E-6</v>
      </c>
      <c r="J2407" s="87">
        <v>1</v>
      </c>
      <c r="K2407" s="88">
        <f t="shared" si="317"/>
        <v>240233.87636512503</v>
      </c>
    </row>
    <row r="2408" spans="1:11" hidden="1" x14ac:dyDescent="0.25">
      <c r="A2408" t="str">
        <f t="shared" si="309"/>
        <v>Wc-CoØ0,6</v>
      </c>
      <c r="B2408" s="81" t="s">
        <v>206</v>
      </c>
      <c r="D2408" s="86">
        <v>0.6</v>
      </c>
      <c r="E2408" s="85">
        <f t="shared" si="313"/>
        <v>5.9999999999999995E-4</v>
      </c>
      <c r="F2408" s="85">
        <f t="shared" si="314"/>
        <v>2.9999999999999997E-4</v>
      </c>
      <c r="G2408" s="85">
        <f t="shared" si="315"/>
        <v>1.1309733552923252E-10</v>
      </c>
      <c r="H2408" s="85">
        <v>14950</v>
      </c>
      <c r="I2408" s="85">
        <f t="shared" si="316"/>
        <v>1.690805166162026E-6</v>
      </c>
      <c r="J2408" s="87">
        <v>1</v>
      </c>
      <c r="K2408" s="88">
        <f t="shared" si="317"/>
        <v>591434.19952395174</v>
      </c>
    </row>
    <row r="2409" spans="1:11" hidden="1" x14ac:dyDescent="0.25">
      <c r="A2409" t="str">
        <f t="shared" si="309"/>
        <v>52100Ø1</v>
      </c>
      <c r="B2409" s="81">
        <v>52100</v>
      </c>
      <c r="D2409" s="86">
        <v>1</v>
      </c>
      <c r="E2409" s="85">
        <f t="shared" si="313"/>
        <v>1E-3</v>
      </c>
      <c r="F2409" s="85">
        <f t="shared" si="314"/>
        <v>5.0000000000000001E-4</v>
      </c>
      <c r="G2409" s="85">
        <f t="shared" si="315"/>
        <v>5.2359877559829886E-10</v>
      </c>
      <c r="H2409" s="85">
        <v>7800</v>
      </c>
      <c r="I2409" s="85">
        <f t="shared" si="316"/>
        <v>4.0840704496667312E-6</v>
      </c>
      <c r="J2409" s="87">
        <v>1</v>
      </c>
      <c r="K2409" s="88">
        <f t="shared" si="317"/>
        <v>244853.75860291591</v>
      </c>
    </row>
    <row r="2410" spans="1:11" hidden="1" x14ac:dyDescent="0.25">
      <c r="A2410" t="str">
        <f t="shared" si="309"/>
        <v>ZrO2Ø1</v>
      </c>
      <c r="B2410" s="81" t="s">
        <v>205</v>
      </c>
      <c r="D2410" s="86">
        <v>1</v>
      </c>
      <c r="E2410" s="85">
        <f t="shared" si="313"/>
        <v>1E-3</v>
      </c>
      <c r="F2410" s="85">
        <f t="shared" si="314"/>
        <v>5.0000000000000001E-4</v>
      </c>
      <c r="G2410" s="85">
        <f t="shared" si="315"/>
        <v>5.2359877559829886E-10</v>
      </c>
      <c r="H2410" s="85">
        <v>6000</v>
      </c>
      <c r="I2410" s="85">
        <f t="shared" si="316"/>
        <v>3.1415926535897933E-6</v>
      </c>
      <c r="J2410" s="87">
        <v>1</v>
      </c>
      <c r="K2410" s="88">
        <f t="shared" si="317"/>
        <v>318309.88618379069</v>
      </c>
    </row>
    <row r="2411" spans="1:11" hidden="1" x14ac:dyDescent="0.25">
      <c r="A2411" t="str">
        <f t="shared" si="309"/>
        <v>ZrO2Ø2</v>
      </c>
      <c r="B2411" s="81" t="s">
        <v>205</v>
      </c>
      <c r="D2411" s="86">
        <v>2</v>
      </c>
      <c r="E2411" s="85">
        <f t="shared" si="313"/>
        <v>2E-3</v>
      </c>
      <c r="F2411" s="85">
        <f t="shared" si="314"/>
        <v>1E-3</v>
      </c>
      <c r="G2411" s="85">
        <f t="shared" si="315"/>
        <v>4.1887902047863909E-9</v>
      </c>
      <c r="H2411" s="85">
        <v>6000</v>
      </c>
      <c r="I2411" s="85">
        <f t="shared" si="316"/>
        <v>2.5132741228718347E-5</v>
      </c>
      <c r="J2411" s="87">
        <v>1</v>
      </c>
      <c r="K2411" s="88">
        <f t="shared" si="317"/>
        <v>39788.735772973836</v>
      </c>
    </row>
    <row r="2412" spans="1:11" hidden="1" x14ac:dyDescent="0.25">
      <c r="A2412" t="str">
        <f t="shared" si="309"/>
        <v>316LØ1</v>
      </c>
      <c r="B2412" s="81" t="s">
        <v>298</v>
      </c>
      <c r="D2412" s="86">
        <v>1</v>
      </c>
      <c r="E2412" s="85">
        <f t="shared" si="313"/>
        <v>1E-3</v>
      </c>
      <c r="F2412" s="85">
        <f t="shared" si="314"/>
        <v>5.0000000000000001E-4</v>
      </c>
      <c r="G2412" s="85">
        <f t="shared" si="315"/>
        <v>5.2359877559829886E-10</v>
      </c>
      <c r="H2412" s="85">
        <v>7950</v>
      </c>
      <c r="I2412" s="85">
        <f t="shared" si="316"/>
        <v>4.1626102660064759E-6</v>
      </c>
      <c r="J2412" s="87">
        <v>1</v>
      </c>
      <c r="K2412" s="88">
        <f t="shared" si="317"/>
        <v>240233.87636512503</v>
      </c>
    </row>
    <row r="2413" spans="1:11" hidden="1" x14ac:dyDescent="0.25">
      <c r="A2413" t="str">
        <f t="shared" si="309"/>
        <v>Wc-CoØ2,778125</v>
      </c>
      <c r="B2413" s="81" t="s">
        <v>206</v>
      </c>
      <c r="C2413" s="101" t="s">
        <v>247</v>
      </c>
      <c r="D2413" s="86">
        <f>7/64*25.4</f>
        <v>2.7781249999999997</v>
      </c>
      <c r="E2413" s="85">
        <f t="shared" si="313"/>
        <v>2.7781249999999998E-3</v>
      </c>
      <c r="F2413" s="85">
        <f t="shared" si="314"/>
        <v>1.3890624999999999E-3</v>
      </c>
      <c r="G2413" s="85">
        <f t="shared" si="315"/>
        <v>1.1226747892743984E-8</v>
      </c>
      <c r="H2413" s="85">
        <v>14950</v>
      </c>
      <c r="I2413" s="85">
        <f t="shared" si="316"/>
        <v>1.6783988099652256E-4</v>
      </c>
      <c r="J2413" s="87">
        <v>1</v>
      </c>
      <c r="K2413" s="88">
        <f t="shared" si="317"/>
        <v>5958.059515191856</v>
      </c>
    </row>
    <row r="2414" spans="1:11" hidden="1" x14ac:dyDescent="0.25">
      <c r="A2414" t="str">
        <f t="shared" si="309"/>
        <v>Alluminio serie 2Ø1</v>
      </c>
      <c r="B2414" s="81" t="s">
        <v>323</v>
      </c>
      <c r="D2414" s="86">
        <v>1</v>
      </c>
      <c r="E2414" s="85">
        <f t="shared" si="313"/>
        <v>1E-3</v>
      </c>
      <c r="F2414" s="85">
        <f t="shared" si="314"/>
        <v>5.0000000000000001E-4</v>
      </c>
      <c r="G2414" s="85">
        <f t="shared" si="315"/>
        <v>5.2359877559829886E-10</v>
      </c>
      <c r="H2414" s="85">
        <v>2780</v>
      </c>
      <c r="I2414" s="85">
        <f t="shared" si="316"/>
        <v>1.4556045961632709E-6</v>
      </c>
      <c r="J2414" s="87">
        <v>1</v>
      </c>
      <c r="K2414" s="88">
        <f t="shared" si="317"/>
        <v>686999.75435350498</v>
      </c>
    </row>
    <row r="2415" spans="1:11" hidden="1" x14ac:dyDescent="0.25">
      <c r="A2415" t="str">
        <f t="shared" si="309"/>
        <v>Alluminio serie 2Ø1</v>
      </c>
      <c r="B2415" s="81" t="s">
        <v>323</v>
      </c>
      <c r="D2415" s="86">
        <v>1</v>
      </c>
      <c r="E2415" s="85">
        <f t="shared" si="313"/>
        <v>1E-3</v>
      </c>
      <c r="F2415" s="85">
        <f t="shared" si="314"/>
        <v>5.0000000000000001E-4</v>
      </c>
      <c r="G2415" s="85">
        <f t="shared" si="315"/>
        <v>5.2359877559829886E-10</v>
      </c>
      <c r="H2415" s="85">
        <v>2780</v>
      </c>
      <c r="I2415" s="85">
        <f t="shared" si="316"/>
        <v>1.4556045961632709E-6</v>
      </c>
      <c r="J2415" s="87">
        <v>1</v>
      </c>
      <c r="K2415" s="88">
        <f t="shared" si="317"/>
        <v>686999.75435350498</v>
      </c>
    </row>
    <row r="2416" spans="1:11" hidden="1" x14ac:dyDescent="0.25">
      <c r="A2416" t="str">
        <f t="shared" si="309"/>
        <v>Wc-CoØ2,778125</v>
      </c>
      <c r="B2416" s="81" t="s">
        <v>206</v>
      </c>
      <c r="C2416" s="101" t="s">
        <v>247</v>
      </c>
      <c r="D2416" s="86">
        <f>7/64*25.4</f>
        <v>2.7781249999999997</v>
      </c>
      <c r="E2416" s="85">
        <f t="shared" si="313"/>
        <v>2.7781249999999998E-3</v>
      </c>
      <c r="F2416" s="85">
        <f t="shared" si="314"/>
        <v>1.3890624999999999E-3</v>
      </c>
      <c r="G2416" s="85">
        <f t="shared" si="315"/>
        <v>1.1226747892743984E-8</v>
      </c>
      <c r="H2416" s="85">
        <v>14950</v>
      </c>
      <c r="I2416" s="85">
        <f t="shared" si="316"/>
        <v>1.6783988099652256E-4</v>
      </c>
      <c r="J2416" s="87">
        <v>1</v>
      </c>
      <c r="K2416" s="88">
        <f t="shared" si="317"/>
        <v>5958.059515191856</v>
      </c>
    </row>
    <row r="2417" spans="1:11" hidden="1" x14ac:dyDescent="0.25">
      <c r="A2417" t="str">
        <f t="shared" si="309"/>
        <v>Wc-CoØ1</v>
      </c>
      <c r="B2417" s="81" t="s">
        <v>206</v>
      </c>
      <c r="D2417" s="86">
        <v>1</v>
      </c>
      <c r="E2417" s="85">
        <f t="shared" si="313"/>
        <v>1E-3</v>
      </c>
      <c r="F2417" s="85">
        <f t="shared" si="314"/>
        <v>5.0000000000000001E-4</v>
      </c>
      <c r="G2417" s="85">
        <f t="shared" si="315"/>
        <v>5.2359877559829886E-10</v>
      </c>
      <c r="H2417" s="85">
        <v>14950</v>
      </c>
      <c r="I2417" s="85">
        <f t="shared" si="316"/>
        <v>7.8278016951945674E-6</v>
      </c>
      <c r="J2417" s="87">
        <v>1</v>
      </c>
      <c r="K2417" s="88">
        <f t="shared" si="317"/>
        <v>127749.78709717352</v>
      </c>
    </row>
    <row r="2418" spans="1:11" hidden="1" x14ac:dyDescent="0.25">
      <c r="A2418" t="str">
        <f t="shared" si="309"/>
        <v>52100Ø1,34</v>
      </c>
      <c r="B2418" s="81">
        <v>52100</v>
      </c>
      <c r="D2418" s="86">
        <v>1.34</v>
      </c>
      <c r="E2418" s="85">
        <f t="shared" si="313"/>
        <v>1.34E-3</v>
      </c>
      <c r="F2418" s="85">
        <f t="shared" si="314"/>
        <v>6.7000000000000002E-4</v>
      </c>
      <c r="G2418" s="85">
        <f t="shared" si="315"/>
        <v>1.2598331083621693E-9</v>
      </c>
      <c r="H2418" s="85">
        <v>7800</v>
      </c>
      <c r="I2418" s="85">
        <f t="shared" si="316"/>
        <v>9.82669824522492E-6</v>
      </c>
      <c r="J2418" s="87">
        <v>1</v>
      </c>
      <c r="K2418" s="88">
        <f t="shared" si="317"/>
        <v>101763.58071094014</v>
      </c>
    </row>
    <row r="2419" spans="1:11" hidden="1" x14ac:dyDescent="0.25">
      <c r="A2419" t="str">
        <f t="shared" si="309"/>
        <v>52100Ø0,5</v>
      </c>
      <c r="B2419" s="81">
        <v>52100</v>
      </c>
      <c r="D2419" s="86">
        <v>0.5</v>
      </c>
      <c r="E2419" s="85">
        <f t="shared" si="313"/>
        <v>5.0000000000000001E-4</v>
      </c>
      <c r="F2419" s="85">
        <f t="shared" si="314"/>
        <v>2.5000000000000001E-4</v>
      </c>
      <c r="G2419" s="85">
        <f t="shared" si="315"/>
        <v>6.5449846949787358E-11</v>
      </c>
      <c r="H2419" s="85">
        <v>7800</v>
      </c>
      <c r="I2419" s="85">
        <f t="shared" si="316"/>
        <v>5.1050880620834141E-7</v>
      </c>
      <c r="J2419" s="87">
        <v>1</v>
      </c>
      <c r="K2419" s="88">
        <f t="shared" si="317"/>
        <v>1958830.0688233273</v>
      </c>
    </row>
    <row r="2420" spans="1:11" hidden="1" x14ac:dyDescent="0.25">
      <c r="A2420" t="str">
        <f t="shared" si="309"/>
        <v>52100Ø0,5</v>
      </c>
      <c r="B2420" s="81">
        <v>52100</v>
      </c>
      <c r="D2420" s="86">
        <v>0.5</v>
      </c>
      <c r="E2420" s="85">
        <f t="shared" si="313"/>
        <v>5.0000000000000001E-4</v>
      </c>
      <c r="F2420" s="85">
        <f t="shared" si="314"/>
        <v>2.5000000000000001E-4</v>
      </c>
      <c r="G2420" s="85">
        <f t="shared" si="315"/>
        <v>6.5449846949787358E-11</v>
      </c>
      <c r="H2420" s="85">
        <v>7800</v>
      </c>
      <c r="I2420" s="85">
        <f t="shared" si="316"/>
        <v>5.1050880620834141E-7</v>
      </c>
      <c r="J2420" s="87">
        <v>1</v>
      </c>
      <c r="K2420" s="88">
        <f t="shared" si="317"/>
        <v>1958830.0688233273</v>
      </c>
    </row>
    <row r="2421" spans="1:11" hidden="1" x14ac:dyDescent="0.25">
      <c r="A2421" t="str">
        <f t="shared" si="309"/>
        <v>Alluminio serie 2Ø1</v>
      </c>
      <c r="B2421" s="81" t="s">
        <v>323</v>
      </c>
      <c r="D2421" s="86">
        <v>1</v>
      </c>
      <c r="E2421" s="85">
        <f t="shared" si="313"/>
        <v>1E-3</v>
      </c>
      <c r="F2421" s="85">
        <f t="shared" si="314"/>
        <v>5.0000000000000001E-4</v>
      </c>
      <c r="G2421" s="85">
        <f t="shared" si="315"/>
        <v>5.2359877559829886E-10</v>
      </c>
      <c r="H2421" s="85">
        <v>2780</v>
      </c>
      <c r="I2421" s="85">
        <f t="shared" si="316"/>
        <v>1.4556045961632709E-6</v>
      </c>
      <c r="J2421" s="87">
        <v>1</v>
      </c>
      <c r="K2421" s="88">
        <f t="shared" si="317"/>
        <v>686999.75435350498</v>
      </c>
    </row>
    <row r="2422" spans="1:11" hidden="1" x14ac:dyDescent="0.25">
      <c r="A2422" t="str">
        <f t="shared" si="309"/>
        <v>PPHØ5</v>
      </c>
      <c r="B2422" s="81" t="s">
        <v>202</v>
      </c>
      <c r="D2422" s="86">
        <v>5</v>
      </c>
      <c r="E2422" s="85">
        <f t="shared" si="313"/>
        <v>5.0000000000000001E-3</v>
      </c>
      <c r="F2422" s="85">
        <f t="shared" si="314"/>
        <v>2.5000000000000001E-3</v>
      </c>
      <c r="G2422" s="85">
        <f t="shared" si="315"/>
        <v>6.5449846949787352E-8</v>
      </c>
      <c r="H2422" s="85">
        <v>870</v>
      </c>
      <c r="I2422" s="85">
        <f t="shared" si="316"/>
        <v>5.6941366846314999E-5</v>
      </c>
      <c r="J2422" s="87">
        <v>1</v>
      </c>
      <c r="K2422" s="88">
        <f t="shared" si="317"/>
        <v>17561.924754967764</v>
      </c>
    </row>
    <row r="2423" spans="1:11" hidden="1" x14ac:dyDescent="0.25">
      <c r="A2423" t="str">
        <f t="shared" si="309"/>
        <v>POMØ3</v>
      </c>
      <c r="B2423" s="81" t="s">
        <v>201</v>
      </c>
      <c r="D2423" s="86">
        <v>3</v>
      </c>
      <c r="E2423" s="85">
        <f t="shared" si="313"/>
        <v>3.0000000000000001E-3</v>
      </c>
      <c r="F2423" s="85">
        <f t="shared" si="314"/>
        <v>1.5E-3</v>
      </c>
      <c r="G2423" s="85">
        <f t="shared" si="315"/>
        <v>1.4137166941154068E-8</v>
      </c>
      <c r="H2423" s="85">
        <v>1370</v>
      </c>
      <c r="I2423" s="85">
        <f t="shared" si="316"/>
        <v>1.9367918709381075E-5</v>
      </c>
      <c r="J2423" s="87">
        <v>1</v>
      </c>
      <c r="K2423" s="88">
        <f t="shared" si="317"/>
        <v>51631.773914645688</v>
      </c>
    </row>
    <row r="2424" spans="1:11" hidden="1" x14ac:dyDescent="0.25">
      <c r="A2424" t="str">
        <f t="shared" si="309"/>
        <v>52100Ø1</v>
      </c>
      <c r="B2424" s="81">
        <v>52100</v>
      </c>
      <c r="D2424" s="86">
        <v>1</v>
      </c>
      <c r="E2424" s="85">
        <f t="shared" si="313"/>
        <v>1E-3</v>
      </c>
      <c r="F2424" s="85">
        <f t="shared" si="314"/>
        <v>5.0000000000000001E-4</v>
      </c>
      <c r="G2424" s="85">
        <f t="shared" si="315"/>
        <v>5.2359877559829886E-10</v>
      </c>
      <c r="H2424" s="85">
        <v>7800</v>
      </c>
      <c r="I2424" s="85">
        <f t="shared" si="316"/>
        <v>4.0840704496667312E-6</v>
      </c>
      <c r="J2424" s="87">
        <v>1</v>
      </c>
      <c r="K2424" s="88">
        <f t="shared" si="317"/>
        <v>244853.75860291591</v>
      </c>
    </row>
    <row r="2425" spans="1:11" hidden="1" x14ac:dyDescent="0.25">
      <c r="A2425" t="str">
        <f t="shared" si="309"/>
        <v>POMØ7,9375</v>
      </c>
      <c r="B2425" s="81" t="s">
        <v>201</v>
      </c>
      <c r="C2425" s="101" t="s">
        <v>252</v>
      </c>
      <c r="D2425" s="86">
        <f>5/16*25.4</f>
        <v>7.9375</v>
      </c>
      <c r="E2425" s="85">
        <f t="shared" si="313"/>
        <v>7.9375000000000001E-3</v>
      </c>
      <c r="F2425" s="85">
        <f t="shared" si="314"/>
        <v>3.9687500000000001E-3</v>
      </c>
      <c r="G2425" s="85">
        <f t="shared" si="315"/>
        <v>2.6184834735262947E-7</v>
      </c>
      <c r="H2425" s="85">
        <v>1370</v>
      </c>
      <c r="I2425" s="85">
        <f t="shared" si="316"/>
        <v>3.5873223587310236E-4</v>
      </c>
      <c r="J2425" s="87">
        <v>1</v>
      </c>
      <c r="K2425" s="88">
        <f t="shared" si="317"/>
        <v>2787.5944785562542</v>
      </c>
    </row>
    <row r="2426" spans="1:11" hidden="1" x14ac:dyDescent="0.25">
      <c r="A2426" t="str">
        <f t="shared" si="309"/>
        <v>NBRØ4,7625</v>
      </c>
      <c r="B2426" s="81" t="s">
        <v>341</v>
      </c>
      <c r="C2426" s="101" t="s">
        <v>248</v>
      </c>
      <c r="D2426" s="86">
        <f>3/16*25.4</f>
        <v>4.7624999999999993</v>
      </c>
      <c r="E2426" s="85">
        <f t="shared" si="313"/>
        <v>4.7624999999999994E-3</v>
      </c>
      <c r="F2426" s="85">
        <f t="shared" si="314"/>
        <v>2.3812499999999997E-3</v>
      </c>
      <c r="G2426" s="85">
        <f t="shared" si="315"/>
        <v>5.6559243028167934E-8</v>
      </c>
      <c r="H2426" s="85">
        <v>1395</v>
      </c>
      <c r="I2426" s="85">
        <f t="shared" si="316"/>
        <v>7.8900144024294261E-5</v>
      </c>
      <c r="J2426" s="87">
        <v>1</v>
      </c>
      <c r="K2426" s="88">
        <f t="shared" si="317"/>
        <v>12674.248093794207</v>
      </c>
    </row>
    <row r="2427" spans="1:11" hidden="1" x14ac:dyDescent="0.25">
      <c r="A2427" t="str">
        <f t="shared" si="309"/>
        <v>OttoneØ1,5875</v>
      </c>
      <c r="B2427" s="81" t="s">
        <v>216</v>
      </c>
      <c r="C2427" s="101" t="s">
        <v>246</v>
      </c>
      <c r="D2427" s="86">
        <f>1/16*25.4</f>
        <v>1.5874999999999999</v>
      </c>
      <c r="E2427" s="85">
        <f t="shared" si="313"/>
        <v>1.5874999999999999E-3</v>
      </c>
      <c r="F2427" s="85">
        <f t="shared" si="314"/>
        <v>7.9374999999999997E-4</v>
      </c>
      <c r="G2427" s="85">
        <f t="shared" si="315"/>
        <v>2.0947867788210349E-9</v>
      </c>
      <c r="H2427" s="85">
        <v>8490</v>
      </c>
      <c r="I2427" s="85">
        <f t="shared" si="316"/>
        <v>1.7784739752190586E-5</v>
      </c>
      <c r="J2427" s="87">
        <v>1</v>
      </c>
      <c r="K2427" s="88">
        <f t="shared" si="317"/>
        <v>56227.980500913865</v>
      </c>
    </row>
    <row r="2428" spans="1:11" hidden="1" x14ac:dyDescent="0.25">
      <c r="A2428" t="str">
        <f t="shared" si="309"/>
        <v>Wc-CoØ2</v>
      </c>
      <c r="B2428" s="81" t="s">
        <v>206</v>
      </c>
      <c r="D2428" s="86">
        <v>2</v>
      </c>
      <c r="E2428" s="85">
        <f t="shared" si="313"/>
        <v>2E-3</v>
      </c>
      <c r="F2428" s="85">
        <f t="shared" si="314"/>
        <v>1E-3</v>
      </c>
      <c r="G2428" s="85">
        <f t="shared" si="315"/>
        <v>4.1887902047863909E-9</v>
      </c>
      <c r="H2428" s="85">
        <v>14950</v>
      </c>
      <c r="I2428" s="85">
        <f t="shared" si="316"/>
        <v>6.2622413561556539E-5</v>
      </c>
      <c r="J2428" s="87">
        <v>1</v>
      </c>
      <c r="K2428" s="88">
        <f t="shared" si="317"/>
        <v>15968.723387146691</v>
      </c>
    </row>
    <row r="2429" spans="1:11" hidden="1" x14ac:dyDescent="0.25">
      <c r="A2429" t="str">
        <f t="shared" si="309"/>
        <v>Al2O3Ø0,5</v>
      </c>
      <c r="B2429" s="81" t="s">
        <v>217</v>
      </c>
      <c r="D2429" s="86">
        <v>0.5</v>
      </c>
      <c r="E2429" s="85">
        <f t="shared" si="313"/>
        <v>5.0000000000000001E-4</v>
      </c>
      <c r="F2429" s="85">
        <f t="shared" si="314"/>
        <v>2.5000000000000001E-4</v>
      </c>
      <c r="G2429" s="85">
        <f t="shared" si="315"/>
        <v>6.5449846949787358E-11</v>
      </c>
      <c r="H2429" s="85">
        <v>3900</v>
      </c>
      <c r="I2429" s="85">
        <f t="shared" si="316"/>
        <v>2.552544031041707E-7</v>
      </c>
      <c r="J2429" s="87">
        <v>1</v>
      </c>
      <c r="K2429" s="88">
        <f t="shared" si="317"/>
        <v>3917660.1376466546</v>
      </c>
    </row>
    <row r="2430" spans="1:11" hidden="1" x14ac:dyDescent="0.25">
      <c r="A2430" t="str">
        <f t="shared" si="309"/>
        <v>ZrO2Ø0,5</v>
      </c>
      <c r="B2430" s="81" t="s">
        <v>205</v>
      </c>
      <c r="D2430" s="86">
        <v>0.5</v>
      </c>
      <c r="E2430" s="85">
        <f t="shared" si="313"/>
        <v>5.0000000000000001E-4</v>
      </c>
      <c r="F2430" s="85">
        <f t="shared" si="314"/>
        <v>2.5000000000000001E-4</v>
      </c>
      <c r="G2430" s="85">
        <f t="shared" si="315"/>
        <v>6.5449846949787358E-11</v>
      </c>
      <c r="H2430" s="85">
        <v>6000</v>
      </c>
      <c r="I2430" s="85">
        <f t="shared" si="316"/>
        <v>3.9269908169872417E-7</v>
      </c>
      <c r="J2430" s="87">
        <v>1</v>
      </c>
      <c r="K2430" s="88">
        <f t="shared" si="317"/>
        <v>2546479.0894703255</v>
      </c>
    </row>
    <row r="2431" spans="1:11" hidden="1" x14ac:dyDescent="0.25">
      <c r="A2431" t="str">
        <f t="shared" si="309"/>
        <v>ZrO2Ø1</v>
      </c>
      <c r="B2431" s="81" t="s">
        <v>205</v>
      </c>
      <c r="D2431" s="86">
        <v>1</v>
      </c>
      <c r="E2431" s="85">
        <f t="shared" si="313"/>
        <v>1E-3</v>
      </c>
      <c r="F2431" s="85">
        <f t="shared" si="314"/>
        <v>5.0000000000000001E-4</v>
      </c>
      <c r="G2431" s="85">
        <f t="shared" si="315"/>
        <v>5.2359877559829886E-10</v>
      </c>
      <c r="H2431" s="85">
        <v>6000</v>
      </c>
      <c r="I2431" s="85">
        <f t="shared" si="316"/>
        <v>3.1415926535897933E-6</v>
      </c>
      <c r="J2431" s="87">
        <v>1</v>
      </c>
      <c r="K2431" s="88">
        <f t="shared" si="317"/>
        <v>318309.88618379069</v>
      </c>
    </row>
    <row r="2432" spans="1:11" hidden="1" x14ac:dyDescent="0.25">
      <c r="A2432" t="str">
        <f t="shared" si="309"/>
        <v>52100Ø1,5875</v>
      </c>
      <c r="B2432" s="81">
        <v>52100</v>
      </c>
      <c r="C2432" s="101" t="s">
        <v>246</v>
      </c>
      <c r="D2432" s="86">
        <f>1/16*25.4</f>
        <v>1.5874999999999999</v>
      </c>
      <c r="E2432" s="85">
        <f t="shared" si="313"/>
        <v>1.5874999999999999E-3</v>
      </c>
      <c r="F2432" s="85">
        <f t="shared" si="314"/>
        <v>7.9374999999999997E-4</v>
      </c>
      <c r="G2432" s="85">
        <f t="shared" si="315"/>
        <v>2.0947867788210349E-9</v>
      </c>
      <c r="H2432" s="85">
        <v>7800</v>
      </c>
      <c r="I2432" s="85">
        <f t="shared" si="316"/>
        <v>1.6339336874804071E-5</v>
      </c>
      <c r="J2432" s="87">
        <v>1</v>
      </c>
      <c r="K2432" s="88">
        <f t="shared" si="317"/>
        <v>61201.994160610098</v>
      </c>
    </row>
    <row r="2433" spans="1:11" hidden="1" x14ac:dyDescent="0.25">
      <c r="A2433" t="str">
        <f t="shared" si="309"/>
        <v>Wc-CoØ0,6</v>
      </c>
      <c r="B2433" s="81" t="s">
        <v>206</v>
      </c>
      <c r="D2433" s="86">
        <v>0.6</v>
      </c>
      <c r="E2433" s="85">
        <f t="shared" si="313"/>
        <v>5.9999999999999995E-4</v>
      </c>
      <c r="F2433" s="85">
        <f t="shared" si="314"/>
        <v>2.9999999999999997E-4</v>
      </c>
      <c r="G2433" s="85">
        <f t="shared" si="315"/>
        <v>1.1309733552923252E-10</v>
      </c>
      <c r="H2433" s="85">
        <v>14950</v>
      </c>
      <c r="I2433" s="85">
        <f t="shared" si="316"/>
        <v>1.690805166162026E-6</v>
      </c>
      <c r="J2433" s="87">
        <v>1</v>
      </c>
      <c r="K2433" s="88">
        <f t="shared" si="317"/>
        <v>591434.19952395174</v>
      </c>
    </row>
    <row r="2434" spans="1:11" hidden="1" x14ac:dyDescent="0.25">
      <c r="A2434" t="str">
        <f t="shared" si="309"/>
        <v>304Ø1,5875</v>
      </c>
      <c r="B2434" s="81">
        <v>304</v>
      </c>
      <c r="C2434" s="101" t="s">
        <v>246</v>
      </c>
      <c r="D2434" s="86">
        <f>1/16*25.4</f>
        <v>1.5874999999999999</v>
      </c>
      <c r="E2434" s="85">
        <f t="shared" si="313"/>
        <v>1.5874999999999999E-3</v>
      </c>
      <c r="F2434" s="85">
        <f t="shared" si="314"/>
        <v>7.9374999999999997E-4</v>
      </c>
      <c r="G2434" s="85">
        <f t="shared" si="315"/>
        <v>2.0947867788210349E-9</v>
      </c>
      <c r="H2434" s="85">
        <v>7950</v>
      </c>
      <c r="I2434" s="85">
        <f t="shared" si="316"/>
        <v>1.6653554891627226E-5</v>
      </c>
      <c r="J2434" s="87">
        <v>1</v>
      </c>
      <c r="K2434" s="88">
        <f t="shared" si="317"/>
        <v>60047.239553806132</v>
      </c>
    </row>
    <row r="2435" spans="1:11" hidden="1" x14ac:dyDescent="0.25">
      <c r="A2435" t="str">
        <f t="shared" si="309"/>
        <v>440CØ1,5875</v>
      </c>
      <c r="B2435" s="81" t="s">
        <v>314</v>
      </c>
      <c r="C2435" s="101" t="s">
        <v>246</v>
      </c>
      <c r="D2435" s="86">
        <f>1/16*25.4</f>
        <v>1.5874999999999999</v>
      </c>
      <c r="E2435" s="85">
        <f t="shared" si="313"/>
        <v>1.5874999999999999E-3</v>
      </c>
      <c r="F2435" s="85">
        <f t="shared" si="314"/>
        <v>7.9374999999999997E-4</v>
      </c>
      <c r="G2435" s="85">
        <f t="shared" si="315"/>
        <v>2.0947867788210349E-9</v>
      </c>
      <c r="H2435" s="85">
        <v>7700</v>
      </c>
      <c r="I2435" s="85">
        <f t="shared" si="316"/>
        <v>1.6129858196921968E-5</v>
      </c>
      <c r="J2435" s="87">
        <v>1</v>
      </c>
      <c r="K2435" s="88">
        <f t="shared" si="317"/>
        <v>61996.825253605035</v>
      </c>
    </row>
    <row r="2436" spans="1:11" hidden="1" x14ac:dyDescent="0.25">
      <c r="A2436" t="str">
        <f t="shared" ref="A2436:A2499" si="318">CONCATENATE(B2436,"Ø",D2436)</f>
        <v>440CØ1,5875</v>
      </c>
      <c r="B2436" s="81" t="s">
        <v>314</v>
      </c>
      <c r="C2436" s="101" t="s">
        <v>246</v>
      </c>
      <c r="D2436" s="86">
        <f>1/16*25.4</f>
        <v>1.5874999999999999</v>
      </c>
      <c r="E2436" s="85">
        <f t="shared" si="313"/>
        <v>1.5874999999999999E-3</v>
      </c>
      <c r="F2436" s="85">
        <f t="shared" si="314"/>
        <v>7.9374999999999997E-4</v>
      </c>
      <c r="G2436" s="85">
        <f t="shared" si="315"/>
        <v>2.0947867788210349E-9</v>
      </c>
      <c r="H2436" s="85">
        <v>7650</v>
      </c>
      <c r="I2436" s="85">
        <f t="shared" si="316"/>
        <v>1.6025118857980915E-5</v>
      </c>
      <c r="J2436" s="87">
        <v>1</v>
      </c>
      <c r="K2436" s="88">
        <f t="shared" si="317"/>
        <v>62402.033261798533</v>
      </c>
    </row>
    <row r="2437" spans="1:11" hidden="1" x14ac:dyDescent="0.25">
      <c r="A2437" t="str">
        <f t="shared" si="318"/>
        <v>52100Ø1</v>
      </c>
      <c r="B2437" s="81">
        <v>52100</v>
      </c>
      <c r="D2437" s="86">
        <v>1</v>
      </c>
      <c r="E2437" s="85">
        <f t="shared" si="313"/>
        <v>1E-3</v>
      </c>
      <c r="F2437" s="85">
        <f t="shared" si="314"/>
        <v>5.0000000000000001E-4</v>
      </c>
      <c r="G2437" s="85">
        <f t="shared" si="315"/>
        <v>5.2359877559829886E-10</v>
      </c>
      <c r="H2437" s="85">
        <v>7800</v>
      </c>
      <c r="I2437" s="85">
        <f t="shared" si="316"/>
        <v>4.0840704496667312E-6</v>
      </c>
      <c r="J2437" s="87">
        <v>1</v>
      </c>
      <c r="K2437" s="88">
        <f t="shared" si="317"/>
        <v>244853.75860291591</v>
      </c>
    </row>
    <row r="2438" spans="1:11" hidden="1" x14ac:dyDescent="0.25">
      <c r="A2438" t="str">
        <f t="shared" si="318"/>
        <v>52100Ø1</v>
      </c>
      <c r="B2438" s="81">
        <v>52100</v>
      </c>
      <c r="D2438" s="86">
        <v>1</v>
      </c>
      <c r="E2438" s="85">
        <f t="shared" si="313"/>
        <v>1E-3</v>
      </c>
      <c r="F2438" s="85">
        <f t="shared" si="314"/>
        <v>5.0000000000000001E-4</v>
      </c>
      <c r="G2438" s="85">
        <f t="shared" si="315"/>
        <v>5.2359877559829886E-10</v>
      </c>
      <c r="H2438" s="85">
        <v>7800</v>
      </c>
      <c r="I2438" s="85">
        <f t="shared" si="316"/>
        <v>4.0840704496667312E-6</v>
      </c>
      <c r="J2438" s="87">
        <v>1</v>
      </c>
      <c r="K2438" s="88">
        <f t="shared" si="317"/>
        <v>244853.75860291591</v>
      </c>
    </row>
    <row r="2439" spans="1:11" hidden="1" x14ac:dyDescent="0.25">
      <c r="A2439" t="str">
        <f t="shared" si="318"/>
        <v>OttoneØ1</v>
      </c>
      <c r="B2439" s="81" t="s">
        <v>216</v>
      </c>
      <c r="D2439" s="86">
        <v>1</v>
      </c>
      <c r="E2439" s="85">
        <f t="shared" si="313"/>
        <v>1E-3</v>
      </c>
      <c r="F2439" s="85">
        <f t="shared" si="314"/>
        <v>5.0000000000000001E-4</v>
      </c>
      <c r="G2439" s="85">
        <f t="shared" si="315"/>
        <v>5.2359877559829886E-10</v>
      </c>
      <c r="H2439" s="85">
        <v>8490</v>
      </c>
      <c r="I2439" s="85">
        <f t="shared" si="316"/>
        <v>4.4453536048295575E-6</v>
      </c>
      <c r="J2439" s="87">
        <v>1</v>
      </c>
      <c r="K2439" s="88">
        <f t="shared" si="317"/>
        <v>224953.98316875665</v>
      </c>
    </row>
    <row r="2440" spans="1:11" hidden="1" x14ac:dyDescent="0.25">
      <c r="A2440" t="str">
        <f t="shared" si="318"/>
        <v>OttoneØ1,5</v>
      </c>
      <c r="B2440" s="81" t="s">
        <v>216</v>
      </c>
      <c r="D2440" s="86">
        <v>1.5</v>
      </c>
      <c r="E2440" s="85">
        <f t="shared" si="313"/>
        <v>1.5E-3</v>
      </c>
      <c r="F2440" s="85">
        <f t="shared" si="314"/>
        <v>7.5000000000000002E-4</v>
      </c>
      <c r="G2440" s="85">
        <f t="shared" si="315"/>
        <v>1.7671458676442585E-9</v>
      </c>
      <c r="H2440" s="85">
        <v>8490</v>
      </c>
      <c r="I2440" s="85">
        <f t="shared" si="316"/>
        <v>1.5003068416299754E-5</v>
      </c>
      <c r="J2440" s="87">
        <v>1</v>
      </c>
      <c r="K2440" s="88">
        <f t="shared" si="317"/>
        <v>66653.032050001988</v>
      </c>
    </row>
    <row r="2441" spans="1:11" hidden="1" x14ac:dyDescent="0.25">
      <c r="A2441" t="str">
        <f t="shared" si="318"/>
        <v>OttoneØ2</v>
      </c>
      <c r="B2441" s="81" t="s">
        <v>216</v>
      </c>
      <c r="D2441" s="86">
        <v>2</v>
      </c>
      <c r="E2441" s="85">
        <f t="shared" si="313"/>
        <v>2E-3</v>
      </c>
      <c r="F2441" s="85">
        <f t="shared" si="314"/>
        <v>1E-3</v>
      </c>
      <c r="G2441" s="85">
        <f t="shared" si="315"/>
        <v>4.1887902047863909E-9</v>
      </c>
      <c r="H2441" s="85">
        <v>8490</v>
      </c>
      <c r="I2441" s="85">
        <f t="shared" si="316"/>
        <v>3.556282883863646E-5</v>
      </c>
      <c r="J2441" s="87">
        <v>1</v>
      </c>
      <c r="K2441" s="88">
        <f t="shared" si="317"/>
        <v>28119.247896094581</v>
      </c>
    </row>
    <row r="2442" spans="1:11" hidden="1" x14ac:dyDescent="0.25">
      <c r="A2442" t="str">
        <f t="shared" si="318"/>
        <v>OttoneØ2,5</v>
      </c>
      <c r="B2442" s="81" t="s">
        <v>216</v>
      </c>
      <c r="D2442" s="86">
        <v>2.5</v>
      </c>
      <c r="E2442" s="85">
        <f t="shared" si="313"/>
        <v>2.5000000000000001E-3</v>
      </c>
      <c r="F2442" s="85">
        <f t="shared" si="314"/>
        <v>1.25E-3</v>
      </c>
      <c r="G2442" s="85">
        <f t="shared" si="315"/>
        <v>8.181230868723419E-9</v>
      </c>
      <c r="H2442" s="85">
        <v>8490</v>
      </c>
      <c r="I2442" s="85">
        <f t="shared" si="316"/>
        <v>6.9458650075461829E-5</v>
      </c>
      <c r="J2442" s="87">
        <v>1</v>
      </c>
      <c r="K2442" s="88">
        <f t="shared" si="317"/>
        <v>14397.054922800427</v>
      </c>
    </row>
    <row r="2443" spans="1:11" hidden="1" x14ac:dyDescent="0.25">
      <c r="A2443" t="str">
        <f t="shared" si="318"/>
        <v>OttoneØ3</v>
      </c>
      <c r="B2443" s="81" t="s">
        <v>216</v>
      </c>
      <c r="D2443" s="86">
        <v>3</v>
      </c>
      <c r="E2443" s="85">
        <f t="shared" si="313"/>
        <v>3.0000000000000001E-3</v>
      </c>
      <c r="F2443" s="85">
        <f t="shared" si="314"/>
        <v>1.5E-3</v>
      </c>
      <c r="G2443" s="85">
        <f t="shared" si="315"/>
        <v>1.4137166941154068E-8</v>
      </c>
      <c r="H2443" s="85">
        <v>8490</v>
      </c>
      <c r="I2443" s="85">
        <f t="shared" si="316"/>
        <v>1.2002454733039803E-4</v>
      </c>
      <c r="J2443" s="87">
        <v>1</v>
      </c>
      <c r="K2443" s="88">
        <f t="shared" si="317"/>
        <v>8331.6290062502485</v>
      </c>
    </row>
    <row r="2444" spans="1:11" hidden="1" x14ac:dyDescent="0.25">
      <c r="A2444" t="str">
        <f t="shared" si="318"/>
        <v>OttoneØ3,5</v>
      </c>
      <c r="B2444" s="81" t="s">
        <v>216</v>
      </c>
      <c r="D2444" s="86">
        <v>3.5</v>
      </c>
      <c r="E2444" s="85">
        <f t="shared" si="313"/>
        <v>3.5000000000000001E-3</v>
      </c>
      <c r="F2444" s="85">
        <f t="shared" si="314"/>
        <v>1.75E-3</v>
      </c>
      <c r="G2444" s="85">
        <f t="shared" si="315"/>
        <v>2.2449297503777064E-8</v>
      </c>
      <c r="H2444" s="85">
        <v>8490</v>
      </c>
      <c r="I2444" s="85">
        <f t="shared" si="316"/>
        <v>1.9059453580706726E-4</v>
      </c>
      <c r="J2444" s="87">
        <v>1</v>
      </c>
      <c r="K2444" s="88">
        <f t="shared" si="317"/>
        <v>5246.7401322158994</v>
      </c>
    </row>
    <row r="2445" spans="1:11" hidden="1" x14ac:dyDescent="0.25">
      <c r="A2445" t="str">
        <f t="shared" si="318"/>
        <v>OttoneØ4</v>
      </c>
      <c r="B2445" s="81" t="s">
        <v>216</v>
      </c>
      <c r="D2445" s="86">
        <v>4</v>
      </c>
      <c r="E2445" s="85">
        <f t="shared" si="313"/>
        <v>4.0000000000000001E-3</v>
      </c>
      <c r="F2445" s="85">
        <f t="shared" si="314"/>
        <v>2E-3</v>
      </c>
      <c r="G2445" s="85">
        <f t="shared" si="315"/>
        <v>3.3510321638291127E-8</v>
      </c>
      <c r="H2445" s="85">
        <v>8490</v>
      </c>
      <c r="I2445" s="85">
        <f t="shared" si="316"/>
        <v>2.8450263070909168E-4</v>
      </c>
      <c r="J2445" s="87">
        <v>1</v>
      </c>
      <c r="K2445" s="88">
        <f t="shared" si="317"/>
        <v>3514.9059870118226</v>
      </c>
    </row>
    <row r="2446" spans="1:11" hidden="1" x14ac:dyDescent="0.25">
      <c r="A2446" t="str">
        <f t="shared" si="318"/>
        <v>OttoneØ4,5</v>
      </c>
      <c r="B2446" s="81" t="s">
        <v>216</v>
      </c>
      <c r="D2446" s="86">
        <v>4.5</v>
      </c>
      <c r="E2446" s="85">
        <f t="shared" si="313"/>
        <v>4.4999999999999997E-3</v>
      </c>
      <c r="F2446" s="85">
        <f t="shared" si="314"/>
        <v>2.2499999999999998E-3</v>
      </c>
      <c r="G2446" s="85">
        <f t="shared" si="315"/>
        <v>4.7712938426394968E-8</v>
      </c>
      <c r="H2446" s="85">
        <v>8490</v>
      </c>
      <c r="I2446" s="85">
        <f t="shared" si="316"/>
        <v>4.0508284724009326E-4</v>
      </c>
      <c r="J2446" s="87">
        <v>1</v>
      </c>
      <c r="K2446" s="88">
        <f t="shared" si="317"/>
        <v>2468.6308166667409</v>
      </c>
    </row>
    <row r="2447" spans="1:11" hidden="1" x14ac:dyDescent="0.25">
      <c r="A2447" t="str">
        <f t="shared" si="318"/>
        <v>OttoneØ5</v>
      </c>
      <c r="B2447" s="81" t="s">
        <v>216</v>
      </c>
      <c r="D2447" s="86">
        <v>5</v>
      </c>
      <c r="E2447" s="85">
        <f t="shared" si="313"/>
        <v>5.0000000000000001E-3</v>
      </c>
      <c r="F2447" s="85">
        <f t="shared" si="314"/>
        <v>2.5000000000000001E-3</v>
      </c>
      <c r="G2447" s="85">
        <f t="shared" si="315"/>
        <v>6.5449846949787352E-8</v>
      </c>
      <c r="H2447" s="85">
        <v>8490</v>
      </c>
      <c r="I2447" s="85">
        <f t="shared" si="316"/>
        <v>5.5566920060369463E-4</v>
      </c>
      <c r="J2447" s="87">
        <v>1</v>
      </c>
      <c r="K2447" s="88">
        <f t="shared" si="317"/>
        <v>1799.6318653500534</v>
      </c>
    </row>
    <row r="2448" spans="1:11" hidden="1" x14ac:dyDescent="0.25">
      <c r="A2448" t="str">
        <f t="shared" si="318"/>
        <v>OttoneØ5,5</v>
      </c>
      <c r="B2448" s="81" t="s">
        <v>216</v>
      </c>
      <c r="D2448" s="86">
        <v>5.5</v>
      </c>
      <c r="E2448" s="85">
        <f t="shared" si="313"/>
        <v>5.4999999999999997E-3</v>
      </c>
      <c r="F2448" s="85">
        <f t="shared" si="314"/>
        <v>2.7499999999999998E-3</v>
      </c>
      <c r="G2448" s="85">
        <f t="shared" si="315"/>
        <v>8.7113746290166939E-8</v>
      </c>
      <c r="H2448" s="85">
        <v>8490</v>
      </c>
      <c r="I2448" s="85">
        <f t="shared" si="316"/>
        <v>7.3959570600351727E-4</v>
      </c>
      <c r="J2448" s="87">
        <v>1</v>
      </c>
      <c r="K2448" s="88">
        <f t="shared" si="317"/>
        <v>1352.0900566116109</v>
      </c>
    </row>
    <row r="2449" spans="1:11" hidden="1" x14ac:dyDescent="0.25">
      <c r="A2449" t="str">
        <f t="shared" si="318"/>
        <v>OttoneØ6</v>
      </c>
      <c r="B2449" s="81" t="s">
        <v>216</v>
      </c>
      <c r="D2449" s="86">
        <v>6</v>
      </c>
      <c r="E2449" s="85">
        <f t="shared" si="313"/>
        <v>6.0000000000000001E-3</v>
      </c>
      <c r="F2449" s="85">
        <f t="shared" si="314"/>
        <v>3.0000000000000001E-3</v>
      </c>
      <c r="G2449" s="85">
        <f t="shared" si="315"/>
        <v>1.1309733552923255E-7</v>
      </c>
      <c r="H2449" s="85">
        <v>8490</v>
      </c>
      <c r="I2449" s="85">
        <f t="shared" si="316"/>
        <v>9.6019637864318426E-4</v>
      </c>
      <c r="J2449" s="87">
        <v>1</v>
      </c>
      <c r="K2449" s="88">
        <f t="shared" si="317"/>
        <v>1041.4536257812811</v>
      </c>
    </row>
    <row r="2450" spans="1:11" hidden="1" x14ac:dyDescent="0.25">
      <c r="A2450" t="str">
        <f t="shared" si="318"/>
        <v>OttoneØ6,5</v>
      </c>
      <c r="B2450" s="81" t="s">
        <v>216</v>
      </c>
      <c r="D2450" s="86">
        <v>6.5</v>
      </c>
      <c r="E2450" s="85">
        <f t="shared" si="313"/>
        <v>6.4999999999999997E-3</v>
      </c>
      <c r="F2450" s="85">
        <f t="shared" si="314"/>
        <v>3.2499999999999999E-3</v>
      </c>
      <c r="G2450" s="85">
        <f t="shared" si="315"/>
        <v>1.4379331374868281E-7</v>
      </c>
      <c r="H2450" s="85">
        <v>8490</v>
      </c>
      <c r="I2450" s="85">
        <f t="shared" si="316"/>
        <v>1.2208052337263171E-3</v>
      </c>
      <c r="J2450" s="87">
        <v>1</v>
      </c>
      <c r="K2450" s="88">
        <f t="shared" si="317"/>
        <v>819.13148172510398</v>
      </c>
    </row>
    <row r="2451" spans="1:11" hidden="1" x14ac:dyDescent="0.25">
      <c r="A2451" t="str">
        <f t="shared" si="318"/>
        <v>OttoneØ7</v>
      </c>
      <c r="B2451" s="81" t="s">
        <v>216</v>
      </c>
      <c r="D2451" s="86">
        <v>7</v>
      </c>
      <c r="E2451" s="85">
        <f t="shared" si="313"/>
        <v>7.0000000000000001E-3</v>
      </c>
      <c r="F2451" s="85">
        <f t="shared" si="314"/>
        <v>3.5000000000000001E-3</v>
      </c>
      <c r="G2451" s="85">
        <f t="shared" si="315"/>
        <v>1.7959438003021651E-7</v>
      </c>
      <c r="H2451" s="85">
        <v>8490</v>
      </c>
      <c r="I2451" s="85">
        <f t="shared" si="316"/>
        <v>1.5247562864565381E-3</v>
      </c>
      <c r="J2451" s="87">
        <v>1</v>
      </c>
      <c r="K2451" s="88">
        <f t="shared" si="317"/>
        <v>655.84251652698742</v>
      </c>
    </row>
    <row r="2452" spans="1:11" hidden="1" x14ac:dyDescent="0.25">
      <c r="A2452" t="str">
        <f t="shared" si="318"/>
        <v>NBRØ2,38125</v>
      </c>
      <c r="B2452" s="81" t="s">
        <v>341</v>
      </c>
      <c r="C2452" s="101" t="s">
        <v>213</v>
      </c>
      <c r="D2452" s="86">
        <f>3/32*25.4</f>
        <v>2.3812499999999996</v>
      </c>
      <c r="E2452" s="85">
        <f t="shared" si="313"/>
        <v>2.3812499999999997E-3</v>
      </c>
      <c r="F2452" s="85">
        <f t="shared" si="314"/>
        <v>1.1906249999999998E-3</v>
      </c>
      <c r="G2452" s="85">
        <f t="shared" si="315"/>
        <v>7.0699053785209917E-9</v>
      </c>
      <c r="H2452" s="85">
        <v>1200</v>
      </c>
      <c r="I2452" s="85">
        <f t="shared" si="316"/>
        <v>8.4838864542251892E-6</v>
      </c>
      <c r="J2452" s="87">
        <v>1</v>
      </c>
      <c r="K2452" s="88">
        <f t="shared" si="317"/>
        <v>117870.50727228614</v>
      </c>
    </row>
    <row r="2453" spans="1:11" hidden="1" x14ac:dyDescent="0.25">
      <c r="A2453" t="str">
        <f t="shared" si="318"/>
        <v>52100Ø0,396875</v>
      </c>
      <c r="B2453" s="81">
        <v>52100</v>
      </c>
      <c r="C2453" s="101" t="s">
        <v>211</v>
      </c>
      <c r="D2453" s="86">
        <f>1/64*25.4</f>
        <v>0.39687499999999998</v>
      </c>
      <c r="E2453" s="85">
        <f t="shared" si="313"/>
        <v>3.9687499999999998E-4</v>
      </c>
      <c r="F2453" s="85">
        <f t="shared" si="314"/>
        <v>1.9843749999999999E-4</v>
      </c>
      <c r="G2453" s="85">
        <f t="shared" si="315"/>
        <v>3.273104341907867E-11</v>
      </c>
      <c r="H2453" s="85">
        <v>7800</v>
      </c>
      <c r="I2453" s="85">
        <f t="shared" si="316"/>
        <v>2.5530213866881361E-7</v>
      </c>
      <c r="J2453" s="87">
        <v>1</v>
      </c>
      <c r="K2453" s="88">
        <f t="shared" si="317"/>
        <v>3916927.6262790463</v>
      </c>
    </row>
    <row r="2454" spans="1:11" hidden="1" x14ac:dyDescent="0.25">
      <c r="A2454" t="str">
        <f t="shared" si="318"/>
        <v>POMØ2</v>
      </c>
      <c r="B2454" s="81" t="s">
        <v>201</v>
      </c>
      <c r="D2454" s="86">
        <v>2</v>
      </c>
      <c r="E2454" s="85">
        <f t="shared" si="313"/>
        <v>2E-3</v>
      </c>
      <c r="F2454" s="85">
        <f t="shared" si="314"/>
        <v>1E-3</v>
      </c>
      <c r="G2454" s="85">
        <f t="shared" si="315"/>
        <v>4.1887902047863909E-9</v>
      </c>
      <c r="H2454" s="85">
        <v>1395</v>
      </c>
      <c r="I2454" s="85">
        <f t="shared" si="316"/>
        <v>5.8433623356770149E-6</v>
      </c>
      <c r="J2454" s="87">
        <v>1</v>
      </c>
      <c r="K2454" s="88">
        <f t="shared" si="317"/>
        <v>171134.34741064016</v>
      </c>
    </row>
    <row r="2455" spans="1:11" hidden="1" x14ac:dyDescent="0.25">
      <c r="A2455" t="str">
        <f t="shared" si="318"/>
        <v>PPHØ10</v>
      </c>
      <c r="B2455" s="81" t="s">
        <v>202</v>
      </c>
      <c r="D2455" s="86">
        <v>10</v>
      </c>
      <c r="E2455" s="85">
        <f t="shared" si="313"/>
        <v>0.01</v>
      </c>
      <c r="F2455" s="85">
        <f t="shared" si="314"/>
        <v>5.0000000000000001E-3</v>
      </c>
      <c r="G2455" s="85">
        <f t="shared" si="315"/>
        <v>5.2359877559829882E-7</v>
      </c>
      <c r="H2455" s="85">
        <v>870</v>
      </c>
      <c r="I2455" s="85">
        <f t="shared" si="316"/>
        <v>4.5553093477051999E-4</v>
      </c>
      <c r="J2455" s="87">
        <v>1</v>
      </c>
      <c r="K2455" s="88">
        <f t="shared" si="317"/>
        <v>2195.2405943709705</v>
      </c>
    </row>
    <row r="2456" spans="1:11" hidden="1" x14ac:dyDescent="0.25">
      <c r="A2456" t="str">
        <f t="shared" si="318"/>
        <v>POMØ12</v>
      </c>
      <c r="B2456" s="81" t="s">
        <v>201</v>
      </c>
      <c r="D2456" s="86">
        <v>12</v>
      </c>
      <c r="E2456" s="85">
        <f>D2456/1000</f>
        <v>1.2E-2</v>
      </c>
      <c r="F2456" s="85">
        <f>E2456/2</f>
        <v>6.0000000000000001E-3</v>
      </c>
      <c r="G2456" s="85">
        <f>4/3*PI()*F2456*F2456*F2456</f>
        <v>9.0477868423386037E-7</v>
      </c>
      <c r="H2456" s="85">
        <v>1370</v>
      </c>
      <c r="I2456" s="85">
        <f>H2456*G2456</f>
        <v>1.2395467974003888E-3</v>
      </c>
      <c r="J2456" s="87">
        <v>1</v>
      </c>
      <c r="K2456" s="88">
        <f>J2456/I2456</f>
        <v>806.74646741633887</v>
      </c>
    </row>
    <row r="2457" spans="1:11" hidden="1" x14ac:dyDescent="0.25">
      <c r="A2457" t="str">
        <f t="shared" si="318"/>
        <v>Wc-CoØ1,5875</v>
      </c>
      <c r="B2457" s="81" t="s">
        <v>206</v>
      </c>
      <c r="C2457" s="101" t="s">
        <v>246</v>
      </c>
      <c r="D2457" s="86">
        <f>1/16*25.4</f>
        <v>1.5874999999999999</v>
      </c>
      <c r="E2457" s="85">
        <f>D2457/1000</f>
        <v>1.5874999999999999E-3</v>
      </c>
      <c r="F2457" s="85">
        <f>E2457/2</f>
        <v>7.9374999999999997E-4</v>
      </c>
      <c r="G2457" s="85">
        <f>4/3*PI()*F2457*F2457*F2457</f>
        <v>2.0947867788210349E-9</v>
      </c>
      <c r="H2457" s="85">
        <v>14950</v>
      </c>
      <c r="I2457" s="85">
        <f>H2457*G2457</f>
        <v>3.1317062343374473E-5</v>
      </c>
      <c r="J2457" s="87">
        <v>1</v>
      </c>
      <c r="K2457" s="88">
        <f>J2457/I2457</f>
        <v>31931.475214231352</v>
      </c>
    </row>
    <row r="2458" spans="1:11" hidden="1" x14ac:dyDescent="0.25">
      <c r="A2458" t="str">
        <f t="shared" si="318"/>
        <v>Al2O3Ø3</v>
      </c>
      <c r="B2458" s="81" t="s">
        <v>217</v>
      </c>
      <c r="D2458" s="86">
        <v>3</v>
      </c>
      <c r="E2458" s="85">
        <f>D2458/1000</f>
        <v>3.0000000000000001E-3</v>
      </c>
      <c r="F2458" s="85">
        <f>E2458/2</f>
        <v>1.5E-3</v>
      </c>
      <c r="G2458" s="85">
        <f>4/3*PI()*F2458*F2458*F2458</f>
        <v>1.4137166941154068E-8</v>
      </c>
      <c r="H2458" s="85">
        <v>3700</v>
      </c>
      <c r="I2458" s="85">
        <f>H2458*G2458</f>
        <v>5.230751768227005E-5</v>
      </c>
      <c r="J2458" s="87">
        <v>1</v>
      </c>
      <c r="K2458" s="88">
        <f>J2458/I2458</f>
        <v>19117.710881909352</v>
      </c>
    </row>
    <row r="2459" spans="1:11" hidden="1" x14ac:dyDescent="0.25">
      <c r="A2459" t="str">
        <f t="shared" si="318"/>
        <v>Al2O3Ø3</v>
      </c>
      <c r="B2459" s="81" t="s">
        <v>217</v>
      </c>
      <c r="D2459" s="86">
        <v>3</v>
      </c>
      <c r="E2459" s="85">
        <f t="shared" ref="E2459:E2467" si="319">D2459/1000</f>
        <v>3.0000000000000001E-3</v>
      </c>
      <c r="F2459" s="85">
        <f t="shared" ref="F2459:F2467" si="320">E2459/2</f>
        <v>1.5E-3</v>
      </c>
      <c r="G2459" s="85">
        <f t="shared" ref="G2459:G2467" si="321">4/3*PI()*F2459*F2459*F2459</f>
        <v>1.4137166941154068E-8</v>
      </c>
      <c r="H2459" s="85">
        <v>3900</v>
      </c>
      <c r="I2459" s="85">
        <f t="shared" ref="I2459:I2467" si="322">H2459*G2459</f>
        <v>5.5134951070500869E-5</v>
      </c>
      <c r="J2459" s="87">
        <v>1</v>
      </c>
      <c r="K2459" s="88">
        <f t="shared" ref="K2459:K2467" si="323">J2459/I2459</f>
        <v>18137.315452067844</v>
      </c>
    </row>
    <row r="2460" spans="1:11" hidden="1" x14ac:dyDescent="0.25">
      <c r="A2460" t="str">
        <f t="shared" si="318"/>
        <v>304Ø2</v>
      </c>
      <c r="B2460" s="81">
        <v>304</v>
      </c>
      <c r="D2460" s="86">
        <v>2</v>
      </c>
      <c r="E2460" s="85">
        <f t="shared" si="319"/>
        <v>2E-3</v>
      </c>
      <c r="F2460" s="85">
        <f t="shared" si="320"/>
        <v>1E-3</v>
      </c>
      <c r="G2460" s="85">
        <f t="shared" si="321"/>
        <v>4.1887902047863909E-9</v>
      </c>
      <c r="H2460" s="85">
        <v>7950</v>
      </c>
      <c r="I2460" s="85">
        <f t="shared" si="322"/>
        <v>3.3300882128051807E-5</v>
      </c>
      <c r="J2460" s="87">
        <v>1</v>
      </c>
      <c r="K2460" s="88">
        <f t="shared" si="323"/>
        <v>30029.234545640629</v>
      </c>
    </row>
    <row r="2461" spans="1:11" hidden="1" x14ac:dyDescent="0.25">
      <c r="A2461" t="str">
        <f t="shared" si="318"/>
        <v>Wc-CoØ1</v>
      </c>
      <c r="B2461" s="81" t="s">
        <v>206</v>
      </c>
      <c r="D2461" s="86">
        <v>1</v>
      </c>
      <c r="E2461" s="85">
        <f t="shared" si="319"/>
        <v>1E-3</v>
      </c>
      <c r="F2461" s="85">
        <f t="shared" si="320"/>
        <v>5.0000000000000001E-4</v>
      </c>
      <c r="G2461" s="85">
        <f t="shared" si="321"/>
        <v>5.2359877559829886E-10</v>
      </c>
      <c r="H2461" s="85">
        <v>14950</v>
      </c>
      <c r="I2461" s="85">
        <f t="shared" si="322"/>
        <v>7.8278016951945674E-6</v>
      </c>
      <c r="J2461" s="87">
        <v>1</v>
      </c>
      <c r="K2461" s="88">
        <f t="shared" si="323"/>
        <v>127749.78709717352</v>
      </c>
    </row>
    <row r="2462" spans="1:11" hidden="1" x14ac:dyDescent="0.25">
      <c r="A2462" t="str">
        <f t="shared" si="318"/>
        <v>CP TitaniumØ1,5</v>
      </c>
      <c r="B2462" s="81" t="s">
        <v>400</v>
      </c>
      <c r="D2462" s="86">
        <v>1.5</v>
      </c>
      <c r="E2462" s="85">
        <f t="shared" si="319"/>
        <v>1.5E-3</v>
      </c>
      <c r="F2462" s="85">
        <f t="shared" si="320"/>
        <v>7.5000000000000002E-4</v>
      </c>
      <c r="G2462" s="85">
        <f t="shared" si="321"/>
        <v>1.7671458676442585E-9</v>
      </c>
      <c r="H2462" s="85">
        <v>4510</v>
      </c>
      <c r="I2462" s="85">
        <f t="shared" si="322"/>
        <v>7.9698278630756056E-6</v>
      </c>
      <c r="J2462" s="87">
        <v>1</v>
      </c>
      <c r="K2462" s="88">
        <f t="shared" si="323"/>
        <v>125473.22441341837</v>
      </c>
    </row>
    <row r="2463" spans="1:11" hidden="1" x14ac:dyDescent="0.25">
      <c r="A2463" t="str">
        <f t="shared" si="318"/>
        <v>316Ø1,3</v>
      </c>
      <c r="B2463" s="81">
        <v>316</v>
      </c>
      <c r="D2463" s="86">
        <v>1.3</v>
      </c>
      <c r="E2463" s="85">
        <f t="shared" si="319"/>
        <v>1.2999999999999999E-3</v>
      </c>
      <c r="F2463" s="85">
        <f t="shared" si="320"/>
        <v>6.4999999999999997E-4</v>
      </c>
      <c r="G2463" s="85">
        <f t="shared" si="321"/>
        <v>1.1503465099894624E-9</v>
      </c>
      <c r="H2463" s="85">
        <v>7950</v>
      </c>
      <c r="I2463" s="85">
        <f t="shared" si="322"/>
        <v>9.1452547544162264E-6</v>
      </c>
      <c r="J2463" s="87">
        <v>1</v>
      </c>
      <c r="K2463" s="88">
        <f t="shared" si="323"/>
        <v>109346.32515481341</v>
      </c>
    </row>
    <row r="2464" spans="1:11" hidden="1" x14ac:dyDescent="0.25">
      <c r="A2464" t="str">
        <f t="shared" si="318"/>
        <v>Wc-CoØ2,778125</v>
      </c>
      <c r="B2464" s="81" t="s">
        <v>206</v>
      </c>
      <c r="C2464" s="101" t="s">
        <v>247</v>
      </c>
      <c r="D2464" s="86">
        <f>7/64*25.4</f>
        <v>2.7781249999999997</v>
      </c>
      <c r="E2464" s="85">
        <f t="shared" si="319"/>
        <v>2.7781249999999998E-3</v>
      </c>
      <c r="F2464" s="85">
        <f t="shared" si="320"/>
        <v>1.3890624999999999E-3</v>
      </c>
      <c r="G2464" s="85">
        <f t="shared" si="321"/>
        <v>1.1226747892743984E-8</v>
      </c>
      <c r="H2464" s="85">
        <v>14950</v>
      </c>
      <c r="I2464" s="85">
        <f t="shared" si="322"/>
        <v>1.6783988099652256E-4</v>
      </c>
      <c r="J2464" s="87">
        <v>1</v>
      </c>
      <c r="K2464" s="88">
        <f t="shared" si="323"/>
        <v>5958.059515191856</v>
      </c>
    </row>
    <row r="2465" spans="1:11" hidden="1" x14ac:dyDescent="0.25">
      <c r="A2465" t="str">
        <f t="shared" si="318"/>
        <v>Wc-CoØ2,778125</v>
      </c>
      <c r="B2465" s="81" t="s">
        <v>206</v>
      </c>
      <c r="C2465" s="101" t="s">
        <v>247</v>
      </c>
      <c r="D2465" s="86">
        <f>7/64*25.4</f>
        <v>2.7781249999999997</v>
      </c>
      <c r="E2465" s="85">
        <f t="shared" si="319"/>
        <v>2.7781249999999998E-3</v>
      </c>
      <c r="F2465" s="85">
        <f t="shared" si="320"/>
        <v>1.3890624999999999E-3</v>
      </c>
      <c r="G2465" s="85">
        <f t="shared" si="321"/>
        <v>1.1226747892743984E-8</v>
      </c>
      <c r="H2465" s="85">
        <v>14950</v>
      </c>
      <c r="I2465" s="85">
        <f t="shared" si="322"/>
        <v>1.6783988099652256E-4</v>
      </c>
      <c r="J2465" s="87">
        <v>1</v>
      </c>
      <c r="K2465" s="88">
        <f t="shared" si="323"/>
        <v>5958.059515191856</v>
      </c>
    </row>
    <row r="2466" spans="1:11" hidden="1" x14ac:dyDescent="0.25">
      <c r="A2466" t="str">
        <f t="shared" si="318"/>
        <v>PTFEØ3</v>
      </c>
      <c r="B2466" s="81" t="s">
        <v>307</v>
      </c>
      <c r="D2466" s="86">
        <v>3</v>
      </c>
      <c r="E2466" s="85">
        <f t="shared" si="319"/>
        <v>3.0000000000000001E-3</v>
      </c>
      <c r="F2466" s="85">
        <f t="shared" si="320"/>
        <v>1.5E-3</v>
      </c>
      <c r="G2466" s="85">
        <f t="shared" si="321"/>
        <v>1.4137166941154068E-8</v>
      </c>
      <c r="H2466" s="85">
        <v>2160</v>
      </c>
      <c r="I2466" s="85">
        <f t="shared" si="322"/>
        <v>3.0536280592892786E-5</v>
      </c>
      <c r="J2466" s="87">
        <v>1</v>
      </c>
      <c r="K2466" s="88">
        <f t="shared" si="323"/>
        <v>32747.930677344724</v>
      </c>
    </row>
    <row r="2467" spans="1:11" hidden="1" x14ac:dyDescent="0.25">
      <c r="A2467" t="str">
        <f t="shared" si="318"/>
        <v>440CØ0,6</v>
      </c>
      <c r="B2467" s="81" t="s">
        <v>314</v>
      </c>
      <c r="D2467" s="86">
        <v>0.6</v>
      </c>
      <c r="E2467" s="85">
        <f t="shared" si="319"/>
        <v>5.9999999999999995E-4</v>
      </c>
      <c r="F2467" s="85">
        <f t="shared" si="320"/>
        <v>2.9999999999999997E-4</v>
      </c>
      <c r="G2467" s="85">
        <f t="shared" si="321"/>
        <v>1.1309733552923252E-10</v>
      </c>
      <c r="H2467" s="85">
        <v>7750</v>
      </c>
      <c r="I2467" s="85">
        <f t="shared" si="322"/>
        <v>8.7650435035155202E-7</v>
      </c>
      <c r="J2467" s="87">
        <v>1</v>
      </c>
      <c r="K2467" s="88">
        <f t="shared" si="323"/>
        <v>1140895.649404268</v>
      </c>
    </row>
    <row r="2468" spans="1:11" hidden="1" x14ac:dyDescent="0.25">
      <c r="A2468" t="str">
        <f t="shared" si="318"/>
        <v>440CØ0,6</v>
      </c>
      <c r="B2468" s="81" t="s">
        <v>314</v>
      </c>
      <c r="D2468" s="86">
        <v>0.6</v>
      </c>
      <c r="E2468" s="85">
        <f>D2468/1000</f>
        <v>5.9999999999999995E-4</v>
      </c>
      <c r="F2468" s="85">
        <f>E2468/2</f>
        <v>2.9999999999999997E-4</v>
      </c>
      <c r="G2468" s="85">
        <f>4/3*PI()*F2468*F2468*F2468</f>
        <v>1.1309733552923252E-10</v>
      </c>
      <c r="H2468" s="85">
        <v>7750</v>
      </c>
      <c r="I2468" s="85">
        <f>H2468*G2468</f>
        <v>8.7650435035155202E-7</v>
      </c>
      <c r="J2468" s="87">
        <v>1</v>
      </c>
      <c r="K2468" s="88">
        <f>J2468/I2468</f>
        <v>1140895.649404268</v>
      </c>
    </row>
    <row r="2469" spans="1:11" hidden="1" x14ac:dyDescent="0.25">
      <c r="A2469" t="str">
        <f t="shared" si="318"/>
        <v>440CØ0,6</v>
      </c>
      <c r="B2469" s="81" t="s">
        <v>314</v>
      </c>
      <c r="D2469" s="86">
        <v>0.6</v>
      </c>
      <c r="E2469" s="85">
        <f>D2469/1000</f>
        <v>5.9999999999999995E-4</v>
      </c>
      <c r="F2469" s="85">
        <f>E2469/2</f>
        <v>2.9999999999999997E-4</v>
      </c>
      <c r="G2469" s="85">
        <f>4/3*PI()*F2469*F2469*F2469</f>
        <v>1.1309733552923252E-10</v>
      </c>
      <c r="H2469" s="85">
        <v>7750</v>
      </c>
      <c r="I2469" s="85">
        <f>H2469*G2469</f>
        <v>8.7650435035155202E-7</v>
      </c>
      <c r="J2469" s="87">
        <v>1</v>
      </c>
      <c r="K2469" s="88">
        <f>J2469/I2469</f>
        <v>1140895.649404268</v>
      </c>
    </row>
    <row r="2470" spans="1:11" hidden="1" x14ac:dyDescent="0.25">
      <c r="A2470" t="str">
        <f t="shared" si="318"/>
        <v>440CØ0,6</v>
      </c>
      <c r="B2470" s="81" t="s">
        <v>314</v>
      </c>
      <c r="D2470" s="86">
        <v>0.6</v>
      </c>
      <c r="E2470" s="85">
        <f t="shared" ref="E2470:E2502" si="324">D2470/1000</f>
        <v>5.9999999999999995E-4</v>
      </c>
      <c r="F2470" s="85">
        <f t="shared" ref="F2470:F2502" si="325">E2470/2</f>
        <v>2.9999999999999997E-4</v>
      </c>
      <c r="G2470" s="85">
        <f t="shared" ref="G2470:G2502" si="326">4/3*PI()*F2470*F2470*F2470</f>
        <v>1.1309733552923252E-10</v>
      </c>
      <c r="H2470" s="85">
        <v>7700</v>
      </c>
      <c r="I2470" s="85">
        <f t="shared" ref="I2470:I2502" si="327">H2470*G2470</f>
        <v>8.708494835750904E-7</v>
      </c>
      <c r="J2470" s="87">
        <v>1</v>
      </c>
      <c r="K2470" s="88">
        <f t="shared" ref="K2470:K2502" si="328">J2470/I2470</f>
        <v>1148304.062712088</v>
      </c>
    </row>
    <row r="2471" spans="1:11" hidden="1" x14ac:dyDescent="0.25">
      <c r="A2471" t="str">
        <f t="shared" si="318"/>
        <v>440CØ0,6</v>
      </c>
      <c r="B2471" s="81" t="s">
        <v>314</v>
      </c>
      <c r="D2471" s="86">
        <v>0.6</v>
      </c>
      <c r="E2471" s="85">
        <f t="shared" si="324"/>
        <v>5.9999999999999995E-4</v>
      </c>
      <c r="F2471" s="85">
        <f t="shared" si="325"/>
        <v>2.9999999999999997E-4</v>
      </c>
      <c r="G2471" s="85">
        <f t="shared" si="326"/>
        <v>1.1309733552923252E-10</v>
      </c>
      <c r="H2471" s="85">
        <v>7500</v>
      </c>
      <c r="I2471" s="85">
        <f t="shared" si="327"/>
        <v>8.4823001646924389E-7</v>
      </c>
      <c r="J2471" s="87">
        <v>1</v>
      </c>
      <c r="K2471" s="88">
        <f t="shared" si="328"/>
        <v>1178925.5043844103</v>
      </c>
    </row>
    <row r="2472" spans="1:11" hidden="1" x14ac:dyDescent="0.25">
      <c r="A2472" t="str">
        <f t="shared" si="318"/>
        <v>POMØ1,5</v>
      </c>
      <c r="B2472" s="81" t="s">
        <v>201</v>
      </c>
      <c r="D2472" s="86">
        <v>1.5</v>
      </c>
      <c r="E2472" s="85">
        <f t="shared" si="324"/>
        <v>1.5E-3</v>
      </c>
      <c r="F2472" s="85">
        <f t="shared" si="325"/>
        <v>7.5000000000000002E-4</v>
      </c>
      <c r="G2472" s="85">
        <f t="shared" si="326"/>
        <v>1.7671458676442585E-9</v>
      </c>
      <c r="H2472" s="85">
        <v>1400</v>
      </c>
      <c r="I2472" s="85">
        <f t="shared" si="327"/>
        <v>2.4740042147019618E-6</v>
      </c>
      <c r="J2472" s="87">
        <v>1</v>
      </c>
      <c r="K2472" s="88">
        <f t="shared" si="328"/>
        <v>404203.0300746549</v>
      </c>
    </row>
    <row r="2473" spans="1:11" hidden="1" x14ac:dyDescent="0.25">
      <c r="A2473" t="str">
        <f t="shared" si="318"/>
        <v>316LØ0,9</v>
      </c>
      <c r="B2473" s="81" t="s">
        <v>298</v>
      </c>
      <c r="D2473" s="86">
        <v>0.9</v>
      </c>
      <c r="E2473" s="85">
        <f t="shared" si="324"/>
        <v>8.9999999999999998E-4</v>
      </c>
      <c r="F2473" s="85">
        <f t="shared" si="325"/>
        <v>4.4999999999999999E-4</v>
      </c>
      <c r="G2473" s="85">
        <f t="shared" si="326"/>
        <v>3.8170350741115976E-10</v>
      </c>
      <c r="H2473" s="85">
        <v>7950</v>
      </c>
      <c r="I2473" s="85">
        <f t="shared" si="327"/>
        <v>3.03454288391872E-6</v>
      </c>
      <c r="J2473" s="87">
        <v>1</v>
      </c>
      <c r="K2473" s="88">
        <f t="shared" si="328"/>
        <v>329538.92505504133</v>
      </c>
    </row>
    <row r="2474" spans="1:11" hidden="1" x14ac:dyDescent="0.25">
      <c r="A2474" t="str">
        <f t="shared" si="318"/>
        <v>420CØ0,9</v>
      </c>
      <c r="B2474" s="81" t="s">
        <v>295</v>
      </c>
      <c r="D2474" s="86">
        <v>0.9</v>
      </c>
      <c r="E2474" s="85">
        <f t="shared" si="324"/>
        <v>8.9999999999999998E-4</v>
      </c>
      <c r="F2474" s="85">
        <f t="shared" si="325"/>
        <v>4.4999999999999999E-4</v>
      </c>
      <c r="G2474" s="85">
        <f t="shared" si="326"/>
        <v>3.8170350741115976E-10</v>
      </c>
      <c r="H2474" s="85">
        <v>7750</v>
      </c>
      <c r="I2474" s="85">
        <f t="shared" si="327"/>
        <v>2.9582021824364883E-6</v>
      </c>
      <c r="J2474" s="87">
        <v>1</v>
      </c>
      <c r="K2474" s="88">
        <f t="shared" si="328"/>
        <v>338043.15537904232</v>
      </c>
    </row>
    <row r="2475" spans="1:11" hidden="1" x14ac:dyDescent="0.25">
      <c r="A2475" t="str">
        <f t="shared" si="318"/>
        <v>420CØ1</v>
      </c>
      <c r="B2475" s="81" t="s">
        <v>295</v>
      </c>
      <c r="D2475" s="86">
        <v>1</v>
      </c>
      <c r="E2475" s="85">
        <f t="shared" si="324"/>
        <v>1E-3</v>
      </c>
      <c r="F2475" s="85">
        <f t="shared" si="325"/>
        <v>5.0000000000000001E-4</v>
      </c>
      <c r="G2475" s="85">
        <f t="shared" si="326"/>
        <v>5.2359877559829886E-10</v>
      </c>
      <c r="H2475" s="85">
        <v>7750</v>
      </c>
      <c r="I2475" s="85">
        <f t="shared" si="327"/>
        <v>4.0578905108868158E-6</v>
      </c>
      <c r="J2475" s="87">
        <v>1</v>
      </c>
      <c r="K2475" s="88">
        <f t="shared" si="328"/>
        <v>246433.46027132185</v>
      </c>
    </row>
    <row r="2476" spans="1:11" hidden="1" x14ac:dyDescent="0.25">
      <c r="A2476" t="str">
        <f t="shared" si="318"/>
        <v>52100Ø0,5</v>
      </c>
      <c r="B2476" s="81">
        <v>52100</v>
      </c>
      <c r="D2476" s="86">
        <v>0.5</v>
      </c>
      <c r="E2476" s="85">
        <f t="shared" si="324"/>
        <v>5.0000000000000001E-4</v>
      </c>
      <c r="F2476" s="85">
        <f t="shared" si="325"/>
        <v>2.5000000000000001E-4</v>
      </c>
      <c r="G2476" s="85">
        <f t="shared" si="326"/>
        <v>6.5449846949787358E-11</v>
      </c>
      <c r="H2476" s="85">
        <v>7800</v>
      </c>
      <c r="I2476" s="85">
        <f t="shared" si="327"/>
        <v>5.1050880620834141E-7</v>
      </c>
      <c r="J2476" s="87">
        <v>1</v>
      </c>
      <c r="K2476" s="88">
        <f t="shared" si="328"/>
        <v>1958830.0688233273</v>
      </c>
    </row>
    <row r="2477" spans="1:11" hidden="1" x14ac:dyDescent="0.25">
      <c r="A2477" t="str">
        <f t="shared" si="318"/>
        <v>52100Ø0,5</v>
      </c>
      <c r="B2477" s="81">
        <v>52100</v>
      </c>
      <c r="D2477" s="86">
        <v>0.5</v>
      </c>
      <c r="E2477" s="85">
        <f t="shared" si="324"/>
        <v>5.0000000000000001E-4</v>
      </c>
      <c r="F2477" s="85">
        <f t="shared" si="325"/>
        <v>2.5000000000000001E-4</v>
      </c>
      <c r="G2477" s="85">
        <f t="shared" si="326"/>
        <v>6.5449846949787358E-11</v>
      </c>
      <c r="H2477" s="85">
        <v>7800</v>
      </c>
      <c r="I2477" s="85">
        <f t="shared" si="327"/>
        <v>5.1050880620834141E-7</v>
      </c>
      <c r="J2477" s="87">
        <v>1</v>
      </c>
      <c r="K2477" s="88">
        <f t="shared" si="328"/>
        <v>1958830.0688233273</v>
      </c>
    </row>
    <row r="2478" spans="1:11" hidden="1" x14ac:dyDescent="0.25">
      <c r="A2478" t="str">
        <f t="shared" si="318"/>
        <v>52100Ø1</v>
      </c>
      <c r="B2478" s="81">
        <v>52100</v>
      </c>
      <c r="D2478" s="86">
        <v>1</v>
      </c>
      <c r="E2478" s="85">
        <f t="shared" si="324"/>
        <v>1E-3</v>
      </c>
      <c r="F2478" s="85">
        <f t="shared" si="325"/>
        <v>5.0000000000000001E-4</v>
      </c>
      <c r="G2478" s="85">
        <f t="shared" si="326"/>
        <v>5.2359877559829886E-10</v>
      </c>
      <c r="H2478" s="85">
        <v>7800</v>
      </c>
      <c r="I2478" s="85">
        <f t="shared" si="327"/>
        <v>4.0840704496667312E-6</v>
      </c>
      <c r="J2478" s="87">
        <v>1</v>
      </c>
      <c r="K2478" s="88">
        <f t="shared" si="328"/>
        <v>244853.75860291591</v>
      </c>
    </row>
    <row r="2479" spans="1:11" hidden="1" x14ac:dyDescent="0.25">
      <c r="A2479" t="str">
        <f t="shared" si="318"/>
        <v>52100Ø1</v>
      </c>
      <c r="B2479" s="81">
        <v>52100</v>
      </c>
      <c r="D2479" s="86">
        <v>1</v>
      </c>
      <c r="E2479" s="85">
        <f t="shared" si="324"/>
        <v>1E-3</v>
      </c>
      <c r="F2479" s="85">
        <f t="shared" si="325"/>
        <v>5.0000000000000001E-4</v>
      </c>
      <c r="G2479" s="85">
        <f t="shared" si="326"/>
        <v>5.2359877559829886E-10</v>
      </c>
      <c r="H2479" s="85">
        <v>7800</v>
      </c>
      <c r="I2479" s="85">
        <f t="shared" si="327"/>
        <v>4.0840704496667312E-6</v>
      </c>
      <c r="J2479" s="87">
        <v>1</v>
      </c>
      <c r="K2479" s="88">
        <f t="shared" si="328"/>
        <v>244853.75860291591</v>
      </c>
    </row>
    <row r="2480" spans="1:11" hidden="1" x14ac:dyDescent="0.25">
      <c r="A2480" t="str">
        <f t="shared" si="318"/>
        <v>304LØ0,6</v>
      </c>
      <c r="B2480" s="81" t="s">
        <v>362</v>
      </c>
      <c r="D2480" s="86">
        <v>0.6</v>
      </c>
      <c r="E2480" s="85">
        <f t="shared" si="324"/>
        <v>5.9999999999999995E-4</v>
      </c>
      <c r="F2480" s="85">
        <f t="shared" si="325"/>
        <v>2.9999999999999997E-4</v>
      </c>
      <c r="G2480" s="85">
        <f t="shared" si="326"/>
        <v>1.1309733552923252E-10</v>
      </c>
      <c r="H2480" s="85">
        <v>7950</v>
      </c>
      <c r="I2480" s="85">
        <f t="shared" si="327"/>
        <v>8.9912381745739853E-7</v>
      </c>
      <c r="J2480" s="87">
        <v>1</v>
      </c>
      <c r="K2480" s="88">
        <f t="shared" si="328"/>
        <v>1112193.8720607643</v>
      </c>
    </row>
    <row r="2481" spans="1:11" hidden="1" x14ac:dyDescent="0.25">
      <c r="A2481" t="str">
        <f t="shared" si="318"/>
        <v>52100Ø1</v>
      </c>
      <c r="B2481" s="81">
        <v>52100</v>
      </c>
      <c r="D2481" s="86">
        <v>1</v>
      </c>
      <c r="E2481" s="85">
        <f t="shared" si="324"/>
        <v>1E-3</v>
      </c>
      <c r="F2481" s="85">
        <f t="shared" si="325"/>
        <v>5.0000000000000001E-4</v>
      </c>
      <c r="G2481" s="85">
        <f t="shared" si="326"/>
        <v>5.2359877559829886E-10</v>
      </c>
      <c r="H2481" s="85">
        <v>7800</v>
      </c>
      <c r="I2481" s="85">
        <f t="shared" si="327"/>
        <v>4.0840704496667312E-6</v>
      </c>
      <c r="J2481" s="87">
        <v>1</v>
      </c>
      <c r="K2481" s="88">
        <f t="shared" si="328"/>
        <v>244853.75860291591</v>
      </c>
    </row>
    <row r="2482" spans="1:11" hidden="1" x14ac:dyDescent="0.25">
      <c r="A2482" t="str">
        <f t="shared" si="318"/>
        <v>52100Ø1</v>
      </c>
      <c r="B2482" s="81">
        <v>52100</v>
      </c>
      <c r="D2482" s="86">
        <v>1</v>
      </c>
      <c r="E2482" s="85">
        <f t="shared" si="324"/>
        <v>1E-3</v>
      </c>
      <c r="F2482" s="85">
        <f t="shared" si="325"/>
        <v>5.0000000000000001E-4</v>
      </c>
      <c r="G2482" s="85">
        <f t="shared" si="326"/>
        <v>5.2359877559829886E-10</v>
      </c>
      <c r="H2482" s="85">
        <v>7800</v>
      </c>
      <c r="I2482" s="85">
        <f t="shared" si="327"/>
        <v>4.0840704496667312E-6</v>
      </c>
      <c r="J2482" s="87">
        <v>1</v>
      </c>
      <c r="K2482" s="88">
        <f t="shared" si="328"/>
        <v>244853.75860291591</v>
      </c>
    </row>
    <row r="2483" spans="1:11" hidden="1" x14ac:dyDescent="0.25">
      <c r="A2483" t="str">
        <f t="shared" si="318"/>
        <v>Bronzo FosforosoØ3,5</v>
      </c>
      <c r="B2483" s="81" t="s">
        <v>294</v>
      </c>
      <c r="D2483" s="86">
        <v>3.5</v>
      </c>
      <c r="E2483" s="85">
        <f t="shared" si="324"/>
        <v>3.5000000000000001E-3</v>
      </c>
      <c r="F2483" s="85">
        <f t="shared" si="325"/>
        <v>1.75E-3</v>
      </c>
      <c r="G2483" s="85">
        <f t="shared" si="326"/>
        <v>2.2449297503777064E-8</v>
      </c>
      <c r="H2483" s="85">
        <v>8900</v>
      </c>
      <c r="I2483" s="85">
        <f t="shared" si="327"/>
        <v>1.9979874778361587E-4</v>
      </c>
      <c r="J2483" s="87">
        <v>1</v>
      </c>
      <c r="K2483" s="88">
        <f t="shared" si="328"/>
        <v>5005.0363733160648</v>
      </c>
    </row>
    <row r="2484" spans="1:11" hidden="1" x14ac:dyDescent="0.25">
      <c r="A2484" t="str">
        <f t="shared" si="318"/>
        <v>Si3N4Ø1</v>
      </c>
      <c r="B2484" s="81" t="s">
        <v>207</v>
      </c>
      <c r="D2484" s="86">
        <v>1</v>
      </c>
      <c r="E2484" s="85">
        <f t="shared" si="324"/>
        <v>1E-3</v>
      </c>
      <c r="F2484" s="85">
        <f t="shared" si="325"/>
        <v>5.0000000000000001E-4</v>
      </c>
      <c r="G2484" s="85">
        <f t="shared" si="326"/>
        <v>5.2359877559829886E-10</v>
      </c>
      <c r="H2484" s="85">
        <v>3260</v>
      </c>
      <c r="I2484" s="85">
        <f t="shared" si="327"/>
        <v>1.7069320084504542E-6</v>
      </c>
      <c r="J2484" s="87">
        <v>1</v>
      </c>
      <c r="K2484" s="88">
        <f t="shared" si="328"/>
        <v>585846.41628918529</v>
      </c>
    </row>
    <row r="2485" spans="1:11" hidden="1" x14ac:dyDescent="0.25">
      <c r="A2485" t="str">
        <f t="shared" si="318"/>
        <v>316Ø1,4</v>
      </c>
      <c r="B2485" s="81">
        <v>316</v>
      </c>
      <c r="D2485" s="86">
        <v>1.4</v>
      </c>
      <c r="E2485" s="85">
        <f t="shared" si="324"/>
        <v>1.4E-3</v>
      </c>
      <c r="F2485" s="85">
        <f t="shared" si="325"/>
        <v>6.9999999999999999E-4</v>
      </c>
      <c r="G2485" s="85">
        <f t="shared" si="326"/>
        <v>1.4367550402417319E-9</v>
      </c>
      <c r="H2485" s="85">
        <v>7950</v>
      </c>
      <c r="I2485" s="85">
        <f t="shared" si="327"/>
        <v>1.1422202569921769E-5</v>
      </c>
      <c r="J2485" s="87">
        <v>1</v>
      </c>
      <c r="K2485" s="88">
        <f t="shared" si="328"/>
        <v>87548.788762800672</v>
      </c>
    </row>
    <row r="2486" spans="1:11" hidden="1" x14ac:dyDescent="0.25">
      <c r="A2486" t="str">
        <f t="shared" si="318"/>
        <v>440CØ1,984375</v>
      </c>
      <c r="B2486" s="81" t="s">
        <v>314</v>
      </c>
      <c r="C2486" s="101" t="s">
        <v>327</v>
      </c>
      <c r="D2486" s="86">
        <f>5/64*25.4</f>
        <v>1.984375</v>
      </c>
      <c r="E2486" s="85">
        <f t="shared" si="324"/>
        <v>1.984375E-3</v>
      </c>
      <c r="F2486" s="85">
        <f t="shared" si="325"/>
        <v>9.9218750000000001E-4</v>
      </c>
      <c r="G2486" s="85">
        <f t="shared" si="326"/>
        <v>4.0913804273848354E-9</v>
      </c>
      <c r="H2486" s="85">
        <v>7540</v>
      </c>
      <c r="I2486" s="85">
        <f t="shared" si="327"/>
        <v>3.0849008422481661E-5</v>
      </c>
      <c r="J2486" s="87">
        <v>1</v>
      </c>
      <c r="K2486" s="88">
        <f t="shared" si="328"/>
        <v>32415.952769205884</v>
      </c>
    </row>
    <row r="2487" spans="1:11" hidden="1" x14ac:dyDescent="0.25">
      <c r="A2487" t="str">
        <f t="shared" si="318"/>
        <v>ZrO2Ø1,5</v>
      </c>
      <c r="B2487" s="81" t="s">
        <v>205</v>
      </c>
      <c r="D2487" s="86">
        <v>1.5</v>
      </c>
      <c r="E2487" s="85">
        <f t="shared" si="324"/>
        <v>1.5E-3</v>
      </c>
      <c r="F2487" s="85">
        <f t="shared" si="325"/>
        <v>7.5000000000000002E-4</v>
      </c>
      <c r="G2487" s="85">
        <f t="shared" si="326"/>
        <v>1.7671458676442585E-9</v>
      </c>
      <c r="H2487" s="85">
        <v>6000</v>
      </c>
      <c r="I2487" s="85">
        <f t="shared" si="327"/>
        <v>1.0602875205865552E-5</v>
      </c>
      <c r="J2487" s="87">
        <v>1</v>
      </c>
      <c r="K2487" s="88">
        <f t="shared" si="328"/>
        <v>94314.040350752795</v>
      </c>
    </row>
    <row r="2488" spans="1:11" hidden="1" x14ac:dyDescent="0.25">
      <c r="A2488" t="str">
        <f t="shared" si="318"/>
        <v>304Ø1,5875</v>
      </c>
      <c r="B2488" s="81">
        <v>304</v>
      </c>
      <c r="C2488" s="101" t="s">
        <v>246</v>
      </c>
      <c r="D2488" s="86">
        <f>1/16*25.4</f>
        <v>1.5874999999999999</v>
      </c>
      <c r="E2488" s="85">
        <f t="shared" si="324"/>
        <v>1.5874999999999999E-3</v>
      </c>
      <c r="F2488" s="85">
        <f t="shared" si="325"/>
        <v>7.9374999999999997E-4</v>
      </c>
      <c r="G2488" s="85">
        <f t="shared" si="326"/>
        <v>2.0947867788210349E-9</v>
      </c>
      <c r="H2488" s="85">
        <v>7950</v>
      </c>
      <c r="I2488" s="85">
        <f t="shared" si="327"/>
        <v>1.6653554891627226E-5</v>
      </c>
      <c r="J2488" s="87">
        <v>1</v>
      </c>
      <c r="K2488" s="88">
        <f t="shared" si="328"/>
        <v>60047.239553806132</v>
      </c>
    </row>
    <row r="2489" spans="1:11" hidden="1" x14ac:dyDescent="0.25">
      <c r="A2489" t="str">
        <f t="shared" si="318"/>
        <v>ZrO2Ø1,5875</v>
      </c>
      <c r="B2489" s="81" t="s">
        <v>205</v>
      </c>
      <c r="C2489" s="101" t="s">
        <v>246</v>
      </c>
      <c r="D2489" s="86">
        <f>1/16*25.4</f>
        <v>1.5874999999999999</v>
      </c>
      <c r="E2489" s="85">
        <f t="shared" si="324"/>
        <v>1.5874999999999999E-3</v>
      </c>
      <c r="F2489" s="85">
        <f t="shared" si="325"/>
        <v>7.9374999999999997E-4</v>
      </c>
      <c r="G2489" s="85">
        <f t="shared" si="326"/>
        <v>2.0947867788210349E-9</v>
      </c>
      <c r="H2489" s="85">
        <v>6000</v>
      </c>
      <c r="I2489" s="85">
        <f t="shared" si="327"/>
        <v>1.2568720672926209E-5</v>
      </c>
      <c r="J2489" s="87">
        <v>1</v>
      </c>
      <c r="K2489" s="88">
        <f t="shared" si="328"/>
        <v>79562.59240879312</v>
      </c>
    </row>
    <row r="2490" spans="1:11" hidden="1" x14ac:dyDescent="0.25">
      <c r="A2490" t="str">
        <f t="shared" si="318"/>
        <v>420CØ4,7625</v>
      </c>
      <c r="B2490" s="81" t="s">
        <v>295</v>
      </c>
      <c r="C2490" s="101" t="s">
        <v>248</v>
      </c>
      <c r="D2490" s="86">
        <f>3/16*25.4</f>
        <v>4.7624999999999993</v>
      </c>
      <c r="E2490" s="85">
        <f t="shared" si="324"/>
        <v>4.7624999999999994E-3</v>
      </c>
      <c r="F2490" s="85">
        <f t="shared" si="325"/>
        <v>2.3812499999999997E-3</v>
      </c>
      <c r="G2490" s="85">
        <f t="shared" si="326"/>
        <v>5.6559243028167934E-8</v>
      </c>
      <c r="H2490" s="85">
        <v>7750</v>
      </c>
      <c r="I2490" s="85">
        <f t="shared" si="327"/>
        <v>4.3833413346830148E-4</v>
      </c>
      <c r="J2490" s="87">
        <v>1</v>
      </c>
      <c r="K2490" s="88">
        <f t="shared" si="328"/>
        <v>2281.3646568829572</v>
      </c>
    </row>
    <row r="2491" spans="1:11" hidden="1" x14ac:dyDescent="0.25">
      <c r="A2491" t="str">
        <f t="shared" si="318"/>
        <v>304Ø2,38125</v>
      </c>
      <c r="B2491" s="81">
        <v>304</v>
      </c>
      <c r="C2491" s="101" t="s">
        <v>213</v>
      </c>
      <c r="D2491" s="86">
        <f>3/32*25.4</f>
        <v>2.3812499999999996</v>
      </c>
      <c r="E2491" s="85">
        <f t="shared" si="324"/>
        <v>2.3812499999999997E-3</v>
      </c>
      <c r="F2491" s="85">
        <f t="shared" si="325"/>
        <v>1.1906249999999998E-3</v>
      </c>
      <c r="G2491" s="85">
        <f t="shared" si="326"/>
        <v>7.0699053785209917E-9</v>
      </c>
      <c r="H2491" s="85">
        <v>7950</v>
      </c>
      <c r="I2491" s="85">
        <f t="shared" si="327"/>
        <v>5.6205747759241884E-5</v>
      </c>
      <c r="J2491" s="87">
        <v>1</v>
      </c>
      <c r="K2491" s="88">
        <f t="shared" si="328"/>
        <v>17791.774682609226</v>
      </c>
    </row>
    <row r="2492" spans="1:11" hidden="1" x14ac:dyDescent="0.25">
      <c r="A2492" t="str">
        <f t="shared" si="318"/>
        <v>52100Ø1</v>
      </c>
      <c r="B2492" s="81">
        <v>52100</v>
      </c>
      <c r="D2492" s="86">
        <v>1</v>
      </c>
      <c r="E2492" s="85">
        <f t="shared" si="324"/>
        <v>1E-3</v>
      </c>
      <c r="F2492" s="85">
        <f t="shared" si="325"/>
        <v>5.0000000000000001E-4</v>
      </c>
      <c r="G2492" s="85">
        <f t="shared" si="326"/>
        <v>5.2359877559829886E-10</v>
      </c>
      <c r="H2492" s="85">
        <v>7800</v>
      </c>
      <c r="I2492" s="85">
        <f t="shared" si="327"/>
        <v>4.0840704496667312E-6</v>
      </c>
      <c r="J2492" s="87">
        <v>1</v>
      </c>
      <c r="K2492" s="88">
        <f t="shared" si="328"/>
        <v>244853.75860291591</v>
      </c>
    </row>
    <row r="2493" spans="1:11" hidden="1" x14ac:dyDescent="0.25">
      <c r="A2493" t="str">
        <f t="shared" si="318"/>
        <v>52100Ø1,5</v>
      </c>
      <c r="B2493" s="81">
        <v>52100</v>
      </c>
      <c r="D2493" s="86">
        <v>1.5</v>
      </c>
      <c r="E2493" s="85">
        <f t="shared" si="324"/>
        <v>1.5E-3</v>
      </c>
      <c r="F2493" s="85">
        <f t="shared" si="325"/>
        <v>7.5000000000000002E-4</v>
      </c>
      <c r="G2493" s="85">
        <f t="shared" si="326"/>
        <v>1.7671458676442585E-9</v>
      </c>
      <c r="H2493" s="85">
        <v>7800</v>
      </c>
      <c r="I2493" s="85">
        <f t="shared" si="327"/>
        <v>1.3783737767625217E-5</v>
      </c>
      <c r="J2493" s="87">
        <v>1</v>
      </c>
      <c r="K2493" s="88">
        <f t="shared" si="328"/>
        <v>72549.261808271374</v>
      </c>
    </row>
    <row r="2494" spans="1:11" hidden="1" x14ac:dyDescent="0.25">
      <c r="A2494" t="str">
        <f t="shared" si="318"/>
        <v>316LØ5</v>
      </c>
      <c r="B2494" s="81" t="s">
        <v>298</v>
      </c>
      <c r="D2494" s="86">
        <v>5</v>
      </c>
      <c r="E2494" s="85">
        <f t="shared" si="324"/>
        <v>5.0000000000000001E-3</v>
      </c>
      <c r="F2494" s="85">
        <f t="shared" si="325"/>
        <v>2.5000000000000001E-3</v>
      </c>
      <c r="G2494" s="85">
        <f t="shared" si="326"/>
        <v>6.5449846949787352E-8</v>
      </c>
      <c r="H2494" s="85">
        <v>7950</v>
      </c>
      <c r="I2494" s="85">
        <f t="shared" si="327"/>
        <v>5.2032628325080941E-4</v>
      </c>
      <c r="J2494" s="87">
        <v>1</v>
      </c>
      <c r="K2494" s="88">
        <f t="shared" si="328"/>
        <v>1921.8710109210006</v>
      </c>
    </row>
    <row r="2495" spans="1:11" hidden="1" x14ac:dyDescent="0.25">
      <c r="A2495" t="str">
        <f t="shared" si="318"/>
        <v>Al2O3Ø1,5</v>
      </c>
      <c r="B2495" s="81" t="s">
        <v>217</v>
      </c>
      <c r="D2495" s="86">
        <v>1.5</v>
      </c>
      <c r="E2495" s="85">
        <f t="shared" si="324"/>
        <v>1.5E-3</v>
      </c>
      <c r="F2495" s="85">
        <f t="shared" si="325"/>
        <v>7.5000000000000002E-4</v>
      </c>
      <c r="G2495" s="85">
        <f t="shared" si="326"/>
        <v>1.7671458676442585E-9</v>
      </c>
      <c r="H2495" s="85">
        <v>3940</v>
      </c>
      <c r="I2495" s="85">
        <f t="shared" si="327"/>
        <v>6.9625547185183786E-6</v>
      </c>
      <c r="J2495" s="87">
        <v>1</v>
      </c>
      <c r="K2495" s="88">
        <f t="shared" si="328"/>
        <v>143625.4421585068</v>
      </c>
    </row>
    <row r="2496" spans="1:11" hidden="1" x14ac:dyDescent="0.25">
      <c r="A2496" t="str">
        <f t="shared" si="318"/>
        <v>Wc-CoØ2,5</v>
      </c>
      <c r="B2496" s="81" t="s">
        <v>206</v>
      </c>
      <c r="D2496" s="86">
        <v>2.5</v>
      </c>
      <c r="E2496" s="85">
        <f t="shared" si="324"/>
        <v>2.5000000000000001E-3</v>
      </c>
      <c r="F2496" s="85">
        <f t="shared" si="325"/>
        <v>1.25E-3</v>
      </c>
      <c r="G2496" s="85">
        <f t="shared" si="326"/>
        <v>8.181230868723419E-9</v>
      </c>
      <c r="H2496" s="85">
        <v>14950</v>
      </c>
      <c r="I2496" s="85">
        <f t="shared" si="327"/>
        <v>1.2230940148741512E-4</v>
      </c>
      <c r="J2496" s="87">
        <v>1</v>
      </c>
      <c r="K2496" s="88">
        <f t="shared" si="328"/>
        <v>8175.9863742191055</v>
      </c>
    </row>
    <row r="2497" spans="1:11" hidden="1" x14ac:dyDescent="0.25">
      <c r="A2497" t="str">
        <f t="shared" si="318"/>
        <v>Wc-CoØ2</v>
      </c>
      <c r="B2497" s="81" t="s">
        <v>206</v>
      </c>
      <c r="D2497" s="86">
        <v>2</v>
      </c>
      <c r="E2497" s="85">
        <f t="shared" si="324"/>
        <v>2E-3</v>
      </c>
      <c r="F2497" s="85">
        <f t="shared" si="325"/>
        <v>1E-3</v>
      </c>
      <c r="G2497" s="85">
        <f t="shared" si="326"/>
        <v>4.1887902047863909E-9</v>
      </c>
      <c r="H2497" s="85">
        <v>14950</v>
      </c>
      <c r="I2497" s="85">
        <f t="shared" si="327"/>
        <v>6.2622413561556539E-5</v>
      </c>
      <c r="J2497" s="87">
        <v>1</v>
      </c>
      <c r="K2497" s="88">
        <f t="shared" si="328"/>
        <v>15968.723387146691</v>
      </c>
    </row>
    <row r="2498" spans="1:11" hidden="1" x14ac:dyDescent="0.25">
      <c r="A2498" t="str">
        <f t="shared" si="318"/>
        <v>PPHØ2</v>
      </c>
      <c r="B2498" s="81" t="s">
        <v>202</v>
      </c>
      <c r="D2498" s="86">
        <v>2</v>
      </c>
      <c r="E2498" s="85">
        <f t="shared" si="324"/>
        <v>2E-3</v>
      </c>
      <c r="F2498" s="85">
        <f t="shared" si="325"/>
        <v>1E-3</v>
      </c>
      <c r="G2498" s="85">
        <f t="shared" si="326"/>
        <v>4.1887902047863909E-9</v>
      </c>
      <c r="H2498" s="85">
        <v>870</v>
      </c>
      <c r="I2498" s="85">
        <f t="shared" si="327"/>
        <v>3.6442474781641599E-6</v>
      </c>
      <c r="J2498" s="87">
        <v>1</v>
      </c>
      <c r="K2498" s="88">
        <f t="shared" si="328"/>
        <v>274405.07429637131</v>
      </c>
    </row>
    <row r="2499" spans="1:11" hidden="1" x14ac:dyDescent="0.25">
      <c r="A2499" t="str">
        <f t="shared" si="318"/>
        <v>Wc-CoØ1,2</v>
      </c>
      <c r="B2499" s="81" t="s">
        <v>206</v>
      </c>
      <c r="D2499" s="86">
        <v>1.2</v>
      </c>
      <c r="E2499" s="85">
        <f t="shared" si="324"/>
        <v>1.1999999999999999E-3</v>
      </c>
      <c r="F2499" s="85">
        <f t="shared" si="325"/>
        <v>5.9999999999999995E-4</v>
      </c>
      <c r="G2499" s="85">
        <f t="shared" si="326"/>
        <v>9.0477868423386013E-10</v>
      </c>
      <c r="H2499" s="85">
        <v>14950</v>
      </c>
      <c r="I2499" s="85">
        <f t="shared" si="327"/>
        <v>1.3526441329296208E-5</v>
      </c>
      <c r="J2499" s="87">
        <v>1</v>
      </c>
      <c r="K2499" s="88">
        <f t="shared" si="328"/>
        <v>73929.274940493968</v>
      </c>
    </row>
    <row r="2500" spans="1:11" hidden="1" x14ac:dyDescent="0.25">
      <c r="A2500" t="str">
        <f t="shared" ref="A2500:A2563" si="329">CONCATENATE(B2500,"Ø",D2500)</f>
        <v>316LØ2</v>
      </c>
      <c r="B2500" s="81" t="s">
        <v>298</v>
      </c>
      <c r="D2500" s="86">
        <v>2</v>
      </c>
      <c r="E2500" s="85">
        <f t="shared" si="324"/>
        <v>2E-3</v>
      </c>
      <c r="F2500" s="85">
        <f t="shared" si="325"/>
        <v>1E-3</v>
      </c>
      <c r="G2500" s="85">
        <f t="shared" si="326"/>
        <v>4.1887902047863909E-9</v>
      </c>
      <c r="H2500" s="85">
        <v>7950</v>
      </c>
      <c r="I2500" s="85">
        <f t="shared" si="327"/>
        <v>3.3300882128051807E-5</v>
      </c>
      <c r="J2500" s="87">
        <v>1</v>
      </c>
      <c r="K2500" s="88">
        <f t="shared" si="328"/>
        <v>30029.234545640629</v>
      </c>
    </row>
    <row r="2501" spans="1:11" hidden="1" x14ac:dyDescent="0.25">
      <c r="A2501" t="str">
        <f t="shared" si="329"/>
        <v>52100Ø2</v>
      </c>
      <c r="B2501" s="81">
        <v>52100</v>
      </c>
      <c r="D2501" s="86">
        <v>2</v>
      </c>
      <c r="E2501" s="85">
        <f t="shared" si="324"/>
        <v>2E-3</v>
      </c>
      <c r="F2501" s="85">
        <f t="shared" si="325"/>
        <v>1E-3</v>
      </c>
      <c r="G2501" s="85">
        <f t="shared" si="326"/>
        <v>4.1887902047863909E-9</v>
      </c>
      <c r="H2501" s="85">
        <v>7800</v>
      </c>
      <c r="I2501" s="85">
        <f t="shared" si="327"/>
        <v>3.267256359733385E-5</v>
      </c>
      <c r="J2501" s="87">
        <v>1</v>
      </c>
      <c r="K2501" s="88">
        <f t="shared" si="328"/>
        <v>30606.719825364489</v>
      </c>
    </row>
    <row r="2502" spans="1:11" hidden="1" x14ac:dyDescent="0.25">
      <c r="A2502" t="str">
        <f t="shared" si="329"/>
        <v>1010Ø3</v>
      </c>
      <c r="B2502" s="81">
        <v>1010</v>
      </c>
      <c r="D2502" s="86">
        <v>3</v>
      </c>
      <c r="E2502" s="85">
        <f t="shared" si="324"/>
        <v>3.0000000000000001E-3</v>
      </c>
      <c r="F2502" s="85">
        <f t="shared" si="325"/>
        <v>1.5E-3</v>
      </c>
      <c r="G2502" s="85">
        <f t="shared" si="326"/>
        <v>1.4137166941154068E-8</v>
      </c>
      <c r="H2502" s="85">
        <v>7820</v>
      </c>
      <c r="I2502" s="85">
        <f t="shared" si="327"/>
        <v>1.1055264547982482E-4</v>
      </c>
      <c r="J2502" s="87">
        <v>1</v>
      </c>
      <c r="K2502" s="88">
        <f t="shared" si="328"/>
        <v>9045.4642280133758</v>
      </c>
    </row>
    <row r="2503" spans="1:11" hidden="1" x14ac:dyDescent="0.25">
      <c r="A2503" t="str">
        <f t="shared" si="329"/>
        <v>Al2O3Ø25</v>
      </c>
      <c r="B2503" s="81" t="s">
        <v>217</v>
      </c>
      <c r="D2503" s="86">
        <v>25</v>
      </c>
      <c r="E2503" s="85">
        <f>D2503/1000</f>
        <v>2.5000000000000001E-2</v>
      </c>
      <c r="F2503" s="85">
        <f>E2503/2</f>
        <v>1.2500000000000001E-2</v>
      </c>
      <c r="G2503" s="85">
        <f>4/3*PI()*F2503*F2503*F2503</f>
        <v>8.1812308687234206E-6</v>
      </c>
      <c r="H2503" s="85">
        <v>3600</v>
      </c>
      <c r="I2503" s="85">
        <f>H2503*G2503</f>
        <v>2.9452431127404314E-2</v>
      </c>
      <c r="J2503" s="87">
        <v>1</v>
      </c>
      <c r="K2503" s="88">
        <f>J2503/I2503</f>
        <v>33.953054526271004</v>
      </c>
    </row>
    <row r="2504" spans="1:11" hidden="1" x14ac:dyDescent="0.25">
      <c r="A2504" t="str">
        <f t="shared" si="329"/>
        <v>Al2O3Ø40</v>
      </c>
      <c r="B2504" s="81" t="s">
        <v>217</v>
      </c>
      <c r="D2504" s="86">
        <v>40</v>
      </c>
      <c r="E2504" s="85">
        <f>D2504/1000</f>
        <v>0.04</v>
      </c>
      <c r="F2504" s="85">
        <f>E2504/2</f>
        <v>0.02</v>
      </c>
      <c r="G2504" s="85">
        <f>4/3*PI()*F2504*F2504*F2504</f>
        <v>3.3510321638291124E-5</v>
      </c>
      <c r="H2504" s="85">
        <v>3600</v>
      </c>
      <c r="I2504" s="85">
        <f>H2504*G2504</f>
        <v>0.12063715789784804</v>
      </c>
      <c r="J2504" s="87">
        <v>1</v>
      </c>
      <c r="K2504" s="88">
        <f>J2504/I2504</f>
        <v>8.2893199527028827</v>
      </c>
    </row>
    <row r="2505" spans="1:11" hidden="1" x14ac:dyDescent="0.25">
      <c r="A2505" t="str">
        <f t="shared" si="329"/>
        <v>Al2O3Ø50</v>
      </c>
      <c r="B2505" s="81" t="s">
        <v>217</v>
      </c>
      <c r="D2505" s="86">
        <v>50</v>
      </c>
      <c r="E2505" s="85">
        <f t="shared" ref="E2505:E2568" si="330">D2505/1000</f>
        <v>0.05</v>
      </c>
      <c r="F2505" s="85">
        <f t="shared" ref="F2505:F2568" si="331">E2505/2</f>
        <v>2.5000000000000001E-2</v>
      </c>
      <c r="G2505" s="85">
        <f t="shared" ref="G2505:G2568" si="332">4/3*PI()*F2505*F2505*F2505</f>
        <v>6.5449846949787365E-5</v>
      </c>
      <c r="H2505" s="85">
        <v>3600</v>
      </c>
      <c r="I2505" s="85">
        <f t="shared" ref="I2505:I2568" si="333">H2505*G2505</f>
        <v>0.23561944901923451</v>
      </c>
      <c r="J2505" s="87">
        <v>1</v>
      </c>
      <c r="K2505" s="88">
        <f t="shared" ref="K2505:K2568" si="334">J2505/I2505</f>
        <v>4.2441318157838754</v>
      </c>
    </row>
    <row r="2506" spans="1:11" hidden="1" x14ac:dyDescent="0.25">
      <c r="A2506" t="str">
        <f t="shared" si="329"/>
        <v>420CØ2</v>
      </c>
      <c r="B2506" s="81" t="s">
        <v>295</v>
      </c>
      <c r="D2506" s="86">
        <v>2</v>
      </c>
      <c r="E2506" s="85">
        <f t="shared" si="330"/>
        <v>2E-3</v>
      </c>
      <c r="F2506" s="85">
        <f t="shared" si="331"/>
        <v>1E-3</v>
      </c>
      <c r="G2506" s="85">
        <f t="shared" si="332"/>
        <v>4.1887902047863909E-9</v>
      </c>
      <c r="H2506" s="85">
        <v>7750</v>
      </c>
      <c r="I2506" s="85">
        <f t="shared" si="333"/>
        <v>3.2463124087094526E-5</v>
      </c>
      <c r="J2506" s="87">
        <v>1</v>
      </c>
      <c r="K2506" s="88">
        <f t="shared" si="334"/>
        <v>30804.182533915231</v>
      </c>
    </row>
    <row r="2507" spans="1:11" hidden="1" x14ac:dyDescent="0.25">
      <c r="A2507" t="str">
        <f t="shared" si="329"/>
        <v>POMØ2</v>
      </c>
      <c r="B2507" s="81" t="s">
        <v>201</v>
      </c>
      <c r="D2507" s="86">
        <v>2</v>
      </c>
      <c r="E2507" s="85">
        <f t="shared" si="330"/>
        <v>2E-3</v>
      </c>
      <c r="F2507" s="85">
        <f t="shared" si="331"/>
        <v>1E-3</v>
      </c>
      <c r="G2507" s="85">
        <f t="shared" si="332"/>
        <v>4.1887902047863909E-9</v>
      </c>
      <c r="H2507" s="85">
        <v>1380</v>
      </c>
      <c r="I2507" s="85">
        <f t="shared" si="333"/>
        <v>5.7805304826052197E-6</v>
      </c>
      <c r="J2507" s="87">
        <v>1</v>
      </c>
      <c r="K2507" s="88">
        <f t="shared" si="334"/>
        <v>172994.5033607558</v>
      </c>
    </row>
    <row r="2508" spans="1:11" hidden="1" x14ac:dyDescent="0.25">
      <c r="A2508" t="str">
        <f t="shared" si="329"/>
        <v>PTFEØ20</v>
      </c>
      <c r="B2508" s="81" t="s">
        <v>307</v>
      </c>
      <c r="D2508" s="86">
        <v>20</v>
      </c>
      <c r="E2508" s="85">
        <f t="shared" si="330"/>
        <v>0.02</v>
      </c>
      <c r="F2508" s="85">
        <f t="shared" si="331"/>
        <v>0.01</v>
      </c>
      <c r="G2508" s="85">
        <f t="shared" si="332"/>
        <v>4.1887902047863905E-6</v>
      </c>
      <c r="H2508" s="85">
        <v>2110</v>
      </c>
      <c r="I2508" s="85">
        <f t="shared" si="333"/>
        <v>8.8383473320992837E-3</v>
      </c>
      <c r="J2508" s="87">
        <v>1</v>
      </c>
      <c r="K2508" s="88">
        <f t="shared" si="334"/>
        <v>113.14332447291139</v>
      </c>
    </row>
    <row r="2509" spans="1:11" hidden="1" x14ac:dyDescent="0.25">
      <c r="A2509" t="str">
        <f t="shared" si="329"/>
        <v>PPHØ10</v>
      </c>
      <c r="B2509" s="81" t="s">
        <v>202</v>
      </c>
      <c r="D2509" s="86">
        <v>10</v>
      </c>
      <c r="E2509" s="85">
        <f t="shared" si="330"/>
        <v>0.01</v>
      </c>
      <c r="F2509" s="85">
        <f t="shared" si="331"/>
        <v>5.0000000000000001E-3</v>
      </c>
      <c r="G2509" s="85">
        <f t="shared" si="332"/>
        <v>5.2359877559829882E-7</v>
      </c>
      <c r="H2509" s="85">
        <v>870</v>
      </c>
      <c r="I2509" s="85">
        <f t="shared" si="333"/>
        <v>4.5553093477051999E-4</v>
      </c>
      <c r="J2509" s="87">
        <v>1</v>
      </c>
      <c r="K2509" s="88">
        <f t="shared" si="334"/>
        <v>2195.2405943709705</v>
      </c>
    </row>
    <row r="2510" spans="1:11" hidden="1" x14ac:dyDescent="0.25">
      <c r="A2510" t="str">
        <f t="shared" si="329"/>
        <v>PPHØ20</v>
      </c>
      <c r="B2510" s="81" t="s">
        <v>202</v>
      </c>
      <c r="D2510" s="86">
        <v>20</v>
      </c>
      <c r="E2510" s="85">
        <f t="shared" si="330"/>
        <v>0.02</v>
      </c>
      <c r="F2510" s="85">
        <f t="shared" si="331"/>
        <v>0.01</v>
      </c>
      <c r="G2510" s="85">
        <f t="shared" si="332"/>
        <v>4.1887902047863905E-6</v>
      </c>
      <c r="H2510" s="85">
        <v>870</v>
      </c>
      <c r="I2510" s="85">
        <f t="shared" si="333"/>
        <v>3.6442474781641599E-3</v>
      </c>
      <c r="J2510" s="87">
        <v>1</v>
      </c>
      <c r="K2510" s="88">
        <f t="shared" si="334"/>
        <v>274.40507429637131</v>
      </c>
    </row>
    <row r="2511" spans="1:11" hidden="1" x14ac:dyDescent="0.25">
      <c r="A2511" t="str">
        <f t="shared" si="329"/>
        <v>52100Ø0,68</v>
      </c>
      <c r="B2511" s="81">
        <v>52100</v>
      </c>
      <c r="D2511" s="86">
        <v>0.68</v>
      </c>
      <c r="E2511" s="85">
        <f t="shared" si="330"/>
        <v>6.8000000000000005E-4</v>
      </c>
      <c r="F2511" s="85">
        <f t="shared" si="331"/>
        <v>3.4000000000000002E-4</v>
      </c>
      <c r="G2511" s="85">
        <f t="shared" si="332"/>
        <v>1.6463621020892433E-10</v>
      </c>
      <c r="H2511" s="85">
        <v>7800</v>
      </c>
      <c r="I2511" s="85">
        <f t="shared" si="333"/>
        <v>1.2841624396296097E-6</v>
      </c>
      <c r="J2511" s="87">
        <v>1</v>
      </c>
      <c r="K2511" s="88">
        <f t="shared" si="334"/>
        <v>778717.68332394888</v>
      </c>
    </row>
    <row r="2512" spans="1:11" hidden="1" x14ac:dyDescent="0.25">
      <c r="A2512" t="str">
        <f t="shared" si="329"/>
        <v>420CØ0,6</v>
      </c>
      <c r="B2512" s="81" t="s">
        <v>295</v>
      </c>
      <c r="D2512" s="86">
        <v>0.6</v>
      </c>
      <c r="E2512" s="85">
        <f t="shared" si="330"/>
        <v>5.9999999999999995E-4</v>
      </c>
      <c r="F2512" s="85">
        <f t="shared" si="331"/>
        <v>2.9999999999999997E-4</v>
      </c>
      <c r="G2512" s="85">
        <f t="shared" si="332"/>
        <v>1.1309733552923252E-10</v>
      </c>
      <c r="H2512" s="85">
        <v>7750</v>
      </c>
      <c r="I2512" s="85">
        <f t="shared" si="333"/>
        <v>8.7650435035155202E-7</v>
      </c>
      <c r="J2512" s="87">
        <v>1</v>
      </c>
      <c r="K2512" s="88">
        <f t="shared" si="334"/>
        <v>1140895.649404268</v>
      </c>
    </row>
    <row r="2513" spans="1:11" hidden="1" x14ac:dyDescent="0.25">
      <c r="A2513" t="str">
        <f t="shared" si="329"/>
        <v>PA6.6Ø3</v>
      </c>
      <c r="B2513" s="81" t="s">
        <v>244</v>
      </c>
      <c r="D2513" s="86">
        <v>3</v>
      </c>
      <c r="E2513" s="85">
        <f t="shared" si="330"/>
        <v>3.0000000000000001E-3</v>
      </c>
      <c r="F2513" s="85">
        <f t="shared" si="331"/>
        <v>1.5E-3</v>
      </c>
      <c r="G2513" s="85">
        <f t="shared" si="332"/>
        <v>1.4137166941154068E-8</v>
      </c>
      <c r="H2513" s="85">
        <v>1110</v>
      </c>
      <c r="I2513" s="85">
        <f t="shared" si="333"/>
        <v>1.5692255304681016E-5</v>
      </c>
      <c r="J2513" s="87">
        <v>1</v>
      </c>
      <c r="K2513" s="88">
        <f t="shared" si="334"/>
        <v>63725.702939697832</v>
      </c>
    </row>
    <row r="2514" spans="1:11" hidden="1" x14ac:dyDescent="0.25">
      <c r="A2514" t="str">
        <f t="shared" si="329"/>
        <v>POMØ1</v>
      </c>
      <c r="B2514" s="81" t="s">
        <v>201</v>
      </c>
      <c r="D2514" s="86">
        <v>1</v>
      </c>
      <c r="E2514" s="85">
        <f t="shared" si="330"/>
        <v>1E-3</v>
      </c>
      <c r="F2514" s="85">
        <f t="shared" si="331"/>
        <v>5.0000000000000001E-4</v>
      </c>
      <c r="G2514" s="85">
        <f t="shared" si="332"/>
        <v>5.2359877559829886E-10</v>
      </c>
      <c r="H2514" s="88">
        <v>1283.6965116319348</v>
      </c>
      <c r="I2514" s="85">
        <f t="shared" si="333"/>
        <v>6.7214192173028842E-7</v>
      </c>
      <c r="J2514" s="87">
        <v>1</v>
      </c>
      <c r="K2514" s="88">
        <f t="shared" si="334"/>
        <v>1487781.0290804503</v>
      </c>
    </row>
    <row r="2515" spans="1:11" hidden="1" x14ac:dyDescent="0.25">
      <c r="A2515" t="str">
        <f t="shared" si="329"/>
        <v>440CØ1,2</v>
      </c>
      <c r="B2515" s="81" t="s">
        <v>314</v>
      </c>
      <c r="D2515" s="86">
        <v>1.2</v>
      </c>
      <c r="E2515" s="85">
        <f t="shared" si="330"/>
        <v>1.1999999999999999E-3</v>
      </c>
      <c r="F2515" s="85">
        <f t="shared" si="331"/>
        <v>5.9999999999999995E-4</v>
      </c>
      <c r="G2515" s="85">
        <f t="shared" si="332"/>
        <v>9.0477868423386013E-10</v>
      </c>
      <c r="H2515" s="85">
        <v>7750</v>
      </c>
      <c r="I2515" s="85">
        <f t="shared" si="333"/>
        <v>7.0120348028124162E-6</v>
      </c>
      <c r="J2515" s="87">
        <v>1</v>
      </c>
      <c r="K2515" s="88">
        <f t="shared" si="334"/>
        <v>142611.9561755335</v>
      </c>
    </row>
    <row r="2516" spans="1:11" hidden="1" x14ac:dyDescent="0.25">
      <c r="A2516" t="str">
        <f t="shared" si="329"/>
        <v>Wc-CoØ6</v>
      </c>
      <c r="B2516" s="81" t="s">
        <v>206</v>
      </c>
      <c r="D2516" s="86">
        <v>6</v>
      </c>
      <c r="E2516" s="85">
        <f t="shared" si="330"/>
        <v>6.0000000000000001E-3</v>
      </c>
      <c r="F2516" s="85">
        <f t="shared" si="331"/>
        <v>3.0000000000000001E-3</v>
      </c>
      <c r="G2516" s="85">
        <f t="shared" si="332"/>
        <v>1.1309733552923255E-7</v>
      </c>
      <c r="H2516" s="85">
        <v>14950</v>
      </c>
      <c r="I2516" s="85">
        <f t="shared" si="333"/>
        <v>1.6908051661620265E-3</v>
      </c>
      <c r="J2516" s="87">
        <v>1</v>
      </c>
      <c r="K2516" s="88">
        <f t="shared" si="334"/>
        <v>591.43419952395152</v>
      </c>
    </row>
    <row r="2517" spans="1:11" hidden="1" x14ac:dyDescent="0.25">
      <c r="A2517" t="str">
        <f t="shared" si="329"/>
        <v>52100Ø0,5</v>
      </c>
      <c r="B2517" s="81">
        <v>52100</v>
      </c>
      <c r="D2517" s="86">
        <v>0.5</v>
      </c>
      <c r="E2517" s="85">
        <f t="shared" si="330"/>
        <v>5.0000000000000001E-4</v>
      </c>
      <c r="F2517" s="85">
        <f t="shared" si="331"/>
        <v>2.5000000000000001E-4</v>
      </c>
      <c r="G2517" s="85">
        <f t="shared" si="332"/>
        <v>6.5449846949787358E-11</v>
      </c>
      <c r="H2517" s="85">
        <v>7800</v>
      </c>
      <c r="I2517" s="85">
        <f t="shared" si="333"/>
        <v>5.1050880620834141E-7</v>
      </c>
      <c r="J2517" s="87">
        <v>1</v>
      </c>
      <c r="K2517" s="88">
        <f t="shared" si="334"/>
        <v>1958830.0688233273</v>
      </c>
    </row>
    <row r="2518" spans="1:11" hidden="1" x14ac:dyDescent="0.25">
      <c r="A2518" t="str">
        <f t="shared" si="329"/>
        <v>Wc-CoØ1,5875</v>
      </c>
      <c r="B2518" s="81" t="s">
        <v>206</v>
      </c>
      <c r="C2518" s="101" t="s">
        <v>246</v>
      </c>
      <c r="D2518" s="86">
        <f>1/16*25.4</f>
        <v>1.5874999999999999</v>
      </c>
      <c r="E2518" s="85">
        <f t="shared" si="330"/>
        <v>1.5874999999999999E-3</v>
      </c>
      <c r="F2518" s="85">
        <f t="shared" si="331"/>
        <v>7.9374999999999997E-4</v>
      </c>
      <c r="G2518" s="85">
        <f t="shared" si="332"/>
        <v>2.0947867788210349E-9</v>
      </c>
      <c r="H2518" s="85">
        <v>14950</v>
      </c>
      <c r="I2518" s="85">
        <f t="shared" si="333"/>
        <v>3.1317062343374473E-5</v>
      </c>
      <c r="J2518" s="87">
        <v>1</v>
      </c>
      <c r="K2518" s="88">
        <f t="shared" si="334"/>
        <v>31931.475214231352</v>
      </c>
    </row>
    <row r="2519" spans="1:11" hidden="1" x14ac:dyDescent="0.25">
      <c r="A2519" t="str">
        <f t="shared" si="329"/>
        <v>420CØ12,7</v>
      </c>
      <c r="B2519" s="81" t="s">
        <v>295</v>
      </c>
      <c r="C2519" s="101" t="s">
        <v>270</v>
      </c>
      <c r="D2519" s="86">
        <f>1/2*25.4</f>
        <v>12.7</v>
      </c>
      <c r="E2519" s="85">
        <f t="shared" si="330"/>
        <v>1.2699999999999999E-2</v>
      </c>
      <c r="F2519" s="85">
        <f t="shared" si="331"/>
        <v>6.3499999999999997E-3</v>
      </c>
      <c r="G2519" s="85">
        <f t="shared" si="332"/>
        <v>1.0725308307563699E-6</v>
      </c>
      <c r="H2519" s="85">
        <v>7750</v>
      </c>
      <c r="I2519" s="85">
        <f t="shared" si="333"/>
        <v>8.3121139383618668E-3</v>
      </c>
      <c r="J2519" s="87">
        <v>1</v>
      </c>
      <c r="K2519" s="88">
        <f t="shared" si="334"/>
        <v>120.30633932781217</v>
      </c>
    </row>
    <row r="2520" spans="1:11" hidden="1" x14ac:dyDescent="0.25">
      <c r="A2520" t="str">
        <f t="shared" si="329"/>
        <v>420CØ12,7</v>
      </c>
      <c r="B2520" s="81" t="s">
        <v>295</v>
      </c>
      <c r="C2520" s="101" t="s">
        <v>270</v>
      </c>
      <c r="D2520" s="86">
        <f>1/2*25.4</f>
        <v>12.7</v>
      </c>
      <c r="E2520" s="85">
        <f t="shared" si="330"/>
        <v>1.2699999999999999E-2</v>
      </c>
      <c r="F2520" s="85">
        <f t="shared" si="331"/>
        <v>6.3499999999999997E-3</v>
      </c>
      <c r="G2520" s="85">
        <f t="shared" si="332"/>
        <v>1.0725308307563699E-6</v>
      </c>
      <c r="H2520" s="85">
        <v>7700</v>
      </c>
      <c r="I2520" s="85">
        <f t="shared" si="333"/>
        <v>8.2584873968240477E-3</v>
      </c>
      <c r="J2520" s="87">
        <v>1</v>
      </c>
      <c r="K2520" s="88">
        <f t="shared" si="334"/>
        <v>121.08754932344733</v>
      </c>
    </row>
    <row r="2521" spans="1:11" hidden="1" x14ac:dyDescent="0.25">
      <c r="A2521" t="str">
        <f t="shared" si="329"/>
        <v>Wc-CoØ11</v>
      </c>
      <c r="B2521" s="81" t="s">
        <v>206</v>
      </c>
      <c r="D2521" s="86">
        <v>11</v>
      </c>
      <c r="E2521" s="85">
        <f t="shared" si="330"/>
        <v>1.0999999999999999E-2</v>
      </c>
      <c r="F2521" s="85">
        <f t="shared" si="331"/>
        <v>5.4999999999999997E-3</v>
      </c>
      <c r="G2521" s="85">
        <f t="shared" si="332"/>
        <v>6.9690997032133551E-7</v>
      </c>
      <c r="H2521" s="85">
        <v>14700</v>
      </c>
      <c r="I2521" s="85">
        <f t="shared" si="333"/>
        <v>1.0244576563723632E-2</v>
      </c>
      <c r="J2521" s="87">
        <v>1</v>
      </c>
      <c r="K2521" s="88">
        <f t="shared" si="334"/>
        <v>97.612623984970881</v>
      </c>
    </row>
    <row r="2522" spans="1:11" hidden="1" x14ac:dyDescent="0.25">
      <c r="A2522" t="str">
        <f t="shared" si="329"/>
        <v>PPHØ4</v>
      </c>
      <c r="B2522" s="81" t="s">
        <v>202</v>
      </c>
      <c r="D2522" s="86">
        <v>4</v>
      </c>
      <c r="E2522" s="85">
        <f t="shared" si="330"/>
        <v>4.0000000000000001E-3</v>
      </c>
      <c r="F2522" s="85">
        <f t="shared" si="331"/>
        <v>2E-3</v>
      </c>
      <c r="G2522" s="85">
        <f t="shared" si="332"/>
        <v>3.3510321638291127E-8</v>
      </c>
      <c r="H2522" s="85">
        <v>870</v>
      </c>
      <c r="I2522" s="85">
        <f t="shared" si="333"/>
        <v>2.9153979825313279E-5</v>
      </c>
      <c r="J2522" s="87">
        <v>1</v>
      </c>
      <c r="K2522" s="88">
        <f t="shared" si="334"/>
        <v>34300.634287046414</v>
      </c>
    </row>
    <row r="2523" spans="1:11" hidden="1" x14ac:dyDescent="0.25">
      <c r="A2523" t="str">
        <f t="shared" si="329"/>
        <v>PPHØ4</v>
      </c>
      <c r="B2523" s="81" t="s">
        <v>202</v>
      </c>
      <c r="D2523" s="86">
        <v>4</v>
      </c>
      <c r="E2523" s="85">
        <f t="shared" si="330"/>
        <v>4.0000000000000001E-3</v>
      </c>
      <c r="F2523" s="85">
        <f t="shared" si="331"/>
        <v>2E-3</v>
      </c>
      <c r="G2523" s="85">
        <f t="shared" si="332"/>
        <v>3.3510321638291127E-8</v>
      </c>
      <c r="H2523" s="85">
        <v>870</v>
      </c>
      <c r="I2523" s="85">
        <f t="shared" si="333"/>
        <v>2.9153979825313279E-5</v>
      </c>
      <c r="J2523" s="87">
        <v>1</v>
      </c>
      <c r="K2523" s="88">
        <f t="shared" si="334"/>
        <v>34300.634287046414</v>
      </c>
    </row>
    <row r="2524" spans="1:11" hidden="1" x14ac:dyDescent="0.25">
      <c r="A2524" t="str">
        <f t="shared" si="329"/>
        <v>PPHØ5</v>
      </c>
      <c r="B2524" s="81" t="s">
        <v>202</v>
      </c>
      <c r="D2524" s="86">
        <v>5</v>
      </c>
      <c r="E2524" s="85">
        <f t="shared" si="330"/>
        <v>5.0000000000000001E-3</v>
      </c>
      <c r="F2524" s="85">
        <f t="shared" si="331"/>
        <v>2.5000000000000001E-3</v>
      </c>
      <c r="G2524" s="85">
        <f t="shared" si="332"/>
        <v>6.5449846949787352E-8</v>
      </c>
      <c r="H2524" s="85">
        <v>870</v>
      </c>
      <c r="I2524" s="85">
        <f t="shared" si="333"/>
        <v>5.6941366846314999E-5</v>
      </c>
      <c r="J2524" s="87">
        <v>1</v>
      </c>
      <c r="K2524" s="88">
        <f t="shared" si="334"/>
        <v>17561.924754967764</v>
      </c>
    </row>
    <row r="2525" spans="1:11" hidden="1" x14ac:dyDescent="0.25">
      <c r="A2525" t="str">
        <f t="shared" si="329"/>
        <v>PPHØ5</v>
      </c>
      <c r="B2525" s="81" t="s">
        <v>202</v>
      </c>
      <c r="D2525" s="86">
        <v>5</v>
      </c>
      <c r="E2525" s="85">
        <f t="shared" si="330"/>
        <v>5.0000000000000001E-3</v>
      </c>
      <c r="F2525" s="85">
        <f t="shared" si="331"/>
        <v>2.5000000000000001E-3</v>
      </c>
      <c r="G2525" s="85">
        <f t="shared" si="332"/>
        <v>6.5449846949787352E-8</v>
      </c>
      <c r="H2525" s="85">
        <v>870</v>
      </c>
      <c r="I2525" s="85">
        <f t="shared" si="333"/>
        <v>5.6941366846314999E-5</v>
      </c>
      <c r="J2525" s="87">
        <v>1</v>
      </c>
      <c r="K2525" s="88">
        <f t="shared" si="334"/>
        <v>17561.924754967764</v>
      </c>
    </row>
    <row r="2526" spans="1:11" hidden="1" x14ac:dyDescent="0.25">
      <c r="A2526" t="str">
        <f t="shared" si="329"/>
        <v>PPHØ6</v>
      </c>
      <c r="B2526" s="81" t="s">
        <v>202</v>
      </c>
      <c r="D2526" s="86">
        <v>6</v>
      </c>
      <c r="E2526" s="85">
        <f t="shared" si="330"/>
        <v>6.0000000000000001E-3</v>
      </c>
      <c r="F2526" s="85">
        <f t="shared" si="331"/>
        <v>3.0000000000000001E-3</v>
      </c>
      <c r="G2526" s="85">
        <f t="shared" si="332"/>
        <v>1.1309733552923255E-7</v>
      </c>
      <c r="H2526" s="85">
        <v>870</v>
      </c>
      <c r="I2526" s="85">
        <f t="shared" si="333"/>
        <v>9.8394681910432316E-5</v>
      </c>
      <c r="J2526" s="87">
        <v>1</v>
      </c>
      <c r="K2526" s="88">
        <f t="shared" si="334"/>
        <v>10163.150899865603</v>
      </c>
    </row>
    <row r="2527" spans="1:11" hidden="1" x14ac:dyDescent="0.25">
      <c r="A2527" t="str">
        <f t="shared" si="329"/>
        <v>PPHØ6</v>
      </c>
      <c r="B2527" s="81" t="s">
        <v>202</v>
      </c>
      <c r="D2527" s="86">
        <v>6</v>
      </c>
      <c r="E2527" s="85">
        <f t="shared" si="330"/>
        <v>6.0000000000000001E-3</v>
      </c>
      <c r="F2527" s="85">
        <f t="shared" si="331"/>
        <v>3.0000000000000001E-3</v>
      </c>
      <c r="G2527" s="85">
        <f t="shared" si="332"/>
        <v>1.1309733552923255E-7</v>
      </c>
      <c r="H2527" s="85">
        <v>870</v>
      </c>
      <c r="I2527" s="85">
        <f t="shared" si="333"/>
        <v>9.8394681910432316E-5</v>
      </c>
      <c r="J2527" s="87">
        <v>1</v>
      </c>
      <c r="K2527" s="88">
        <f t="shared" si="334"/>
        <v>10163.150899865603</v>
      </c>
    </row>
    <row r="2528" spans="1:11" hidden="1" x14ac:dyDescent="0.25">
      <c r="A2528" t="str">
        <f t="shared" si="329"/>
        <v>52100Ø1</v>
      </c>
      <c r="B2528" s="81">
        <v>52100</v>
      </c>
      <c r="D2528" s="86">
        <v>1</v>
      </c>
      <c r="E2528" s="85">
        <f t="shared" si="330"/>
        <v>1E-3</v>
      </c>
      <c r="F2528" s="85">
        <f t="shared" si="331"/>
        <v>5.0000000000000001E-4</v>
      </c>
      <c r="G2528" s="85">
        <f t="shared" si="332"/>
        <v>5.2359877559829886E-10</v>
      </c>
      <c r="H2528" s="85">
        <v>7800</v>
      </c>
      <c r="I2528" s="85">
        <f t="shared" si="333"/>
        <v>4.0840704496667312E-6</v>
      </c>
      <c r="J2528" s="87">
        <v>1</v>
      </c>
      <c r="K2528" s="88">
        <f t="shared" si="334"/>
        <v>244853.75860291591</v>
      </c>
    </row>
    <row r="2529" spans="1:11" hidden="1" x14ac:dyDescent="0.25">
      <c r="A2529" t="str">
        <f t="shared" si="329"/>
        <v>420CØ0,5</v>
      </c>
      <c r="B2529" s="81" t="s">
        <v>295</v>
      </c>
      <c r="D2529" s="86">
        <v>0.5</v>
      </c>
      <c r="E2529" s="85">
        <f t="shared" si="330"/>
        <v>5.0000000000000001E-4</v>
      </c>
      <c r="F2529" s="85">
        <f t="shared" si="331"/>
        <v>2.5000000000000001E-4</v>
      </c>
      <c r="G2529" s="85">
        <f t="shared" si="332"/>
        <v>6.5449846949787358E-11</v>
      </c>
      <c r="H2529" s="85">
        <v>7750</v>
      </c>
      <c r="I2529" s="85">
        <f t="shared" si="333"/>
        <v>5.0723631386085197E-7</v>
      </c>
      <c r="J2529" s="87">
        <v>1</v>
      </c>
      <c r="K2529" s="88">
        <f t="shared" si="334"/>
        <v>1971467.6821705748</v>
      </c>
    </row>
    <row r="2530" spans="1:11" hidden="1" x14ac:dyDescent="0.25">
      <c r="A2530" t="str">
        <f t="shared" si="329"/>
        <v>Wc-CoØ0,5</v>
      </c>
      <c r="B2530" s="81" t="s">
        <v>206</v>
      </c>
      <c r="D2530" s="86">
        <v>0.5</v>
      </c>
      <c r="E2530" s="85">
        <f t="shared" si="330"/>
        <v>5.0000000000000001E-4</v>
      </c>
      <c r="F2530" s="85">
        <f t="shared" si="331"/>
        <v>2.5000000000000001E-4</v>
      </c>
      <c r="G2530" s="85">
        <f t="shared" si="332"/>
        <v>6.5449846949787358E-11</v>
      </c>
      <c r="H2530" s="85">
        <v>14950</v>
      </c>
      <c r="I2530" s="85">
        <f t="shared" si="333"/>
        <v>9.7847521189932093E-7</v>
      </c>
      <c r="J2530" s="87">
        <v>1</v>
      </c>
      <c r="K2530" s="88">
        <f t="shared" si="334"/>
        <v>1021998.2967773882</v>
      </c>
    </row>
    <row r="2531" spans="1:11" hidden="1" x14ac:dyDescent="0.25">
      <c r="A2531" t="str">
        <f t="shared" si="329"/>
        <v>420CØ1</v>
      </c>
      <c r="B2531" s="81" t="s">
        <v>295</v>
      </c>
      <c r="D2531" s="86">
        <v>1</v>
      </c>
      <c r="E2531" s="85">
        <f t="shared" si="330"/>
        <v>1E-3</v>
      </c>
      <c r="F2531" s="85">
        <f t="shared" si="331"/>
        <v>5.0000000000000001E-4</v>
      </c>
      <c r="G2531" s="85">
        <f t="shared" si="332"/>
        <v>5.2359877559829886E-10</v>
      </c>
      <c r="H2531" s="85">
        <v>7750</v>
      </c>
      <c r="I2531" s="85">
        <f t="shared" si="333"/>
        <v>4.0578905108868158E-6</v>
      </c>
      <c r="J2531" s="87">
        <v>1</v>
      </c>
      <c r="K2531" s="88">
        <f t="shared" si="334"/>
        <v>246433.46027132185</v>
      </c>
    </row>
    <row r="2532" spans="1:11" hidden="1" x14ac:dyDescent="0.25">
      <c r="A2532" t="str">
        <f t="shared" si="329"/>
        <v>52100Ø1,5875</v>
      </c>
      <c r="B2532" s="81">
        <v>52100</v>
      </c>
      <c r="C2532" s="101" t="s">
        <v>246</v>
      </c>
      <c r="D2532" s="86">
        <f>1/16*25.4</f>
        <v>1.5874999999999999</v>
      </c>
      <c r="E2532" s="85">
        <f t="shared" si="330"/>
        <v>1.5874999999999999E-3</v>
      </c>
      <c r="F2532" s="85">
        <f t="shared" si="331"/>
        <v>7.9374999999999997E-4</v>
      </c>
      <c r="G2532" s="85">
        <f t="shared" si="332"/>
        <v>2.0947867788210349E-9</v>
      </c>
      <c r="H2532" s="85">
        <v>7800</v>
      </c>
      <c r="I2532" s="85">
        <f t="shared" si="333"/>
        <v>1.6339336874804071E-5</v>
      </c>
      <c r="J2532" s="87">
        <v>1</v>
      </c>
      <c r="K2532" s="88">
        <f t="shared" si="334"/>
        <v>61201.994160610098</v>
      </c>
    </row>
    <row r="2533" spans="1:11" hidden="1" x14ac:dyDescent="0.25">
      <c r="A2533" t="str">
        <f t="shared" si="329"/>
        <v>420CØ1,2</v>
      </c>
      <c r="B2533" s="81" t="s">
        <v>295</v>
      </c>
      <c r="D2533" s="86">
        <v>1.2</v>
      </c>
      <c r="E2533" s="85">
        <f t="shared" si="330"/>
        <v>1.1999999999999999E-3</v>
      </c>
      <c r="F2533" s="85">
        <f t="shared" si="331"/>
        <v>5.9999999999999995E-4</v>
      </c>
      <c r="G2533" s="85">
        <f t="shared" si="332"/>
        <v>9.0477868423386013E-10</v>
      </c>
      <c r="H2533" s="85">
        <v>7750</v>
      </c>
      <c r="I2533" s="85">
        <f t="shared" si="333"/>
        <v>7.0120348028124162E-6</v>
      </c>
      <c r="J2533" s="87">
        <v>1</v>
      </c>
      <c r="K2533" s="88">
        <f t="shared" si="334"/>
        <v>142611.9561755335</v>
      </c>
    </row>
    <row r="2534" spans="1:11" hidden="1" x14ac:dyDescent="0.25">
      <c r="A2534" t="str">
        <f t="shared" si="329"/>
        <v>440CØ1</v>
      </c>
      <c r="B2534" s="81" t="s">
        <v>314</v>
      </c>
      <c r="D2534" s="86">
        <v>1</v>
      </c>
      <c r="E2534" s="85">
        <f t="shared" si="330"/>
        <v>1E-3</v>
      </c>
      <c r="F2534" s="85">
        <f t="shared" si="331"/>
        <v>5.0000000000000001E-4</v>
      </c>
      <c r="G2534" s="85">
        <f t="shared" si="332"/>
        <v>5.2359877559829886E-10</v>
      </c>
      <c r="H2534" s="88">
        <v>7547.7019805449117</v>
      </c>
      <c r="I2534" s="85">
        <f t="shared" si="333"/>
        <v>3.9519675155941712E-6</v>
      </c>
      <c r="J2534" s="87">
        <v>1</v>
      </c>
      <c r="K2534" s="88">
        <f t="shared" si="334"/>
        <v>253038.51715735873</v>
      </c>
    </row>
    <row r="2535" spans="1:11" hidden="1" x14ac:dyDescent="0.25">
      <c r="A2535" t="str">
        <f t="shared" si="329"/>
        <v>316LØ1</v>
      </c>
      <c r="B2535" s="81" t="s">
        <v>298</v>
      </c>
      <c r="D2535" s="86">
        <v>1</v>
      </c>
      <c r="E2535" s="85">
        <f t="shared" si="330"/>
        <v>1E-3</v>
      </c>
      <c r="F2535" s="85">
        <f t="shared" si="331"/>
        <v>5.0000000000000001E-4</v>
      </c>
      <c r="G2535" s="85">
        <f t="shared" si="332"/>
        <v>5.2359877559829886E-10</v>
      </c>
      <c r="H2535" s="85">
        <v>7950</v>
      </c>
      <c r="I2535" s="85">
        <f t="shared" si="333"/>
        <v>4.1626102660064759E-6</v>
      </c>
      <c r="J2535" s="87">
        <v>1</v>
      </c>
      <c r="K2535" s="88">
        <f t="shared" si="334"/>
        <v>240233.87636512503</v>
      </c>
    </row>
    <row r="2536" spans="1:11" hidden="1" x14ac:dyDescent="0.25">
      <c r="A2536" t="str">
        <f t="shared" si="329"/>
        <v>ZrO2Ø0,1</v>
      </c>
      <c r="B2536" s="81" t="s">
        <v>205</v>
      </c>
      <c r="D2536" s="86">
        <v>0.1</v>
      </c>
      <c r="E2536" s="85">
        <f t="shared" si="330"/>
        <v>1E-4</v>
      </c>
      <c r="F2536" s="85">
        <f t="shared" si="331"/>
        <v>5.0000000000000002E-5</v>
      </c>
      <c r="G2536" s="85">
        <f t="shared" si="332"/>
        <v>5.2359877559829888E-13</v>
      </c>
      <c r="H2536" s="85">
        <v>6000</v>
      </c>
      <c r="I2536" s="85">
        <f t="shared" si="333"/>
        <v>3.1415926535897932E-9</v>
      </c>
      <c r="J2536" s="87">
        <v>1</v>
      </c>
      <c r="K2536" s="88">
        <f t="shared" si="334"/>
        <v>318309886.18379068</v>
      </c>
    </row>
    <row r="2537" spans="1:11" hidden="1" x14ac:dyDescent="0.25">
      <c r="A2537" t="str">
        <f t="shared" si="329"/>
        <v>ZrO2Ø0,5</v>
      </c>
      <c r="B2537" s="81" t="s">
        <v>205</v>
      </c>
      <c r="D2537" s="86">
        <v>0.5</v>
      </c>
      <c r="E2537" s="85">
        <f t="shared" si="330"/>
        <v>5.0000000000000001E-4</v>
      </c>
      <c r="F2537" s="85">
        <f t="shared" si="331"/>
        <v>2.5000000000000001E-4</v>
      </c>
      <c r="G2537" s="85">
        <f t="shared" si="332"/>
        <v>6.5449846949787358E-11</v>
      </c>
      <c r="H2537" s="85">
        <v>6000</v>
      </c>
      <c r="I2537" s="85">
        <f t="shared" si="333"/>
        <v>3.9269908169872417E-7</v>
      </c>
      <c r="J2537" s="87">
        <v>1</v>
      </c>
      <c r="K2537" s="88">
        <f t="shared" si="334"/>
        <v>2546479.0894703255</v>
      </c>
    </row>
    <row r="2538" spans="1:11" hidden="1" x14ac:dyDescent="0.25">
      <c r="A2538" t="str">
        <f t="shared" si="329"/>
        <v>ZrO2Ø1</v>
      </c>
      <c r="B2538" s="81" t="s">
        <v>205</v>
      </c>
      <c r="D2538" s="86">
        <v>1</v>
      </c>
      <c r="E2538" s="85">
        <f t="shared" si="330"/>
        <v>1E-3</v>
      </c>
      <c r="F2538" s="85">
        <f t="shared" si="331"/>
        <v>5.0000000000000001E-4</v>
      </c>
      <c r="G2538" s="85">
        <f t="shared" si="332"/>
        <v>5.2359877559829886E-10</v>
      </c>
      <c r="H2538" s="85">
        <v>6000</v>
      </c>
      <c r="I2538" s="85">
        <f t="shared" si="333"/>
        <v>3.1415926535897933E-6</v>
      </c>
      <c r="J2538" s="87">
        <v>1</v>
      </c>
      <c r="K2538" s="88">
        <f t="shared" si="334"/>
        <v>318309.88618379069</v>
      </c>
    </row>
    <row r="2539" spans="1:11" hidden="1" x14ac:dyDescent="0.25">
      <c r="A2539" t="str">
        <f t="shared" si="329"/>
        <v>ZrO2Ø2</v>
      </c>
      <c r="B2539" s="81" t="s">
        <v>205</v>
      </c>
      <c r="D2539" s="86">
        <v>2</v>
      </c>
      <c r="E2539" s="85">
        <f t="shared" si="330"/>
        <v>2E-3</v>
      </c>
      <c r="F2539" s="85">
        <f t="shared" si="331"/>
        <v>1E-3</v>
      </c>
      <c r="G2539" s="85">
        <f t="shared" si="332"/>
        <v>4.1887902047863909E-9</v>
      </c>
      <c r="H2539" s="85">
        <v>6000</v>
      </c>
      <c r="I2539" s="85">
        <f t="shared" si="333"/>
        <v>2.5132741228718347E-5</v>
      </c>
      <c r="J2539" s="87">
        <v>1</v>
      </c>
      <c r="K2539" s="88">
        <f t="shared" si="334"/>
        <v>39788.735772973836</v>
      </c>
    </row>
    <row r="2540" spans="1:11" hidden="1" x14ac:dyDescent="0.25">
      <c r="A2540" t="str">
        <f t="shared" si="329"/>
        <v>ZrO2Ø3</v>
      </c>
      <c r="B2540" s="81" t="s">
        <v>205</v>
      </c>
      <c r="D2540" s="86">
        <v>3</v>
      </c>
      <c r="E2540" s="85">
        <f t="shared" si="330"/>
        <v>3.0000000000000001E-3</v>
      </c>
      <c r="F2540" s="85">
        <f t="shared" si="331"/>
        <v>1.5E-3</v>
      </c>
      <c r="G2540" s="85">
        <f t="shared" si="332"/>
        <v>1.4137166941154068E-8</v>
      </c>
      <c r="H2540" s="85">
        <v>6000</v>
      </c>
      <c r="I2540" s="85">
        <f t="shared" si="333"/>
        <v>8.4823001646924416E-5</v>
      </c>
      <c r="J2540" s="87">
        <v>1</v>
      </c>
      <c r="K2540" s="88">
        <f t="shared" si="334"/>
        <v>11789.255043844099</v>
      </c>
    </row>
    <row r="2541" spans="1:11" hidden="1" x14ac:dyDescent="0.25">
      <c r="A2541" t="str">
        <f t="shared" si="329"/>
        <v>ZrO2Ø5</v>
      </c>
      <c r="B2541" s="81" t="s">
        <v>205</v>
      </c>
      <c r="D2541" s="86">
        <v>5</v>
      </c>
      <c r="E2541" s="85">
        <f t="shared" si="330"/>
        <v>5.0000000000000001E-3</v>
      </c>
      <c r="F2541" s="85">
        <f t="shared" si="331"/>
        <v>2.5000000000000001E-3</v>
      </c>
      <c r="G2541" s="85">
        <f t="shared" si="332"/>
        <v>6.5449846949787352E-8</v>
      </c>
      <c r="H2541" s="85">
        <v>6000</v>
      </c>
      <c r="I2541" s="85">
        <f t="shared" si="333"/>
        <v>3.9269908169872411E-4</v>
      </c>
      <c r="J2541" s="87">
        <v>1</v>
      </c>
      <c r="K2541" s="88">
        <f t="shared" si="334"/>
        <v>2546.4790894703256</v>
      </c>
    </row>
    <row r="2542" spans="1:11" hidden="1" x14ac:dyDescent="0.25">
      <c r="A2542" t="str">
        <f t="shared" si="329"/>
        <v>ZrO2Ø10</v>
      </c>
      <c r="B2542" s="81" t="s">
        <v>205</v>
      </c>
      <c r="D2542" s="86">
        <v>10</v>
      </c>
      <c r="E2542" s="85">
        <f t="shared" si="330"/>
        <v>0.01</v>
      </c>
      <c r="F2542" s="85">
        <f t="shared" si="331"/>
        <v>5.0000000000000001E-3</v>
      </c>
      <c r="G2542" s="85">
        <f t="shared" si="332"/>
        <v>5.2359877559829882E-7</v>
      </c>
      <c r="H2542" s="85">
        <v>6000</v>
      </c>
      <c r="I2542" s="85">
        <f t="shared" si="333"/>
        <v>3.1415926535897929E-3</v>
      </c>
      <c r="J2542" s="87">
        <v>1</v>
      </c>
      <c r="K2542" s="88">
        <f t="shared" si="334"/>
        <v>318.3098861837907</v>
      </c>
    </row>
    <row r="2543" spans="1:11" hidden="1" x14ac:dyDescent="0.25">
      <c r="A2543" t="str">
        <f t="shared" si="329"/>
        <v>ZrO2Ø12</v>
      </c>
      <c r="B2543" s="81" t="s">
        <v>205</v>
      </c>
      <c r="D2543" s="86">
        <v>12</v>
      </c>
      <c r="E2543" s="85">
        <f t="shared" si="330"/>
        <v>1.2E-2</v>
      </c>
      <c r="F2543" s="85">
        <f t="shared" si="331"/>
        <v>6.0000000000000001E-3</v>
      </c>
      <c r="G2543" s="85">
        <f t="shared" si="332"/>
        <v>9.0477868423386037E-7</v>
      </c>
      <c r="H2543" s="85">
        <v>6000</v>
      </c>
      <c r="I2543" s="85">
        <f t="shared" si="333"/>
        <v>5.4286721054031626E-3</v>
      </c>
      <c r="J2543" s="87">
        <v>1</v>
      </c>
      <c r="K2543" s="88">
        <f t="shared" si="334"/>
        <v>184.20711006006405</v>
      </c>
    </row>
    <row r="2544" spans="1:11" hidden="1" x14ac:dyDescent="0.25">
      <c r="A2544" t="str">
        <f t="shared" si="329"/>
        <v>420CØ1</v>
      </c>
      <c r="B2544" s="81" t="s">
        <v>295</v>
      </c>
      <c r="D2544" s="86">
        <v>1</v>
      </c>
      <c r="E2544" s="85">
        <f t="shared" si="330"/>
        <v>1E-3</v>
      </c>
      <c r="F2544" s="85">
        <f t="shared" si="331"/>
        <v>5.0000000000000001E-4</v>
      </c>
      <c r="G2544" s="85">
        <f t="shared" si="332"/>
        <v>5.2359877559829886E-10</v>
      </c>
      <c r="H2544" s="85">
        <v>7750</v>
      </c>
      <c r="I2544" s="85">
        <f t="shared" si="333"/>
        <v>4.0578905108868158E-6</v>
      </c>
      <c r="J2544" s="87">
        <v>1</v>
      </c>
      <c r="K2544" s="88">
        <f t="shared" si="334"/>
        <v>246433.46027132185</v>
      </c>
    </row>
    <row r="2545" spans="1:11" hidden="1" x14ac:dyDescent="0.25">
      <c r="A2545" t="str">
        <f t="shared" si="329"/>
        <v>420CØ1</v>
      </c>
      <c r="B2545" s="81" t="s">
        <v>295</v>
      </c>
      <c r="D2545" s="86">
        <v>1</v>
      </c>
      <c r="E2545" s="85">
        <f t="shared" si="330"/>
        <v>1E-3</v>
      </c>
      <c r="F2545" s="85">
        <f t="shared" si="331"/>
        <v>5.0000000000000001E-4</v>
      </c>
      <c r="G2545" s="85">
        <f t="shared" si="332"/>
        <v>5.2359877559829886E-10</v>
      </c>
      <c r="H2545" s="85">
        <v>7750</v>
      </c>
      <c r="I2545" s="85">
        <f t="shared" si="333"/>
        <v>4.0578905108868158E-6</v>
      </c>
      <c r="J2545" s="87">
        <v>1</v>
      </c>
      <c r="K2545" s="88">
        <f t="shared" si="334"/>
        <v>246433.46027132185</v>
      </c>
    </row>
    <row r="2546" spans="1:11" hidden="1" x14ac:dyDescent="0.25">
      <c r="A2546" t="str">
        <f t="shared" si="329"/>
        <v>420CØ2</v>
      </c>
      <c r="B2546" s="81" t="s">
        <v>295</v>
      </c>
      <c r="D2546" s="86">
        <v>2</v>
      </c>
      <c r="E2546" s="85">
        <f t="shared" si="330"/>
        <v>2E-3</v>
      </c>
      <c r="F2546" s="85">
        <f t="shared" si="331"/>
        <v>1E-3</v>
      </c>
      <c r="G2546" s="85">
        <f t="shared" si="332"/>
        <v>4.1887902047863909E-9</v>
      </c>
      <c r="H2546" s="85">
        <v>7750</v>
      </c>
      <c r="I2546" s="85">
        <f t="shared" si="333"/>
        <v>3.2463124087094526E-5</v>
      </c>
      <c r="J2546" s="87">
        <v>1</v>
      </c>
      <c r="K2546" s="88">
        <f t="shared" si="334"/>
        <v>30804.182533915231</v>
      </c>
    </row>
    <row r="2547" spans="1:11" hidden="1" x14ac:dyDescent="0.25">
      <c r="A2547" t="str">
        <f t="shared" si="329"/>
        <v>420CØ2</v>
      </c>
      <c r="B2547" s="81" t="s">
        <v>295</v>
      </c>
      <c r="D2547" s="86">
        <v>2</v>
      </c>
      <c r="E2547" s="85">
        <f t="shared" si="330"/>
        <v>2E-3</v>
      </c>
      <c r="F2547" s="85">
        <f t="shared" si="331"/>
        <v>1E-3</v>
      </c>
      <c r="G2547" s="85">
        <f t="shared" si="332"/>
        <v>4.1887902047863909E-9</v>
      </c>
      <c r="H2547" s="85">
        <v>7750</v>
      </c>
      <c r="I2547" s="85">
        <f t="shared" si="333"/>
        <v>3.2463124087094526E-5</v>
      </c>
      <c r="J2547" s="87">
        <v>1</v>
      </c>
      <c r="K2547" s="88">
        <f t="shared" si="334"/>
        <v>30804.182533915231</v>
      </c>
    </row>
    <row r="2548" spans="1:11" hidden="1" x14ac:dyDescent="0.25">
      <c r="A2548" t="str">
        <f t="shared" si="329"/>
        <v>420CØ3</v>
      </c>
      <c r="B2548" s="81" t="s">
        <v>295</v>
      </c>
      <c r="D2548" s="86">
        <v>3</v>
      </c>
      <c r="E2548" s="85">
        <f t="shared" si="330"/>
        <v>3.0000000000000001E-3</v>
      </c>
      <c r="F2548" s="85">
        <f t="shared" si="331"/>
        <v>1.5E-3</v>
      </c>
      <c r="G2548" s="85">
        <f t="shared" si="332"/>
        <v>1.4137166941154068E-8</v>
      </c>
      <c r="H2548" s="85">
        <v>7750</v>
      </c>
      <c r="I2548" s="85">
        <f t="shared" si="333"/>
        <v>1.0956304379394402E-4</v>
      </c>
      <c r="J2548" s="87">
        <v>1</v>
      </c>
      <c r="K2548" s="88">
        <f t="shared" si="334"/>
        <v>9127.1651952341417</v>
      </c>
    </row>
    <row r="2549" spans="1:11" hidden="1" x14ac:dyDescent="0.25">
      <c r="A2549" t="str">
        <f t="shared" si="329"/>
        <v>420CØ3</v>
      </c>
      <c r="B2549" s="81" t="s">
        <v>295</v>
      </c>
      <c r="D2549" s="86">
        <v>3</v>
      </c>
      <c r="E2549" s="85">
        <f t="shared" si="330"/>
        <v>3.0000000000000001E-3</v>
      </c>
      <c r="F2549" s="85">
        <f t="shared" si="331"/>
        <v>1.5E-3</v>
      </c>
      <c r="G2549" s="85">
        <f t="shared" si="332"/>
        <v>1.4137166941154068E-8</v>
      </c>
      <c r="H2549" s="85">
        <v>7750</v>
      </c>
      <c r="I2549" s="85">
        <f t="shared" si="333"/>
        <v>1.0956304379394402E-4</v>
      </c>
      <c r="J2549" s="87">
        <v>1</v>
      </c>
      <c r="K2549" s="88">
        <f t="shared" si="334"/>
        <v>9127.1651952341417</v>
      </c>
    </row>
    <row r="2550" spans="1:11" hidden="1" x14ac:dyDescent="0.25">
      <c r="A2550" t="str">
        <f t="shared" si="329"/>
        <v>420CØ4</v>
      </c>
      <c r="B2550" s="81" t="s">
        <v>295</v>
      </c>
      <c r="D2550" s="86">
        <v>4</v>
      </c>
      <c r="E2550" s="85">
        <f t="shared" si="330"/>
        <v>4.0000000000000001E-3</v>
      </c>
      <c r="F2550" s="85">
        <f t="shared" si="331"/>
        <v>2E-3</v>
      </c>
      <c r="G2550" s="85">
        <f t="shared" si="332"/>
        <v>3.3510321638291127E-8</v>
      </c>
      <c r="H2550" s="85">
        <v>7750</v>
      </c>
      <c r="I2550" s="85">
        <f t="shared" si="333"/>
        <v>2.5970499269675621E-4</v>
      </c>
      <c r="J2550" s="87">
        <v>1</v>
      </c>
      <c r="K2550" s="88">
        <f t="shared" si="334"/>
        <v>3850.5228167394039</v>
      </c>
    </row>
    <row r="2551" spans="1:11" hidden="1" x14ac:dyDescent="0.25">
      <c r="A2551" t="str">
        <f t="shared" si="329"/>
        <v>420CØ4</v>
      </c>
      <c r="B2551" s="81" t="s">
        <v>295</v>
      </c>
      <c r="D2551" s="86">
        <v>4</v>
      </c>
      <c r="E2551" s="85">
        <f t="shared" si="330"/>
        <v>4.0000000000000001E-3</v>
      </c>
      <c r="F2551" s="85">
        <f t="shared" si="331"/>
        <v>2E-3</v>
      </c>
      <c r="G2551" s="85">
        <f t="shared" si="332"/>
        <v>3.3510321638291127E-8</v>
      </c>
      <c r="H2551" s="85">
        <v>7750</v>
      </c>
      <c r="I2551" s="85">
        <f t="shared" si="333"/>
        <v>2.5970499269675621E-4</v>
      </c>
      <c r="J2551" s="87">
        <v>1</v>
      </c>
      <c r="K2551" s="88">
        <f t="shared" si="334"/>
        <v>3850.5228167394039</v>
      </c>
    </row>
    <row r="2552" spans="1:11" hidden="1" x14ac:dyDescent="0.25">
      <c r="A2552" t="str">
        <f t="shared" si="329"/>
        <v>420CØ5</v>
      </c>
      <c r="B2552" s="81" t="s">
        <v>295</v>
      </c>
      <c r="D2552" s="86">
        <v>5</v>
      </c>
      <c r="E2552" s="85">
        <f t="shared" si="330"/>
        <v>5.0000000000000001E-3</v>
      </c>
      <c r="F2552" s="85">
        <f t="shared" si="331"/>
        <v>2.5000000000000001E-3</v>
      </c>
      <c r="G2552" s="85">
        <f t="shared" si="332"/>
        <v>6.5449846949787352E-8</v>
      </c>
      <c r="H2552" s="85">
        <v>7750</v>
      </c>
      <c r="I2552" s="85">
        <f t="shared" si="333"/>
        <v>5.0723631386085201E-4</v>
      </c>
      <c r="J2552" s="87">
        <v>1</v>
      </c>
      <c r="K2552" s="88">
        <f t="shared" si="334"/>
        <v>1971.4676821705746</v>
      </c>
    </row>
    <row r="2553" spans="1:11" hidden="1" x14ac:dyDescent="0.25">
      <c r="A2553" t="str">
        <f t="shared" si="329"/>
        <v>420CØ5</v>
      </c>
      <c r="B2553" s="81" t="s">
        <v>295</v>
      </c>
      <c r="D2553" s="86">
        <v>5</v>
      </c>
      <c r="E2553" s="85">
        <f t="shared" si="330"/>
        <v>5.0000000000000001E-3</v>
      </c>
      <c r="F2553" s="85">
        <f t="shared" si="331"/>
        <v>2.5000000000000001E-3</v>
      </c>
      <c r="G2553" s="85">
        <f t="shared" si="332"/>
        <v>6.5449846949787352E-8</v>
      </c>
      <c r="H2553" s="85">
        <v>7750</v>
      </c>
      <c r="I2553" s="85">
        <f t="shared" si="333"/>
        <v>5.0723631386085201E-4</v>
      </c>
      <c r="J2553" s="87">
        <v>1</v>
      </c>
      <c r="K2553" s="88">
        <f t="shared" si="334"/>
        <v>1971.4676821705746</v>
      </c>
    </row>
    <row r="2554" spans="1:11" hidden="1" x14ac:dyDescent="0.25">
      <c r="A2554" t="str">
        <f t="shared" si="329"/>
        <v>420CØ7</v>
      </c>
      <c r="B2554" s="81" t="s">
        <v>295</v>
      </c>
      <c r="D2554" s="86">
        <v>7</v>
      </c>
      <c r="E2554" s="85">
        <f t="shared" si="330"/>
        <v>7.0000000000000001E-3</v>
      </c>
      <c r="F2554" s="85">
        <f t="shared" si="331"/>
        <v>3.5000000000000001E-3</v>
      </c>
      <c r="G2554" s="85">
        <f t="shared" si="332"/>
        <v>1.7959438003021651E-7</v>
      </c>
      <c r="H2554" s="85">
        <v>7750</v>
      </c>
      <c r="I2554" s="85">
        <f t="shared" si="333"/>
        <v>1.391856445234178E-3</v>
      </c>
      <c r="J2554" s="87">
        <v>1</v>
      </c>
      <c r="K2554" s="88">
        <f t="shared" si="334"/>
        <v>718.46489875020939</v>
      </c>
    </row>
    <row r="2555" spans="1:11" hidden="1" x14ac:dyDescent="0.25">
      <c r="A2555" t="str">
        <f t="shared" si="329"/>
        <v>420CØ7</v>
      </c>
      <c r="B2555" s="81" t="s">
        <v>295</v>
      </c>
      <c r="D2555" s="86">
        <v>7</v>
      </c>
      <c r="E2555" s="85">
        <f t="shared" si="330"/>
        <v>7.0000000000000001E-3</v>
      </c>
      <c r="F2555" s="85">
        <f t="shared" si="331"/>
        <v>3.5000000000000001E-3</v>
      </c>
      <c r="G2555" s="85">
        <f t="shared" si="332"/>
        <v>1.7959438003021651E-7</v>
      </c>
      <c r="H2555" s="85">
        <v>7750</v>
      </c>
      <c r="I2555" s="85">
        <f t="shared" si="333"/>
        <v>1.391856445234178E-3</v>
      </c>
      <c r="J2555" s="87">
        <v>1</v>
      </c>
      <c r="K2555" s="88">
        <f t="shared" si="334"/>
        <v>718.46489875020939</v>
      </c>
    </row>
    <row r="2556" spans="1:11" hidden="1" x14ac:dyDescent="0.25">
      <c r="A2556" t="str">
        <f t="shared" si="329"/>
        <v>420CØ10</v>
      </c>
      <c r="B2556" s="81" t="s">
        <v>295</v>
      </c>
      <c r="D2556" s="86">
        <v>10</v>
      </c>
      <c r="E2556" s="85">
        <f t="shared" si="330"/>
        <v>0.01</v>
      </c>
      <c r="F2556" s="85">
        <f t="shared" si="331"/>
        <v>5.0000000000000001E-3</v>
      </c>
      <c r="G2556" s="85">
        <f t="shared" si="332"/>
        <v>5.2359877559829882E-7</v>
      </c>
      <c r="H2556" s="85">
        <v>7750</v>
      </c>
      <c r="I2556" s="85">
        <f t="shared" si="333"/>
        <v>4.0578905108868161E-3</v>
      </c>
      <c r="J2556" s="87">
        <v>1</v>
      </c>
      <c r="K2556" s="88">
        <f t="shared" si="334"/>
        <v>246.43346027132182</v>
      </c>
    </row>
    <row r="2557" spans="1:11" hidden="1" x14ac:dyDescent="0.25">
      <c r="A2557" t="str">
        <f t="shared" si="329"/>
        <v>420CØ10</v>
      </c>
      <c r="B2557" s="81" t="s">
        <v>295</v>
      </c>
      <c r="D2557" s="86">
        <v>10</v>
      </c>
      <c r="E2557" s="85">
        <f t="shared" si="330"/>
        <v>0.01</v>
      </c>
      <c r="F2557" s="85">
        <f t="shared" si="331"/>
        <v>5.0000000000000001E-3</v>
      </c>
      <c r="G2557" s="85">
        <f t="shared" si="332"/>
        <v>5.2359877559829882E-7</v>
      </c>
      <c r="H2557" s="85">
        <v>7750</v>
      </c>
      <c r="I2557" s="85">
        <f t="shared" si="333"/>
        <v>4.0578905108868161E-3</v>
      </c>
      <c r="J2557" s="87">
        <v>1</v>
      </c>
      <c r="K2557" s="88">
        <f t="shared" si="334"/>
        <v>246.43346027132182</v>
      </c>
    </row>
    <row r="2558" spans="1:11" hidden="1" x14ac:dyDescent="0.25">
      <c r="A2558" t="str">
        <f t="shared" si="329"/>
        <v>420CØ12</v>
      </c>
      <c r="B2558" s="81" t="s">
        <v>295</v>
      </c>
      <c r="D2558" s="86">
        <v>12</v>
      </c>
      <c r="E2558" s="85">
        <f t="shared" si="330"/>
        <v>1.2E-2</v>
      </c>
      <c r="F2558" s="85">
        <f t="shared" si="331"/>
        <v>6.0000000000000001E-3</v>
      </c>
      <c r="G2558" s="85">
        <f t="shared" si="332"/>
        <v>9.0477868423386037E-7</v>
      </c>
      <c r="H2558" s="85">
        <v>7750</v>
      </c>
      <c r="I2558" s="85">
        <f t="shared" si="333"/>
        <v>7.0120348028124176E-3</v>
      </c>
      <c r="J2558" s="87">
        <v>1</v>
      </c>
      <c r="K2558" s="88">
        <f t="shared" si="334"/>
        <v>142.61195617553346</v>
      </c>
    </row>
    <row r="2559" spans="1:11" hidden="1" x14ac:dyDescent="0.25">
      <c r="A2559" t="str">
        <f t="shared" si="329"/>
        <v>420CØ12</v>
      </c>
      <c r="B2559" s="81" t="s">
        <v>295</v>
      </c>
      <c r="D2559" s="86">
        <v>12</v>
      </c>
      <c r="E2559" s="85">
        <f t="shared" si="330"/>
        <v>1.2E-2</v>
      </c>
      <c r="F2559" s="85">
        <f t="shared" si="331"/>
        <v>6.0000000000000001E-3</v>
      </c>
      <c r="G2559" s="85">
        <f t="shared" si="332"/>
        <v>9.0477868423386037E-7</v>
      </c>
      <c r="H2559" s="85">
        <v>7750</v>
      </c>
      <c r="I2559" s="85">
        <f t="shared" si="333"/>
        <v>7.0120348028124176E-3</v>
      </c>
      <c r="J2559" s="87">
        <v>1</v>
      </c>
      <c r="K2559" s="88">
        <f t="shared" si="334"/>
        <v>142.61195617553346</v>
      </c>
    </row>
    <row r="2560" spans="1:11" hidden="1" x14ac:dyDescent="0.25">
      <c r="A2560" t="str">
        <f t="shared" si="329"/>
        <v>420CØ15</v>
      </c>
      <c r="B2560" s="81" t="s">
        <v>295</v>
      </c>
      <c r="D2560" s="86">
        <v>15</v>
      </c>
      <c r="E2560" s="85">
        <f t="shared" si="330"/>
        <v>1.4999999999999999E-2</v>
      </c>
      <c r="F2560" s="85">
        <f t="shared" si="331"/>
        <v>7.4999999999999997E-3</v>
      </c>
      <c r="G2560" s="85">
        <f t="shared" si="332"/>
        <v>1.7671458676442584E-6</v>
      </c>
      <c r="H2560" s="85">
        <v>7750</v>
      </c>
      <c r="I2560" s="85">
        <f t="shared" si="333"/>
        <v>1.3695380474243003E-2</v>
      </c>
      <c r="J2560" s="87">
        <v>1</v>
      </c>
      <c r="K2560" s="88">
        <f t="shared" si="334"/>
        <v>73.017321561873146</v>
      </c>
    </row>
    <row r="2561" spans="1:11" hidden="1" x14ac:dyDescent="0.25">
      <c r="A2561" t="str">
        <f t="shared" si="329"/>
        <v>420CØ15</v>
      </c>
      <c r="B2561" s="81" t="s">
        <v>295</v>
      </c>
      <c r="D2561" s="86">
        <v>15</v>
      </c>
      <c r="E2561" s="85">
        <f t="shared" si="330"/>
        <v>1.4999999999999999E-2</v>
      </c>
      <c r="F2561" s="85">
        <f t="shared" si="331"/>
        <v>7.4999999999999997E-3</v>
      </c>
      <c r="G2561" s="85">
        <f t="shared" si="332"/>
        <v>1.7671458676442584E-6</v>
      </c>
      <c r="H2561" s="85">
        <v>7750</v>
      </c>
      <c r="I2561" s="85">
        <f t="shared" si="333"/>
        <v>1.3695380474243003E-2</v>
      </c>
      <c r="J2561" s="87">
        <v>1</v>
      </c>
      <c r="K2561" s="88">
        <f t="shared" si="334"/>
        <v>73.017321561873146</v>
      </c>
    </row>
    <row r="2562" spans="1:11" hidden="1" x14ac:dyDescent="0.25">
      <c r="A2562" t="str">
        <f t="shared" si="329"/>
        <v>420CØ20</v>
      </c>
      <c r="B2562" s="81" t="s">
        <v>295</v>
      </c>
      <c r="D2562" s="86">
        <v>20</v>
      </c>
      <c r="E2562" s="85">
        <f t="shared" si="330"/>
        <v>0.02</v>
      </c>
      <c r="F2562" s="85">
        <f t="shared" si="331"/>
        <v>0.01</v>
      </c>
      <c r="G2562" s="85">
        <f t="shared" si="332"/>
        <v>4.1887902047863905E-6</v>
      </c>
      <c r="H2562" s="85">
        <v>7750</v>
      </c>
      <c r="I2562" s="85">
        <f t="shared" si="333"/>
        <v>3.2463124087094529E-2</v>
      </c>
      <c r="J2562" s="87">
        <v>1</v>
      </c>
      <c r="K2562" s="88">
        <f t="shared" si="334"/>
        <v>30.804182533915228</v>
      </c>
    </row>
    <row r="2563" spans="1:11" hidden="1" x14ac:dyDescent="0.25">
      <c r="A2563" t="str">
        <f t="shared" si="329"/>
        <v>420CØ20</v>
      </c>
      <c r="B2563" s="81" t="s">
        <v>295</v>
      </c>
      <c r="D2563" s="86">
        <v>20</v>
      </c>
      <c r="E2563" s="85">
        <f t="shared" si="330"/>
        <v>0.02</v>
      </c>
      <c r="F2563" s="85">
        <f t="shared" si="331"/>
        <v>0.01</v>
      </c>
      <c r="G2563" s="85">
        <f t="shared" si="332"/>
        <v>4.1887902047863905E-6</v>
      </c>
      <c r="H2563" s="85">
        <v>7750</v>
      </c>
      <c r="I2563" s="85">
        <f t="shared" si="333"/>
        <v>3.2463124087094529E-2</v>
      </c>
      <c r="J2563" s="87">
        <v>1</v>
      </c>
      <c r="K2563" s="88">
        <f t="shared" si="334"/>
        <v>30.804182533915228</v>
      </c>
    </row>
    <row r="2564" spans="1:11" hidden="1" x14ac:dyDescent="0.25">
      <c r="A2564" t="str">
        <f t="shared" ref="A2564:A2627" si="335">CONCATENATE(B2564,"Ø",D2564)</f>
        <v>420CØ25</v>
      </c>
      <c r="B2564" s="81" t="s">
        <v>295</v>
      </c>
      <c r="D2564" s="86">
        <v>25</v>
      </c>
      <c r="E2564" s="85">
        <f t="shared" si="330"/>
        <v>2.5000000000000001E-2</v>
      </c>
      <c r="F2564" s="85">
        <f t="shared" si="331"/>
        <v>1.2500000000000001E-2</v>
      </c>
      <c r="G2564" s="85">
        <f t="shared" si="332"/>
        <v>8.1812308687234206E-6</v>
      </c>
      <c r="H2564" s="85">
        <v>7750</v>
      </c>
      <c r="I2564" s="85">
        <f t="shared" si="333"/>
        <v>6.3404539232606513E-2</v>
      </c>
      <c r="J2564" s="87">
        <v>1</v>
      </c>
      <c r="K2564" s="88">
        <f t="shared" si="334"/>
        <v>15.771741457364593</v>
      </c>
    </row>
    <row r="2565" spans="1:11" hidden="1" x14ac:dyDescent="0.25">
      <c r="A2565" t="str">
        <f t="shared" si="335"/>
        <v>420CØ25</v>
      </c>
      <c r="B2565" s="81" t="s">
        <v>295</v>
      </c>
      <c r="D2565" s="86">
        <v>25</v>
      </c>
      <c r="E2565" s="85">
        <f t="shared" si="330"/>
        <v>2.5000000000000001E-2</v>
      </c>
      <c r="F2565" s="85">
        <f t="shared" si="331"/>
        <v>1.2500000000000001E-2</v>
      </c>
      <c r="G2565" s="85">
        <f t="shared" si="332"/>
        <v>8.1812308687234206E-6</v>
      </c>
      <c r="H2565" s="85">
        <v>7750</v>
      </c>
      <c r="I2565" s="85">
        <f t="shared" si="333"/>
        <v>6.3404539232606513E-2</v>
      </c>
      <c r="J2565" s="87">
        <v>1</v>
      </c>
      <c r="K2565" s="88">
        <f t="shared" si="334"/>
        <v>15.771741457364593</v>
      </c>
    </row>
    <row r="2566" spans="1:11" hidden="1" x14ac:dyDescent="0.25">
      <c r="A2566" t="str">
        <f t="shared" si="335"/>
        <v>420CØ30</v>
      </c>
      <c r="B2566" s="81" t="s">
        <v>295</v>
      </c>
      <c r="D2566" s="86">
        <v>30</v>
      </c>
      <c r="E2566" s="85">
        <f t="shared" si="330"/>
        <v>0.03</v>
      </c>
      <c r="F2566" s="85">
        <f t="shared" si="331"/>
        <v>1.4999999999999999E-2</v>
      </c>
      <c r="G2566" s="85">
        <f t="shared" si="332"/>
        <v>1.4137166941154067E-5</v>
      </c>
      <c r="H2566" s="85">
        <v>7750</v>
      </c>
      <c r="I2566" s="85">
        <f t="shared" si="333"/>
        <v>0.10956304379394402</v>
      </c>
      <c r="J2566" s="87">
        <v>1</v>
      </c>
      <c r="K2566" s="88">
        <f t="shared" si="334"/>
        <v>9.1271651952341433</v>
      </c>
    </row>
    <row r="2567" spans="1:11" hidden="1" x14ac:dyDescent="0.25">
      <c r="A2567" t="str">
        <f t="shared" si="335"/>
        <v>420CØ30</v>
      </c>
      <c r="B2567" s="81" t="s">
        <v>295</v>
      </c>
      <c r="D2567" s="86">
        <v>30</v>
      </c>
      <c r="E2567" s="85">
        <f t="shared" si="330"/>
        <v>0.03</v>
      </c>
      <c r="F2567" s="85">
        <f t="shared" si="331"/>
        <v>1.4999999999999999E-2</v>
      </c>
      <c r="G2567" s="85">
        <f t="shared" si="332"/>
        <v>1.4137166941154067E-5</v>
      </c>
      <c r="H2567" s="85">
        <v>7750</v>
      </c>
      <c r="I2567" s="85">
        <f t="shared" si="333"/>
        <v>0.10956304379394402</v>
      </c>
      <c r="J2567" s="87">
        <v>1</v>
      </c>
      <c r="K2567" s="88">
        <f t="shared" si="334"/>
        <v>9.1271651952341433</v>
      </c>
    </row>
    <row r="2568" spans="1:11" hidden="1" x14ac:dyDescent="0.25">
      <c r="A2568" t="str">
        <f t="shared" si="335"/>
        <v>420CØ40</v>
      </c>
      <c r="B2568" s="81" t="s">
        <v>295</v>
      </c>
      <c r="D2568" s="86">
        <v>40</v>
      </c>
      <c r="E2568" s="85">
        <f t="shared" si="330"/>
        <v>0.04</v>
      </c>
      <c r="F2568" s="85">
        <f t="shared" si="331"/>
        <v>0.02</v>
      </c>
      <c r="G2568" s="85">
        <f t="shared" si="332"/>
        <v>3.3510321638291124E-5</v>
      </c>
      <c r="H2568" s="85">
        <v>7750</v>
      </c>
      <c r="I2568" s="85">
        <f t="shared" si="333"/>
        <v>0.25970499269675623</v>
      </c>
      <c r="J2568" s="87">
        <v>1</v>
      </c>
      <c r="K2568" s="88">
        <f t="shared" si="334"/>
        <v>3.8505228167394034</v>
      </c>
    </row>
    <row r="2569" spans="1:11" hidden="1" x14ac:dyDescent="0.25">
      <c r="A2569" t="str">
        <f t="shared" si="335"/>
        <v>420CØ40</v>
      </c>
      <c r="B2569" s="81" t="s">
        <v>295</v>
      </c>
      <c r="D2569" s="86">
        <v>40</v>
      </c>
      <c r="E2569" s="85">
        <f t="shared" ref="E2569:E2632" si="336">D2569/1000</f>
        <v>0.04</v>
      </c>
      <c r="F2569" s="85">
        <f t="shared" ref="F2569:F2632" si="337">E2569/2</f>
        <v>0.02</v>
      </c>
      <c r="G2569" s="85">
        <f t="shared" ref="G2569:G2632" si="338">4/3*PI()*F2569*F2569*F2569</f>
        <v>3.3510321638291124E-5</v>
      </c>
      <c r="H2569" s="85">
        <v>7750</v>
      </c>
      <c r="I2569" s="85">
        <f t="shared" ref="I2569:I2632" si="339">H2569*G2569</f>
        <v>0.25970499269675623</v>
      </c>
      <c r="J2569" s="87">
        <v>1</v>
      </c>
      <c r="K2569" s="88">
        <f t="shared" ref="K2569:K2632" si="340">J2569/I2569</f>
        <v>3.8505228167394034</v>
      </c>
    </row>
    <row r="2570" spans="1:11" hidden="1" x14ac:dyDescent="0.25">
      <c r="A2570" t="str">
        <f t="shared" si="335"/>
        <v>420CØ50</v>
      </c>
      <c r="B2570" s="81" t="s">
        <v>295</v>
      </c>
      <c r="D2570" s="86">
        <v>50</v>
      </c>
      <c r="E2570" s="85">
        <f t="shared" si="336"/>
        <v>0.05</v>
      </c>
      <c r="F2570" s="85">
        <f t="shared" si="337"/>
        <v>2.5000000000000001E-2</v>
      </c>
      <c r="G2570" s="85">
        <f t="shared" si="338"/>
        <v>6.5449846949787365E-5</v>
      </c>
      <c r="H2570" s="85">
        <v>7750</v>
      </c>
      <c r="I2570" s="85">
        <f t="shared" si="339"/>
        <v>0.50723631386085211</v>
      </c>
      <c r="J2570" s="87">
        <v>1</v>
      </c>
      <c r="K2570" s="88">
        <f t="shared" si="340"/>
        <v>1.9714676821705741</v>
      </c>
    </row>
    <row r="2571" spans="1:11" hidden="1" x14ac:dyDescent="0.25">
      <c r="A2571" t="str">
        <f t="shared" si="335"/>
        <v>420CØ50</v>
      </c>
      <c r="B2571" s="81" t="s">
        <v>295</v>
      </c>
      <c r="D2571" s="86">
        <v>50</v>
      </c>
      <c r="E2571" s="85">
        <f t="shared" si="336"/>
        <v>0.05</v>
      </c>
      <c r="F2571" s="85">
        <f t="shared" si="337"/>
        <v>2.5000000000000001E-2</v>
      </c>
      <c r="G2571" s="85">
        <f t="shared" si="338"/>
        <v>6.5449846949787365E-5</v>
      </c>
      <c r="H2571" s="85">
        <v>7750</v>
      </c>
      <c r="I2571" s="85">
        <f t="shared" si="339"/>
        <v>0.50723631386085211</v>
      </c>
      <c r="J2571" s="87">
        <v>1</v>
      </c>
      <c r="K2571" s="88">
        <f t="shared" si="340"/>
        <v>1.9714676821705741</v>
      </c>
    </row>
    <row r="2572" spans="1:11" hidden="1" x14ac:dyDescent="0.25">
      <c r="A2572" t="str">
        <f t="shared" si="335"/>
        <v>52100Ø1</v>
      </c>
      <c r="B2572" s="81">
        <v>52100</v>
      </c>
      <c r="D2572" s="86">
        <v>1</v>
      </c>
      <c r="E2572" s="85">
        <f t="shared" si="336"/>
        <v>1E-3</v>
      </c>
      <c r="F2572" s="85">
        <f t="shared" si="337"/>
        <v>5.0000000000000001E-4</v>
      </c>
      <c r="G2572" s="85">
        <f t="shared" si="338"/>
        <v>5.2359877559829886E-10</v>
      </c>
      <c r="H2572" s="85">
        <v>7800</v>
      </c>
      <c r="I2572" s="85">
        <f t="shared" si="339"/>
        <v>4.0840704496667312E-6</v>
      </c>
      <c r="J2572" s="87">
        <v>1</v>
      </c>
      <c r="K2572" s="88">
        <f t="shared" si="340"/>
        <v>244853.75860291591</v>
      </c>
    </row>
    <row r="2573" spans="1:11" hidden="1" x14ac:dyDescent="0.25">
      <c r="A2573" t="str">
        <f t="shared" si="335"/>
        <v>52100Ø1</v>
      </c>
      <c r="B2573" s="81">
        <v>52100</v>
      </c>
      <c r="D2573" s="86">
        <v>1</v>
      </c>
      <c r="E2573" s="85">
        <f t="shared" si="336"/>
        <v>1E-3</v>
      </c>
      <c r="F2573" s="85">
        <f t="shared" si="337"/>
        <v>5.0000000000000001E-4</v>
      </c>
      <c r="G2573" s="85">
        <f t="shared" si="338"/>
        <v>5.2359877559829886E-10</v>
      </c>
      <c r="H2573" s="85">
        <v>7800</v>
      </c>
      <c r="I2573" s="85">
        <f t="shared" si="339"/>
        <v>4.0840704496667312E-6</v>
      </c>
      <c r="J2573" s="87">
        <v>1</v>
      </c>
      <c r="K2573" s="88">
        <f t="shared" si="340"/>
        <v>244853.75860291591</v>
      </c>
    </row>
    <row r="2574" spans="1:11" hidden="1" x14ac:dyDescent="0.25">
      <c r="A2574" t="str">
        <f t="shared" si="335"/>
        <v>52100Ø3</v>
      </c>
      <c r="B2574" s="81">
        <v>52100</v>
      </c>
      <c r="D2574" s="86">
        <v>3</v>
      </c>
      <c r="E2574" s="85">
        <f t="shared" si="336"/>
        <v>3.0000000000000001E-3</v>
      </c>
      <c r="F2574" s="85">
        <f t="shared" si="337"/>
        <v>1.5E-3</v>
      </c>
      <c r="G2574" s="85">
        <f t="shared" si="338"/>
        <v>1.4137166941154068E-8</v>
      </c>
      <c r="H2574" s="85">
        <v>7800</v>
      </c>
      <c r="I2574" s="85">
        <f t="shared" si="339"/>
        <v>1.1026990214100174E-4</v>
      </c>
      <c r="J2574" s="87">
        <v>1</v>
      </c>
      <c r="K2574" s="88">
        <f t="shared" si="340"/>
        <v>9068.6577260339218</v>
      </c>
    </row>
    <row r="2575" spans="1:11" hidden="1" x14ac:dyDescent="0.25">
      <c r="A2575" t="str">
        <f t="shared" si="335"/>
        <v>52100Ø3</v>
      </c>
      <c r="B2575" s="81">
        <v>52100</v>
      </c>
      <c r="D2575" s="86">
        <v>3</v>
      </c>
      <c r="E2575" s="85">
        <f t="shared" si="336"/>
        <v>3.0000000000000001E-3</v>
      </c>
      <c r="F2575" s="85">
        <f t="shared" si="337"/>
        <v>1.5E-3</v>
      </c>
      <c r="G2575" s="85">
        <f t="shared" si="338"/>
        <v>1.4137166941154068E-8</v>
      </c>
      <c r="H2575" s="85">
        <v>7800</v>
      </c>
      <c r="I2575" s="85">
        <f t="shared" si="339"/>
        <v>1.1026990214100174E-4</v>
      </c>
      <c r="J2575" s="87">
        <v>1</v>
      </c>
      <c r="K2575" s="88">
        <f t="shared" si="340"/>
        <v>9068.6577260339218</v>
      </c>
    </row>
    <row r="2576" spans="1:11" hidden="1" x14ac:dyDescent="0.25">
      <c r="A2576" t="str">
        <f t="shared" si="335"/>
        <v>52100Ø5</v>
      </c>
      <c r="B2576" s="81">
        <v>52100</v>
      </c>
      <c r="D2576" s="86">
        <v>5</v>
      </c>
      <c r="E2576" s="85">
        <f t="shared" si="336"/>
        <v>5.0000000000000001E-3</v>
      </c>
      <c r="F2576" s="85">
        <f t="shared" si="337"/>
        <v>2.5000000000000001E-3</v>
      </c>
      <c r="G2576" s="85">
        <f t="shared" si="338"/>
        <v>6.5449846949787352E-8</v>
      </c>
      <c r="H2576" s="85">
        <v>7800</v>
      </c>
      <c r="I2576" s="85">
        <f t="shared" si="339"/>
        <v>5.1050880620834131E-4</v>
      </c>
      <c r="J2576" s="87">
        <v>1</v>
      </c>
      <c r="K2576" s="88">
        <f t="shared" si="340"/>
        <v>1958.8300688233276</v>
      </c>
    </row>
    <row r="2577" spans="1:11" hidden="1" x14ac:dyDescent="0.25">
      <c r="A2577" t="str">
        <f t="shared" si="335"/>
        <v>52100Ø5</v>
      </c>
      <c r="B2577" s="81">
        <v>52100</v>
      </c>
      <c r="D2577" s="86">
        <v>5</v>
      </c>
      <c r="E2577" s="85">
        <f t="shared" si="336"/>
        <v>5.0000000000000001E-3</v>
      </c>
      <c r="F2577" s="85">
        <f t="shared" si="337"/>
        <v>2.5000000000000001E-3</v>
      </c>
      <c r="G2577" s="85">
        <f t="shared" si="338"/>
        <v>6.5449846949787352E-8</v>
      </c>
      <c r="H2577" s="85">
        <v>7800</v>
      </c>
      <c r="I2577" s="85">
        <f t="shared" si="339"/>
        <v>5.1050880620834131E-4</v>
      </c>
      <c r="J2577" s="87">
        <v>1</v>
      </c>
      <c r="K2577" s="88">
        <f t="shared" si="340"/>
        <v>1958.8300688233276</v>
      </c>
    </row>
    <row r="2578" spans="1:11" hidden="1" x14ac:dyDescent="0.25">
      <c r="A2578" t="str">
        <f t="shared" si="335"/>
        <v>52100Ø7</v>
      </c>
      <c r="B2578" s="81">
        <v>52100</v>
      </c>
      <c r="D2578" s="86">
        <v>7</v>
      </c>
      <c r="E2578" s="85">
        <f t="shared" si="336"/>
        <v>7.0000000000000001E-3</v>
      </c>
      <c r="F2578" s="85">
        <f t="shared" si="337"/>
        <v>3.5000000000000001E-3</v>
      </c>
      <c r="G2578" s="85">
        <f t="shared" si="338"/>
        <v>1.7959438003021651E-7</v>
      </c>
      <c r="H2578" s="85">
        <v>7800</v>
      </c>
      <c r="I2578" s="85">
        <f t="shared" si="339"/>
        <v>1.4008361642356888E-3</v>
      </c>
      <c r="J2578" s="87">
        <v>1</v>
      </c>
      <c r="K2578" s="88">
        <f t="shared" si="340"/>
        <v>713.85935452745161</v>
      </c>
    </row>
    <row r="2579" spans="1:11" hidden="1" x14ac:dyDescent="0.25">
      <c r="A2579" t="str">
        <f t="shared" si="335"/>
        <v>52100Ø7</v>
      </c>
      <c r="B2579" s="81">
        <v>52100</v>
      </c>
      <c r="D2579" s="86">
        <v>7</v>
      </c>
      <c r="E2579" s="85">
        <f t="shared" si="336"/>
        <v>7.0000000000000001E-3</v>
      </c>
      <c r="F2579" s="85">
        <f t="shared" si="337"/>
        <v>3.5000000000000001E-3</v>
      </c>
      <c r="G2579" s="85">
        <f t="shared" si="338"/>
        <v>1.7959438003021651E-7</v>
      </c>
      <c r="H2579" s="85">
        <v>7800</v>
      </c>
      <c r="I2579" s="85">
        <f t="shared" si="339"/>
        <v>1.4008361642356888E-3</v>
      </c>
      <c r="J2579" s="87">
        <v>1</v>
      </c>
      <c r="K2579" s="88">
        <f t="shared" si="340"/>
        <v>713.85935452745161</v>
      </c>
    </row>
    <row r="2580" spans="1:11" hidden="1" x14ac:dyDescent="0.25">
      <c r="A2580" t="str">
        <f t="shared" si="335"/>
        <v>52100Ø10</v>
      </c>
      <c r="B2580" s="81">
        <v>52100</v>
      </c>
      <c r="D2580" s="86">
        <v>10</v>
      </c>
      <c r="E2580" s="85">
        <f t="shared" si="336"/>
        <v>0.01</v>
      </c>
      <c r="F2580" s="85">
        <f t="shared" si="337"/>
        <v>5.0000000000000001E-3</v>
      </c>
      <c r="G2580" s="85">
        <f t="shared" si="338"/>
        <v>5.2359877559829882E-7</v>
      </c>
      <c r="H2580" s="85">
        <v>7800</v>
      </c>
      <c r="I2580" s="85">
        <f t="shared" si="339"/>
        <v>4.0840704496667305E-3</v>
      </c>
      <c r="J2580" s="87">
        <v>1</v>
      </c>
      <c r="K2580" s="88">
        <f t="shared" si="340"/>
        <v>244.85375860291595</v>
      </c>
    </row>
    <row r="2581" spans="1:11" hidden="1" x14ac:dyDescent="0.25">
      <c r="A2581" t="str">
        <f t="shared" si="335"/>
        <v>52100Ø10</v>
      </c>
      <c r="B2581" s="81">
        <v>52100</v>
      </c>
      <c r="D2581" s="86">
        <v>10</v>
      </c>
      <c r="E2581" s="85">
        <f t="shared" si="336"/>
        <v>0.01</v>
      </c>
      <c r="F2581" s="85">
        <f t="shared" si="337"/>
        <v>5.0000000000000001E-3</v>
      </c>
      <c r="G2581" s="85">
        <f t="shared" si="338"/>
        <v>5.2359877559829882E-7</v>
      </c>
      <c r="H2581" s="85">
        <v>7800</v>
      </c>
      <c r="I2581" s="85">
        <f t="shared" si="339"/>
        <v>4.0840704496667305E-3</v>
      </c>
      <c r="J2581" s="87">
        <v>1</v>
      </c>
      <c r="K2581" s="88">
        <f t="shared" si="340"/>
        <v>244.85375860291595</v>
      </c>
    </row>
    <row r="2582" spans="1:11" hidden="1" x14ac:dyDescent="0.25">
      <c r="A2582" t="str">
        <f t="shared" si="335"/>
        <v>52100Ø12</v>
      </c>
      <c r="B2582" s="81">
        <v>52100</v>
      </c>
      <c r="D2582" s="86">
        <v>12</v>
      </c>
      <c r="E2582" s="85">
        <f t="shared" si="336"/>
        <v>1.2E-2</v>
      </c>
      <c r="F2582" s="85">
        <f t="shared" si="337"/>
        <v>6.0000000000000001E-3</v>
      </c>
      <c r="G2582" s="85">
        <f t="shared" si="338"/>
        <v>9.0477868423386037E-7</v>
      </c>
      <c r="H2582" s="85">
        <v>7800</v>
      </c>
      <c r="I2582" s="85">
        <f t="shared" si="339"/>
        <v>7.0572737370241112E-3</v>
      </c>
      <c r="J2582" s="87">
        <v>1</v>
      </c>
      <c r="K2582" s="88">
        <f t="shared" si="340"/>
        <v>141.69777696928003</v>
      </c>
    </row>
    <row r="2583" spans="1:11" hidden="1" x14ac:dyDescent="0.25">
      <c r="A2583" t="str">
        <f t="shared" si="335"/>
        <v>52100Ø12</v>
      </c>
      <c r="B2583" s="81">
        <v>52100</v>
      </c>
      <c r="D2583" s="86">
        <v>12</v>
      </c>
      <c r="E2583" s="85">
        <f t="shared" si="336"/>
        <v>1.2E-2</v>
      </c>
      <c r="F2583" s="85">
        <f t="shared" si="337"/>
        <v>6.0000000000000001E-3</v>
      </c>
      <c r="G2583" s="85">
        <f t="shared" si="338"/>
        <v>9.0477868423386037E-7</v>
      </c>
      <c r="H2583" s="85">
        <v>7800</v>
      </c>
      <c r="I2583" s="85">
        <f t="shared" si="339"/>
        <v>7.0572737370241112E-3</v>
      </c>
      <c r="J2583" s="87">
        <v>1</v>
      </c>
      <c r="K2583" s="88">
        <f t="shared" si="340"/>
        <v>141.69777696928003</v>
      </c>
    </row>
    <row r="2584" spans="1:11" hidden="1" x14ac:dyDescent="0.25">
      <c r="A2584" t="str">
        <f t="shared" si="335"/>
        <v>52100Ø15</v>
      </c>
      <c r="B2584" s="81">
        <v>52100</v>
      </c>
      <c r="D2584" s="86">
        <v>15</v>
      </c>
      <c r="E2584" s="85">
        <f t="shared" si="336"/>
        <v>1.4999999999999999E-2</v>
      </c>
      <c r="F2584" s="85">
        <f t="shared" si="337"/>
        <v>7.4999999999999997E-3</v>
      </c>
      <c r="G2584" s="85">
        <f t="shared" si="338"/>
        <v>1.7671458676442584E-6</v>
      </c>
      <c r="H2584" s="85">
        <v>7800</v>
      </c>
      <c r="I2584" s="85">
        <f t="shared" si="339"/>
        <v>1.3783737767625216E-2</v>
      </c>
      <c r="J2584" s="87">
        <v>1</v>
      </c>
      <c r="K2584" s="88">
        <f t="shared" si="340"/>
        <v>72.549261808271382</v>
      </c>
    </row>
    <row r="2585" spans="1:11" hidden="1" x14ac:dyDescent="0.25">
      <c r="A2585" t="str">
        <f t="shared" si="335"/>
        <v>52100Ø15</v>
      </c>
      <c r="B2585" s="81">
        <v>52100</v>
      </c>
      <c r="D2585" s="86">
        <v>15</v>
      </c>
      <c r="E2585" s="85">
        <f t="shared" si="336"/>
        <v>1.4999999999999999E-2</v>
      </c>
      <c r="F2585" s="85">
        <f t="shared" si="337"/>
        <v>7.4999999999999997E-3</v>
      </c>
      <c r="G2585" s="85">
        <f t="shared" si="338"/>
        <v>1.7671458676442584E-6</v>
      </c>
      <c r="H2585" s="85">
        <v>7800</v>
      </c>
      <c r="I2585" s="85">
        <f t="shared" si="339"/>
        <v>1.3783737767625216E-2</v>
      </c>
      <c r="J2585" s="87">
        <v>1</v>
      </c>
      <c r="K2585" s="88">
        <f t="shared" si="340"/>
        <v>72.549261808271382</v>
      </c>
    </row>
    <row r="2586" spans="1:11" hidden="1" x14ac:dyDescent="0.25">
      <c r="A2586" t="str">
        <f t="shared" si="335"/>
        <v>52100Ø20</v>
      </c>
      <c r="B2586" s="81">
        <v>52100</v>
      </c>
      <c r="D2586" s="86">
        <v>20</v>
      </c>
      <c r="E2586" s="85">
        <f t="shared" si="336"/>
        <v>0.02</v>
      </c>
      <c r="F2586" s="85">
        <f t="shared" si="337"/>
        <v>0.01</v>
      </c>
      <c r="G2586" s="85">
        <f t="shared" si="338"/>
        <v>4.1887902047863905E-6</v>
      </c>
      <c r="H2586" s="85">
        <v>7800</v>
      </c>
      <c r="I2586" s="85">
        <f t="shared" si="339"/>
        <v>3.2672563597333844E-2</v>
      </c>
      <c r="J2586" s="87">
        <v>1</v>
      </c>
      <c r="K2586" s="88">
        <f t="shared" si="340"/>
        <v>30.606719825364493</v>
      </c>
    </row>
    <row r="2587" spans="1:11" hidden="1" x14ac:dyDescent="0.25">
      <c r="A2587" t="str">
        <f t="shared" si="335"/>
        <v>52100Ø20</v>
      </c>
      <c r="B2587" s="81">
        <v>52100</v>
      </c>
      <c r="D2587" s="86">
        <v>20</v>
      </c>
      <c r="E2587" s="85">
        <f t="shared" si="336"/>
        <v>0.02</v>
      </c>
      <c r="F2587" s="85">
        <f t="shared" si="337"/>
        <v>0.01</v>
      </c>
      <c r="G2587" s="85">
        <f t="shared" si="338"/>
        <v>4.1887902047863905E-6</v>
      </c>
      <c r="H2587" s="85">
        <v>7800</v>
      </c>
      <c r="I2587" s="85">
        <f t="shared" si="339"/>
        <v>3.2672563597333844E-2</v>
      </c>
      <c r="J2587" s="87">
        <v>1</v>
      </c>
      <c r="K2587" s="88">
        <f t="shared" si="340"/>
        <v>30.606719825364493</v>
      </c>
    </row>
    <row r="2588" spans="1:11" hidden="1" x14ac:dyDescent="0.25">
      <c r="A2588" t="str">
        <f t="shared" si="335"/>
        <v>52100Ø30</v>
      </c>
      <c r="B2588" s="81">
        <v>52100</v>
      </c>
      <c r="D2588" s="86">
        <v>30</v>
      </c>
      <c r="E2588" s="85">
        <f t="shared" si="336"/>
        <v>0.03</v>
      </c>
      <c r="F2588" s="85">
        <f t="shared" si="337"/>
        <v>1.4999999999999999E-2</v>
      </c>
      <c r="G2588" s="85">
        <f t="shared" si="338"/>
        <v>1.4137166941154067E-5</v>
      </c>
      <c r="H2588" s="85">
        <v>7800</v>
      </c>
      <c r="I2588" s="85">
        <f t="shared" si="339"/>
        <v>0.11026990214100173</v>
      </c>
      <c r="J2588" s="87">
        <v>1</v>
      </c>
      <c r="K2588" s="88">
        <f t="shared" si="340"/>
        <v>9.0686577260339227</v>
      </c>
    </row>
    <row r="2589" spans="1:11" hidden="1" x14ac:dyDescent="0.25">
      <c r="A2589" t="str">
        <f t="shared" si="335"/>
        <v>52100Ø30</v>
      </c>
      <c r="B2589" s="81">
        <v>52100</v>
      </c>
      <c r="D2589" s="86">
        <v>30</v>
      </c>
      <c r="E2589" s="85">
        <f t="shared" si="336"/>
        <v>0.03</v>
      </c>
      <c r="F2589" s="85">
        <f t="shared" si="337"/>
        <v>1.4999999999999999E-2</v>
      </c>
      <c r="G2589" s="85">
        <f t="shared" si="338"/>
        <v>1.4137166941154067E-5</v>
      </c>
      <c r="H2589" s="85">
        <v>7800</v>
      </c>
      <c r="I2589" s="85">
        <f t="shared" si="339"/>
        <v>0.11026990214100173</v>
      </c>
      <c r="J2589" s="87">
        <v>1</v>
      </c>
      <c r="K2589" s="88">
        <f t="shared" si="340"/>
        <v>9.0686577260339227</v>
      </c>
    </row>
    <row r="2590" spans="1:11" hidden="1" x14ac:dyDescent="0.25">
      <c r="A2590" t="str">
        <f t="shared" si="335"/>
        <v>52100Ø40</v>
      </c>
      <c r="B2590" s="81">
        <v>52100</v>
      </c>
      <c r="D2590" s="86">
        <v>40</v>
      </c>
      <c r="E2590" s="85">
        <f t="shared" si="336"/>
        <v>0.04</v>
      </c>
      <c r="F2590" s="85">
        <f t="shared" si="337"/>
        <v>0.02</v>
      </c>
      <c r="G2590" s="85">
        <f t="shared" si="338"/>
        <v>3.3510321638291124E-5</v>
      </c>
      <c r="H2590" s="85">
        <v>7800</v>
      </c>
      <c r="I2590" s="85">
        <f t="shared" si="339"/>
        <v>0.26138050877867075</v>
      </c>
      <c r="J2590" s="87">
        <v>1</v>
      </c>
      <c r="K2590" s="88">
        <f t="shared" si="340"/>
        <v>3.8258399781705617</v>
      </c>
    </row>
    <row r="2591" spans="1:11" hidden="1" x14ac:dyDescent="0.25">
      <c r="A2591" t="str">
        <f t="shared" si="335"/>
        <v>52100Ø40</v>
      </c>
      <c r="B2591" s="81">
        <v>52100</v>
      </c>
      <c r="D2591" s="86">
        <v>40</v>
      </c>
      <c r="E2591" s="85">
        <f t="shared" si="336"/>
        <v>0.04</v>
      </c>
      <c r="F2591" s="85">
        <f t="shared" si="337"/>
        <v>0.02</v>
      </c>
      <c r="G2591" s="85">
        <f t="shared" si="338"/>
        <v>3.3510321638291124E-5</v>
      </c>
      <c r="H2591" s="85">
        <v>7800</v>
      </c>
      <c r="I2591" s="85">
        <f t="shared" si="339"/>
        <v>0.26138050877867075</v>
      </c>
      <c r="J2591" s="87">
        <v>1</v>
      </c>
      <c r="K2591" s="88">
        <f t="shared" si="340"/>
        <v>3.8258399781705617</v>
      </c>
    </row>
    <row r="2592" spans="1:11" hidden="1" x14ac:dyDescent="0.25">
      <c r="A2592" t="str">
        <f t="shared" si="335"/>
        <v>52100Ø50</v>
      </c>
      <c r="B2592" s="81">
        <v>52100</v>
      </c>
      <c r="D2592" s="86">
        <v>50</v>
      </c>
      <c r="E2592" s="85">
        <f t="shared" si="336"/>
        <v>0.05</v>
      </c>
      <c r="F2592" s="85">
        <f t="shared" si="337"/>
        <v>2.5000000000000001E-2</v>
      </c>
      <c r="G2592" s="85">
        <f t="shared" si="338"/>
        <v>6.5449846949787365E-5</v>
      </c>
      <c r="H2592" s="85">
        <v>7800</v>
      </c>
      <c r="I2592" s="85">
        <f t="shared" si="339"/>
        <v>0.51050880620834149</v>
      </c>
      <c r="J2592" s="87">
        <v>1</v>
      </c>
      <c r="K2592" s="88">
        <f t="shared" si="340"/>
        <v>1.9588300688233269</v>
      </c>
    </row>
    <row r="2593" spans="1:11" hidden="1" x14ac:dyDescent="0.25">
      <c r="A2593" t="str">
        <f t="shared" si="335"/>
        <v>52100Ø50</v>
      </c>
      <c r="B2593" s="81">
        <v>52100</v>
      </c>
      <c r="D2593" s="86">
        <v>50</v>
      </c>
      <c r="E2593" s="85">
        <f t="shared" si="336"/>
        <v>0.05</v>
      </c>
      <c r="F2593" s="85">
        <f t="shared" si="337"/>
        <v>2.5000000000000001E-2</v>
      </c>
      <c r="G2593" s="85">
        <f t="shared" si="338"/>
        <v>6.5449846949787365E-5</v>
      </c>
      <c r="H2593" s="85">
        <v>7800</v>
      </c>
      <c r="I2593" s="85">
        <f t="shared" si="339"/>
        <v>0.51050880620834149</v>
      </c>
      <c r="J2593" s="87">
        <v>1</v>
      </c>
      <c r="K2593" s="88">
        <f t="shared" si="340"/>
        <v>1.9588300688233269</v>
      </c>
    </row>
    <row r="2594" spans="1:11" hidden="1" x14ac:dyDescent="0.25">
      <c r="A2594" t="str">
        <f t="shared" si="335"/>
        <v>PA6.6Ø5</v>
      </c>
      <c r="B2594" s="81" t="s">
        <v>244</v>
      </c>
      <c r="D2594" s="86">
        <v>5</v>
      </c>
      <c r="E2594" s="85">
        <f t="shared" si="336"/>
        <v>5.0000000000000001E-3</v>
      </c>
      <c r="F2594" s="85">
        <f t="shared" si="337"/>
        <v>2.5000000000000001E-3</v>
      </c>
      <c r="G2594" s="85">
        <f t="shared" si="338"/>
        <v>6.5449846949787352E-8</v>
      </c>
      <c r="H2594" s="85">
        <v>1110</v>
      </c>
      <c r="I2594" s="85">
        <f t="shared" si="339"/>
        <v>7.2649330114263956E-5</v>
      </c>
      <c r="J2594" s="87">
        <v>1</v>
      </c>
      <c r="K2594" s="88">
        <f t="shared" si="340"/>
        <v>13764.751834974733</v>
      </c>
    </row>
    <row r="2595" spans="1:11" hidden="1" x14ac:dyDescent="0.25">
      <c r="A2595" t="str">
        <f t="shared" si="335"/>
        <v>PA6.6Ø5</v>
      </c>
      <c r="B2595" s="81" t="s">
        <v>244</v>
      </c>
      <c r="D2595" s="86">
        <v>5</v>
      </c>
      <c r="E2595" s="85">
        <f t="shared" si="336"/>
        <v>5.0000000000000001E-3</v>
      </c>
      <c r="F2595" s="85">
        <f t="shared" si="337"/>
        <v>2.5000000000000001E-3</v>
      </c>
      <c r="G2595" s="85">
        <f t="shared" si="338"/>
        <v>6.5449846949787352E-8</v>
      </c>
      <c r="H2595" s="85">
        <v>1110</v>
      </c>
      <c r="I2595" s="85">
        <f t="shared" si="339"/>
        <v>7.2649330114263956E-5</v>
      </c>
      <c r="J2595" s="87">
        <v>1</v>
      </c>
      <c r="K2595" s="88">
        <f t="shared" si="340"/>
        <v>13764.751834974733</v>
      </c>
    </row>
    <row r="2596" spans="1:11" hidden="1" x14ac:dyDescent="0.25">
      <c r="A2596" t="str">
        <f t="shared" si="335"/>
        <v>PA6.6Ø7</v>
      </c>
      <c r="B2596" s="81" t="s">
        <v>244</v>
      </c>
      <c r="D2596" s="86">
        <v>7</v>
      </c>
      <c r="E2596" s="85">
        <f t="shared" si="336"/>
        <v>7.0000000000000001E-3</v>
      </c>
      <c r="F2596" s="85">
        <f t="shared" si="337"/>
        <v>3.5000000000000001E-3</v>
      </c>
      <c r="G2596" s="85">
        <f t="shared" si="338"/>
        <v>1.7959438003021651E-7</v>
      </c>
      <c r="H2596" s="85">
        <v>1110</v>
      </c>
      <c r="I2596" s="85">
        <f t="shared" si="339"/>
        <v>1.9934976183354032E-4</v>
      </c>
      <c r="J2596" s="87">
        <v>1</v>
      </c>
      <c r="K2596" s="88">
        <f t="shared" si="340"/>
        <v>5016.308977760471</v>
      </c>
    </row>
    <row r="2597" spans="1:11" hidden="1" x14ac:dyDescent="0.25">
      <c r="A2597" t="str">
        <f t="shared" si="335"/>
        <v>PA6.6Ø7</v>
      </c>
      <c r="B2597" s="81" t="s">
        <v>244</v>
      </c>
      <c r="D2597" s="86">
        <v>7</v>
      </c>
      <c r="E2597" s="85">
        <f t="shared" si="336"/>
        <v>7.0000000000000001E-3</v>
      </c>
      <c r="F2597" s="85">
        <f t="shared" si="337"/>
        <v>3.5000000000000001E-3</v>
      </c>
      <c r="G2597" s="85">
        <f t="shared" si="338"/>
        <v>1.7959438003021651E-7</v>
      </c>
      <c r="H2597" s="85">
        <v>1110</v>
      </c>
      <c r="I2597" s="85">
        <f t="shared" si="339"/>
        <v>1.9934976183354032E-4</v>
      </c>
      <c r="J2597" s="87">
        <v>1</v>
      </c>
      <c r="K2597" s="88">
        <f t="shared" si="340"/>
        <v>5016.308977760471</v>
      </c>
    </row>
    <row r="2598" spans="1:11" hidden="1" x14ac:dyDescent="0.25">
      <c r="A2598" t="str">
        <f t="shared" si="335"/>
        <v>PA6.6Ø9</v>
      </c>
      <c r="B2598" s="81" t="s">
        <v>244</v>
      </c>
      <c r="D2598" s="86">
        <v>9</v>
      </c>
      <c r="E2598" s="85">
        <f t="shared" si="336"/>
        <v>8.9999999999999993E-3</v>
      </c>
      <c r="F2598" s="85">
        <f t="shared" si="337"/>
        <v>4.4999999999999997E-3</v>
      </c>
      <c r="G2598" s="85">
        <f t="shared" si="338"/>
        <v>3.8170350741115974E-7</v>
      </c>
      <c r="H2598" s="85">
        <v>1110</v>
      </c>
      <c r="I2598" s="85">
        <f t="shared" si="339"/>
        <v>4.2369089322638734E-4</v>
      </c>
      <c r="J2598" s="87">
        <v>1</v>
      </c>
      <c r="K2598" s="88">
        <f t="shared" si="340"/>
        <v>2360.2112199888093</v>
      </c>
    </row>
    <row r="2599" spans="1:11" hidden="1" x14ac:dyDescent="0.25">
      <c r="A2599" t="str">
        <f t="shared" si="335"/>
        <v>PA6.6Ø9</v>
      </c>
      <c r="B2599" s="81" t="s">
        <v>244</v>
      </c>
      <c r="D2599" s="86">
        <v>9</v>
      </c>
      <c r="E2599" s="85">
        <f t="shared" si="336"/>
        <v>8.9999999999999993E-3</v>
      </c>
      <c r="F2599" s="85">
        <f t="shared" si="337"/>
        <v>4.4999999999999997E-3</v>
      </c>
      <c r="G2599" s="85">
        <f t="shared" si="338"/>
        <v>3.8170350741115974E-7</v>
      </c>
      <c r="H2599" s="85">
        <v>1110</v>
      </c>
      <c r="I2599" s="85">
        <f t="shared" si="339"/>
        <v>4.2369089322638734E-4</v>
      </c>
      <c r="J2599" s="87">
        <v>1</v>
      </c>
      <c r="K2599" s="88">
        <f t="shared" si="340"/>
        <v>2360.2112199888093</v>
      </c>
    </row>
    <row r="2600" spans="1:11" hidden="1" x14ac:dyDescent="0.25">
      <c r="A2600" t="str">
        <f t="shared" si="335"/>
        <v>PA6.6Ø12</v>
      </c>
      <c r="B2600" s="81" t="s">
        <v>244</v>
      </c>
      <c r="D2600" s="86">
        <v>12</v>
      </c>
      <c r="E2600" s="85">
        <f t="shared" si="336"/>
        <v>1.2E-2</v>
      </c>
      <c r="F2600" s="85">
        <f t="shared" si="337"/>
        <v>6.0000000000000001E-3</v>
      </c>
      <c r="G2600" s="85">
        <f t="shared" si="338"/>
        <v>9.0477868423386037E-7</v>
      </c>
      <c r="H2600" s="85">
        <v>1110</v>
      </c>
      <c r="I2600" s="85">
        <f t="shared" si="339"/>
        <v>1.004304339499585E-3</v>
      </c>
      <c r="J2600" s="87">
        <v>1</v>
      </c>
      <c r="K2600" s="88">
        <f t="shared" si="340"/>
        <v>995.71410843277863</v>
      </c>
    </row>
    <row r="2601" spans="1:11" hidden="1" x14ac:dyDescent="0.25">
      <c r="A2601" t="str">
        <f t="shared" si="335"/>
        <v>PA6.6Ø12</v>
      </c>
      <c r="B2601" s="81" t="s">
        <v>244</v>
      </c>
      <c r="D2601" s="86">
        <v>12</v>
      </c>
      <c r="E2601" s="85">
        <f t="shared" si="336"/>
        <v>1.2E-2</v>
      </c>
      <c r="F2601" s="85">
        <f t="shared" si="337"/>
        <v>6.0000000000000001E-3</v>
      </c>
      <c r="G2601" s="85">
        <f t="shared" si="338"/>
        <v>9.0477868423386037E-7</v>
      </c>
      <c r="H2601" s="85">
        <v>1110</v>
      </c>
      <c r="I2601" s="85">
        <f t="shared" si="339"/>
        <v>1.004304339499585E-3</v>
      </c>
      <c r="J2601" s="87">
        <v>1</v>
      </c>
      <c r="K2601" s="88">
        <f t="shared" si="340"/>
        <v>995.71410843277863</v>
      </c>
    </row>
    <row r="2602" spans="1:11" hidden="1" x14ac:dyDescent="0.25">
      <c r="A2602" t="str">
        <f t="shared" si="335"/>
        <v>52100Ø1,34</v>
      </c>
      <c r="B2602" s="81">
        <v>52100</v>
      </c>
      <c r="D2602" s="86">
        <v>1.34</v>
      </c>
      <c r="E2602" s="85">
        <f t="shared" si="336"/>
        <v>1.34E-3</v>
      </c>
      <c r="F2602" s="85">
        <f t="shared" si="337"/>
        <v>6.7000000000000002E-4</v>
      </c>
      <c r="G2602" s="85">
        <f t="shared" si="338"/>
        <v>1.2598331083621693E-9</v>
      </c>
      <c r="H2602" s="85">
        <v>7800</v>
      </c>
      <c r="I2602" s="85">
        <f t="shared" si="339"/>
        <v>9.82669824522492E-6</v>
      </c>
      <c r="J2602" s="87">
        <v>1</v>
      </c>
      <c r="K2602" s="88">
        <f t="shared" si="340"/>
        <v>101763.58071094014</v>
      </c>
    </row>
    <row r="2603" spans="1:11" hidden="1" x14ac:dyDescent="0.25">
      <c r="A2603" t="str">
        <f t="shared" si="335"/>
        <v>52100Ø2</v>
      </c>
      <c r="B2603" s="81">
        <v>52100</v>
      </c>
      <c r="D2603" s="86">
        <v>2</v>
      </c>
      <c r="E2603" s="85">
        <f t="shared" si="336"/>
        <v>2E-3</v>
      </c>
      <c r="F2603" s="85">
        <f t="shared" si="337"/>
        <v>1E-3</v>
      </c>
      <c r="G2603" s="85">
        <f t="shared" si="338"/>
        <v>4.1887902047863909E-9</v>
      </c>
      <c r="H2603" s="85">
        <v>7800</v>
      </c>
      <c r="I2603" s="85">
        <f t="shared" si="339"/>
        <v>3.267256359733385E-5</v>
      </c>
      <c r="J2603" s="87">
        <v>1</v>
      </c>
      <c r="K2603" s="88">
        <f t="shared" si="340"/>
        <v>30606.719825364489</v>
      </c>
    </row>
    <row r="2604" spans="1:11" hidden="1" x14ac:dyDescent="0.25">
      <c r="A2604" t="str">
        <f t="shared" si="335"/>
        <v>52100Ø9,130792</v>
      </c>
      <c r="B2604" s="81">
        <v>52100</v>
      </c>
      <c r="C2604" s="101" t="s">
        <v>401</v>
      </c>
      <c r="D2604" s="86">
        <f>0.35948*25.4</f>
        <v>9.1307919999999996</v>
      </c>
      <c r="E2604" s="85">
        <f t="shared" si="336"/>
        <v>9.1307920000000004E-3</v>
      </c>
      <c r="F2604" s="85">
        <f t="shared" si="337"/>
        <v>4.5653960000000002E-3</v>
      </c>
      <c r="G2604" s="85">
        <f t="shared" si="338"/>
        <v>3.9858777207237895E-7</v>
      </c>
      <c r="H2604" s="85">
        <v>7800</v>
      </c>
      <c r="I2604" s="85">
        <f t="shared" si="339"/>
        <v>3.108984622164556E-3</v>
      </c>
      <c r="J2604" s="87">
        <v>1</v>
      </c>
      <c r="K2604" s="88">
        <f t="shared" si="340"/>
        <v>321.64842272644438</v>
      </c>
    </row>
    <row r="2605" spans="1:11" hidden="1" x14ac:dyDescent="0.25">
      <c r="A2605" t="str">
        <f t="shared" si="335"/>
        <v>52100Ø9,118092</v>
      </c>
      <c r="B2605" s="81">
        <v>52100</v>
      </c>
      <c r="C2605" s="101" t="s">
        <v>402</v>
      </c>
      <c r="D2605" s="86">
        <f>0.35898*25.4</f>
        <v>9.1180920000000008</v>
      </c>
      <c r="E2605" s="85">
        <f t="shared" si="336"/>
        <v>9.1180920000000013E-3</v>
      </c>
      <c r="F2605" s="85">
        <f t="shared" si="337"/>
        <v>4.5590460000000006E-3</v>
      </c>
      <c r="G2605" s="85">
        <f t="shared" si="338"/>
        <v>3.9692689955852254E-7</v>
      </c>
      <c r="H2605" s="85">
        <v>7800</v>
      </c>
      <c r="I2605" s="85">
        <f t="shared" si="339"/>
        <v>3.0960298165564758E-3</v>
      </c>
      <c r="J2605" s="87">
        <v>1</v>
      </c>
      <c r="K2605" s="88">
        <f t="shared" si="340"/>
        <v>322.99430536888002</v>
      </c>
    </row>
    <row r="2606" spans="1:11" hidden="1" x14ac:dyDescent="0.25">
      <c r="A2606" t="str">
        <f t="shared" si="335"/>
        <v>316Ø0,5</v>
      </c>
      <c r="B2606" s="81">
        <v>316</v>
      </c>
      <c r="D2606" s="86">
        <v>0.5</v>
      </c>
      <c r="E2606" s="85">
        <f t="shared" si="336"/>
        <v>5.0000000000000001E-4</v>
      </c>
      <c r="F2606" s="85">
        <f t="shared" si="337"/>
        <v>2.5000000000000001E-4</v>
      </c>
      <c r="G2606" s="85">
        <f t="shared" si="338"/>
        <v>6.5449846949787358E-11</v>
      </c>
      <c r="H2606" s="85">
        <v>7950</v>
      </c>
      <c r="I2606" s="85">
        <f t="shared" si="339"/>
        <v>5.2032628325080949E-7</v>
      </c>
      <c r="J2606" s="87">
        <v>1</v>
      </c>
      <c r="K2606" s="88">
        <f t="shared" si="340"/>
        <v>1921871.0109210003</v>
      </c>
    </row>
    <row r="2607" spans="1:11" hidden="1" x14ac:dyDescent="0.25">
      <c r="A2607" t="str">
        <f t="shared" si="335"/>
        <v>Monel K400Ø2,38125</v>
      </c>
      <c r="B2607" s="81" t="s">
        <v>403</v>
      </c>
      <c r="C2607" s="101" t="s">
        <v>213</v>
      </c>
      <c r="D2607" s="86">
        <f>3/32*25.4</f>
        <v>2.3812499999999996</v>
      </c>
      <c r="E2607" s="85">
        <f t="shared" si="336"/>
        <v>2.3812499999999997E-3</v>
      </c>
      <c r="F2607" s="85">
        <f t="shared" si="337"/>
        <v>1.1906249999999998E-3</v>
      </c>
      <c r="G2607" s="85">
        <f t="shared" si="338"/>
        <v>7.0699053785209917E-9</v>
      </c>
      <c r="H2607" s="88">
        <v>8826.1435845487849</v>
      </c>
      <c r="I2607" s="85">
        <f t="shared" si="339"/>
        <v>6.2399999999999999E-5</v>
      </c>
      <c r="J2607" s="87">
        <v>1</v>
      </c>
      <c r="K2607" s="88">
        <f t="shared" si="340"/>
        <v>16025.641025641025</v>
      </c>
    </row>
    <row r="2608" spans="1:11" hidden="1" x14ac:dyDescent="0.25">
      <c r="A2608" t="str">
        <f t="shared" si="335"/>
        <v>52100Ø1,984375</v>
      </c>
      <c r="B2608" s="81">
        <v>52100</v>
      </c>
      <c r="C2608" s="101" t="s">
        <v>327</v>
      </c>
      <c r="D2608" s="86">
        <f>5/64*25.4</f>
        <v>1.984375</v>
      </c>
      <c r="E2608" s="85">
        <f t="shared" si="336"/>
        <v>1.984375E-3</v>
      </c>
      <c r="F2608" s="85">
        <f t="shared" si="337"/>
        <v>9.9218750000000001E-4</v>
      </c>
      <c r="G2608" s="85">
        <f t="shared" si="338"/>
        <v>4.0913804273848354E-9</v>
      </c>
      <c r="H2608" s="85">
        <v>7800</v>
      </c>
      <c r="I2608" s="85">
        <f t="shared" si="339"/>
        <v>3.1912767333601717E-5</v>
      </c>
      <c r="J2608" s="87">
        <v>1</v>
      </c>
      <c r="K2608" s="88">
        <f t="shared" si="340"/>
        <v>31335.421010232356</v>
      </c>
    </row>
    <row r="2609" spans="1:11" hidden="1" x14ac:dyDescent="0.25">
      <c r="A2609" t="str">
        <f t="shared" si="335"/>
        <v>52100Ø1,980375</v>
      </c>
      <c r="B2609" s="81">
        <v>52100</v>
      </c>
      <c r="C2609" s="101" t="s">
        <v>404</v>
      </c>
      <c r="D2609" s="86">
        <f>5/64*25.4-0.004</f>
        <v>1.980375</v>
      </c>
      <c r="E2609" s="85">
        <f t="shared" si="336"/>
        <v>1.9803749999999999E-3</v>
      </c>
      <c r="F2609" s="85">
        <f t="shared" si="337"/>
        <v>9.9018749999999997E-4</v>
      </c>
      <c r="G2609" s="85">
        <f t="shared" si="338"/>
        <v>4.0666886905300808E-9</v>
      </c>
      <c r="H2609" s="85">
        <v>7800</v>
      </c>
      <c r="I2609" s="85">
        <f t="shared" si="339"/>
        <v>3.1720171786134628E-5</v>
      </c>
      <c r="J2609" s="87">
        <v>1</v>
      </c>
      <c r="K2609" s="88">
        <f t="shared" si="340"/>
        <v>31525.680464224828</v>
      </c>
    </row>
    <row r="2610" spans="1:11" hidden="1" x14ac:dyDescent="0.25">
      <c r="A2610" t="str">
        <f t="shared" si="335"/>
        <v>52100Ø1,982375</v>
      </c>
      <c r="B2610" s="81">
        <v>52100</v>
      </c>
      <c r="C2610" s="101" t="s">
        <v>405</v>
      </c>
      <c r="D2610" s="86">
        <f>5/64*25.4-0.002</f>
        <v>1.982375</v>
      </c>
      <c r="E2610" s="85">
        <f t="shared" si="336"/>
        <v>1.9823750000000002E-3</v>
      </c>
      <c r="F2610" s="85">
        <f t="shared" si="337"/>
        <v>9.911875000000001E-4</v>
      </c>
      <c r="G2610" s="85">
        <f t="shared" si="338"/>
        <v>4.0790221033279859E-9</v>
      </c>
      <c r="H2610" s="85">
        <v>7800</v>
      </c>
      <c r="I2610" s="85">
        <f t="shared" si="339"/>
        <v>3.1816372405958293E-5</v>
      </c>
      <c r="J2610" s="87">
        <v>1</v>
      </c>
      <c r="K2610" s="88">
        <f t="shared" si="340"/>
        <v>31430.358786369019</v>
      </c>
    </row>
    <row r="2611" spans="1:11" hidden="1" x14ac:dyDescent="0.25">
      <c r="A2611" t="str">
        <f t="shared" si="335"/>
        <v>52100Ø2,37325</v>
      </c>
      <c r="B2611" s="81">
        <v>52100</v>
      </c>
      <c r="C2611" s="101" t="s">
        <v>406</v>
      </c>
      <c r="D2611" s="86">
        <f>3/32*25.4-0.008</f>
        <v>2.3732499999999996</v>
      </c>
      <c r="E2611" s="85">
        <f t="shared" si="336"/>
        <v>2.3732499999999995E-3</v>
      </c>
      <c r="F2611" s="85">
        <f t="shared" si="337"/>
        <v>1.1866249999999997E-3</v>
      </c>
      <c r="G2611" s="85">
        <f t="shared" si="338"/>
        <v>6.9988887605505336E-9</v>
      </c>
      <c r="H2611" s="85">
        <v>7800</v>
      </c>
      <c r="I2611" s="85">
        <f t="shared" si="339"/>
        <v>5.4591332332294164E-5</v>
      </c>
      <c r="J2611" s="87">
        <v>1</v>
      </c>
      <c r="K2611" s="88">
        <f t="shared" si="340"/>
        <v>18317.926258202675</v>
      </c>
    </row>
    <row r="2612" spans="1:11" hidden="1" x14ac:dyDescent="0.25">
      <c r="A2612" t="str">
        <f t="shared" si="335"/>
        <v>52100Ø2,37925</v>
      </c>
      <c r="B2612" s="81">
        <v>52100</v>
      </c>
      <c r="C2612" s="101" t="s">
        <v>407</v>
      </c>
      <c r="D2612" s="86">
        <f>3/32*25.4-0.002</f>
        <v>2.3792499999999999</v>
      </c>
      <c r="E2612" s="85">
        <f t="shared" si="336"/>
        <v>2.3792499999999999E-3</v>
      </c>
      <c r="F2612" s="85">
        <f t="shared" si="337"/>
        <v>1.1896249999999999E-3</v>
      </c>
      <c r="G2612" s="85">
        <f t="shared" si="338"/>
        <v>7.0521064013551949E-9</v>
      </c>
      <c r="H2612" s="85">
        <v>7800</v>
      </c>
      <c r="I2612" s="85">
        <f t="shared" si="339"/>
        <v>5.5006429930570523E-5</v>
      </c>
      <c r="J2612" s="87">
        <v>1</v>
      </c>
      <c r="K2612" s="88">
        <f t="shared" si="340"/>
        <v>18179.692833405232</v>
      </c>
    </row>
    <row r="2613" spans="1:11" hidden="1" x14ac:dyDescent="0.25">
      <c r="A2613" t="str">
        <f t="shared" si="335"/>
        <v>52100Ø2,37625</v>
      </c>
      <c r="B2613" s="81">
        <v>52100</v>
      </c>
      <c r="C2613" s="101" t="s">
        <v>408</v>
      </c>
      <c r="D2613" s="86">
        <f>3/32*25.4-0.005</f>
        <v>2.3762499999999998</v>
      </c>
      <c r="E2613" s="85">
        <f t="shared" si="336"/>
        <v>2.3762499999999999E-3</v>
      </c>
      <c r="F2613" s="85">
        <f t="shared" si="337"/>
        <v>1.1881249999999999E-3</v>
      </c>
      <c r="G2613" s="85">
        <f t="shared" si="338"/>
        <v>7.0254639875099217E-9</v>
      </c>
      <c r="H2613" s="85">
        <v>7800</v>
      </c>
      <c r="I2613" s="85">
        <f t="shared" si="339"/>
        <v>5.479861910257739E-5</v>
      </c>
      <c r="J2613" s="87">
        <v>1</v>
      </c>
      <c r="K2613" s="88">
        <f t="shared" si="340"/>
        <v>18248.635027245899</v>
      </c>
    </row>
    <row r="2614" spans="1:11" hidden="1" x14ac:dyDescent="0.25">
      <c r="A2614" t="str">
        <f t="shared" si="335"/>
        <v>VESCØ8</v>
      </c>
      <c r="B2614" s="81" t="s">
        <v>210</v>
      </c>
      <c r="D2614" s="86">
        <v>8</v>
      </c>
      <c r="E2614" s="85">
        <f t="shared" si="336"/>
        <v>8.0000000000000002E-3</v>
      </c>
      <c r="F2614" s="85">
        <f t="shared" si="337"/>
        <v>4.0000000000000001E-3</v>
      </c>
      <c r="G2614" s="85">
        <f t="shared" si="338"/>
        <v>2.6808257310632902E-7</v>
      </c>
      <c r="H2614" s="85">
        <v>2500</v>
      </c>
      <c r="I2614" s="85">
        <f t="shared" si="339"/>
        <v>6.7020643276582254E-4</v>
      </c>
      <c r="J2614" s="87">
        <v>1</v>
      </c>
      <c r="K2614" s="88">
        <f t="shared" si="340"/>
        <v>1492.0775914865187</v>
      </c>
    </row>
    <row r="2615" spans="1:11" hidden="1" x14ac:dyDescent="0.25">
      <c r="A2615" t="str">
        <f t="shared" si="335"/>
        <v>52100Ø3,275</v>
      </c>
      <c r="B2615" s="81">
        <v>52100</v>
      </c>
      <c r="D2615" s="86">
        <v>3.2749999999999999</v>
      </c>
      <c r="E2615" s="85">
        <f t="shared" si="336"/>
        <v>3.2749999999999997E-3</v>
      </c>
      <c r="F2615" s="85">
        <f t="shared" si="337"/>
        <v>1.6374999999999998E-3</v>
      </c>
      <c r="G2615" s="85">
        <f t="shared" si="338"/>
        <v>1.8392151484899296E-8</v>
      </c>
      <c r="H2615" s="85">
        <v>7800</v>
      </c>
      <c r="I2615" s="85">
        <f t="shared" si="339"/>
        <v>1.4345878158221451E-4</v>
      </c>
      <c r="J2615" s="87">
        <v>1</v>
      </c>
      <c r="K2615" s="88">
        <f t="shared" si="340"/>
        <v>6970.6433372077117</v>
      </c>
    </row>
    <row r="2616" spans="1:11" hidden="1" x14ac:dyDescent="0.25">
      <c r="A2616" t="str">
        <f t="shared" si="335"/>
        <v>420CØ1,45</v>
      </c>
      <c r="B2616" s="81" t="s">
        <v>295</v>
      </c>
      <c r="D2616" s="86">
        <v>1.45</v>
      </c>
      <c r="E2616" s="85">
        <f t="shared" si="336"/>
        <v>1.4499999999999999E-3</v>
      </c>
      <c r="F2616" s="85">
        <f t="shared" si="337"/>
        <v>7.2499999999999995E-4</v>
      </c>
      <c r="G2616" s="85">
        <f t="shared" si="338"/>
        <v>1.5962563172583634E-9</v>
      </c>
      <c r="H2616" s="85">
        <v>7700</v>
      </c>
      <c r="I2616" s="85">
        <f t="shared" si="339"/>
        <v>1.2291173642889397E-5</v>
      </c>
      <c r="J2616" s="87">
        <v>1</v>
      </c>
      <c r="K2616" s="88">
        <f t="shared" si="340"/>
        <v>81359.195553999263</v>
      </c>
    </row>
    <row r="2617" spans="1:11" hidden="1" x14ac:dyDescent="0.25">
      <c r="A2617" t="str">
        <f t="shared" si="335"/>
        <v>52100Ø1,984375</v>
      </c>
      <c r="B2617" s="81">
        <v>52100</v>
      </c>
      <c r="C2617" s="101" t="s">
        <v>327</v>
      </c>
      <c r="D2617" s="86">
        <f>5/64*25.4</f>
        <v>1.984375</v>
      </c>
      <c r="E2617" s="85">
        <f t="shared" si="336"/>
        <v>1.984375E-3</v>
      </c>
      <c r="F2617" s="85">
        <f t="shared" si="337"/>
        <v>9.9218750000000001E-4</v>
      </c>
      <c r="G2617" s="85">
        <f t="shared" si="338"/>
        <v>4.0913804273848354E-9</v>
      </c>
      <c r="H2617" s="85">
        <v>7800</v>
      </c>
      <c r="I2617" s="85">
        <f t="shared" si="339"/>
        <v>3.1912767333601717E-5</v>
      </c>
      <c r="J2617" s="87">
        <v>1</v>
      </c>
      <c r="K2617" s="88">
        <f t="shared" si="340"/>
        <v>31335.421010232356</v>
      </c>
    </row>
    <row r="2618" spans="1:11" hidden="1" x14ac:dyDescent="0.25">
      <c r="A2618" t="str">
        <f t="shared" si="335"/>
        <v>52100Ø2,778125</v>
      </c>
      <c r="B2618" s="81">
        <v>52100</v>
      </c>
      <c r="C2618" s="101" t="s">
        <v>247</v>
      </c>
      <c r="D2618" s="86">
        <f>7/64*25.4</f>
        <v>2.7781249999999997</v>
      </c>
      <c r="E2618" s="85">
        <f t="shared" si="336"/>
        <v>2.7781249999999998E-3</v>
      </c>
      <c r="F2618" s="85">
        <f t="shared" si="337"/>
        <v>1.3890624999999999E-3</v>
      </c>
      <c r="G2618" s="85">
        <f t="shared" si="338"/>
        <v>1.1226747892743984E-8</v>
      </c>
      <c r="H2618" s="85">
        <v>7800</v>
      </c>
      <c r="I2618" s="85">
        <f t="shared" si="339"/>
        <v>8.7568633563403075E-5</v>
      </c>
      <c r="J2618" s="87">
        <v>1</v>
      </c>
      <c r="K2618" s="88">
        <f t="shared" si="340"/>
        <v>11419.61407078439</v>
      </c>
    </row>
    <row r="2619" spans="1:11" hidden="1" x14ac:dyDescent="0.25">
      <c r="A2619" t="str">
        <f t="shared" si="335"/>
        <v>Wc-CoØ2,38125</v>
      </c>
      <c r="B2619" s="81" t="s">
        <v>206</v>
      </c>
      <c r="C2619" s="101" t="s">
        <v>213</v>
      </c>
      <c r="D2619" s="86">
        <f>3/32*25.4</f>
        <v>2.3812499999999996</v>
      </c>
      <c r="E2619" s="85">
        <f t="shared" si="336"/>
        <v>2.3812499999999997E-3</v>
      </c>
      <c r="F2619" s="85">
        <f t="shared" si="337"/>
        <v>1.1906249999999998E-3</v>
      </c>
      <c r="G2619" s="85">
        <f t="shared" si="338"/>
        <v>7.0699053785209917E-9</v>
      </c>
      <c r="H2619" s="85">
        <v>14950</v>
      </c>
      <c r="I2619" s="85">
        <f t="shared" si="339"/>
        <v>1.0569508540888882E-4</v>
      </c>
      <c r="J2619" s="87">
        <v>1</v>
      </c>
      <c r="K2619" s="88">
        <f t="shared" si="340"/>
        <v>9461.1778412537369</v>
      </c>
    </row>
    <row r="2620" spans="1:11" hidden="1" x14ac:dyDescent="0.25">
      <c r="A2620" t="str">
        <f t="shared" si="335"/>
        <v>Wc-CoØ1</v>
      </c>
      <c r="B2620" s="81" t="s">
        <v>206</v>
      </c>
      <c r="D2620" s="86">
        <v>1</v>
      </c>
      <c r="E2620" s="85">
        <f t="shared" si="336"/>
        <v>1E-3</v>
      </c>
      <c r="F2620" s="85">
        <f t="shared" si="337"/>
        <v>5.0000000000000001E-4</v>
      </c>
      <c r="G2620" s="85">
        <f t="shared" si="338"/>
        <v>5.2359877559829886E-10</v>
      </c>
      <c r="H2620" s="88">
        <v>14270.937365464275</v>
      </c>
      <c r="I2620" s="85">
        <f t="shared" si="339"/>
        <v>7.4722453311971075E-6</v>
      </c>
      <c r="J2620" s="87">
        <v>1</v>
      </c>
      <c r="K2620" s="88">
        <f t="shared" si="340"/>
        <v>133828.58239744022</v>
      </c>
    </row>
    <row r="2621" spans="1:11" hidden="1" x14ac:dyDescent="0.25">
      <c r="A2621" t="str">
        <f t="shared" si="335"/>
        <v>420CØ1,5875</v>
      </c>
      <c r="B2621" s="81" t="s">
        <v>295</v>
      </c>
      <c r="C2621" s="101" t="s">
        <v>246</v>
      </c>
      <c r="D2621" s="86">
        <f>1/16*25.4</f>
        <v>1.5874999999999999</v>
      </c>
      <c r="E2621" s="85">
        <f t="shared" si="336"/>
        <v>1.5874999999999999E-3</v>
      </c>
      <c r="F2621" s="85">
        <f t="shared" si="337"/>
        <v>7.9374999999999997E-4</v>
      </c>
      <c r="G2621" s="85">
        <f t="shared" si="338"/>
        <v>2.0947867788210349E-9</v>
      </c>
      <c r="H2621" s="85">
        <v>7750</v>
      </c>
      <c r="I2621" s="85">
        <f t="shared" si="339"/>
        <v>1.6234597535863021E-5</v>
      </c>
      <c r="J2621" s="87">
        <v>1</v>
      </c>
      <c r="K2621" s="88">
        <f t="shared" si="340"/>
        <v>61596.84573583983</v>
      </c>
    </row>
    <row r="2622" spans="1:11" hidden="1" x14ac:dyDescent="0.25">
      <c r="A2622" t="str">
        <f t="shared" si="335"/>
        <v>316Ø1</v>
      </c>
      <c r="B2622" s="81">
        <v>316</v>
      </c>
      <c r="D2622" s="86">
        <v>1</v>
      </c>
      <c r="E2622" s="85">
        <f t="shared" si="336"/>
        <v>1E-3</v>
      </c>
      <c r="F2622" s="85">
        <f t="shared" si="337"/>
        <v>5.0000000000000001E-4</v>
      </c>
      <c r="G2622" s="85">
        <f t="shared" si="338"/>
        <v>5.2359877559829886E-10</v>
      </c>
      <c r="H2622" s="85">
        <v>7950</v>
      </c>
      <c r="I2622" s="85">
        <f t="shared" si="339"/>
        <v>4.1626102660064759E-6</v>
      </c>
      <c r="J2622" s="87">
        <v>1</v>
      </c>
      <c r="K2622" s="88">
        <f t="shared" si="340"/>
        <v>240233.87636512503</v>
      </c>
    </row>
    <row r="2623" spans="1:11" hidden="1" x14ac:dyDescent="0.25">
      <c r="A2623" t="str">
        <f t="shared" si="335"/>
        <v>316Ø1,3</v>
      </c>
      <c r="B2623" s="81">
        <v>316</v>
      </c>
      <c r="D2623" s="86">
        <v>1.3</v>
      </c>
      <c r="E2623" s="85">
        <f t="shared" si="336"/>
        <v>1.2999999999999999E-3</v>
      </c>
      <c r="F2623" s="85">
        <f t="shared" si="337"/>
        <v>6.4999999999999997E-4</v>
      </c>
      <c r="G2623" s="85">
        <f t="shared" si="338"/>
        <v>1.1503465099894624E-9</v>
      </c>
      <c r="H2623" s="85">
        <v>7950</v>
      </c>
      <c r="I2623" s="85">
        <f t="shared" si="339"/>
        <v>9.1452547544162264E-6</v>
      </c>
      <c r="J2623" s="87">
        <v>1</v>
      </c>
      <c r="K2623" s="88">
        <f t="shared" si="340"/>
        <v>109346.32515481341</v>
      </c>
    </row>
    <row r="2624" spans="1:11" hidden="1" x14ac:dyDescent="0.25">
      <c r="A2624" t="str">
        <f t="shared" si="335"/>
        <v>304LØ0,6</v>
      </c>
      <c r="B2624" s="81" t="s">
        <v>362</v>
      </c>
      <c r="D2624" s="86">
        <v>0.6</v>
      </c>
      <c r="E2624" s="85">
        <f t="shared" si="336"/>
        <v>5.9999999999999995E-4</v>
      </c>
      <c r="F2624" s="85">
        <f t="shared" si="337"/>
        <v>2.9999999999999997E-4</v>
      </c>
      <c r="G2624" s="85">
        <f t="shared" si="338"/>
        <v>1.1309733552923252E-10</v>
      </c>
      <c r="H2624" s="85">
        <v>7950</v>
      </c>
      <c r="I2624" s="85">
        <f t="shared" si="339"/>
        <v>8.9912381745739853E-7</v>
      </c>
      <c r="J2624" s="87">
        <v>1</v>
      </c>
      <c r="K2624" s="88">
        <f t="shared" si="340"/>
        <v>1112193.8720607643</v>
      </c>
    </row>
    <row r="2625" spans="1:11" hidden="1" x14ac:dyDescent="0.25">
      <c r="A2625" t="str">
        <f t="shared" si="335"/>
        <v>PMMAØ0,79375</v>
      </c>
      <c r="B2625" s="81" t="s">
        <v>299</v>
      </c>
      <c r="C2625" s="101" t="s">
        <v>241</v>
      </c>
      <c r="D2625" s="86">
        <f>1/32*25.4</f>
        <v>0.79374999999999996</v>
      </c>
      <c r="E2625" s="85">
        <f t="shared" si="336"/>
        <v>7.9374999999999997E-4</v>
      </c>
      <c r="F2625" s="85">
        <f t="shared" si="337"/>
        <v>3.9687499999999998E-4</v>
      </c>
      <c r="G2625" s="85">
        <f t="shared" si="338"/>
        <v>2.6184834735262936E-10</v>
      </c>
      <c r="H2625" s="85">
        <v>1180</v>
      </c>
      <c r="I2625" s="85">
        <f t="shared" si="339"/>
        <v>3.0898104987610264E-7</v>
      </c>
      <c r="J2625" s="87">
        <v>1</v>
      </c>
      <c r="K2625" s="88">
        <f t="shared" si="340"/>
        <v>3236444.4369678558</v>
      </c>
    </row>
    <row r="2626" spans="1:11" hidden="1" x14ac:dyDescent="0.25">
      <c r="A2626" t="str">
        <f t="shared" si="335"/>
        <v>52100Ø1</v>
      </c>
      <c r="B2626" s="81">
        <v>52100</v>
      </c>
      <c r="D2626" s="86">
        <v>1</v>
      </c>
      <c r="E2626" s="85">
        <f t="shared" si="336"/>
        <v>1E-3</v>
      </c>
      <c r="F2626" s="85">
        <f t="shared" si="337"/>
        <v>5.0000000000000001E-4</v>
      </c>
      <c r="G2626" s="85">
        <f t="shared" si="338"/>
        <v>5.2359877559829886E-10</v>
      </c>
      <c r="H2626" s="85">
        <v>7800</v>
      </c>
      <c r="I2626" s="85">
        <f t="shared" si="339"/>
        <v>4.0840704496667312E-6</v>
      </c>
      <c r="J2626" s="87">
        <v>1</v>
      </c>
      <c r="K2626" s="88">
        <f t="shared" si="340"/>
        <v>244853.75860291591</v>
      </c>
    </row>
    <row r="2627" spans="1:11" hidden="1" x14ac:dyDescent="0.25">
      <c r="A2627" t="str">
        <f t="shared" si="335"/>
        <v>52100Ø1</v>
      </c>
      <c r="B2627" s="81">
        <v>52100</v>
      </c>
      <c r="D2627" s="86">
        <v>1</v>
      </c>
      <c r="E2627" s="85">
        <f t="shared" si="336"/>
        <v>1E-3</v>
      </c>
      <c r="F2627" s="85">
        <f t="shared" si="337"/>
        <v>5.0000000000000001E-4</v>
      </c>
      <c r="G2627" s="85">
        <f t="shared" si="338"/>
        <v>5.2359877559829886E-10</v>
      </c>
      <c r="H2627" s="85">
        <v>7800</v>
      </c>
      <c r="I2627" s="85">
        <f t="shared" si="339"/>
        <v>4.0840704496667312E-6</v>
      </c>
      <c r="J2627" s="87">
        <v>1</v>
      </c>
      <c r="K2627" s="88">
        <f t="shared" si="340"/>
        <v>244853.75860291591</v>
      </c>
    </row>
    <row r="2628" spans="1:11" hidden="1" x14ac:dyDescent="0.25">
      <c r="A2628" t="str">
        <f t="shared" ref="A2628:A2691" si="341">CONCATENATE(B2628,"Ø",D2628)</f>
        <v>Wc-CoØ0,4</v>
      </c>
      <c r="B2628" s="81" t="s">
        <v>206</v>
      </c>
      <c r="D2628" s="86">
        <v>0.4</v>
      </c>
      <c r="E2628" s="85">
        <f t="shared" si="336"/>
        <v>4.0000000000000002E-4</v>
      </c>
      <c r="F2628" s="85">
        <f t="shared" si="337"/>
        <v>2.0000000000000001E-4</v>
      </c>
      <c r="G2628" s="85">
        <f t="shared" si="338"/>
        <v>3.3510321638291128E-11</v>
      </c>
      <c r="H2628" s="88">
        <v>14950</v>
      </c>
      <c r="I2628" s="85">
        <f t="shared" si="339"/>
        <v>5.0097930849245242E-7</v>
      </c>
      <c r="J2628" s="87">
        <v>1</v>
      </c>
      <c r="K2628" s="88">
        <f t="shared" si="340"/>
        <v>1996090.4233933359</v>
      </c>
    </row>
    <row r="2629" spans="1:11" hidden="1" x14ac:dyDescent="0.25">
      <c r="A2629" t="str">
        <f t="shared" si="341"/>
        <v>Si3N4Ø1,2</v>
      </c>
      <c r="B2629" s="81" t="s">
        <v>207</v>
      </c>
      <c r="D2629" s="86">
        <v>1.2</v>
      </c>
      <c r="E2629" s="85">
        <f t="shared" si="336"/>
        <v>1.1999999999999999E-3</v>
      </c>
      <c r="F2629" s="85">
        <f t="shared" si="337"/>
        <v>5.9999999999999995E-4</v>
      </c>
      <c r="G2629" s="85">
        <f t="shared" si="338"/>
        <v>9.0477868423386013E-10</v>
      </c>
      <c r="H2629" s="85">
        <v>3260</v>
      </c>
      <c r="I2629" s="85">
        <f t="shared" si="339"/>
        <v>2.9495785106023839E-6</v>
      </c>
      <c r="J2629" s="87">
        <v>1</v>
      </c>
      <c r="K2629" s="88">
        <f t="shared" si="340"/>
        <v>339031.49090809346</v>
      </c>
    </row>
    <row r="2630" spans="1:11" hidden="1" x14ac:dyDescent="0.25">
      <c r="A2630" t="str">
        <f t="shared" si="341"/>
        <v>Si3N4Ø1,2</v>
      </c>
      <c r="B2630" s="81" t="s">
        <v>207</v>
      </c>
      <c r="D2630" s="86">
        <v>1.2</v>
      </c>
      <c r="E2630" s="85">
        <f t="shared" si="336"/>
        <v>1.1999999999999999E-3</v>
      </c>
      <c r="F2630" s="85">
        <f t="shared" si="337"/>
        <v>5.9999999999999995E-4</v>
      </c>
      <c r="G2630" s="85">
        <f t="shared" si="338"/>
        <v>9.0477868423386013E-10</v>
      </c>
      <c r="H2630" s="85">
        <v>3260</v>
      </c>
      <c r="I2630" s="85">
        <f t="shared" si="339"/>
        <v>2.9495785106023839E-6</v>
      </c>
      <c r="J2630" s="87">
        <v>1</v>
      </c>
      <c r="K2630" s="88">
        <f t="shared" si="340"/>
        <v>339031.49090809346</v>
      </c>
    </row>
    <row r="2631" spans="1:11" hidden="1" x14ac:dyDescent="0.25">
      <c r="A2631" t="str">
        <f t="shared" si="341"/>
        <v>52100Ø6,35</v>
      </c>
      <c r="B2631" s="81">
        <v>52100</v>
      </c>
      <c r="C2631" s="101" t="s">
        <v>218</v>
      </c>
      <c r="D2631" s="86">
        <f>1/4*25.4</f>
        <v>6.35</v>
      </c>
      <c r="E2631" s="85">
        <f t="shared" si="336"/>
        <v>6.3499999999999997E-3</v>
      </c>
      <c r="F2631" s="85">
        <f t="shared" si="337"/>
        <v>3.1749999999999999E-3</v>
      </c>
      <c r="G2631" s="85">
        <f t="shared" si="338"/>
        <v>1.3406635384454623E-7</v>
      </c>
      <c r="H2631" s="85">
        <v>7800</v>
      </c>
      <c r="I2631" s="85">
        <f t="shared" si="339"/>
        <v>1.0457175599874605E-3</v>
      </c>
      <c r="J2631" s="87">
        <v>1</v>
      </c>
      <c r="K2631" s="88">
        <f t="shared" si="340"/>
        <v>956.28115875953279</v>
      </c>
    </row>
    <row r="2632" spans="1:11" hidden="1" x14ac:dyDescent="0.25">
      <c r="A2632" t="str">
        <f t="shared" si="341"/>
        <v>420CØ2,38125</v>
      </c>
      <c r="B2632" s="81" t="s">
        <v>295</v>
      </c>
      <c r="C2632" s="101" t="s">
        <v>213</v>
      </c>
      <c r="D2632" s="86">
        <f>3/32*25.4</f>
        <v>2.3812499999999996</v>
      </c>
      <c r="E2632" s="85">
        <f t="shared" si="336"/>
        <v>2.3812499999999997E-3</v>
      </c>
      <c r="F2632" s="85">
        <f t="shared" si="337"/>
        <v>1.1906249999999998E-3</v>
      </c>
      <c r="G2632" s="85">
        <f t="shared" si="338"/>
        <v>7.0699053785209917E-9</v>
      </c>
      <c r="H2632" s="85">
        <v>7750</v>
      </c>
      <c r="I2632" s="85">
        <f t="shared" si="339"/>
        <v>5.4791766683537685E-5</v>
      </c>
      <c r="J2632" s="87">
        <v>1</v>
      </c>
      <c r="K2632" s="88">
        <f t="shared" si="340"/>
        <v>18250.917255063658</v>
      </c>
    </row>
    <row r="2633" spans="1:11" hidden="1" x14ac:dyDescent="0.25">
      <c r="A2633" t="str">
        <f t="shared" si="341"/>
        <v>316LØ1,5</v>
      </c>
      <c r="B2633" s="81" t="s">
        <v>298</v>
      </c>
      <c r="D2633" s="86">
        <v>1.5</v>
      </c>
      <c r="E2633" s="85">
        <f t="shared" ref="E2633:E2634" si="342">D2633/1000</f>
        <v>1.5E-3</v>
      </c>
      <c r="F2633" s="85">
        <f t="shared" ref="F2633:F2634" si="343">E2633/2</f>
        <v>7.5000000000000002E-4</v>
      </c>
      <c r="G2633" s="85">
        <f t="shared" ref="G2633:G2634" si="344">4/3*PI()*F2633*F2633*F2633</f>
        <v>1.7671458676442585E-9</v>
      </c>
      <c r="H2633" s="85">
        <v>7950</v>
      </c>
      <c r="I2633" s="85">
        <f t="shared" ref="I2633:I2694" si="345">H2633*G2633</f>
        <v>1.4048809647771855E-5</v>
      </c>
      <c r="J2633" s="87">
        <v>1</v>
      </c>
      <c r="K2633" s="88">
        <f t="shared" ref="K2633:K2694" si="346">J2633/I2633</f>
        <v>71180.407811888916</v>
      </c>
    </row>
    <row r="2634" spans="1:11" hidden="1" x14ac:dyDescent="0.25">
      <c r="A2634" t="str">
        <f t="shared" si="341"/>
        <v>OttoneØ10</v>
      </c>
      <c r="B2634" s="81" t="s">
        <v>216</v>
      </c>
      <c r="D2634" s="86">
        <v>10</v>
      </c>
      <c r="E2634" s="85">
        <f t="shared" si="342"/>
        <v>0.01</v>
      </c>
      <c r="F2634" s="85">
        <f t="shared" si="343"/>
        <v>5.0000000000000001E-3</v>
      </c>
      <c r="G2634" s="85">
        <f t="shared" si="344"/>
        <v>5.2359877559829882E-7</v>
      </c>
      <c r="H2634" s="85">
        <v>8490</v>
      </c>
      <c r="I2634" s="85">
        <f t="shared" si="345"/>
        <v>4.4453536048295571E-3</v>
      </c>
      <c r="J2634" s="87">
        <v>1</v>
      </c>
      <c r="K2634" s="88">
        <f t="shared" si="346"/>
        <v>224.95398316875668</v>
      </c>
    </row>
    <row r="2635" spans="1:11" hidden="1" x14ac:dyDescent="0.25">
      <c r="A2635" t="str">
        <f t="shared" si="341"/>
        <v>OttoneØ15</v>
      </c>
      <c r="B2635" s="81" t="s">
        <v>216</v>
      </c>
      <c r="D2635" s="86">
        <v>15</v>
      </c>
      <c r="E2635" s="85">
        <f>D2635/1000</f>
        <v>1.4999999999999999E-2</v>
      </c>
      <c r="F2635" s="85">
        <f>E2635/2</f>
        <v>7.4999999999999997E-3</v>
      </c>
      <c r="G2635" s="85">
        <f>4/3*PI()*F2635*F2635*F2635</f>
        <v>1.7671458676442584E-6</v>
      </c>
      <c r="H2635" s="85">
        <v>8490</v>
      </c>
      <c r="I2635" s="85">
        <f t="shared" si="345"/>
        <v>1.5003068416299753E-2</v>
      </c>
      <c r="J2635" s="87">
        <v>1</v>
      </c>
      <c r="K2635" s="88">
        <f t="shared" si="346"/>
        <v>66.653032050001983</v>
      </c>
    </row>
    <row r="2636" spans="1:11" hidden="1" x14ac:dyDescent="0.25">
      <c r="A2636" t="str">
        <f t="shared" si="341"/>
        <v>OttoneØ20</v>
      </c>
      <c r="B2636" s="81" t="s">
        <v>216</v>
      </c>
      <c r="D2636" s="86">
        <v>20</v>
      </c>
      <c r="E2636" s="85">
        <f t="shared" ref="E2636:E2645" si="347">D2636/1000</f>
        <v>0.02</v>
      </c>
      <c r="F2636" s="85">
        <f t="shared" ref="F2636:F2645" si="348">E2636/2</f>
        <v>0.01</v>
      </c>
      <c r="G2636" s="85">
        <f t="shared" ref="G2636:G2645" si="349">4/3*PI()*F2636*F2636*F2636</f>
        <v>4.1887902047863905E-6</v>
      </c>
      <c r="H2636" s="85">
        <v>8490</v>
      </c>
      <c r="I2636" s="85">
        <f t="shared" si="345"/>
        <v>3.5562828838636457E-2</v>
      </c>
      <c r="J2636" s="87">
        <v>1</v>
      </c>
      <c r="K2636" s="88">
        <f t="shared" si="346"/>
        <v>28.119247896094585</v>
      </c>
    </row>
    <row r="2637" spans="1:11" hidden="1" x14ac:dyDescent="0.25">
      <c r="A2637" t="str">
        <f t="shared" si="341"/>
        <v>OttoneØ25,4</v>
      </c>
      <c r="B2637" s="81" t="s">
        <v>216</v>
      </c>
      <c r="C2637" s="101" t="s">
        <v>255</v>
      </c>
      <c r="D2637" s="86">
        <f>1*25.4</f>
        <v>25.4</v>
      </c>
      <c r="E2637" s="85">
        <f t="shared" si="347"/>
        <v>2.5399999999999999E-2</v>
      </c>
      <c r="F2637" s="85">
        <f t="shared" si="348"/>
        <v>1.2699999999999999E-2</v>
      </c>
      <c r="G2637" s="85">
        <f t="shared" si="349"/>
        <v>8.5802466460509588E-6</v>
      </c>
      <c r="H2637" s="85">
        <v>8490</v>
      </c>
      <c r="I2637" s="85">
        <f t="shared" si="345"/>
        <v>7.2846294024972641E-2</v>
      </c>
      <c r="J2637" s="87">
        <v>1</v>
      </c>
      <c r="K2637" s="88">
        <f t="shared" si="346"/>
        <v>13.727534301980924</v>
      </c>
    </row>
    <row r="2638" spans="1:11" hidden="1" x14ac:dyDescent="0.25">
      <c r="A2638" t="str">
        <f t="shared" si="341"/>
        <v>52100Ø1</v>
      </c>
      <c r="B2638" s="81">
        <v>52100</v>
      </c>
      <c r="D2638" s="86">
        <v>1</v>
      </c>
      <c r="E2638" s="85">
        <f t="shared" si="347"/>
        <v>1E-3</v>
      </c>
      <c r="F2638" s="85">
        <f t="shared" si="348"/>
        <v>5.0000000000000001E-4</v>
      </c>
      <c r="G2638" s="85">
        <f t="shared" si="349"/>
        <v>5.2359877559829886E-10</v>
      </c>
      <c r="H2638" s="85">
        <v>7800</v>
      </c>
      <c r="I2638" s="85">
        <f t="shared" si="345"/>
        <v>4.0840704496667312E-6</v>
      </c>
      <c r="J2638" s="87">
        <v>1</v>
      </c>
      <c r="K2638" s="88">
        <f t="shared" si="346"/>
        <v>244853.75860291591</v>
      </c>
    </row>
    <row r="2639" spans="1:11" hidden="1" x14ac:dyDescent="0.25">
      <c r="A2639" t="str">
        <f t="shared" si="341"/>
        <v>52100Ø1</v>
      </c>
      <c r="B2639" s="81">
        <v>52100</v>
      </c>
      <c r="D2639" s="86">
        <v>1</v>
      </c>
      <c r="E2639" s="85">
        <f t="shared" si="347"/>
        <v>1E-3</v>
      </c>
      <c r="F2639" s="85">
        <f t="shared" si="348"/>
        <v>5.0000000000000001E-4</v>
      </c>
      <c r="G2639" s="85">
        <f t="shared" si="349"/>
        <v>5.2359877559829886E-10</v>
      </c>
      <c r="H2639" s="85">
        <v>7800</v>
      </c>
      <c r="I2639" s="85">
        <f t="shared" si="345"/>
        <v>4.0840704496667312E-6</v>
      </c>
      <c r="J2639" s="87">
        <v>1</v>
      </c>
      <c r="K2639" s="88">
        <f t="shared" si="346"/>
        <v>244853.75860291591</v>
      </c>
    </row>
    <row r="2640" spans="1:11" hidden="1" x14ac:dyDescent="0.25">
      <c r="A2640" t="str">
        <f t="shared" si="341"/>
        <v>52100Ø1</v>
      </c>
      <c r="B2640" s="81">
        <v>52100</v>
      </c>
      <c r="D2640" s="86">
        <v>1</v>
      </c>
      <c r="E2640" s="85">
        <f t="shared" si="347"/>
        <v>1E-3</v>
      </c>
      <c r="F2640" s="85">
        <f t="shared" si="348"/>
        <v>5.0000000000000001E-4</v>
      </c>
      <c r="G2640" s="85">
        <f t="shared" si="349"/>
        <v>5.2359877559829886E-10</v>
      </c>
      <c r="H2640" s="85">
        <v>7800</v>
      </c>
      <c r="I2640" s="85">
        <f t="shared" si="345"/>
        <v>4.0840704496667312E-6</v>
      </c>
      <c r="J2640" s="87">
        <v>1</v>
      </c>
      <c r="K2640" s="88">
        <f t="shared" si="346"/>
        <v>244853.75860291591</v>
      </c>
    </row>
    <row r="2641" spans="1:11" hidden="1" x14ac:dyDescent="0.25">
      <c r="A2641" t="str">
        <f t="shared" si="341"/>
        <v>440CØ2,38125</v>
      </c>
      <c r="B2641" s="81" t="s">
        <v>314</v>
      </c>
      <c r="C2641" s="101" t="s">
        <v>213</v>
      </c>
      <c r="D2641" s="86">
        <f>3/32*25.4</f>
        <v>2.3812499999999996</v>
      </c>
      <c r="E2641" s="85">
        <f t="shared" si="347"/>
        <v>2.3812499999999997E-3</v>
      </c>
      <c r="F2641" s="85">
        <f t="shared" si="348"/>
        <v>1.1906249999999998E-3</v>
      </c>
      <c r="G2641" s="85">
        <f t="shared" si="349"/>
        <v>7.0699053785209917E-9</v>
      </c>
      <c r="H2641" s="85">
        <v>7700</v>
      </c>
      <c r="I2641" s="85">
        <f t="shared" si="345"/>
        <v>5.4438271414611634E-5</v>
      </c>
      <c r="J2641" s="87">
        <v>1</v>
      </c>
      <c r="K2641" s="88">
        <f t="shared" si="346"/>
        <v>18369.429704771865</v>
      </c>
    </row>
    <row r="2642" spans="1:11" hidden="1" x14ac:dyDescent="0.25">
      <c r="A2642" t="str">
        <f t="shared" si="341"/>
        <v>POMØ1,5</v>
      </c>
      <c r="B2642" s="81" t="s">
        <v>201</v>
      </c>
      <c r="D2642" s="86">
        <v>1.5</v>
      </c>
      <c r="E2642" s="85">
        <f t="shared" si="347"/>
        <v>1.5E-3</v>
      </c>
      <c r="F2642" s="85">
        <f t="shared" si="348"/>
        <v>7.5000000000000002E-4</v>
      </c>
      <c r="G2642" s="85">
        <f t="shared" si="349"/>
        <v>1.7671458676442585E-9</v>
      </c>
      <c r="H2642" s="85">
        <v>1410</v>
      </c>
      <c r="I2642" s="85">
        <f t="shared" si="345"/>
        <v>2.4916756733784047E-6</v>
      </c>
      <c r="J2642" s="87">
        <v>1</v>
      </c>
      <c r="K2642" s="88">
        <f t="shared" si="346"/>
        <v>401336.34191809699</v>
      </c>
    </row>
    <row r="2643" spans="1:11" hidden="1" x14ac:dyDescent="0.25">
      <c r="A2643" t="str">
        <f t="shared" si="341"/>
        <v>440CØ0,8</v>
      </c>
      <c r="B2643" s="81" t="s">
        <v>314</v>
      </c>
      <c r="D2643" s="86">
        <v>0.8</v>
      </c>
      <c r="E2643" s="85">
        <f t="shared" si="347"/>
        <v>8.0000000000000004E-4</v>
      </c>
      <c r="F2643" s="85">
        <f t="shared" si="348"/>
        <v>4.0000000000000002E-4</v>
      </c>
      <c r="G2643" s="85">
        <f t="shared" si="349"/>
        <v>2.6808257310632903E-10</v>
      </c>
      <c r="H2643" s="85">
        <v>7700</v>
      </c>
      <c r="I2643" s="85">
        <f t="shared" si="345"/>
        <v>2.0642358129187334E-6</v>
      </c>
      <c r="J2643" s="87">
        <v>1</v>
      </c>
      <c r="K2643" s="88">
        <f t="shared" si="346"/>
        <v>484440.77645666193</v>
      </c>
    </row>
    <row r="2644" spans="1:11" hidden="1" x14ac:dyDescent="0.25">
      <c r="A2644" t="str">
        <f t="shared" si="341"/>
        <v>440CØ12,75</v>
      </c>
      <c r="B2644" s="81" t="s">
        <v>314</v>
      </c>
      <c r="C2644" s="101" t="s">
        <v>409</v>
      </c>
      <c r="D2644" s="86">
        <f>1/2*25.4+0.05</f>
        <v>12.75</v>
      </c>
      <c r="E2644" s="85">
        <f t="shared" si="347"/>
        <v>1.2749999999999999E-2</v>
      </c>
      <c r="F2644" s="85">
        <f t="shared" si="348"/>
        <v>6.3749999999999996E-3</v>
      </c>
      <c r="G2644" s="85">
        <f t="shared" si="349"/>
        <v>1.0852484559670301E-6</v>
      </c>
      <c r="H2644" s="85">
        <v>7750</v>
      </c>
      <c r="I2644" s="85">
        <f t="shared" si="345"/>
        <v>8.4106755337444838E-3</v>
      </c>
      <c r="J2644" s="87">
        <v>1</v>
      </c>
      <c r="K2644" s="88">
        <f t="shared" si="346"/>
        <v>118.89651383980971</v>
      </c>
    </row>
    <row r="2645" spans="1:11" hidden="1" x14ac:dyDescent="0.25">
      <c r="A2645" t="str">
        <f t="shared" si="341"/>
        <v>1010Ø9,525</v>
      </c>
      <c r="B2645" s="81">
        <v>1010</v>
      </c>
      <c r="C2645" s="101" t="s">
        <v>254</v>
      </c>
      <c r="D2645" s="86">
        <f>3/8*25.4</f>
        <v>9.5249999999999986</v>
      </c>
      <c r="E2645" s="85">
        <f t="shared" si="347"/>
        <v>9.5249999999999987E-3</v>
      </c>
      <c r="F2645" s="85">
        <f t="shared" si="348"/>
        <v>4.7624999999999994E-3</v>
      </c>
      <c r="G2645" s="85">
        <f t="shared" si="349"/>
        <v>4.5247394422534347E-7</v>
      </c>
      <c r="H2645" s="85">
        <v>7820</v>
      </c>
      <c r="I2645" s="85">
        <f t="shared" si="345"/>
        <v>3.538346243842186E-3</v>
      </c>
      <c r="J2645" s="87">
        <v>1</v>
      </c>
      <c r="K2645" s="88">
        <f t="shared" si="346"/>
        <v>282.61790426539193</v>
      </c>
    </row>
    <row r="2646" spans="1:11" hidden="1" x14ac:dyDescent="0.25">
      <c r="A2646" t="str">
        <f t="shared" si="341"/>
        <v>1010Ø10</v>
      </c>
      <c r="B2646" s="81">
        <v>1010</v>
      </c>
      <c r="D2646" s="86">
        <v>10</v>
      </c>
      <c r="E2646" s="85">
        <f>D2646/1000</f>
        <v>0.01</v>
      </c>
      <c r="F2646" s="85">
        <f>E2646/2</f>
        <v>5.0000000000000001E-3</v>
      </c>
      <c r="G2646" s="85">
        <f>4/3*PI()*F2646*F2646*F2646</f>
        <v>5.2359877559829882E-7</v>
      </c>
      <c r="H2646" s="85">
        <v>7820</v>
      </c>
      <c r="I2646" s="85">
        <f t="shared" si="345"/>
        <v>4.0945424251786966E-3</v>
      </c>
      <c r="J2646" s="87">
        <v>1</v>
      </c>
      <c r="K2646" s="88">
        <f t="shared" si="346"/>
        <v>244.22753415636117</v>
      </c>
    </row>
    <row r="2647" spans="1:11" hidden="1" x14ac:dyDescent="0.25">
      <c r="A2647" t="str">
        <f t="shared" si="341"/>
        <v>440CØ1</v>
      </c>
      <c r="B2647" s="81" t="s">
        <v>314</v>
      </c>
      <c r="D2647" s="86">
        <v>1</v>
      </c>
      <c r="E2647" s="85">
        <f>D2647/1000</f>
        <v>1E-3</v>
      </c>
      <c r="F2647" s="85">
        <f>E2647/2</f>
        <v>5.0000000000000001E-4</v>
      </c>
      <c r="G2647" s="85">
        <f>4/3*PI()*F2647*F2647*F2647</f>
        <v>5.2359877559829886E-10</v>
      </c>
      <c r="H2647" s="88">
        <v>7546.1574638314778</v>
      </c>
      <c r="I2647" s="85">
        <f t="shared" si="345"/>
        <v>3.9511588085341263E-6</v>
      </c>
      <c r="J2647" s="87">
        <v>1</v>
      </c>
      <c r="K2647" s="88">
        <f t="shared" si="346"/>
        <v>253090.30804838706</v>
      </c>
    </row>
    <row r="2648" spans="1:11" hidden="1" x14ac:dyDescent="0.25">
      <c r="A2648" t="str">
        <f t="shared" si="341"/>
        <v>440CØ1</v>
      </c>
      <c r="B2648" s="81" t="s">
        <v>314</v>
      </c>
      <c r="D2648" s="86">
        <v>1</v>
      </c>
      <c r="E2648" s="85">
        <f>D2648/1000</f>
        <v>1E-3</v>
      </c>
      <c r="F2648" s="85">
        <f>E2648/2</f>
        <v>5.0000000000000001E-4</v>
      </c>
      <c r="G2648" s="85">
        <f>4/3*PI()*F2648*F2648*F2648</f>
        <v>5.2359877559829886E-10</v>
      </c>
      <c r="H2648" s="85">
        <v>7520</v>
      </c>
      <c r="I2648" s="85">
        <f t="shared" si="345"/>
        <v>3.937462792499207E-6</v>
      </c>
      <c r="J2648" s="87">
        <v>1</v>
      </c>
      <c r="K2648" s="88">
        <f t="shared" si="346"/>
        <v>253970.65387004579</v>
      </c>
    </row>
    <row r="2649" spans="1:11" hidden="1" x14ac:dyDescent="0.25">
      <c r="A2649" t="str">
        <f t="shared" si="341"/>
        <v>420CØ22</v>
      </c>
      <c r="B2649" s="81" t="s">
        <v>295</v>
      </c>
      <c r="D2649" s="86">
        <v>22</v>
      </c>
      <c r="E2649" s="85">
        <f>D2649/1000</f>
        <v>2.1999999999999999E-2</v>
      </c>
      <c r="F2649" s="85">
        <f>E2649/2</f>
        <v>1.0999999999999999E-2</v>
      </c>
      <c r="G2649" s="85">
        <f>4/3*PI()*F2649*F2649*F2649</f>
        <v>5.5752797625706841E-6</v>
      </c>
      <c r="H2649" s="85">
        <v>7750</v>
      </c>
      <c r="I2649" s="85">
        <f t="shared" si="345"/>
        <v>4.3208418159922803E-2</v>
      </c>
      <c r="J2649" s="87">
        <v>1</v>
      </c>
      <c r="K2649" s="88">
        <f t="shared" si="346"/>
        <v>23.143638267404388</v>
      </c>
    </row>
    <row r="2650" spans="1:11" hidden="1" x14ac:dyDescent="0.25">
      <c r="A2650" t="str">
        <f t="shared" si="341"/>
        <v>420CØ22</v>
      </c>
      <c r="B2650" s="81" t="s">
        <v>295</v>
      </c>
      <c r="D2650" s="86">
        <v>22</v>
      </c>
      <c r="E2650" s="85">
        <f t="shared" ref="E2650:E2694" si="350">D2650/1000</f>
        <v>2.1999999999999999E-2</v>
      </c>
      <c r="F2650" s="85">
        <f t="shared" ref="F2650:F2694" si="351">E2650/2</f>
        <v>1.0999999999999999E-2</v>
      </c>
      <c r="G2650" s="85">
        <f t="shared" ref="G2650:G2694" si="352">4/3*PI()*F2650*F2650*F2650</f>
        <v>5.5752797625706841E-6</v>
      </c>
      <c r="H2650" s="85">
        <v>7700</v>
      </c>
      <c r="I2650" s="85">
        <f t="shared" si="345"/>
        <v>4.2929654171794264E-2</v>
      </c>
      <c r="J2650" s="87">
        <v>1</v>
      </c>
      <c r="K2650" s="88">
        <f t="shared" si="346"/>
        <v>23.293921632777145</v>
      </c>
    </row>
    <row r="2651" spans="1:11" hidden="1" x14ac:dyDescent="0.25">
      <c r="A2651" t="str">
        <f t="shared" si="341"/>
        <v>PMMAØ1,25</v>
      </c>
      <c r="B2651" s="81" t="s">
        <v>299</v>
      </c>
      <c r="D2651" s="86">
        <v>1.25</v>
      </c>
      <c r="E2651" s="85">
        <f t="shared" si="350"/>
        <v>1.25E-3</v>
      </c>
      <c r="F2651" s="85">
        <f t="shared" si="351"/>
        <v>6.2500000000000001E-4</v>
      </c>
      <c r="G2651" s="85">
        <f t="shared" si="352"/>
        <v>1.0226538585904274E-9</v>
      </c>
      <c r="H2651" s="85">
        <v>1180</v>
      </c>
      <c r="I2651" s="85">
        <f t="shared" si="345"/>
        <v>1.2067315531367044E-6</v>
      </c>
      <c r="J2651" s="87">
        <v>1</v>
      </c>
      <c r="K2651" s="88">
        <f t="shared" si="346"/>
        <v>828684.72064119065</v>
      </c>
    </row>
    <row r="2652" spans="1:11" hidden="1" x14ac:dyDescent="0.25">
      <c r="A2652" t="str">
        <f t="shared" si="341"/>
        <v>52100Ø2,38125</v>
      </c>
      <c r="B2652" s="81">
        <v>52100</v>
      </c>
      <c r="C2652" s="101" t="s">
        <v>213</v>
      </c>
      <c r="D2652" s="86">
        <f>3/32*25.4</f>
        <v>2.3812499999999996</v>
      </c>
      <c r="E2652" s="85">
        <f t="shared" si="350"/>
        <v>2.3812499999999997E-3</v>
      </c>
      <c r="F2652" s="85">
        <f t="shared" si="351"/>
        <v>1.1906249999999998E-3</v>
      </c>
      <c r="G2652" s="85">
        <f t="shared" si="352"/>
        <v>7.0699053785209917E-9</v>
      </c>
      <c r="H2652" s="85">
        <v>7800</v>
      </c>
      <c r="I2652" s="85">
        <f t="shared" si="345"/>
        <v>5.5145261952463737E-5</v>
      </c>
      <c r="J2652" s="87">
        <v>1</v>
      </c>
      <c r="K2652" s="88">
        <f t="shared" si="346"/>
        <v>18133.924195736327</v>
      </c>
    </row>
    <row r="2653" spans="1:11" hidden="1" x14ac:dyDescent="0.25">
      <c r="A2653" t="str">
        <f t="shared" si="341"/>
        <v>52100Ø3,175</v>
      </c>
      <c r="B2653" s="81">
        <v>52100</v>
      </c>
      <c r="C2653" s="101" t="s">
        <v>214</v>
      </c>
      <c r="D2653" s="86">
        <f>1/8*25.4</f>
        <v>3.1749999999999998</v>
      </c>
      <c r="E2653" s="85">
        <f t="shared" si="350"/>
        <v>3.1749999999999999E-3</v>
      </c>
      <c r="F2653" s="85">
        <f t="shared" si="351"/>
        <v>1.5874999999999999E-3</v>
      </c>
      <c r="G2653" s="85">
        <f t="shared" si="352"/>
        <v>1.6758294230568279E-8</v>
      </c>
      <c r="H2653" s="85">
        <v>7800</v>
      </c>
      <c r="I2653" s="85">
        <f t="shared" si="345"/>
        <v>1.3071469499843257E-4</v>
      </c>
      <c r="J2653" s="87">
        <v>1</v>
      </c>
      <c r="K2653" s="88">
        <f t="shared" si="346"/>
        <v>7650.2492700762623</v>
      </c>
    </row>
    <row r="2654" spans="1:11" hidden="1" x14ac:dyDescent="0.25">
      <c r="A2654" t="str">
        <f t="shared" si="341"/>
        <v>POMØ1,5</v>
      </c>
      <c r="B2654" s="81" t="s">
        <v>201</v>
      </c>
      <c r="D2654" s="86">
        <v>1.5</v>
      </c>
      <c r="E2654" s="85">
        <f t="shared" si="350"/>
        <v>1.5E-3</v>
      </c>
      <c r="F2654" s="85">
        <f t="shared" si="351"/>
        <v>7.5000000000000002E-4</v>
      </c>
      <c r="G2654" s="85">
        <f t="shared" si="352"/>
        <v>1.7671458676442585E-9</v>
      </c>
      <c r="H2654" s="85">
        <v>1360</v>
      </c>
      <c r="I2654" s="85">
        <f t="shared" si="345"/>
        <v>2.4033183799961914E-6</v>
      </c>
      <c r="J2654" s="87">
        <v>1</v>
      </c>
      <c r="K2654" s="88">
        <f t="shared" si="346"/>
        <v>416091.35448861535</v>
      </c>
    </row>
    <row r="2655" spans="1:11" hidden="1" x14ac:dyDescent="0.25">
      <c r="A2655" t="str">
        <f t="shared" si="341"/>
        <v>52100Ø3,96875</v>
      </c>
      <c r="B2655" s="81">
        <v>52100</v>
      </c>
      <c r="C2655" s="101" t="s">
        <v>215</v>
      </c>
      <c r="D2655" s="86">
        <f>5/32*25.4</f>
        <v>3.96875</v>
      </c>
      <c r="E2655" s="85">
        <f t="shared" si="350"/>
        <v>3.9687500000000001E-3</v>
      </c>
      <c r="F2655" s="85">
        <f t="shared" si="351"/>
        <v>1.984375E-3</v>
      </c>
      <c r="G2655" s="85">
        <f t="shared" si="352"/>
        <v>3.2731043419078684E-8</v>
      </c>
      <c r="H2655" s="85">
        <v>7800</v>
      </c>
      <c r="I2655" s="85">
        <f t="shared" si="345"/>
        <v>2.5530213866881374E-4</v>
      </c>
      <c r="J2655" s="87">
        <v>1</v>
      </c>
      <c r="K2655" s="88">
        <f t="shared" si="346"/>
        <v>3916.9276262790445</v>
      </c>
    </row>
    <row r="2656" spans="1:11" hidden="1" x14ac:dyDescent="0.25">
      <c r="A2656" t="str">
        <f t="shared" si="341"/>
        <v>PTFEØ3,96875</v>
      </c>
      <c r="B2656" s="81" t="s">
        <v>307</v>
      </c>
      <c r="C2656" s="101" t="s">
        <v>215</v>
      </c>
      <c r="D2656" s="86">
        <f>5/32*25.4</f>
        <v>3.96875</v>
      </c>
      <c r="E2656" s="85">
        <f t="shared" si="350"/>
        <v>3.9687500000000001E-3</v>
      </c>
      <c r="F2656" s="85">
        <f t="shared" si="351"/>
        <v>1.984375E-3</v>
      </c>
      <c r="G2656" s="85">
        <f t="shared" si="352"/>
        <v>3.2731043419078684E-8</v>
      </c>
      <c r="H2656" s="85">
        <v>2160</v>
      </c>
      <c r="I2656" s="85">
        <f t="shared" si="345"/>
        <v>7.0699053785209951E-5</v>
      </c>
      <c r="J2656" s="87">
        <v>1</v>
      </c>
      <c r="K2656" s="88">
        <f t="shared" si="346"/>
        <v>14144.460872674328</v>
      </c>
    </row>
    <row r="2657" spans="1:11" hidden="1" x14ac:dyDescent="0.25">
      <c r="A2657" t="str">
        <f t="shared" si="341"/>
        <v>304Ø3,96875</v>
      </c>
      <c r="B2657" s="81">
        <v>304</v>
      </c>
      <c r="C2657" s="101" t="s">
        <v>215</v>
      </c>
      <c r="D2657" s="86">
        <f>5/32*25.4</f>
        <v>3.96875</v>
      </c>
      <c r="E2657" s="85">
        <f t="shared" si="350"/>
        <v>3.9687500000000001E-3</v>
      </c>
      <c r="F2657" s="85">
        <f t="shared" si="351"/>
        <v>1.984375E-3</v>
      </c>
      <c r="G2657" s="85">
        <f t="shared" si="352"/>
        <v>3.2731043419078684E-8</v>
      </c>
      <c r="H2657" s="85">
        <v>7950</v>
      </c>
      <c r="I2657" s="85">
        <f t="shared" si="345"/>
        <v>2.6021179518167554E-4</v>
      </c>
      <c r="J2657" s="87">
        <v>1</v>
      </c>
      <c r="K2657" s="88">
        <f t="shared" si="346"/>
        <v>3843.0233314435905</v>
      </c>
    </row>
    <row r="2658" spans="1:11" hidden="1" x14ac:dyDescent="0.25">
      <c r="A2658" t="str">
        <f t="shared" si="341"/>
        <v>52100Ø1,3</v>
      </c>
      <c r="B2658" s="81">
        <v>52100</v>
      </c>
      <c r="D2658" s="86">
        <v>1.3</v>
      </c>
      <c r="E2658" s="85">
        <f t="shared" si="350"/>
        <v>1.2999999999999999E-3</v>
      </c>
      <c r="F2658" s="85">
        <f t="shared" si="351"/>
        <v>6.4999999999999997E-4</v>
      </c>
      <c r="G2658" s="85">
        <f t="shared" si="352"/>
        <v>1.1503465099894624E-9</v>
      </c>
      <c r="H2658" s="85">
        <v>7800</v>
      </c>
      <c r="I2658" s="85">
        <f t="shared" si="345"/>
        <v>8.9727027779178067E-6</v>
      </c>
      <c r="J2658" s="87">
        <v>1</v>
      </c>
      <c r="K2658" s="88">
        <f t="shared" si="346"/>
        <v>111449.1391000983</v>
      </c>
    </row>
    <row r="2659" spans="1:11" hidden="1" x14ac:dyDescent="0.25">
      <c r="A2659" t="str">
        <f t="shared" si="341"/>
        <v>316LØ1</v>
      </c>
      <c r="B2659" s="81" t="s">
        <v>298</v>
      </c>
      <c r="D2659" s="86">
        <v>1</v>
      </c>
      <c r="E2659" s="85">
        <f t="shared" si="350"/>
        <v>1E-3</v>
      </c>
      <c r="F2659" s="85">
        <f t="shared" si="351"/>
        <v>5.0000000000000001E-4</v>
      </c>
      <c r="G2659" s="85">
        <f t="shared" si="352"/>
        <v>5.2359877559829886E-10</v>
      </c>
      <c r="H2659" s="85">
        <v>7950</v>
      </c>
      <c r="I2659" s="85">
        <f t="shared" si="345"/>
        <v>4.1626102660064759E-6</v>
      </c>
      <c r="J2659" s="87">
        <v>1</v>
      </c>
      <c r="K2659" s="88">
        <f t="shared" si="346"/>
        <v>240233.87636512503</v>
      </c>
    </row>
    <row r="2660" spans="1:11" hidden="1" x14ac:dyDescent="0.25">
      <c r="A2660" t="str">
        <f t="shared" si="341"/>
        <v>Wc-CoØ1,5875</v>
      </c>
      <c r="B2660" s="81" t="s">
        <v>206</v>
      </c>
      <c r="C2660" s="101" t="s">
        <v>246</v>
      </c>
      <c r="D2660" s="86">
        <f>1/16*25.4</f>
        <v>1.5874999999999999</v>
      </c>
      <c r="E2660" s="85">
        <f t="shared" si="350"/>
        <v>1.5874999999999999E-3</v>
      </c>
      <c r="F2660" s="85">
        <f t="shared" si="351"/>
        <v>7.9374999999999997E-4</v>
      </c>
      <c r="G2660" s="85">
        <f t="shared" si="352"/>
        <v>2.0947867788210349E-9</v>
      </c>
      <c r="H2660" s="85">
        <v>14950</v>
      </c>
      <c r="I2660" s="85">
        <f t="shared" si="345"/>
        <v>3.1317062343374473E-5</v>
      </c>
      <c r="J2660" s="87">
        <v>1</v>
      </c>
      <c r="K2660" s="88">
        <f t="shared" si="346"/>
        <v>31931.475214231352</v>
      </c>
    </row>
    <row r="2661" spans="1:11" hidden="1" x14ac:dyDescent="0.25">
      <c r="A2661" t="str">
        <f t="shared" si="341"/>
        <v>420CØ0,6</v>
      </c>
      <c r="B2661" s="81" t="s">
        <v>295</v>
      </c>
      <c r="D2661" s="86">
        <v>0.6</v>
      </c>
      <c r="E2661" s="85">
        <f t="shared" si="350"/>
        <v>5.9999999999999995E-4</v>
      </c>
      <c r="F2661" s="85">
        <f t="shared" si="351"/>
        <v>2.9999999999999997E-4</v>
      </c>
      <c r="G2661" s="85">
        <f t="shared" si="352"/>
        <v>1.1309733552923252E-10</v>
      </c>
      <c r="H2661" s="85">
        <v>7750</v>
      </c>
      <c r="I2661" s="85">
        <f t="shared" si="345"/>
        <v>8.7650435035155202E-7</v>
      </c>
      <c r="J2661" s="87">
        <v>1</v>
      </c>
      <c r="K2661" s="88">
        <f t="shared" si="346"/>
        <v>1140895.649404268</v>
      </c>
    </row>
    <row r="2662" spans="1:11" hidden="1" x14ac:dyDescent="0.25">
      <c r="A2662" t="str">
        <f t="shared" si="341"/>
        <v>52100Ø3</v>
      </c>
      <c r="B2662" s="81">
        <v>52100</v>
      </c>
      <c r="D2662" s="86">
        <v>3</v>
      </c>
      <c r="E2662" s="85">
        <f t="shared" si="350"/>
        <v>3.0000000000000001E-3</v>
      </c>
      <c r="F2662" s="85">
        <f t="shared" si="351"/>
        <v>1.5E-3</v>
      </c>
      <c r="G2662" s="85">
        <f t="shared" si="352"/>
        <v>1.4137166941154068E-8</v>
      </c>
      <c r="H2662" s="85">
        <v>7800</v>
      </c>
      <c r="I2662" s="85">
        <f t="shared" si="345"/>
        <v>1.1026990214100174E-4</v>
      </c>
      <c r="J2662" s="87">
        <v>1</v>
      </c>
      <c r="K2662" s="88">
        <f t="shared" si="346"/>
        <v>9068.6577260339218</v>
      </c>
    </row>
    <row r="2663" spans="1:11" hidden="1" x14ac:dyDescent="0.25">
      <c r="A2663" t="str">
        <f t="shared" si="341"/>
        <v>52100Ø0,68</v>
      </c>
      <c r="B2663" s="81">
        <v>52100</v>
      </c>
      <c r="D2663" s="86">
        <v>0.68</v>
      </c>
      <c r="E2663" s="85">
        <f t="shared" si="350"/>
        <v>6.8000000000000005E-4</v>
      </c>
      <c r="F2663" s="85">
        <f t="shared" si="351"/>
        <v>3.4000000000000002E-4</v>
      </c>
      <c r="G2663" s="85">
        <f t="shared" si="352"/>
        <v>1.6463621020892433E-10</v>
      </c>
      <c r="H2663" s="85">
        <v>7800</v>
      </c>
      <c r="I2663" s="85">
        <f t="shared" si="345"/>
        <v>1.2841624396296097E-6</v>
      </c>
      <c r="J2663" s="87">
        <v>1</v>
      </c>
      <c r="K2663" s="88">
        <f t="shared" si="346"/>
        <v>778717.68332394888</v>
      </c>
    </row>
    <row r="2664" spans="1:11" hidden="1" x14ac:dyDescent="0.25">
      <c r="A2664" t="str">
        <f t="shared" si="341"/>
        <v>POMØ1</v>
      </c>
      <c r="B2664" s="81" t="s">
        <v>201</v>
      </c>
      <c r="D2664" s="86">
        <v>1</v>
      </c>
      <c r="E2664" s="85">
        <f t="shared" si="350"/>
        <v>1E-3</v>
      </c>
      <c r="F2664" s="85">
        <f t="shared" si="351"/>
        <v>5.0000000000000001E-4</v>
      </c>
      <c r="G2664" s="85">
        <f t="shared" si="352"/>
        <v>5.2359877559829886E-10</v>
      </c>
      <c r="H2664" s="88">
        <v>1370</v>
      </c>
      <c r="I2664" s="85">
        <f t="shared" si="345"/>
        <v>7.1733032256966945E-7</v>
      </c>
      <c r="J2664" s="87">
        <v>1</v>
      </c>
      <c r="K2664" s="88">
        <f t="shared" si="346"/>
        <v>1394057.8956954337</v>
      </c>
    </row>
    <row r="2665" spans="1:11" hidden="1" x14ac:dyDescent="0.25">
      <c r="A2665" t="str">
        <f t="shared" si="341"/>
        <v>POMØ1,5</v>
      </c>
      <c r="B2665" s="81" t="s">
        <v>201</v>
      </c>
      <c r="D2665" s="86">
        <v>1.5</v>
      </c>
      <c r="E2665" s="85">
        <f t="shared" si="350"/>
        <v>1.5E-3</v>
      </c>
      <c r="F2665" s="85">
        <f t="shared" si="351"/>
        <v>7.5000000000000002E-4</v>
      </c>
      <c r="G2665" s="85">
        <f t="shared" si="352"/>
        <v>1.7671458676442585E-9</v>
      </c>
      <c r="H2665" s="88">
        <v>1370</v>
      </c>
      <c r="I2665" s="85">
        <f t="shared" si="345"/>
        <v>2.4209898386726343E-6</v>
      </c>
      <c r="J2665" s="87">
        <v>1</v>
      </c>
      <c r="K2665" s="88">
        <f t="shared" si="346"/>
        <v>413054.1913171655</v>
      </c>
    </row>
    <row r="2666" spans="1:11" hidden="1" x14ac:dyDescent="0.25">
      <c r="A2666" t="str">
        <f t="shared" si="341"/>
        <v>POMØ2</v>
      </c>
      <c r="B2666" s="81" t="s">
        <v>201</v>
      </c>
      <c r="D2666" s="86">
        <v>2</v>
      </c>
      <c r="E2666" s="85">
        <f t="shared" si="350"/>
        <v>2E-3</v>
      </c>
      <c r="F2666" s="85">
        <f t="shared" si="351"/>
        <v>1E-3</v>
      </c>
      <c r="G2666" s="85">
        <f t="shared" si="352"/>
        <v>4.1887902047863909E-9</v>
      </c>
      <c r="H2666" s="88">
        <v>1370</v>
      </c>
      <c r="I2666" s="85">
        <f t="shared" si="345"/>
        <v>5.7386425805573556E-6</v>
      </c>
      <c r="J2666" s="87">
        <v>1</v>
      </c>
      <c r="K2666" s="88">
        <f t="shared" si="346"/>
        <v>174257.23696192921</v>
      </c>
    </row>
    <row r="2667" spans="1:11" hidden="1" x14ac:dyDescent="0.25">
      <c r="A2667" t="str">
        <f t="shared" si="341"/>
        <v>POMØ3</v>
      </c>
      <c r="B2667" s="81" t="s">
        <v>201</v>
      </c>
      <c r="D2667" s="86">
        <v>3</v>
      </c>
      <c r="E2667" s="85">
        <f t="shared" si="350"/>
        <v>3.0000000000000001E-3</v>
      </c>
      <c r="F2667" s="85">
        <f t="shared" si="351"/>
        <v>1.5E-3</v>
      </c>
      <c r="G2667" s="85">
        <f t="shared" si="352"/>
        <v>1.4137166941154068E-8</v>
      </c>
      <c r="H2667" s="88">
        <v>1370</v>
      </c>
      <c r="I2667" s="85">
        <f t="shared" si="345"/>
        <v>1.9367918709381075E-5</v>
      </c>
      <c r="J2667" s="87">
        <v>1</v>
      </c>
      <c r="K2667" s="88">
        <f t="shared" si="346"/>
        <v>51631.773914645688</v>
      </c>
    </row>
    <row r="2668" spans="1:11" hidden="1" x14ac:dyDescent="0.25">
      <c r="A2668" t="str">
        <f t="shared" si="341"/>
        <v>PPHØ2</v>
      </c>
      <c r="B2668" s="81" t="s">
        <v>202</v>
      </c>
      <c r="D2668" s="86">
        <v>2</v>
      </c>
      <c r="E2668" s="85">
        <f t="shared" si="350"/>
        <v>2E-3</v>
      </c>
      <c r="F2668" s="85">
        <f t="shared" si="351"/>
        <v>1E-3</v>
      </c>
      <c r="G2668" s="85">
        <f t="shared" si="352"/>
        <v>4.1887902047863909E-9</v>
      </c>
      <c r="H2668" s="85">
        <v>870</v>
      </c>
      <c r="I2668" s="85">
        <f t="shared" si="345"/>
        <v>3.6442474781641599E-6</v>
      </c>
      <c r="J2668" s="87">
        <v>1</v>
      </c>
      <c r="K2668" s="88">
        <f t="shared" si="346"/>
        <v>274405.07429637131</v>
      </c>
    </row>
    <row r="2669" spans="1:11" hidden="1" x14ac:dyDescent="0.25">
      <c r="A2669" t="str">
        <f t="shared" si="341"/>
        <v>PPHØ3</v>
      </c>
      <c r="B2669" s="81" t="s">
        <v>202</v>
      </c>
      <c r="D2669" s="86">
        <v>3</v>
      </c>
      <c r="E2669" s="85">
        <f t="shared" si="350"/>
        <v>3.0000000000000001E-3</v>
      </c>
      <c r="F2669" s="85">
        <f t="shared" si="351"/>
        <v>1.5E-3</v>
      </c>
      <c r="G2669" s="85">
        <f t="shared" si="352"/>
        <v>1.4137166941154068E-8</v>
      </c>
      <c r="H2669" s="85">
        <v>870</v>
      </c>
      <c r="I2669" s="85">
        <f t="shared" si="345"/>
        <v>1.229933523880404E-5</v>
      </c>
      <c r="J2669" s="87">
        <v>1</v>
      </c>
      <c r="K2669" s="88">
        <f t="shared" si="346"/>
        <v>81305.207198924822</v>
      </c>
    </row>
    <row r="2670" spans="1:11" hidden="1" x14ac:dyDescent="0.25">
      <c r="A2670" t="str">
        <f t="shared" si="341"/>
        <v>PPHØ4</v>
      </c>
      <c r="B2670" s="81" t="s">
        <v>202</v>
      </c>
      <c r="D2670" s="86">
        <v>4</v>
      </c>
      <c r="E2670" s="85">
        <f t="shared" si="350"/>
        <v>4.0000000000000001E-3</v>
      </c>
      <c r="F2670" s="85">
        <f t="shared" si="351"/>
        <v>2E-3</v>
      </c>
      <c r="G2670" s="85">
        <f t="shared" si="352"/>
        <v>3.3510321638291127E-8</v>
      </c>
      <c r="H2670" s="85">
        <v>870</v>
      </c>
      <c r="I2670" s="85">
        <f t="shared" si="345"/>
        <v>2.9153979825313279E-5</v>
      </c>
      <c r="J2670" s="87">
        <v>1</v>
      </c>
      <c r="K2670" s="88">
        <f t="shared" si="346"/>
        <v>34300.634287046414</v>
      </c>
    </row>
    <row r="2671" spans="1:11" hidden="1" x14ac:dyDescent="0.25">
      <c r="A2671" t="str">
        <f t="shared" si="341"/>
        <v>PPHØ5</v>
      </c>
      <c r="B2671" s="81" t="s">
        <v>202</v>
      </c>
      <c r="D2671" s="86">
        <v>5</v>
      </c>
      <c r="E2671" s="85">
        <f t="shared" si="350"/>
        <v>5.0000000000000001E-3</v>
      </c>
      <c r="F2671" s="85">
        <f t="shared" si="351"/>
        <v>2.5000000000000001E-3</v>
      </c>
      <c r="G2671" s="85">
        <f t="shared" si="352"/>
        <v>6.5449846949787352E-8</v>
      </c>
      <c r="H2671" s="85">
        <v>870</v>
      </c>
      <c r="I2671" s="85">
        <f t="shared" si="345"/>
        <v>5.6941366846314999E-5</v>
      </c>
      <c r="J2671" s="87">
        <v>1</v>
      </c>
      <c r="K2671" s="88">
        <f t="shared" si="346"/>
        <v>17561.924754967764</v>
      </c>
    </row>
    <row r="2672" spans="1:11" hidden="1" x14ac:dyDescent="0.25">
      <c r="A2672" t="str">
        <f t="shared" si="341"/>
        <v>PPHØ6</v>
      </c>
      <c r="B2672" s="81" t="s">
        <v>202</v>
      </c>
      <c r="D2672" s="86">
        <v>6</v>
      </c>
      <c r="E2672" s="85">
        <f t="shared" si="350"/>
        <v>6.0000000000000001E-3</v>
      </c>
      <c r="F2672" s="85">
        <f t="shared" si="351"/>
        <v>3.0000000000000001E-3</v>
      </c>
      <c r="G2672" s="85">
        <f t="shared" si="352"/>
        <v>1.1309733552923255E-7</v>
      </c>
      <c r="H2672" s="85">
        <v>870</v>
      </c>
      <c r="I2672" s="85">
        <f t="shared" si="345"/>
        <v>9.8394681910432316E-5</v>
      </c>
      <c r="J2672" s="87">
        <v>1</v>
      </c>
      <c r="K2672" s="88">
        <f t="shared" si="346"/>
        <v>10163.150899865603</v>
      </c>
    </row>
    <row r="2673" spans="1:12" hidden="1" x14ac:dyDescent="0.25">
      <c r="A2673" t="str">
        <f t="shared" si="341"/>
        <v>Al2O3Ø10</v>
      </c>
      <c r="B2673" s="81" t="s">
        <v>217</v>
      </c>
      <c r="D2673" s="86">
        <v>10</v>
      </c>
      <c r="E2673" s="85">
        <f t="shared" si="350"/>
        <v>0.01</v>
      </c>
      <c r="F2673" s="85">
        <f t="shared" si="351"/>
        <v>5.0000000000000001E-3</v>
      </c>
      <c r="G2673" s="85">
        <f t="shared" si="352"/>
        <v>5.2359877559829882E-7</v>
      </c>
      <c r="H2673" s="85">
        <v>3600</v>
      </c>
      <c r="I2673" s="85">
        <f t="shared" si="345"/>
        <v>1.8849555921538756E-3</v>
      </c>
      <c r="J2673" s="87">
        <v>1</v>
      </c>
      <c r="K2673" s="88">
        <f t="shared" si="346"/>
        <v>530.51647697298449</v>
      </c>
    </row>
    <row r="2674" spans="1:12" hidden="1" x14ac:dyDescent="0.25">
      <c r="A2674" t="str">
        <f t="shared" si="341"/>
        <v>PPHØ1,5</v>
      </c>
      <c r="B2674" s="81" t="s">
        <v>202</v>
      </c>
      <c r="D2674" s="86">
        <v>1.5</v>
      </c>
      <c r="E2674" s="85">
        <f t="shared" si="350"/>
        <v>1.5E-3</v>
      </c>
      <c r="F2674" s="85">
        <f t="shared" si="351"/>
        <v>7.5000000000000002E-4</v>
      </c>
      <c r="G2674" s="85">
        <f t="shared" si="352"/>
        <v>1.7671458676442585E-9</v>
      </c>
      <c r="H2674" s="85">
        <v>870</v>
      </c>
      <c r="I2674" s="85">
        <f t="shared" si="345"/>
        <v>1.5374169048505049E-6</v>
      </c>
      <c r="J2674" s="87">
        <v>1</v>
      </c>
      <c r="K2674" s="88">
        <f t="shared" si="346"/>
        <v>650441.65759139857</v>
      </c>
    </row>
    <row r="2675" spans="1:12" hidden="1" x14ac:dyDescent="0.25">
      <c r="A2675" t="str">
        <f t="shared" si="341"/>
        <v>PPHØ3</v>
      </c>
      <c r="B2675" s="81" t="s">
        <v>202</v>
      </c>
      <c r="D2675" s="86">
        <v>3</v>
      </c>
      <c r="E2675" s="85">
        <f t="shared" si="350"/>
        <v>3.0000000000000001E-3</v>
      </c>
      <c r="F2675" s="85">
        <f t="shared" si="351"/>
        <v>1.5E-3</v>
      </c>
      <c r="G2675" s="85">
        <f t="shared" si="352"/>
        <v>1.4137166941154068E-8</v>
      </c>
      <c r="H2675" s="85">
        <v>870</v>
      </c>
      <c r="I2675" s="85">
        <f t="shared" si="345"/>
        <v>1.229933523880404E-5</v>
      </c>
      <c r="J2675" s="87">
        <v>1</v>
      </c>
      <c r="K2675" s="88">
        <f t="shared" si="346"/>
        <v>81305.207198924822</v>
      </c>
    </row>
    <row r="2676" spans="1:12" hidden="1" x14ac:dyDescent="0.25">
      <c r="A2676" t="str">
        <f t="shared" si="341"/>
        <v>PPHØ6</v>
      </c>
      <c r="B2676" s="81" t="s">
        <v>202</v>
      </c>
      <c r="D2676" s="86">
        <v>6</v>
      </c>
      <c r="E2676" s="85">
        <f t="shared" si="350"/>
        <v>6.0000000000000001E-3</v>
      </c>
      <c r="F2676" s="85">
        <f t="shared" si="351"/>
        <v>3.0000000000000001E-3</v>
      </c>
      <c r="G2676" s="85">
        <f t="shared" si="352"/>
        <v>1.1309733552923255E-7</v>
      </c>
      <c r="H2676" s="85">
        <v>870</v>
      </c>
      <c r="I2676" s="85">
        <f t="shared" si="345"/>
        <v>9.8394681910432316E-5</v>
      </c>
      <c r="J2676" s="87">
        <v>1</v>
      </c>
      <c r="K2676" s="88">
        <f t="shared" si="346"/>
        <v>10163.150899865603</v>
      </c>
    </row>
    <row r="2677" spans="1:12" hidden="1" x14ac:dyDescent="0.25">
      <c r="A2677" t="str">
        <f t="shared" si="341"/>
        <v>PPHØ7</v>
      </c>
      <c r="B2677" s="81" t="s">
        <v>202</v>
      </c>
      <c r="D2677" s="86">
        <v>7</v>
      </c>
      <c r="E2677" s="85">
        <f t="shared" si="350"/>
        <v>7.0000000000000001E-3</v>
      </c>
      <c r="F2677" s="85">
        <f t="shared" si="351"/>
        <v>3.5000000000000001E-3</v>
      </c>
      <c r="G2677" s="85">
        <f t="shared" si="352"/>
        <v>1.7959438003021651E-7</v>
      </c>
      <c r="H2677" s="85">
        <v>870</v>
      </c>
      <c r="I2677" s="85">
        <f t="shared" si="345"/>
        <v>1.5624711062628836E-4</v>
      </c>
      <c r="J2677" s="87">
        <v>1</v>
      </c>
      <c r="K2677" s="88">
        <f t="shared" si="346"/>
        <v>6400.1183509357734</v>
      </c>
    </row>
    <row r="2678" spans="1:12" hidden="1" x14ac:dyDescent="0.25">
      <c r="A2678" t="str">
        <f t="shared" si="341"/>
        <v>PPHØ8</v>
      </c>
      <c r="B2678" s="81" t="s">
        <v>202</v>
      </c>
      <c r="D2678" s="86">
        <v>8</v>
      </c>
      <c r="E2678" s="85">
        <f t="shared" si="350"/>
        <v>8.0000000000000002E-3</v>
      </c>
      <c r="F2678" s="85">
        <f t="shared" si="351"/>
        <v>4.0000000000000001E-3</v>
      </c>
      <c r="G2678" s="85">
        <f t="shared" si="352"/>
        <v>2.6808257310632902E-7</v>
      </c>
      <c r="H2678" s="85">
        <v>870</v>
      </c>
      <c r="I2678" s="85">
        <f t="shared" si="345"/>
        <v>2.3323183860250623E-4</v>
      </c>
      <c r="J2678" s="87">
        <v>1</v>
      </c>
      <c r="K2678" s="88">
        <f t="shared" si="346"/>
        <v>4287.5792858808018</v>
      </c>
    </row>
    <row r="2679" spans="1:12" hidden="1" x14ac:dyDescent="0.25">
      <c r="A2679" t="str">
        <f t="shared" si="341"/>
        <v>PPHØ9</v>
      </c>
      <c r="B2679" s="81" t="s">
        <v>202</v>
      </c>
      <c r="D2679" s="86">
        <v>9</v>
      </c>
      <c r="E2679" s="85">
        <f t="shared" si="350"/>
        <v>8.9999999999999993E-3</v>
      </c>
      <c r="F2679" s="85">
        <f t="shared" si="351"/>
        <v>4.4999999999999997E-3</v>
      </c>
      <c r="G2679" s="85">
        <f t="shared" si="352"/>
        <v>3.8170350741115974E-7</v>
      </c>
      <c r="H2679" s="85">
        <v>870</v>
      </c>
      <c r="I2679" s="85">
        <f t="shared" si="345"/>
        <v>3.3208205144770898E-4</v>
      </c>
      <c r="J2679" s="87">
        <v>1</v>
      </c>
      <c r="K2679" s="88">
        <f t="shared" si="346"/>
        <v>3011.3039703305499</v>
      </c>
    </row>
    <row r="2680" spans="1:12" hidden="1" x14ac:dyDescent="0.25">
      <c r="A2680" t="str">
        <f t="shared" si="341"/>
        <v>PPHØ10</v>
      </c>
      <c r="B2680" s="81" t="s">
        <v>202</v>
      </c>
      <c r="D2680" s="86">
        <v>10</v>
      </c>
      <c r="E2680" s="85">
        <f t="shared" si="350"/>
        <v>0.01</v>
      </c>
      <c r="F2680" s="85">
        <f t="shared" si="351"/>
        <v>5.0000000000000001E-3</v>
      </c>
      <c r="G2680" s="85">
        <f t="shared" si="352"/>
        <v>5.2359877559829882E-7</v>
      </c>
      <c r="H2680" s="85">
        <v>870</v>
      </c>
      <c r="I2680" s="85">
        <f t="shared" si="345"/>
        <v>4.5553093477051999E-4</v>
      </c>
      <c r="J2680" s="87">
        <v>1</v>
      </c>
      <c r="K2680" s="88">
        <f t="shared" si="346"/>
        <v>2195.2405943709705</v>
      </c>
    </row>
    <row r="2681" spans="1:12" hidden="1" x14ac:dyDescent="0.25">
      <c r="A2681" t="str">
        <f t="shared" si="341"/>
        <v>PPHØ11</v>
      </c>
      <c r="B2681" s="81" t="s">
        <v>202</v>
      </c>
      <c r="D2681" s="86">
        <v>11</v>
      </c>
      <c r="E2681" s="85">
        <f t="shared" si="350"/>
        <v>1.0999999999999999E-2</v>
      </c>
      <c r="F2681" s="85">
        <f t="shared" si="351"/>
        <v>5.4999999999999997E-3</v>
      </c>
      <c r="G2681" s="85">
        <f t="shared" si="352"/>
        <v>6.9690997032133551E-7</v>
      </c>
      <c r="H2681" s="85">
        <v>870</v>
      </c>
      <c r="I2681" s="85">
        <f t="shared" si="345"/>
        <v>6.063116741795619E-4</v>
      </c>
      <c r="J2681" s="87">
        <v>1</v>
      </c>
      <c r="K2681" s="88">
        <f t="shared" si="346"/>
        <v>1649.3167500908874</v>
      </c>
    </row>
    <row r="2682" spans="1:12" hidden="1" x14ac:dyDescent="0.25">
      <c r="A2682" t="str">
        <f t="shared" si="341"/>
        <v>PPHØ12</v>
      </c>
      <c r="B2682" s="81" t="s">
        <v>202</v>
      </c>
      <c r="D2682" s="86">
        <v>12</v>
      </c>
      <c r="E2682" s="85">
        <f t="shared" si="350"/>
        <v>1.2E-2</v>
      </c>
      <c r="F2682" s="85">
        <f t="shared" si="351"/>
        <v>6.0000000000000001E-3</v>
      </c>
      <c r="G2682" s="85">
        <f t="shared" si="352"/>
        <v>9.0477868423386037E-7</v>
      </c>
      <c r="H2682" s="85">
        <v>870</v>
      </c>
      <c r="I2682" s="85">
        <f t="shared" si="345"/>
        <v>7.8715745528345853E-4</v>
      </c>
      <c r="J2682" s="87">
        <v>1</v>
      </c>
      <c r="K2682" s="88">
        <f t="shared" si="346"/>
        <v>1270.3938624832003</v>
      </c>
    </row>
    <row r="2683" spans="1:12" hidden="1" x14ac:dyDescent="0.25">
      <c r="A2683" t="str">
        <f t="shared" si="341"/>
        <v>PPHØ14</v>
      </c>
      <c r="B2683" s="81" t="s">
        <v>202</v>
      </c>
      <c r="D2683" s="86">
        <v>14</v>
      </c>
      <c r="E2683" s="85">
        <f t="shared" si="350"/>
        <v>1.4E-2</v>
      </c>
      <c r="F2683" s="85">
        <f t="shared" si="351"/>
        <v>7.0000000000000001E-3</v>
      </c>
      <c r="G2683" s="85">
        <f t="shared" si="352"/>
        <v>1.4367550402417321E-6</v>
      </c>
      <c r="H2683" s="85">
        <v>870</v>
      </c>
      <c r="I2683" s="85">
        <f t="shared" si="345"/>
        <v>1.2499768850103069E-3</v>
      </c>
      <c r="J2683" s="87">
        <v>1</v>
      </c>
      <c r="K2683" s="88">
        <f t="shared" si="346"/>
        <v>800.01479386697167</v>
      </c>
    </row>
    <row r="2684" spans="1:12" hidden="1" x14ac:dyDescent="0.25">
      <c r="A2684" t="str">
        <f t="shared" si="341"/>
        <v>PPHØ16</v>
      </c>
      <c r="B2684" s="81" t="s">
        <v>202</v>
      </c>
      <c r="D2684" s="86">
        <v>16</v>
      </c>
      <c r="E2684" s="85">
        <f t="shared" si="350"/>
        <v>1.6E-2</v>
      </c>
      <c r="F2684" s="85">
        <f t="shared" si="351"/>
        <v>8.0000000000000002E-3</v>
      </c>
      <c r="G2684" s="85">
        <f t="shared" si="352"/>
        <v>2.1446605848506321E-6</v>
      </c>
      <c r="H2684" s="85">
        <v>870</v>
      </c>
      <c r="I2684" s="85">
        <f t="shared" si="345"/>
        <v>1.8658547088200499E-3</v>
      </c>
      <c r="J2684" s="87">
        <v>1</v>
      </c>
      <c r="K2684" s="88">
        <f t="shared" si="346"/>
        <v>535.94741073510022</v>
      </c>
    </row>
    <row r="2685" spans="1:12" hidden="1" x14ac:dyDescent="0.25">
      <c r="A2685" t="str">
        <f t="shared" si="341"/>
        <v>PPHØ3</v>
      </c>
      <c r="B2685" s="81" t="s">
        <v>202</v>
      </c>
      <c r="D2685" s="86">
        <v>3</v>
      </c>
      <c r="E2685" s="85">
        <f t="shared" si="350"/>
        <v>3.0000000000000001E-3</v>
      </c>
      <c r="F2685" s="85">
        <f t="shared" si="351"/>
        <v>1.5E-3</v>
      </c>
      <c r="G2685" s="85">
        <f t="shared" si="352"/>
        <v>1.4137166941154068E-8</v>
      </c>
      <c r="H2685" s="85">
        <v>870</v>
      </c>
      <c r="I2685" s="85">
        <f t="shared" si="345"/>
        <v>1.229933523880404E-5</v>
      </c>
      <c r="J2685" s="87">
        <v>1</v>
      </c>
      <c r="K2685" s="88">
        <f t="shared" si="346"/>
        <v>81305.207198924822</v>
      </c>
    </row>
    <row r="2686" spans="1:12" hidden="1" x14ac:dyDescent="0.25">
      <c r="A2686" t="str">
        <f t="shared" si="341"/>
        <v>PPHØ6</v>
      </c>
      <c r="B2686" s="81" t="s">
        <v>202</v>
      </c>
      <c r="D2686" s="86">
        <v>6</v>
      </c>
      <c r="E2686" s="85">
        <f t="shared" si="350"/>
        <v>6.0000000000000001E-3</v>
      </c>
      <c r="F2686" s="85">
        <f t="shared" si="351"/>
        <v>3.0000000000000001E-3</v>
      </c>
      <c r="G2686" s="85">
        <f t="shared" si="352"/>
        <v>1.1309733552923255E-7</v>
      </c>
      <c r="H2686" s="85">
        <v>870</v>
      </c>
      <c r="I2686" s="85">
        <f t="shared" si="345"/>
        <v>9.8394681910432316E-5</v>
      </c>
      <c r="J2686" s="87">
        <v>1</v>
      </c>
      <c r="K2686" s="88">
        <f t="shared" si="346"/>
        <v>10163.150899865603</v>
      </c>
    </row>
    <row r="2687" spans="1:12" hidden="1" x14ac:dyDescent="0.25">
      <c r="A2687" t="str">
        <f t="shared" si="341"/>
        <v>304Ø6,35</v>
      </c>
      <c r="B2687" s="81">
        <v>304</v>
      </c>
      <c r="C2687" s="101" t="s">
        <v>218</v>
      </c>
      <c r="D2687" s="86">
        <f>1/4*25.4</f>
        <v>6.35</v>
      </c>
      <c r="E2687" s="85">
        <f t="shared" si="350"/>
        <v>6.3499999999999997E-3</v>
      </c>
      <c r="F2687" s="85">
        <f t="shared" si="351"/>
        <v>3.1749999999999999E-3</v>
      </c>
      <c r="G2687" s="85">
        <f t="shared" si="352"/>
        <v>1.3406635384454623E-7</v>
      </c>
      <c r="H2687" s="85">
        <v>7950</v>
      </c>
      <c r="I2687" s="85">
        <f t="shared" si="345"/>
        <v>1.0658275130641425E-3</v>
      </c>
      <c r="J2687" s="87">
        <v>1</v>
      </c>
      <c r="K2687" s="88">
        <f t="shared" si="346"/>
        <v>938.23811802822081</v>
      </c>
      <c r="L2687" s="93"/>
    </row>
    <row r="2688" spans="1:12" hidden="1" x14ac:dyDescent="0.25">
      <c r="A2688" t="str">
        <f t="shared" si="341"/>
        <v>Al2O3Ø1,5</v>
      </c>
      <c r="B2688" s="81" t="s">
        <v>217</v>
      </c>
      <c r="D2688" s="86">
        <v>1.5</v>
      </c>
      <c r="E2688" s="85">
        <f t="shared" si="350"/>
        <v>1.5E-3</v>
      </c>
      <c r="F2688" s="85">
        <f t="shared" si="351"/>
        <v>7.5000000000000002E-4</v>
      </c>
      <c r="G2688" s="85">
        <f t="shared" si="352"/>
        <v>1.7671458676442585E-9</v>
      </c>
      <c r="H2688" s="85">
        <v>3935</v>
      </c>
      <c r="I2688" s="85">
        <f t="shared" si="345"/>
        <v>6.9537189891801573E-6</v>
      </c>
      <c r="J2688" s="87">
        <v>1</v>
      </c>
      <c r="K2688" s="88">
        <f t="shared" si="346"/>
        <v>143807.93954371457</v>
      </c>
    </row>
    <row r="2689" spans="1:11" hidden="1" x14ac:dyDescent="0.25">
      <c r="A2689" t="str">
        <f t="shared" si="341"/>
        <v>PPHØ2</v>
      </c>
      <c r="B2689" s="81" t="s">
        <v>202</v>
      </c>
      <c r="D2689" s="86">
        <v>2</v>
      </c>
      <c r="E2689" s="85">
        <f t="shared" si="350"/>
        <v>2E-3</v>
      </c>
      <c r="F2689" s="85">
        <f t="shared" si="351"/>
        <v>1E-3</v>
      </c>
      <c r="G2689" s="85">
        <f t="shared" si="352"/>
        <v>4.1887902047863909E-9</v>
      </c>
      <c r="H2689" s="85">
        <v>870</v>
      </c>
      <c r="I2689" s="85">
        <f t="shared" si="345"/>
        <v>3.6442474781641599E-6</v>
      </c>
      <c r="J2689" s="87">
        <v>1</v>
      </c>
      <c r="K2689" s="88">
        <f t="shared" si="346"/>
        <v>274405.07429637131</v>
      </c>
    </row>
    <row r="2690" spans="1:11" hidden="1" x14ac:dyDescent="0.25">
      <c r="A2690" t="str">
        <f t="shared" si="341"/>
        <v>PA6.6Ø2</v>
      </c>
      <c r="B2690" s="81" t="s">
        <v>244</v>
      </c>
      <c r="D2690" s="86">
        <v>2</v>
      </c>
      <c r="E2690" s="85">
        <f t="shared" si="350"/>
        <v>2E-3</v>
      </c>
      <c r="F2690" s="85">
        <f t="shared" si="351"/>
        <v>1E-3</v>
      </c>
      <c r="G2690" s="85">
        <f t="shared" si="352"/>
        <v>4.1887902047863909E-9</v>
      </c>
      <c r="H2690" s="85">
        <v>1110</v>
      </c>
      <c r="I2690" s="85">
        <f t="shared" si="345"/>
        <v>4.6495571273128935E-6</v>
      </c>
      <c r="J2690" s="87">
        <v>1</v>
      </c>
      <c r="K2690" s="88">
        <f t="shared" si="346"/>
        <v>215074.24742148022</v>
      </c>
    </row>
    <row r="2691" spans="1:11" hidden="1" x14ac:dyDescent="0.25">
      <c r="A2691" t="str">
        <f t="shared" si="341"/>
        <v>316LØ1</v>
      </c>
      <c r="B2691" s="81" t="s">
        <v>298</v>
      </c>
      <c r="D2691" s="86">
        <v>1</v>
      </c>
      <c r="E2691" s="85">
        <f t="shared" si="350"/>
        <v>1E-3</v>
      </c>
      <c r="F2691" s="85">
        <f t="shared" si="351"/>
        <v>5.0000000000000001E-4</v>
      </c>
      <c r="G2691" s="85">
        <f t="shared" si="352"/>
        <v>5.2359877559829886E-10</v>
      </c>
      <c r="H2691" s="85">
        <v>7950</v>
      </c>
      <c r="I2691" s="85">
        <f t="shared" si="345"/>
        <v>4.1626102660064759E-6</v>
      </c>
      <c r="J2691" s="87">
        <v>1</v>
      </c>
      <c r="K2691" s="88">
        <f t="shared" si="346"/>
        <v>240233.87636512503</v>
      </c>
    </row>
    <row r="2692" spans="1:11" hidden="1" x14ac:dyDescent="0.25">
      <c r="A2692" t="str">
        <f t="shared" ref="A2692:A2755" si="353">CONCATENATE(B2692,"Ø",D2692)</f>
        <v>420CØ0,6</v>
      </c>
      <c r="B2692" s="81" t="s">
        <v>295</v>
      </c>
      <c r="D2692" s="86">
        <v>0.6</v>
      </c>
      <c r="E2692" s="85">
        <f t="shared" si="350"/>
        <v>5.9999999999999995E-4</v>
      </c>
      <c r="F2692" s="85">
        <f t="shared" si="351"/>
        <v>2.9999999999999997E-4</v>
      </c>
      <c r="G2692" s="85">
        <f t="shared" si="352"/>
        <v>1.1309733552923252E-10</v>
      </c>
      <c r="H2692" s="85">
        <v>7750</v>
      </c>
      <c r="I2692" s="85">
        <f t="shared" si="345"/>
        <v>8.7650435035155202E-7</v>
      </c>
      <c r="J2692" s="87">
        <v>1</v>
      </c>
      <c r="K2692" s="88">
        <f t="shared" si="346"/>
        <v>1140895.649404268</v>
      </c>
    </row>
    <row r="2693" spans="1:11" hidden="1" x14ac:dyDescent="0.25">
      <c r="A2693" t="str">
        <f t="shared" si="353"/>
        <v>420CØ0,7</v>
      </c>
      <c r="B2693" s="81" t="s">
        <v>295</v>
      </c>
      <c r="D2693" s="86">
        <v>0.7</v>
      </c>
      <c r="E2693" s="85">
        <f t="shared" si="350"/>
        <v>6.9999999999999999E-4</v>
      </c>
      <c r="F2693" s="85">
        <f t="shared" si="351"/>
        <v>3.5E-4</v>
      </c>
      <c r="G2693" s="85">
        <f t="shared" si="352"/>
        <v>1.7959438003021649E-10</v>
      </c>
      <c r="H2693" s="85">
        <v>7750</v>
      </c>
      <c r="I2693" s="85">
        <f t="shared" si="345"/>
        <v>1.3918564452341778E-6</v>
      </c>
      <c r="J2693" s="87">
        <v>1</v>
      </c>
      <c r="K2693" s="88">
        <f t="shared" si="346"/>
        <v>718464.89875020948</v>
      </c>
    </row>
    <row r="2694" spans="1:11" hidden="1" x14ac:dyDescent="0.25">
      <c r="A2694" t="str">
        <f t="shared" si="353"/>
        <v>1010Ø5</v>
      </c>
      <c r="B2694" s="81">
        <v>1010</v>
      </c>
      <c r="D2694" s="86">
        <v>5</v>
      </c>
      <c r="E2694" s="85">
        <f t="shared" si="350"/>
        <v>5.0000000000000001E-3</v>
      </c>
      <c r="F2694" s="85">
        <f t="shared" si="351"/>
        <v>2.5000000000000001E-3</v>
      </c>
      <c r="G2694" s="85">
        <f t="shared" si="352"/>
        <v>6.5449846949787352E-8</v>
      </c>
      <c r="H2694" s="85">
        <v>7820</v>
      </c>
      <c r="I2694" s="85">
        <f t="shared" si="345"/>
        <v>5.1181780314733707E-4</v>
      </c>
      <c r="J2694" s="87">
        <v>1</v>
      </c>
      <c r="K2694" s="88">
        <f t="shared" si="346"/>
        <v>1953.8202732508894</v>
      </c>
    </row>
    <row r="2695" spans="1:11" hidden="1" x14ac:dyDescent="0.25">
      <c r="A2695" t="str">
        <f t="shared" si="353"/>
        <v>1010Ø10</v>
      </c>
      <c r="B2695" s="81">
        <v>1010</v>
      </c>
      <c r="D2695" s="86">
        <v>10</v>
      </c>
      <c r="E2695" s="85">
        <f>D2695/1000</f>
        <v>0.01</v>
      </c>
      <c r="F2695" s="85">
        <f>E2695/2</f>
        <v>5.0000000000000001E-3</v>
      </c>
      <c r="G2695" s="85">
        <f>4/3*PI()*F2695*F2695*F2695</f>
        <v>5.2359877559829882E-7</v>
      </c>
      <c r="H2695" s="85">
        <v>7820</v>
      </c>
      <c r="I2695" s="85">
        <f>H2695*G2695</f>
        <v>4.0945424251786966E-3</v>
      </c>
      <c r="J2695" s="87">
        <v>1</v>
      </c>
      <c r="K2695" s="88">
        <f>J2695/I2695</f>
        <v>244.22753415636117</v>
      </c>
    </row>
    <row r="2696" spans="1:11" hidden="1" x14ac:dyDescent="0.25">
      <c r="A2696" t="str">
        <f t="shared" si="353"/>
        <v>316LØ30</v>
      </c>
      <c r="B2696" s="81" t="s">
        <v>298</v>
      </c>
      <c r="D2696" s="86">
        <v>30</v>
      </c>
      <c r="E2696" s="85">
        <f>D2696/1000</f>
        <v>0.03</v>
      </c>
      <c r="F2696" s="85">
        <f>E2696/2</f>
        <v>1.4999999999999999E-2</v>
      </c>
      <c r="G2696" s="85">
        <f>4/3*PI()*F2696*F2696*F2696</f>
        <v>1.4137166941154067E-5</v>
      </c>
      <c r="H2696" s="85">
        <v>7950</v>
      </c>
      <c r="I2696" s="85">
        <f>H2696*G2696</f>
        <v>0.11239047718217483</v>
      </c>
      <c r="J2696" s="87">
        <v>1</v>
      </c>
      <c r="K2696" s="88">
        <f>J2696/I2696</f>
        <v>8.897550976486114</v>
      </c>
    </row>
    <row r="2697" spans="1:11" hidden="1" x14ac:dyDescent="0.25">
      <c r="A2697" t="str">
        <f t="shared" si="353"/>
        <v>316LØ1,5</v>
      </c>
      <c r="B2697" s="81" t="s">
        <v>298</v>
      </c>
      <c r="D2697" s="86">
        <v>1.5</v>
      </c>
      <c r="E2697" s="85">
        <f t="shared" ref="E2697:E2748" si="354">D2697/1000</f>
        <v>1.5E-3</v>
      </c>
      <c r="F2697" s="85">
        <f t="shared" ref="F2697:F2748" si="355">E2697/2</f>
        <v>7.5000000000000002E-4</v>
      </c>
      <c r="G2697" s="85">
        <f t="shared" ref="G2697:G2748" si="356">4/3*PI()*F2697*F2697*F2697</f>
        <v>1.7671458676442585E-9</v>
      </c>
      <c r="H2697" s="85">
        <v>7950</v>
      </c>
      <c r="I2697" s="85">
        <f t="shared" ref="I2697:I2748" si="357">H2697*G2697</f>
        <v>1.4048809647771855E-5</v>
      </c>
      <c r="J2697" s="87">
        <v>1</v>
      </c>
      <c r="K2697" s="88">
        <f t="shared" ref="K2697:K2748" si="358">J2697/I2697</f>
        <v>71180.407811888916</v>
      </c>
    </row>
    <row r="2698" spans="1:11" hidden="1" x14ac:dyDescent="0.25">
      <c r="A2698" t="str">
        <f t="shared" si="353"/>
        <v>316LØ2</v>
      </c>
      <c r="B2698" s="81" t="s">
        <v>298</v>
      </c>
      <c r="D2698" s="86">
        <v>2</v>
      </c>
      <c r="E2698" s="85">
        <f t="shared" si="354"/>
        <v>2E-3</v>
      </c>
      <c r="F2698" s="85">
        <f t="shared" si="355"/>
        <v>1E-3</v>
      </c>
      <c r="G2698" s="85">
        <f t="shared" si="356"/>
        <v>4.1887902047863909E-9</v>
      </c>
      <c r="H2698" s="85">
        <v>7950</v>
      </c>
      <c r="I2698" s="85">
        <f t="shared" si="357"/>
        <v>3.3300882128051807E-5</v>
      </c>
      <c r="J2698" s="87">
        <v>1</v>
      </c>
      <c r="K2698" s="88">
        <f t="shared" si="358"/>
        <v>30029.234545640629</v>
      </c>
    </row>
    <row r="2699" spans="1:11" hidden="1" x14ac:dyDescent="0.25">
      <c r="A2699" t="str">
        <f t="shared" si="353"/>
        <v>316Ø1,5875</v>
      </c>
      <c r="B2699" s="81">
        <v>316</v>
      </c>
      <c r="C2699" s="101" t="s">
        <v>246</v>
      </c>
      <c r="D2699" s="86">
        <f>1/16*25.4</f>
        <v>1.5874999999999999</v>
      </c>
      <c r="E2699" s="85">
        <f t="shared" si="354"/>
        <v>1.5874999999999999E-3</v>
      </c>
      <c r="F2699" s="85">
        <f t="shared" si="355"/>
        <v>7.9374999999999997E-4</v>
      </c>
      <c r="G2699" s="85">
        <f t="shared" si="356"/>
        <v>2.0947867788210349E-9</v>
      </c>
      <c r="H2699" s="85">
        <v>7950</v>
      </c>
      <c r="I2699" s="85">
        <f t="shared" si="357"/>
        <v>1.6653554891627226E-5</v>
      </c>
      <c r="J2699" s="87">
        <v>1</v>
      </c>
      <c r="K2699" s="88">
        <f t="shared" si="358"/>
        <v>60047.239553806132</v>
      </c>
    </row>
    <row r="2700" spans="1:11" hidden="1" x14ac:dyDescent="0.25">
      <c r="A2700" t="str">
        <f t="shared" si="353"/>
        <v>PPHØ5</v>
      </c>
      <c r="B2700" s="81" t="s">
        <v>202</v>
      </c>
      <c r="D2700" s="86">
        <v>5</v>
      </c>
      <c r="E2700" s="85">
        <f t="shared" si="354"/>
        <v>5.0000000000000001E-3</v>
      </c>
      <c r="F2700" s="85">
        <f t="shared" si="355"/>
        <v>2.5000000000000001E-3</v>
      </c>
      <c r="G2700" s="85">
        <f t="shared" si="356"/>
        <v>6.5449846949787352E-8</v>
      </c>
      <c r="H2700" s="85">
        <v>870</v>
      </c>
      <c r="I2700" s="85">
        <f t="shared" si="357"/>
        <v>5.6941366846314999E-5</v>
      </c>
      <c r="J2700" s="87">
        <v>1</v>
      </c>
      <c r="K2700" s="88">
        <f t="shared" si="358"/>
        <v>17561.924754967764</v>
      </c>
    </row>
    <row r="2701" spans="1:11" hidden="1" x14ac:dyDescent="0.25">
      <c r="A2701" t="str">
        <f t="shared" si="353"/>
        <v>52100Ø1,190625</v>
      </c>
      <c r="B2701" s="81">
        <v>52100</v>
      </c>
      <c r="C2701" s="101" t="s">
        <v>245</v>
      </c>
      <c r="D2701" s="86">
        <f>3/64*25.4</f>
        <v>1.1906249999999998</v>
      </c>
      <c r="E2701" s="85">
        <f t="shared" si="354"/>
        <v>1.1906249999999998E-3</v>
      </c>
      <c r="F2701" s="85">
        <f t="shared" si="355"/>
        <v>5.9531249999999992E-4</v>
      </c>
      <c r="G2701" s="85">
        <f t="shared" si="356"/>
        <v>8.8373817231512396E-10</v>
      </c>
      <c r="H2701" s="85">
        <v>7800</v>
      </c>
      <c r="I2701" s="85">
        <f t="shared" si="357"/>
        <v>6.8931577440579671E-6</v>
      </c>
      <c r="J2701" s="87">
        <v>1</v>
      </c>
      <c r="K2701" s="88">
        <f t="shared" si="358"/>
        <v>145071.39356589061</v>
      </c>
    </row>
    <row r="2702" spans="1:11" hidden="1" x14ac:dyDescent="0.25">
      <c r="A2702" t="str">
        <f t="shared" si="353"/>
        <v>52100Ø1,34</v>
      </c>
      <c r="B2702" s="81">
        <v>52100</v>
      </c>
      <c r="D2702" s="86">
        <v>1.34</v>
      </c>
      <c r="E2702" s="85">
        <f t="shared" si="354"/>
        <v>1.34E-3</v>
      </c>
      <c r="F2702" s="85">
        <f t="shared" si="355"/>
        <v>6.7000000000000002E-4</v>
      </c>
      <c r="G2702" s="85">
        <f t="shared" si="356"/>
        <v>1.2598331083621693E-9</v>
      </c>
      <c r="H2702" s="85">
        <v>7800</v>
      </c>
      <c r="I2702" s="85">
        <f t="shared" si="357"/>
        <v>9.82669824522492E-6</v>
      </c>
      <c r="J2702" s="87">
        <v>1</v>
      </c>
      <c r="K2702" s="88">
        <f t="shared" si="358"/>
        <v>101763.58071094014</v>
      </c>
    </row>
    <row r="2703" spans="1:11" hidden="1" x14ac:dyDescent="0.25">
      <c r="A2703" t="str">
        <f t="shared" si="353"/>
        <v>Al2O3Ø1,5</v>
      </c>
      <c r="B2703" s="81" t="s">
        <v>217</v>
      </c>
      <c r="D2703" s="86">
        <v>1.5</v>
      </c>
      <c r="E2703" s="85">
        <f t="shared" si="354"/>
        <v>1.5E-3</v>
      </c>
      <c r="F2703" s="85">
        <f t="shared" si="355"/>
        <v>7.5000000000000002E-4</v>
      </c>
      <c r="G2703" s="85">
        <f t="shared" si="356"/>
        <v>1.7671458676442585E-9</v>
      </c>
      <c r="H2703" s="85">
        <v>3940</v>
      </c>
      <c r="I2703" s="85">
        <f t="shared" si="357"/>
        <v>6.9625547185183786E-6</v>
      </c>
      <c r="J2703" s="87">
        <v>1</v>
      </c>
      <c r="K2703" s="88">
        <f t="shared" si="358"/>
        <v>143625.4421585068</v>
      </c>
    </row>
    <row r="2704" spans="1:11" hidden="1" x14ac:dyDescent="0.25">
      <c r="A2704" t="str">
        <f t="shared" si="353"/>
        <v>Al2O3Ø1,5</v>
      </c>
      <c r="B2704" s="81" t="s">
        <v>217</v>
      </c>
      <c r="D2704" s="86">
        <v>1.5</v>
      </c>
      <c r="E2704" s="85">
        <f t="shared" si="354"/>
        <v>1.5E-3</v>
      </c>
      <c r="F2704" s="85">
        <f t="shared" si="355"/>
        <v>7.5000000000000002E-4</v>
      </c>
      <c r="G2704" s="85">
        <f t="shared" si="356"/>
        <v>1.7671458676442585E-9</v>
      </c>
      <c r="H2704" s="85">
        <v>3940</v>
      </c>
      <c r="I2704" s="85">
        <f t="shared" si="357"/>
        <v>6.9625547185183786E-6</v>
      </c>
      <c r="J2704" s="87">
        <v>1</v>
      </c>
      <c r="K2704" s="88">
        <f t="shared" si="358"/>
        <v>143625.4421585068</v>
      </c>
    </row>
    <row r="2705" spans="1:11" hidden="1" x14ac:dyDescent="0.25">
      <c r="A2705" t="str">
        <f t="shared" si="353"/>
        <v>52100Ø6</v>
      </c>
      <c r="B2705" s="81">
        <v>52100</v>
      </c>
      <c r="D2705" s="86">
        <v>6</v>
      </c>
      <c r="E2705" s="85">
        <f t="shared" si="354"/>
        <v>6.0000000000000001E-3</v>
      </c>
      <c r="F2705" s="85">
        <f t="shared" si="355"/>
        <v>3.0000000000000001E-3</v>
      </c>
      <c r="G2705" s="85">
        <f t="shared" si="356"/>
        <v>1.1309733552923255E-7</v>
      </c>
      <c r="H2705" s="85">
        <v>7800</v>
      </c>
      <c r="I2705" s="85">
        <f t="shared" si="357"/>
        <v>8.821592171280139E-4</v>
      </c>
      <c r="J2705" s="87">
        <v>1</v>
      </c>
      <c r="K2705" s="88">
        <f t="shared" si="358"/>
        <v>1133.5822157542402</v>
      </c>
    </row>
    <row r="2706" spans="1:11" hidden="1" x14ac:dyDescent="0.25">
      <c r="A2706" t="str">
        <f t="shared" si="353"/>
        <v>52100Ø1,5</v>
      </c>
      <c r="B2706" s="81">
        <v>52100</v>
      </c>
      <c r="D2706" s="86">
        <v>1.5</v>
      </c>
      <c r="E2706" s="85">
        <f t="shared" si="354"/>
        <v>1.5E-3</v>
      </c>
      <c r="F2706" s="85">
        <f t="shared" si="355"/>
        <v>7.5000000000000002E-4</v>
      </c>
      <c r="G2706" s="85">
        <f t="shared" si="356"/>
        <v>1.7671458676442585E-9</v>
      </c>
      <c r="H2706" s="85">
        <v>7800</v>
      </c>
      <c r="I2706" s="85">
        <f t="shared" si="357"/>
        <v>1.3783737767625217E-5</v>
      </c>
      <c r="J2706" s="87">
        <v>1</v>
      </c>
      <c r="K2706" s="88">
        <f t="shared" si="358"/>
        <v>72549.261808271374</v>
      </c>
    </row>
    <row r="2707" spans="1:11" hidden="1" x14ac:dyDescent="0.25">
      <c r="A2707" t="str">
        <f t="shared" si="353"/>
        <v>Wc-CoØ0,6</v>
      </c>
      <c r="B2707" s="81" t="s">
        <v>206</v>
      </c>
      <c r="D2707" s="86">
        <v>0.6</v>
      </c>
      <c r="E2707" s="85">
        <f t="shared" si="354"/>
        <v>5.9999999999999995E-4</v>
      </c>
      <c r="F2707" s="85">
        <f t="shared" si="355"/>
        <v>2.9999999999999997E-4</v>
      </c>
      <c r="G2707" s="85">
        <f t="shared" si="356"/>
        <v>1.1309733552923252E-10</v>
      </c>
      <c r="H2707" s="85">
        <v>14950</v>
      </c>
      <c r="I2707" s="85">
        <f t="shared" si="357"/>
        <v>1.690805166162026E-6</v>
      </c>
      <c r="J2707" s="87">
        <v>1</v>
      </c>
      <c r="K2707" s="88">
        <f t="shared" si="358"/>
        <v>591434.19952395174</v>
      </c>
    </row>
    <row r="2708" spans="1:11" hidden="1" x14ac:dyDescent="0.25">
      <c r="A2708" t="str">
        <f t="shared" si="353"/>
        <v>440CØ1,5875</v>
      </c>
      <c r="B2708" s="81" t="s">
        <v>314</v>
      </c>
      <c r="C2708" s="101" t="s">
        <v>246</v>
      </c>
      <c r="D2708" s="86">
        <f>1/16*25.4</f>
        <v>1.5874999999999999</v>
      </c>
      <c r="E2708" s="85">
        <f t="shared" si="354"/>
        <v>1.5874999999999999E-3</v>
      </c>
      <c r="F2708" s="85">
        <f t="shared" si="355"/>
        <v>7.9374999999999997E-4</v>
      </c>
      <c r="G2708" s="85">
        <f t="shared" si="356"/>
        <v>2.0947867788210349E-9</v>
      </c>
      <c r="H2708" s="85">
        <v>7700</v>
      </c>
      <c r="I2708" s="85">
        <f t="shared" si="357"/>
        <v>1.6129858196921968E-5</v>
      </c>
      <c r="J2708" s="87">
        <v>1</v>
      </c>
      <c r="K2708" s="88">
        <f t="shared" si="358"/>
        <v>61996.825253605035</v>
      </c>
    </row>
    <row r="2709" spans="1:11" hidden="1" x14ac:dyDescent="0.25">
      <c r="A2709" t="str">
        <f t="shared" si="353"/>
        <v>440CØ2,2</v>
      </c>
      <c r="B2709" s="81" t="s">
        <v>314</v>
      </c>
      <c r="D2709" s="86">
        <v>2.2000000000000002</v>
      </c>
      <c r="E2709" s="85">
        <f t="shared" si="354"/>
        <v>2.2000000000000001E-3</v>
      </c>
      <c r="F2709" s="85">
        <f t="shared" si="355"/>
        <v>1.1000000000000001E-3</v>
      </c>
      <c r="G2709" s="85">
        <f t="shared" si="356"/>
        <v>5.5752797625706871E-9</v>
      </c>
      <c r="H2709" s="85">
        <v>7750</v>
      </c>
      <c r="I2709" s="85">
        <f t="shared" si="357"/>
        <v>4.3208418159922823E-5</v>
      </c>
      <c r="J2709" s="87">
        <v>1</v>
      </c>
      <c r="K2709" s="88">
        <f t="shared" si="358"/>
        <v>23143.638267404374</v>
      </c>
    </row>
    <row r="2710" spans="1:11" hidden="1" x14ac:dyDescent="0.25">
      <c r="A2710" t="str">
        <f t="shared" si="353"/>
        <v>440CØ1</v>
      </c>
      <c r="B2710" s="81" t="s">
        <v>314</v>
      </c>
      <c r="D2710" s="86">
        <v>1</v>
      </c>
      <c r="E2710" s="85">
        <f t="shared" si="354"/>
        <v>1E-3</v>
      </c>
      <c r="F2710" s="85">
        <f t="shared" si="355"/>
        <v>5.0000000000000001E-4</v>
      </c>
      <c r="G2710" s="85">
        <f t="shared" si="356"/>
        <v>5.2359877559829886E-10</v>
      </c>
      <c r="H2710" s="85">
        <v>7550</v>
      </c>
      <c r="I2710" s="85">
        <f t="shared" si="357"/>
        <v>3.9531707557671565E-6</v>
      </c>
      <c r="J2710" s="87">
        <v>1</v>
      </c>
      <c r="K2710" s="88">
        <f t="shared" si="358"/>
        <v>252961.49895400583</v>
      </c>
    </row>
    <row r="2711" spans="1:11" hidden="1" x14ac:dyDescent="0.25">
      <c r="A2711" t="str">
        <f t="shared" si="353"/>
        <v>52100Ø2,5</v>
      </c>
      <c r="B2711" s="81">
        <v>52100</v>
      </c>
      <c r="D2711" s="86">
        <v>2.5</v>
      </c>
      <c r="E2711" s="85">
        <f t="shared" si="354"/>
        <v>2.5000000000000001E-3</v>
      </c>
      <c r="F2711" s="85">
        <f t="shared" si="355"/>
        <v>1.25E-3</v>
      </c>
      <c r="G2711" s="85">
        <f t="shared" si="356"/>
        <v>8.181230868723419E-9</v>
      </c>
      <c r="H2711" s="85">
        <v>7800</v>
      </c>
      <c r="I2711" s="85">
        <f t="shared" si="357"/>
        <v>6.3813600776042664E-5</v>
      </c>
      <c r="J2711" s="87">
        <v>1</v>
      </c>
      <c r="K2711" s="88">
        <f t="shared" si="358"/>
        <v>15670.640550586621</v>
      </c>
    </row>
    <row r="2712" spans="1:11" hidden="1" x14ac:dyDescent="0.25">
      <c r="A2712" t="str">
        <f t="shared" si="353"/>
        <v>VESCØ2,38125</v>
      </c>
      <c r="B2712" s="81" t="s">
        <v>210</v>
      </c>
      <c r="C2712" s="101" t="s">
        <v>213</v>
      </c>
      <c r="D2712" s="86">
        <f>3/32*25.4</f>
        <v>2.3812499999999996</v>
      </c>
      <c r="E2712" s="85">
        <f t="shared" si="354"/>
        <v>2.3812499999999997E-3</v>
      </c>
      <c r="F2712" s="85">
        <f t="shared" si="355"/>
        <v>1.1906249999999998E-3</v>
      </c>
      <c r="G2712" s="85">
        <f t="shared" si="356"/>
        <v>7.0699053785209917E-9</v>
      </c>
      <c r="H2712" s="85">
        <v>2500</v>
      </c>
      <c r="I2712" s="85">
        <f t="shared" si="357"/>
        <v>1.7674763446302481E-5</v>
      </c>
      <c r="J2712" s="87">
        <v>1</v>
      </c>
      <c r="K2712" s="88">
        <f t="shared" si="358"/>
        <v>56577.843490697334</v>
      </c>
    </row>
    <row r="2713" spans="1:11" hidden="1" x14ac:dyDescent="0.25">
      <c r="A2713" t="str">
        <f t="shared" si="353"/>
        <v>304Ø12</v>
      </c>
      <c r="B2713" s="81">
        <v>304</v>
      </c>
      <c r="D2713" s="86">
        <v>12</v>
      </c>
      <c r="E2713" s="85">
        <f t="shared" si="354"/>
        <v>1.2E-2</v>
      </c>
      <c r="F2713" s="85">
        <f t="shared" si="355"/>
        <v>6.0000000000000001E-3</v>
      </c>
      <c r="G2713" s="85">
        <f t="shared" si="356"/>
        <v>9.0477868423386037E-7</v>
      </c>
      <c r="H2713" s="85">
        <v>7950</v>
      </c>
      <c r="I2713" s="85">
        <f t="shared" si="357"/>
        <v>7.1929905396591895E-3</v>
      </c>
      <c r="J2713" s="87">
        <v>1</v>
      </c>
      <c r="K2713" s="88">
        <f t="shared" si="358"/>
        <v>139.02423400759554</v>
      </c>
    </row>
    <row r="2714" spans="1:11" hidden="1" x14ac:dyDescent="0.25">
      <c r="A2714" t="str">
        <f t="shared" si="353"/>
        <v>52100Ø1,984375</v>
      </c>
      <c r="B2714" s="81">
        <v>52100</v>
      </c>
      <c r="C2714" s="101" t="s">
        <v>327</v>
      </c>
      <c r="D2714" s="86">
        <f>5/64*25.4</f>
        <v>1.984375</v>
      </c>
      <c r="E2714" s="85">
        <f t="shared" si="354"/>
        <v>1.984375E-3</v>
      </c>
      <c r="F2714" s="85">
        <f t="shared" si="355"/>
        <v>9.9218750000000001E-4</v>
      </c>
      <c r="G2714" s="85">
        <f t="shared" si="356"/>
        <v>4.0913804273848354E-9</v>
      </c>
      <c r="H2714" s="85">
        <v>7800</v>
      </c>
      <c r="I2714" s="85">
        <f t="shared" si="357"/>
        <v>3.1912767333601717E-5</v>
      </c>
      <c r="J2714" s="87">
        <v>1</v>
      </c>
      <c r="K2714" s="88">
        <f t="shared" si="358"/>
        <v>31335.421010232356</v>
      </c>
    </row>
    <row r="2715" spans="1:11" hidden="1" x14ac:dyDescent="0.25">
      <c r="A2715" t="str">
        <f t="shared" si="353"/>
        <v>52100Ø1,992375</v>
      </c>
      <c r="B2715" s="81">
        <v>52100</v>
      </c>
      <c r="C2715" s="101" t="s">
        <v>410</v>
      </c>
      <c r="D2715" s="86">
        <f>5/64*25.4+0.008</f>
        <v>1.992375</v>
      </c>
      <c r="E2715" s="85">
        <f t="shared" si="354"/>
        <v>1.9923750000000002E-3</v>
      </c>
      <c r="F2715" s="85">
        <f t="shared" si="355"/>
        <v>9.9618750000000011E-4</v>
      </c>
      <c r="G2715" s="85">
        <f t="shared" si="356"/>
        <v>4.1410633388565272E-9</v>
      </c>
      <c r="H2715" s="85">
        <v>7800</v>
      </c>
      <c r="I2715" s="85">
        <f t="shared" si="357"/>
        <v>3.2300294043080912E-5</v>
      </c>
      <c r="J2715" s="87">
        <v>1</v>
      </c>
      <c r="K2715" s="88">
        <f t="shared" si="358"/>
        <v>30959.47048241226</v>
      </c>
    </row>
    <row r="2716" spans="1:11" hidden="1" x14ac:dyDescent="0.25">
      <c r="A2716" t="str">
        <f t="shared" si="353"/>
        <v>52100Ø1,994375</v>
      </c>
      <c r="B2716" s="81">
        <v>52100</v>
      </c>
      <c r="C2716" s="101" t="s">
        <v>411</v>
      </c>
      <c r="D2716" s="86">
        <f>5/64*25.4+0.01</f>
        <v>1.994375</v>
      </c>
      <c r="E2716" s="85">
        <f t="shared" si="354"/>
        <v>1.9943750000000001E-3</v>
      </c>
      <c r="F2716" s="85">
        <f t="shared" si="355"/>
        <v>9.9718750000000003E-4</v>
      </c>
      <c r="G2716" s="85">
        <f t="shared" si="356"/>
        <v>4.1535465961992281E-9</v>
      </c>
      <c r="H2716" s="85">
        <v>7800</v>
      </c>
      <c r="I2716" s="85">
        <f t="shared" si="357"/>
        <v>3.2397663450353976E-5</v>
      </c>
      <c r="J2716" s="87">
        <v>1</v>
      </c>
      <c r="K2716" s="88">
        <f t="shared" si="358"/>
        <v>30866.423485520652</v>
      </c>
    </row>
    <row r="2717" spans="1:11" hidden="1" x14ac:dyDescent="0.25">
      <c r="A2717" t="str">
        <f t="shared" si="353"/>
        <v>52100Ø1,986375</v>
      </c>
      <c r="B2717" s="81">
        <v>52100</v>
      </c>
      <c r="C2717" s="101" t="s">
        <v>412</v>
      </c>
      <c r="D2717" s="86">
        <f>5/64*25.4+0.002</f>
        <v>1.986375</v>
      </c>
      <c r="E2717" s="85">
        <f t="shared" si="354"/>
        <v>1.9863749999999999E-3</v>
      </c>
      <c r="F2717" s="85">
        <f t="shared" si="355"/>
        <v>9.9318749999999993E-4</v>
      </c>
      <c r="G2717" s="85">
        <f t="shared" si="356"/>
        <v>4.1037636878333716E-9</v>
      </c>
      <c r="H2717" s="85">
        <v>7800</v>
      </c>
      <c r="I2717" s="85">
        <f t="shared" si="357"/>
        <v>3.2009356765100296E-5</v>
      </c>
      <c r="J2717" s="87">
        <v>1</v>
      </c>
      <c r="K2717" s="88">
        <f t="shared" si="358"/>
        <v>31240.865205085815</v>
      </c>
    </row>
    <row r="2718" spans="1:11" hidden="1" x14ac:dyDescent="0.25">
      <c r="A2718" t="str">
        <f t="shared" si="353"/>
        <v>52100Ø2,38325</v>
      </c>
      <c r="B2718" s="81">
        <v>52100</v>
      </c>
      <c r="C2718" s="101" t="s">
        <v>413</v>
      </c>
      <c r="D2718" s="86">
        <f>3/32*25.4+0.002</f>
        <v>2.3832499999999994</v>
      </c>
      <c r="E2718" s="85">
        <f t="shared" si="354"/>
        <v>2.3832499999999995E-3</v>
      </c>
      <c r="F2718" s="85">
        <f t="shared" si="355"/>
        <v>1.1916249999999998E-3</v>
      </c>
      <c r="G2718" s="85">
        <f t="shared" si="356"/>
        <v>7.0877342793568145E-9</v>
      </c>
      <c r="H2718" s="85">
        <v>7800</v>
      </c>
      <c r="I2718" s="85">
        <f t="shared" si="357"/>
        <v>5.528432737898315E-5</v>
      </c>
      <c r="J2718" s="87">
        <v>1</v>
      </c>
      <c r="K2718" s="88">
        <f t="shared" si="358"/>
        <v>18088.309063522393</v>
      </c>
    </row>
    <row r="2719" spans="1:11" hidden="1" x14ac:dyDescent="0.25">
      <c r="A2719" t="str">
        <f t="shared" si="353"/>
        <v>52100Ø2,38625</v>
      </c>
      <c r="B2719" s="81">
        <v>52100</v>
      </c>
      <c r="C2719" s="101" t="s">
        <v>414</v>
      </c>
      <c r="D2719" s="86">
        <f>3/32*25.4+0.005</f>
        <v>2.3862499999999995</v>
      </c>
      <c r="E2719" s="85">
        <f t="shared" si="354"/>
        <v>2.3862499999999995E-3</v>
      </c>
      <c r="F2719" s="85">
        <f t="shared" si="355"/>
        <v>1.1931249999999997E-3</v>
      </c>
      <c r="G2719" s="85">
        <f t="shared" si="356"/>
        <v>7.1145337924697197E-9</v>
      </c>
      <c r="H2719" s="85">
        <v>7800</v>
      </c>
      <c r="I2719" s="85">
        <f t="shared" si="357"/>
        <v>5.5493363581263816E-5</v>
      </c>
      <c r="J2719" s="87">
        <v>1</v>
      </c>
      <c r="K2719" s="88">
        <f t="shared" si="358"/>
        <v>18020.172782203263</v>
      </c>
    </row>
    <row r="2720" spans="1:11" hidden="1" x14ac:dyDescent="0.25">
      <c r="A2720" t="str">
        <f t="shared" si="353"/>
        <v>52100Ø2,778125</v>
      </c>
      <c r="B2720" s="81">
        <v>52100</v>
      </c>
      <c r="C2720" s="101" t="s">
        <v>247</v>
      </c>
      <c r="D2720" s="86">
        <f>7/64*25.4</f>
        <v>2.7781249999999997</v>
      </c>
      <c r="E2720" s="85">
        <f t="shared" si="354"/>
        <v>2.7781249999999998E-3</v>
      </c>
      <c r="F2720" s="85">
        <f t="shared" si="355"/>
        <v>1.3890624999999999E-3</v>
      </c>
      <c r="G2720" s="85">
        <f t="shared" si="356"/>
        <v>1.1226747892743984E-8</v>
      </c>
      <c r="H2720" s="85">
        <v>7800</v>
      </c>
      <c r="I2720" s="85">
        <f t="shared" si="357"/>
        <v>8.7568633563403075E-5</v>
      </c>
      <c r="J2720" s="87">
        <v>1</v>
      </c>
      <c r="K2720" s="88">
        <f t="shared" si="358"/>
        <v>11419.61407078439</v>
      </c>
    </row>
    <row r="2721" spans="1:11" hidden="1" x14ac:dyDescent="0.25">
      <c r="A2721" t="str">
        <f t="shared" si="353"/>
        <v>52100Ø0,68</v>
      </c>
      <c r="B2721" s="81">
        <v>52100</v>
      </c>
      <c r="D2721" s="86">
        <v>0.68</v>
      </c>
      <c r="E2721" s="85">
        <f t="shared" si="354"/>
        <v>6.8000000000000005E-4</v>
      </c>
      <c r="F2721" s="85">
        <f t="shared" si="355"/>
        <v>3.4000000000000002E-4</v>
      </c>
      <c r="G2721" s="85">
        <f t="shared" si="356"/>
        <v>1.6463621020892433E-10</v>
      </c>
      <c r="H2721" s="85">
        <v>7800</v>
      </c>
      <c r="I2721" s="85">
        <f t="shared" si="357"/>
        <v>1.2841624396296097E-6</v>
      </c>
      <c r="J2721" s="87">
        <v>1</v>
      </c>
      <c r="K2721" s="88">
        <f t="shared" si="358"/>
        <v>778717.68332394888</v>
      </c>
    </row>
    <row r="2722" spans="1:11" hidden="1" x14ac:dyDescent="0.25">
      <c r="A2722" t="str">
        <f t="shared" si="353"/>
        <v>52100Ø13,49375</v>
      </c>
      <c r="B2722" s="81">
        <v>52100</v>
      </c>
      <c r="C2722" s="101" t="s">
        <v>269</v>
      </c>
      <c r="D2722" s="86">
        <f>17/32*25.4</f>
        <v>13.493749999999999</v>
      </c>
      <c r="E2722" s="85">
        <f t="shared" si="354"/>
        <v>1.3493749999999999E-2</v>
      </c>
      <c r="F2722" s="85">
        <f t="shared" si="355"/>
        <v>6.7468749999999994E-3</v>
      </c>
      <c r="G2722" s="85">
        <f t="shared" si="356"/>
        <v>1.2864609305434682E-6</v>
      </c>
      <c r="H2722" s="85">
        <v>7800</v>
      </c>
      <c r="I2722" s="85">
        <f t="shared" si="357"/>
        <v>1.0034395258239051E-2</v>
      </c>
      <c r="J2722" s="87">
        <v>1</v>
      </c>
      <c r="K2722" s="97">
        <f t="shared" si="358"/>
        <v>99.65722639627127</v>
      </c>
    </row>
    <row r="2723" spans="1:11" hidden="1" x14ac:dyDescent="0.25">
      <c r="A2723" t="str">
        <f t="shared" si="353"/>
        <v>52100Ø0,5</v>
      </c>
      <c r="B2723" s="81">
        <v>52100</v>
      </c>
      <c r="D2723" s="86">
        <v>0.5</v>
      </c>
      <c r="E2723" s="85">
        <f t="shared" si="354"/>
        <v>5.0000000000000001E-4</v>
      </c>
      <c r="F2723" s="85">
        <f t="shared" si="355"/>
        <v>2.5000000000000001E-4</v>
      </c>
      <c r="G2723" s="85">
        <f t="shared" si="356"/>
        <v>6.5449846949787358E-11</v>
      </c>
      <c r="H2723" s="85">
        <v>7800</v>
      </c>
      <c r="I2723" s="85">
        <f t="shared" si="357"/>
        <v>5.1050880620834141E-7</v>
      </c>
      <c r="J2723" s="87">
        <v>1</v>
      </c>
      <c r="K2723" s="88">
        <f t="shared" si="358"/>
        <v>1958830.0688233273</v>
      </c>
    </row>
    <row r="2724" spans="1:11" hidden="1" x14ac:dyDescent="0.25">
      <c r="A2724" t="str">
        <f t="shared" si="353"/>
        <v>304LØ0,6</v>
      </c>
      <c r="B2724" s="81" t="s">
        <v>362</v>
      </c>
      <c r="D2724" s="86">
        <v>0.6</v>
      </c>
      <c r="E2724" s="85">
        <f t="shared" si="354"/>
        <v>5.9999999999999995E-4</v>
      </c>
      <c r="F2724" s="85">
        <f t="shared" si="355"/>
        <v>2.9999999999999997E-4</v>
      </c>
      <c r="G2724" s="85">
        <f t="shared" si="356"/>
        <v>1.1309733552923252E-10</v>
      </c>
      <c r="H2724" s="85">
        <v>7950</v>
      </c>
      <c r="I2724" s="85">
        <f t="shared" si="357"/>
        <v>8.9912381745739853E-7</v>
      </c>
      <c r="J2724" s="87">
        <v>1</v>
      </c>
      <c r="K2724" s="88">
        <f t="shared" si="358"/>
        <v>1112193.8720607643</v>
      </c>
    </row>
    <row r="2725" spans="1:11" hidden="1" x14ac:dyDescent="0.25">
      <c r="A2725" t="str">
        <f t="shared" si="353"/>
        <v>304LØ0,6</v>
      </c>
      <c r="B2725" s="81" t="s">
        <v>362</v>
      </c>
      <c r="D2725" s="86">
        <v>0.6</v>
      </c>
      <c r="E2725" s="85">
        <f t="shared" si="354"/>
        <v>5.9999999999999995E-4</v>
      </c>
      <c r="F2725" s="85">
        <f t="shared" si="355"/>
        <v>2.9999999999999997E-4</v>
      </c>
      <c r="G2725" s="85">
        <f t="shared" si="356"/>
        <v>1.1309733552923252E-10</v>
      </c>
      <c r="H2725" s="85">
        <v>7950</v>
      </c>
      <c r="I2725" s="85">
        <f t="shared" si="357"/>
        <v>8.9912381745739853E-7</v>
      </c>
      <c r="J2725" s="87">
        <v>1</v>
      </c>
      <c r="K2725" s="88">
        <f t="shared" si="358"/>
        <v>1112193.8720607643</v>
      </c>
    </row>
    <row r="2726" spans="1:11" hidden="1" x14ac:dyDescent="0.25">
      <c r="A2726" t="str">
        <f t="shared" si="353"/>
        <v>52100Ø20,3</v>
      </c>
      <c r="B2726" s="81">
        <v>52100</v>
      </c>
      <c r="D2726" s="86">
        <v>20.3</v>
      </c>
      <c r="E2726" s="85">
        <f t="shared" si="354"/>
        <v>2.0300000000000002E-2</v>
      </c>
      <c r="F2726" s="85">
        <f t="shared" si="355"/>
        <v>1.0150000000000001E-2</v>
      </c>
      <c r="G2726" s="85">
        <f t="shared" si="356"/>
        <v>4.3801273345569513E-6</v>
      </c>
      <c r="H2726" s="85">
        <v>7800</v>
      </c>
      <c r="I2726" s="85">
        <f t="shared" si="357"/>
        <v>3.416499320954422E-2</v>
      </c>
      <c r="J2726" s="87">
        <v>1</v>
      </c>
      <c r="K2726" s="88">
        <f t="shared" si="358"/>
        <v>29.269726291666387</v>
      </c>
    </row>
    <row r="2727" spans="1:11" hidden="1" x14ac:dyDescent="0.25">
      <c r="A2727" t="str">
        <f t="shared" si="353"/>
        <v>52100Ø7,1869</v>
      </c>
      <c r="B2727" s="81">
        <v>52100</v>
      </c>
      <c r="D2727" s="86">
        <v>7.1868999999999996</v>
      </c>
      <c r="E2727" s="85">
        <f t="shared" si="354"/>
        <v>7.1868999999999995E-3</v>
      </c>
      <c r="F2727" s="85">
        <f t="shared" si="355"/>
        <v>3.5934499999999998E-3</v>
      </c>
      <c r="G2727" s="85">
        <f t="shared" si="356"/>
        <v>1.9436740141207939E-7</v>
      </c>
      <c r="H2727" s="85">
        <v>7800</v>
      </c>
      <c r="I2727" s="85">
        <f t="shared" si="357"/>
        <v>1.5160657310142192E-3</v>
      </c>
      <c r="J2727" s="87">
        <v>1</v>
      </c>
      <c r="K2727" s="97">
        <f t="shared" si="358"/>
        <v>659.60200771177574</v>
      </c>
    </row>
    <row r="2728" spans="1:11" hidden="1" x14ac:dyDescent="0.25">
      <c r="A2728" t="str">
        <f t="shared" si="353"/>
        <v>52100Ø7,2199</v>
      </c>
      <c r="B2728" s="81">
        <v>52100</v>
      </c>
      <c r="D2728" s="86">
        <v>7.2199</v>
      </c>
      <c r="E2728" s="85">
        <f t="shared" si="354"/>
        <v>7.2198999999999996E-3</v>
      </c>
      <c r="F2728" s="85">
        <f t="shared" si="355"/>
        <v>3.6099499999999998E-3</v>
      </c>
      <c r="G2728" s="85">
        <f t="shared" si="356"/>
        <v>1.9705713731183291E-7</v>
      </c>
      <c r="H2728" s="85">
        <v>7800</v>
      </c>
      <c r="I2728" s="85">
        <f t="shared" si="357"/>
        <v>1.5370456710322967E-3</v>
      </c>
      <c r="J2728" s="87">
        <v>1</v>
      </c>
      <c r="K2728" s="88">
        <f t="shared" si="358"/>
        <v>650.59875503139017</v>
      </c>
    </row>
    <row r="2729" spans="1:11" hidden="1" x14ac:dyDescent="0.25">
      <c r="A2729" t="str">
        <f t="shared" si="353"/>
        <v>52100Ø7,18375</v>
      </c>
      <c r="B2729" s="81">
        <v>52100</v>
      </c>
      <c r="C2729" s="101" t="s">
        <v>415</v>
      </c>
      <c r="D2729" s="86">
        <f>9/32*25.4+0.04</f>
        <v>7.1837499999999999</v>
      </c>
      <c r="E2729" s="85">
        <f t="shared" si="354"/>
        <v>7.18375E-3</v>
      </c>
      <c r="F2729" s="85">
        <f t="shared" si="355"/>
        <v>3.591875E-3</v>
      </c>
      <c r="G2729" s="85">
        <f t="shared" si="356"/>
        <v>1.9411194119856759E-7</v>
      </c>
      <c r="H2729" s="85">
        <v>7800</v>
      </c>
      <c r="I2729" s="85">
        <f t="shared" si="357"/>
        <v>1.5140731413488273E-3</v>
      </c>
      <c r="J2729" s="87">
        <v>1</v>
      </c>
      <c r="K2729" s="97">
        <f t="shared" si="358"/>
        <v>660.47007419280942</v>
      </c>
    </row>
    <row r="2730" spans="1:11" hidden="1" x14ac:dyDescent="0.25">
      <c r="A2730" t="str">
        <f t="shared" si="353"/>
        <v>316LØ1,5</v>
      </c>
      <c r="B2730" s="81" t="s">
        <v>298</v>
      </c>
      <c r="D2730" s="86">
        <v>1.5</v>
      </c>
      <c r="E2730" s="85">
        <f t="shared" si="354"/>
        <v>1.5E-3</v>
      </c>
      <c r="F2730" s="85">
        <f t="shared" si="355"/>
        <v>7.5000000000000002E-4</v>
      </c>
      <c r="G2730" s="85">
        <f t="shared" si="356"/>
        <v>1.7671458676442585E-9</v>
      </c>
      <c r="H2730" s="85">
        <v>7950</v>
      </c>
      <c r="I2730" s="85">
        <f t="shared" si="357"/>
        <v>1.4048809647771855E-5</v>
      </c>
      <c r="J2730" s="87">
        <v>1</v>
      </c>
      <c r="K2730" s="88">
        <f t="shared" si="358"/>
        <v>71180.407811888916</v>
      </c>
    </row>
    <row r="2731" spans="1:11" hidden="1" x14ac:dyDescent="0.25">
      <c r="A2731" t="str">
        <f t="shared" si="353"/>
        <v>316LØ1,5</v>
      </c>
      <c r="B2731" s="81" t="s">
        <v>298</v>
      </c>
      <c r="D2731" s="86">
        <v>1.5</v>
      </c>
      <c r="E2731" s="85">
        <f t="shared" si="354"/>
        <v>1.5E-3</v>
      </c>
      <c r="F2731" s="85">
        <f t="shared" si="355"/>
        <v>7.5000000000000002E-4</v>
      </c>
      <c r="G2731" s="85">
        <f t="shared" si="356"/>
        <v>1.7671458676442585E-9</v>
      </c>
      <c r="H2731" s="85">
        <v>7950</v>
      </c>
      <c r="I2731" s="85">
        <f t="shared" si="357"/>
        <v>1.4048809647771855E-5</v>
      </c>
      <c r="J2731" s="87">
        <v>1</v>
      </c>
      <c r="K2731" s="88">
        <f t="shared" si="358"/>
        <v>71180.407811888916</v>
      </c>
    </row>
    <row r="2732" spans="1:11" hidden="1" x14ac:dyDescent="0.25">
      <c r="A2732" t="str">
        <f t="shared" si="353"/>
        <v>316LØ1,5</v>
      </c>
      <c r="B2732" s="81" t="s">
        <v>298</v>
      </c>
      <c r="D2732" s="86">
        <v>1.5</v>
      </c>
      <c r="E2732" s="85">
        <f t="shared" si="354"/>
        <v>1.5E-3</v>
      </c>
      <c r="F2732" s="85">
        <f t="shared" si="355"/>
        <v>7.5000000000000002E-4</v>
      </c>
      <c r="G2732" s="85">
        <f t="shared" si="356"/>
        <v>1.7671458676442585E-9</v>
      </c>
      <c r="H2732" s="85">
        <v>7950</v>
      </c>
      <c r="I2732" s="85">
        <f t="shared" si="357"/>
        <v>1.4048809647771855E-5</v>
      </c>
      <c r="J2732" s="87">
        <v>1</v>
      </c>
      <c r="K2732" s="88">
        <f t="shared" si="358"/>
        <v>71180.407811888916</v>
      </c>
    </row>
    <row r="2733" spans="1:11" hidden="1" x14ac:dyDescent="0.25">
      <c r="A2733" t="str">
        <f t="shared" si="353"/>
        <v>LDPEØ3</v>
      </c>
      <c r="B2733" s="81" t="s">
        <v>321</v>
      </c>
      <c r="D2733" s="86">
        <v>3</v>
      </c>
      <c r="E2733" s="85">
        <f t="shared" si="354"/>
        <v>3.0000000000000001E-3</v>
      </c>
      <c r="F2733" s="85">
        <f t="shared" si="355"/>
        <v>1.5E-3</v>
      </c>
      <c r="G2733" s="85">
        <f t="shared" si="356"/>
        <v>1.4137166941154068E-8</v>
      </c>
      <c r="H2733" s="85">
        <v>920</v>
      </c>
      <c r="I2733" s="85">
        <f t="shared" si="357"/>
        <v>1.3006193585861743E-5</v>
      </c>
      <c r="J2733" s="87">
        <v>1</v>
      </c>
      <c r="K2733" s="88">
        <f t="shared" si="358"/>
        <v>76886.445938113699</v>
      </c>
    </row>
    <row r="2734" spans="1:11" hidden="1" x14ac:dyDescent="0.25">
      <c r="A2734" t="str">
        <f t="shared" si="353"/>
        <v>Wc-CoØ0,6</v>
      </c>
      <c r="B2734" s="81" t="s">
        <v>206</v>
      </c>
      <c r="D2734" s="86">
        <v>0.6</v>
      </c>
      <c r="E2734" s="85">
        <f t="shared" si="354"/>
        <v>5.9999999999999995E-4</v>
      </c>
      <c r="F2734" s="85">
        <f t="shared" si="355"/>
        <v>2.9999999999999997E-4</v>
      </c>
      <c r="G2734" s="85">
        <f t="shared" si="356"/>
        <v>1.1309733552923252E-10</v>
      </c>
      <c r="H2734" s="85">
        <v>14500</v>
      </c>
      <c r="I2734" s="85">
        <f t="shared" si="357"/>
        <v>1.6399113651738715E-6</v>
      </c>
      <c r="J2734" s="87">
        <v>1</v>
      </c>
      <c r="K2734" s="88">
        <f t="shared" si="358"/>
        <v>609789.05399193638</v>
      </c>
    </row>
    <row r="2735" spans="1:11" hidden="1" x14ac:dyDescent="0.25">
      <c r="A2735" t="str">
        <f t="shared" si="353"/>
        <v>420CØ1</v>
      </c>
      <c r="B2735" s="81" t="s">
        <v>295</v>
      </c>
      <c r="D2735" s="86">
        <v>1</v>
      </c>
      <c r="E2735" s="85">
        <f t="shared" si="354"/>
        <v>1E-3</v>
      </c>
      <c r="F2735" s="85">
        <f t="shared" si="355"/>
        <v>5.0000000000000001E-4</v>
      </c>
      <c r="G2735" s="85">
        <f t="shared" si="356"/>
        <v>5.2359877559829886E-10</v>
      </c>
      <c r="H2735" s="85">
        <v>7750</v>
      </c>
      <c r="I2735" s="85">
        <f t="shared" si="357"/>
        <v>4.0578905108868158E-6</v>
      </c>
      <c r="J2735" s="87">
        <v>1</v>
      </c>
      <c r="K2735" s="88">
        <f t="shared" si="358"/>
        <v>246433.46027132185</v>
      </c>
    </row>
    <row r="2736" spans="1:11" hidden="1" x14ac:dyDescent="0.25">
      <c r="A2736" t="str">
        <f t="shared" si="353"/>
        <v>Wc-CoØ1,5875</v>
      </c>
      <c r="B2736" s="81" t="s">
        <v>206</v>
      </c>
      <c r="C2736" s="101" t="s">
        <v>246</v>
      </c>
      <c r="D2736" s="86">
        <f>1/16*25.4</f>
        <v>1.5874999999999999</v>
      </c>
      <c r="E2736" s="85">
        <f t="shared" si="354"/>
        <v>1.5874999999999999E-3</v>
      </c>
      <c r="F2736" s="85">
        <f t="shared" si="355"/>
        <v>7.9374999999999997E-4</v>
      </c>
      <c r="G2736" s="85">
        <f t="shared" si="356"/>
        <v>2.0947867788210349E-9</v>
      </c>
      <c r="H2736" s="85">
        <v>14900</v>
      </c>
      <c r="I2736" s="85">
        <f t="shared" si="357"/>
        <v>3.121232300443342E-5</v>
      </c>
      <c r="J2736" s="87">
        <v>1</v>
      </c>
      <c r="K2736" s="88">
        <f t="shared" si="358"/>
        <v>32038.627815621392</v>
      </c>
    </row>
    <row r="2737" spans="1:11" hidden="1" x14ac:dyDescent="0.25">
      <c r="A2737" t="str">
        <f t="shared" si="353"/>
        <v>Wc-CoØ2,778125</v>
      </c>
      <c r="B2737" s="81" t="s">
        <v>206</v>
      </c>
      <c r="C2737" s="101" t="s">
        <v>247</v>
      </c>
      <c r="D2737" s="86">
        <f>7/64*25.4</f>
        <v>2.7781249999999997</v>
      </c>
      <c r="E2737" s="85">
        <f t="shared" si="354"/>
        <v>2.7781249999999998E-3</v>
      </c>
      <c r="F2737" s="85">
        <f t="shared" si="355"/>
        <v>1.3890624999999999E-3</v>
      </c>
      <c r="G2737" s="85">
        <f t="shared" si="356"/>
        <v>1.1226747892743984E-8</v>
      </c>
      <c r="H2737" s="85">
        <v>14950</v>
      </c>
      <c r="I2737" s="85">
        <f t="shared" si="357"/>
        <v>1.6783988099652256E-4</v>
      </c>
      <c r="J2737" s="87">
        <v>1</v>
      </c>
      <c r="K2737" s="88">
        <f t="shared" si="358"/>
        <v>5958.059515191856</v>
      </c>
    </row>
    <row r="2738" spans="1:11" hidden="1" x14ac:dyDescent="0.25">
      <c r="A2738" t="str">
        <f t="shared" si="353"/>
        <v>ZrO2Ø2</v>
      </c>
      <c r="B2738" s="81" t="s">
        <v>205</v>
      </c>
      <c r="D2738" s="86">
        <v>2</v>
      </c>
      <c r="E2738" s="85">
        <f t="shared" si="354"/>
        <v>2E-3</v>
      </c>
      <c r="F2738" s="85">
        <f t="shared" si="355"/>
        <v>1E-3</v>
      </c>
      <c r="G2738" s="85">
        <f t="shared" si="356"/>
        <v>4.1887902047863909E-9</v>
      </c>
      <c r="H2738" s="85">
        <v>6090</v>
      </c>
      <c r="I2738" s="85">
        <f t="shared" si="357"/>
        <v>2.550973234714912E-5</v>
      </c>
      <c r="J2738" s="87">
        <v>1</v>
      </c>
      <c r="K2738" s="88">
        <f t="shared" si="358"/>
        <v>39200.724899481611</v>
      </c>
    </row>
    <row r="2739" spans="1:11" hidden="1" x14ac:dyDescent="0.25">
      <c r="A2739" t="str">
        <f t="shared" si="353"/>
        <v>Wc-CoØ0,5</v>
      </c>
      <c r="B2739" s="81" t="s">
        <v>206</v>
      </c>
      <c r="D2739" s="86">
        <v>0.5</v>
      </c>
      <c r="E2739" s="85">
        <f t="shared" si="354"/>
        <v>5.0000000000000001E-4</v>
      </c>
      <c r="F2739" s="85">
        <f t="shared" si="355"/>
        <v>2.5000000000000001E-4</v>
      </c>
      <c r="G2739" s="85">
        <f t="shared" si="356"/>
        <v>6.5449846949787358E-11</v>
      </c>
      <c r="H2739" s="88">
        <v>12044.330040584746</v>
      </c>
      <c r="I2739" s="85">
        <f t="shared" si="357"/>
        <v>7.8829955776899773E-7</v>
      </c>
      <c r="J2739" s="87">
        <v>1</v>
      </c>
      <c r="K2739" s="88">
        <f t="shared" si="358"/>
        <v>1268553.2931543756</v>
      </c>
    </row>
    <row r="2740" spans="1:11" hidden="1" x14ac:dyDescent="0.25">
      <c r="A2740" t="str">
        <f t="shared" si="353"/>
        <v>52100Ø1,34</v>
      </c>
      <c r="B2740" s="81">
        <v>52100</v>
      </c>
      <c r="D2740" s="86">
        <v>1.34</v>
      </c>
      <c r="E2740" s="85">
        <f t="shared" si="354"/>
        <v>1.34E-3</v>
      </c>
      <c r="F2740" s="85">
        <f t="shared" si="355"/>
        <v>6.7000000000000002E-4</v>
      </c>
      <c r="G2740" s="85">
        <f t="shared" si="356"/>
        <v>1.2598331083621693E-9</v>
      </c>
      <c r="H2740" s="85">
        <v>7800</v>
      </c>
      <c r="I2740" s="85">
        <f t="shared" si="357"/>
        <v>9.82669824522492E-6</v>
      </c>
      <c r="J2740" s="87">
        <v>1</v>
      </c>
      <c r="K2740" s="88">
        <f t="shared" si="358"/>
        <v>101763.58071094014</v>
      </c>
    </row>
    <row r="2741" spans="1:11" hidden="1" x14ac:dyDescent="0.25">
      <c r="A2741" t="str">
        <f t="shared" si="353"/>
        <v>Wc-CoØ2,778125</v>
      </c>
      <c r="B2741" s="81" t="s">
        <v>206</v>
      </c>
      <c r="C2741" s="101" t="s">
        <v>247</v>
      </c>
      <c r="D2741" s="86">
        <f>7/64*25.4</f>
        <v>2.7781249999999997</v>
      </c>
      <c r="E2741" s="85">
        <f t="shared" si="354"/>
        <v>2.7781249999999998E-3</v>
      </c>
      <c r="F2741" s="85">
        <f t="shared" si="355"/>
        <v>1.3890624999999999E-3</v>
      </c>
      <c r="G2741" s="85">
        <f t="shared" si="356"/>
        <v>1.1226747892743984E-8</v>
      </c>
      <c r="H2741" s="85">
        <v>14850</v>
      </c>
      <c r="I2741" s="85">
        <f t="shared" si="357"/>
        <v>1.6671720620724817E-4</v>
      </c>
      <c r="J2741" s="87">
        <v>1</v>
      </c>
      <c r="K2741" s="88">
        <f t="shared" si="358"/>
        <v>5998.1811280887705</v>
      </c>
    </row>
    <row r="2742" spans="1:11" hidden="1" x14ac:dyDescent="0.25">
      <c r="A2742" t="str">
        <f t="shared" si="353"/>
        <v>440CØ1,34</v>
      </c>
      <c r="B2742" s="81" t="s">
        <v>314</v>
      </c>
      <c r="D2742" s="86">
        <v>1.34</v>
      </c>
      <c r="E2742" s="85">
        <f t="shared" si="354"/>
        <v>1.34E-3</v>
      </c>
      <c r="F2742" s="85">
        <f t="shared" si="355"/>
        <v>6.7000000000000002E-4</v>
      </c>
      <c r="G2742" s="85">
        <f t="shared" si="356"/>
        <v>1.2598331083621693E-9</v>
      </c>
      <c r="H2742" s="85">
        <v>7650</v>
      </c>
      <c r="I2742" s="85">
        <f t="shared" si="357"/>
        <v>9.6377232789705947E-6</v>
      </c>
      <c r="J2742" s="87">
        <v>1</v>
      </c>
      <c r="K2742" s="88">
        <f t="shared" si="358"/>
        <v>103758.94503860563</v>
      </c>
    </row>
    <row r="2743" spans="1:11" hidden="1" x14ac:dyDescent="0.25">
      <c r="A2743" t="str">
        <f t="shared" si="353"/>
        <v>WC-CoØ7</v>
      </c>
      <c r="B2743" s="81" t="s">
        <v>297</v>
      </c>
      <c r="D2743" s="86">
        <v>7</v>
      </c>
      <c r="E2743" s="85">
        <f t="shared" si="354"/>
        <v>7.0000000000000001E-3</v>
      </c>
      <c r="F2743" s="85">
        <f t="shared" si="355"/>
        <v>3.5000000000000001E-3</v>
      </c>
      <c r="G2743" s="85">
        <f t="shared" si="356"/>
        <v>1.7959438003021651E-7</v>
      </c>
      <c r="H2743" s="85">
        <v>14950</v>
      </c>
      <c r="I2743" s="85">
        <f t="shared" si="357"/>
        <v>2.684935981451737E-3</v>
      </c>
      <c r="J2743" s="87">
        <v>1</v>
      </c>
      <c r="K2743" s="88">
        <f t="shared" si="358"/>
        <v>372.44835888388781</v>
      </c>
    </row>
    <row r="2744" spans="1:11" hidden="1" x14ac:dyDescent="0.25">
      <c r="A2744" t="str">
        <f t="shared" si="353"/>
        <v>52100Ø0,5</v>
      </c>
      <c r="B2744" s="81">
        <v>52100</v>
      </c>
      <c r="D2744" s="86">
        <v>0.5</v>
      </c>
      <c r="E2744" s="85">
        <f t="shared" si="354"/>
        <v>5.0000000000000001E-4</v>
      </c>
      <c r="F2744" s="85">
        <f t="shared" si="355"/>
        <v>2.5000000000000001E-4</v>
      </c>
      <c r="G2744" s="85">
        <f t="shared" si="356"/>
        <v>6.5449846949787358E-11</v>
      </c>
      <c r="H2744" s="85">
        <v>7800</v>
      </c>
      <c r="I2744" s="85">
        <f t="shared" si="357"/>
        <v>5.1050880620834141E-7</v>
      </c>
      <c r="J2744" s="87">
        <v>1</v>
      </c>
      <c r="K2744" s="88">
        <f t="shared" si="358"/>
        <v>1958830.0688233273</v>
      </c>
    </row>
    <row r="2745" spans="1:11" hidden="1" x14ac:dyDescent="0.25">
      <c r="A2745" t="str">
        <f t="shared" si="353"/>
        <v>52100Ø0,5</v>
      </c>
      <c r="B2745" s="81">
        <v>52100</v>
      </c>
      <c r="D2745" s="86">
        <v>0.5</v>
      </c>
      <c r="E2745" s="85">
        <f t="shared" si="354"/>
        <v>5.0000000000000001E-4</v>
      </c>
      <c r="F2745" s="85">
        <f t="shared" si="355"/>
        <v>2.5000000000000001E-4</v>
      </c>
      <c r="G2745" s="85">
        <f t="shared" si="356"/>
        <v>6.5449846949787358E-11</v>
      </c>
      <c r="H2745" s="85">
        <v>7800</v>
      </c>
      <c r="I2745" s="85">
        <f t="shared" si="357"/>
        <v>5.1050880620834141E-7</v>
      </c>
      <c r="J2745" s="87">
        <v>1</v>
      </c>
      <c r="K2745" s="88">
        <f t="shared" si="358"/>
        <v>1958830.0688233273</v>
      </c>
    </row>
    <row r="2746" spans="1:11" hidden="1" x14ac:dyDescent="0.25">
      <c r="A2746" t="str">
        <f t="shared" si="353"/>
        <v>WC-CoØ3</v>
      </c>
      <c r="B2746" s="81" t="s">
        <v>297</v>
      </c>
      <c r="D2746" s="86">
        <v>3</v>
      </c>
      <c r="E2746" s="85">
        <f t="shared" si="354"/>
        <v>3.0000000000000001E-3</v>
      </c>
      <c r="F2746" s="85">
        <f t="shared" si="355"/>
        <v>1.5E-3</v>
      </c>
      <c r="G2746" s="85">
        <f t="shared" si="356"/>
        <v>1.4137166941154068E-8</v>
      </c>
      <c r="H2746" s="85">
        <v>14950</v>
      </c>
      <c r="I2746" s="85">
        <f t="shared" si="357"/>
        <v>2.1135064577025331E-4</v>
      </c>
      <c r="J2746" s="87">
        <v>1</v>
      </c>
      <c r="K2746" s="88">
        <f t="shared" si="358"/>
        <v>4731.4735961916122</v>
      </c>
    </row>
    <row r="2747" spans="1:11" hidden="1" x14ac:dyDescent="0.25">
      <c r="A2747" t="str">
        <f t="shared" si="353"/>
        <v>WC-CoØ3</v>
      </c>
      <c r="B2747" s="81" t="s">
        <v>297</v>
      </c>
      <c r="D2747" s="86">
        <v>3</v>
      </c>
      <c r="E2747" s="85">
        <f t="shared" si="354"/>
        <v>3.0000000000000001E-3</v>
      </c>
      <c r="F2747" s="85">
        <f t="shared" si="355"/>
        <v>1.5E-3</v>
      </c>
      <c r="G2747" s="85">
        <f t="shared" si="356"/>
        <v>1.4137166941154068E-8</v>
      </c>
      <c r="H2747" s="85">
        <v>14950</v>
      </c>
      <c r="I2747" s="85">
        <f t="shared" si="357"/>
        <v>2.1135064577025331E-4</v>
      </c>
      <c r="J2747" s="87">
        <v>1</v>
      </c>
      <c r="K2747" s="88">
        <f t="shared" si="358"/>
        <v>4731.4735961916122</v>
      </c>
    </row>
    <row r="2748" spans="1:11" hidden="1" x14ac:dyDescent="0.25">
      <c r="A2748" t="str">
        <f t="shared" si="353"/>
        <v>PEEKØ7,9375</v>
      </c>
      <c r="B2748" s="81" t="s">
        <v>416</v>
      </c>
      <c r="C2748" s="101" t="s">
        <v>252</v>
      </c>
      <c r="D2748" s="86">
        <f>5/16*25.4</f>
        <v>7.9375</v>
      </c>
      <c r="E2748" s="85">
        <f t="shared" si="354"/>
        <v>7.9375000000000001E-3</v>
      </c>
      <c r="F2748" s="85">
        <f t="shared" si="355"/>
        <v>3.9687500000000001E-3</v>
      </c>
      <c r="G2748" s="85">
        <f t="shared" si="356"/>
        <v>2.6184834735262947E-7</v>
      </c>
      <c r="H2748" s="85">
        <v>1290</v>
      </c>
      <c r="I2748" s="85">
        <f t="shared" si="357"/>
        <v>3.3778436808489204E-4</v>
      </c>
      <c r="J2748" s="87">
        <v>1</v>
      </c>
      <c r="K2748" s="88">
        <f t="shared" si="358"/>
        <v>2960.4685547457893</v>
      </c>
    </row>
    <row r="2749" spans="1:11" hidden="1" x14ac:dyDescent="0.25">
      <c r="A2749" t="str">
        <f t="shared" si="353"/>
        <v>PPHØ7,9375</v>
      </c>
      <c r="B2749" s="81" t="s">
        <v>202</v>
      </c>
      <c r="C2749" s="101" t="s">
        <v>252</v>
      </c>
      <c r="D2749" s="86">
        <f>5/16*25.4</f>
        <v>7.9375</v>
      </c>
      <c r="E2749" s="85">
        <f>D2749/1000</f>
        <v>7.9375000000000001E-3</v>
      </c>
      <c r="F2749" s="85">
        <f>E2749/2</f>
        <v>3.9687500000000001E-3</v>
      </c>
      <c r="G2749" s="85">
        <f>4/3*PI()*F2749*F2749*F2749</f>
        <v>2.6184834735262947E-7</v>
      </c>
      <c r="H2749" s="85">
        <v>870</v>
      </c>
      <c r="I2749" s="85">
        <f>H2749*G2749</f>
        <v>2.2780806219678765E-4</v>
      </c>
      <c r="J2749" s="87">
        <v>1</v>
      </c>
      <c r="K2749" s="88">
        <f>J2749/I2749</f>
        <v>4389.6602708299633</v>
      </c>
    </row>
    <row r="2750" spans="1:11" hidden="1" x14ac:dyDescent="0.25">
      <c r="A2750" t="str">
        <f t="shared" si="353"/>
        <v>PPHØ7,9375</v>
      </c>
      <c r="B2750" s="81" t="s">
        <v>202</v>
      </c>
      <c r="C2750" s="101" t="s">
        <v>252</v>
      </c>
      <c r="D2750" s="86">
        <f>5/16*25.4</f>
        <v>7.9375</v>
      </c>
      <c r="E2750" s="85">
        <f>D2750/1000</f>
        <v>7.9375000000000001E-3</v>
      </c>
      <c r="F2750" s="85">
        <f>E2750/2</f>
        <v>3.9687500000000001E-3</v>
      </c>
      <c r="G2750" s="85">
        <f>4/3*PI()*F2750*F2750*F2750</f>
        <v>2.6184834735262947E-7</v>
      </c>
      <c r="H2750" s="85">
        <v>870</v>
      </c>
      <c r="I2750" s="85">
        <f>H2750*G2750</f>
        <v>2.2780806219678765E-4</v>
      </c>
      <c r="J2750" s="87">
        <v>1</v>
      </c>
      <c r="K2750" s="88">
        <f>J2750/I2750</f>
        <v>4389.6602708299633</v>
      </c>
    </row>
    <row r="2751" spans="1:11" hidden="1" x14ac:dyDescent="0.25">
      <c r="A2751" t="str">
        <f t="shared" si="353"/>
        <v>NBRØ2</v>
      </c>
      <c r="B2751" s="81" t="s">
        <v>341</v>
      </c>
      <c r="D2751" s="86">
        <v>2</v>
      </c>
      <c r="E2751" s="85">
        <f>D2751/1000</f>
        <v>2E-3</v>
      </c>
      <c r="F2751" s="85">
        <f>E2751/2</f>
        <v>1E-3</v>
      </c>
      <c r="G2751" s="85">
        <f>4/3*PI()*F2751*F2751*F2751</f>
        <v>4.1887902047863909E-9</v>
      </c>
      <c r="H2751" s="85">
        <v>1400</v>
      </c>
      <c r="I2751" s="85">
        <f>H2751*G2751</f>
        <v>5.8643062867009469E-6</v>
      </c>
      <c r="J2751" s="87">
        <v>1</v>
      </c>
      <c r="K2751" s="88">
        <f>J2751/I2751</f>
        <v>170523.15331274501</v>
      </c>
    </row>
    <row r="2752" spans="1:11" hidden="1" x14ac:dyDescent="0.25">
      <c r="A2752" t="str">
        <f t="shared" si="353"/>
        <v>NBRØ2</v>
      </c>
      <c r="B2752" s="81" t="s">
        <v>341</v>
      </c>
      <c r="D2752" s="86">
        <v>2</v>
      </c>
      <c r="E2752" s="85">
        <f>D2752/1000</f>
        <v>2E-3</v>
      </c>
      <c r="F2752" s="85">
        <f>E2752/2</f>
        <v>1E-3</v>
      </c>
      <c r="G2752" s="85">
        <f>4/3*PI()*F2752*F2752*F2752</f>
        <v>4.1887902047863909E-9</v>
      </c>
      <c r="H2752" s="85">
        <v>1400</v>
      </c>
      <c r="I2752" s="85">
        <f>H2752*G2752</f>
        <v>5.8643062867009469E-6</v>
      </c>
      <c r="J2752" s="87">
        <v>1</v>
      </c>
      <c r="K2752" s="88">
        <f>J2752/I2752</f>
        <v>170523.15331274501</v>
      </c>
    </row>
    <row r="2753" spans="1:11" hidden="1" x14ac:dyDescent="0.25">
      <c r="A2753" t="str">
        <f t="shared" si="353"/>
        <v>SiliconeØ2</v>
      </c>
      <c r="B2753" s="81" t="s">
        <v>315</v>
      </c>
      <c r="D2753" s="86">
        <v>2</v>
      </c>
      <c r="E2753" s="85">
        <f>D2753/1000</f>
        <v>2E-3</v>
      </c>
      <c r="F2753" s="85">
        <f>E2753/2</f>
        <v>1E-3</v>
      </c>
      <c r="G2753" s="85">
        <f>4/3*PI()*F2753*F2753*F2753</f>
        <v>4.1887902047863909E-9</v>
      </c>
      <c r="H2753" s="85">
        <v>1200</v>
      </c>
      <c r="I2753" s="85">
        <f>H2753*G2753</f>
        <v>5.0265482457436692E-6</v>
      </c>
      <c r="J2753" s="87">
        <v>1</v>
      </c>
      <c r="K2753" s="88">
        <f>J2753/I2753</f>
        <v>198943.67886486917</v>
      </c>
    </row>
    <row r="2754" spans="1:11" hidden="1" x14ac:dyDescent="0.25">
      <c r="A2754" t="str">
        <f t="shared" si="353"/>
        <v>SiliconeØ2</v>
      </c>
      <c r="B2754" s="81" t="s">
        <v>315</v>
      </c>
      <c r="D2754" s="86">
        <v>2</v>
      </c>
      <c r="E2754" s="85">
        <f t="shared" ref="E2754:E2817" si="359">D2754/1000</f>
        <v>2E-3</v>
      </c>
      <c r="F2754" s="85">
        <f t="shared" ref="F2754:F2817" si="360">E2754/2</f>
        <v>1E-3</v>
      </c>
      <c r="G2754" s="85">
        <f t="shared" ref="G2754:G2817" si="361">4/3*PI()*F2754*F2754*F2754</f>
        <v>4.1887902047863909E-9</v>
      </c>
      <c r="H2754" s="85">
        <v>1200</v>
      </c>
      <c r="I2754" s="85">
        <f t="shared" ref="I2754:I2813" si="362">H2754*G2754</f>
        <v>5.0265482457436692E-6</v>
      </c>
      <c r="J2754" s="87">
        <v>1</v>
      </c>
      <c r="K2754" s="88">
        <f t="shared" ref="K2754:K2813" si="363">J2754/I2754</f>
        <v>198943.67886486917</v>
      </c>
    </row>
    <row r="2755" spans="1:11" hidden="1" x14ac:dyDescent="0.25">
      <c r="A2755" t="str">
        <f t="shared" si="353"/>
        <v>NeopreneØ2</v>
      </c>
      <c r="B2755" s="81" t="s">
        <v>417</v>
      </c>
      <c r="D2755" s="86">
        <v>2</v>
      </c>
      <c r="E2755" s="85">
        <f t="shared" si="359"/>
        <v>2E-3</v>
      </c>
      <c r="F2755" s="85">
        <f t="shared" si="360"/>
        <v>1E-3</v>
      </c>
      <c r="G2755" s="85">
        <f t="shared" si="361"/>
        <v>4.1887902047863909E-9</v>
      </c>
      <c r="H2755" s="85">
        <v>1360</v>
      </c>
      <c r="I2755" s="85">
        <f t="shared" si="362"/>
        <v>5.6967546785094915E-6</v>
      </c>
      <c r="J2755" s="87">
        <v>1</v>
      </c>
      <c r="K2755" s="88">
        <f t="shared" si="363"/>
        <v>175538.54017488458</v>
      </c>
    </row>
    <row r="2756" spans="1:11" hidden="1" x14ac:dyDescent="0.25">
      <c r="A2756" t="str">
        <f t="shared" ref="A2756:A2819" si="364">CONCATENATE(B2756,"Ø",D2756)</f>
        <v>NeopreneØ2</v>
      </c>
      <c r="B2756" s="81" t="s">
        <v>417</v>
      </c>
      <c r="D2756" s="86">
        <v>2</v>
      </c>
      <c r="E2756" s="85">
        <f t="shared" si="359"/>
        <v>2E-3</v>
      </c>
      <c r="F2756" s="85">
        <f t="shared" si="360"/>
        <v>1E-3</v>
      </c>
      <c r="G2756" s="85">
        <f t="shared" si="361"/>
        <v>4.1887902047863909E-9</v>
      </c>
      <c r="H2756" s="85">
        <v>1360</v>
      </c>
      <c r="I2756" s="85">
        <f t="shared" si="362"/>
        <v>5.6967546785094915E-6</v>
      </c>
      <c r="J2756" s="87">
        <v>1</v>
      </c>
      <c r="K2756" s="88">
        <f t="shared" si="363"/>
        <v>175538.54017488458</v>
      </c>
    </row>
    <row r="2757" spans="1:11" hidden="1" x14ac:dyDescent="0.25">
      <c r="A2757" t="str">
        <f t="shared" si="364"/>
        <v>52100Ø1,688</v>
      </c>
      <c r="B2757" s="81">
        <v>52100</v>
      </c>
      <c r="D2757" s="86">
        <v>1.6879999999999999</v>
      </c>
      <c r="E2757" s="85">
        <f t="shared" si="359"/>
        <v>1.688E-3</v>
      </c>
      <c r="F2757" s="85">
        <f t="shared" si="360"/>
        <v>8.4400000000000002E-4</v>
      </c>
      <c r="G2757" s="85">
        <f t="shared" si="361"/>
        <v>2.5183491940633105E-9</v>
      </c>
      <c r="H2757" s="85">
        <v>7800</v>
      </c>
      <c r="I2757" s="85">
        <f t="shared" si="362"/>
        <v>1.9643123713693822E-5</v>
      </c>
      <c r="J2757" s="87">
        <v>1</v>
      </c>
      <c r="K2757" s="88">
        <f t="shared" si="363"/>
        <v>50908.400037356048</v>
      </c>
    </row>
    <row r="2758" spans="1:11" hidden="1" x14ac:dyDescent="0.25">
      <c r="A2758" t="str">
        <f t="shared" si="364"/>
        <v>EPDMØ5,7</v>
      </c>
      <c r="B2758" s="81" t="s">
        <v>368</v>
      </c>
      <c r="D2758" s="86">
        <v>5.7</v>
      </c>
      <c r="E2758" s="85">
        <f t="shared" si="359"/>
        <v>5.7000000000000002E-3</v>
      </c>
      <c r="F2758" s="85">
        <f t="shared" si="360"/>
        <v>2.8500000000000001E-3</v>
      </c>
      <c r="G2758" s="85">
        <f t="shared" si="361"/>
        <v>9.6966828049375756E-8</v>
      </c>
      <c r="H2758" s="85">
        <v>1240</v>
      </c>
      <c r="I2758" s="85">
        <f t="shared" si="362"/>
        <v>1.2023886678122593E-4</v>
      </c>
      <c r="J2758" s="87">
        <v>1</v>
      </c>
      <c r="K2758" s="88">
        <f t="shared" si="363"/>
        <v>8316.7783161121715</v>
      </c>
    </row>
    <row r="2759" spans="1:11" hidden="1" x14ac:dyDescent="0.25">
      <c r="A2759" t="str">
        <f t="shared" si="364"/>
        <v>Si3N4Ø1,5</v>
      </c>
      <c r="B2759" s="81" t="s">
        <v>207</v>
      </c>
      <c r="D2759" s="86">
        <v>1.5</v>
      </c>
      <c r="E2759" s="85">
        <f t="shared" si="359"/>
        <v>1.5E-3</v>
      </c>
      <c r="F2759" s="85">
        <f t="shared" si="360"/>
        <v>7.5000000000000002E-4</v>
      </c>
      <c r="G2759" s="85">
        <f t="shared" si="361"/>
        <v>1.7671458676442585E-9</v>
      </c>
      <c r="H2759" s="85">
        <v>3260</v>
      </c>
      <c r="I2759" s="85">
        <f t="shared" si="362"/>
        <v>5.7608955285202824E-6</v>
      </c>
      <c r="J2759" s="87">
        <v>1</v>
      </c>
      <c r="K2759" s="88">
        <f t="shared" si="363"/>
        <v>173584.12334494383</v>
      </c>
    </row>
    <row r="2760" spans="1:11" hidden="1" x14ac:dyDescent="0.25">
      <c r="A2760" t="str">
        <f t="shared" si="364"/>
        <v>52100Ø0,5</v>
      </c>
      <c r="B2760" s="81">
        <v>52100</v>
      </c>
      <c r="D2760" s="86">
        <v>0.5</v>
      </c>
      <c r="E2760" s="85">
        <f t="shared" si="359"/>
        <v>5.0000000000000001E-4</v>
      </c>
      <c r="F2760" s="85">
        <f t="shared" si="360"/>
        <v>2.5000000000000001E-4</v>
      </c>
      <c r="G2760" s="85">
        <f t="shared" si="361"/>
        <v>6.5449846949787358E-11</v>
      </c>
      <c r="H2760" s="85">
        <v>7800</v>
      </c>
      <c r="I2760" s="85">
        <f t="shared" si="362"/>
        <v>5.1050880620834141E-7</v>
      </c>
      <c r="J2760" s="87">
        <v>1</v>
      </c>
      <c r="K2760" s="88">
        <f t="shared" si="363"/>
        <v>1958830.0688233273</v>
      </c>
    </row>
    <row r="2761" spans="1:11" hidden="1" x14ac:dyDescent="0.25">
      <c r="A2761" t="str">
        <f t="shared" si="364"/>
        <v>Wc-CoØ1,5875</v>
      </c>
      <c r="B2761" s="81" t="s">
        <v>206</v>
      </c>
      <c r="C2761" s="101" t="s">
        <v>246</v>
      </c>
      <c r="D2761" s="86">
        <f>1/16*25.4</f>
        <v>1.5874999999999999</v>
      </c>
      <c r="E2761" s="85">
        <f t="shared" si="359"/>
        <v>1.5874999999999999E-3</v>
      </c>
      <c r="F2761" s="85">
        <f t="shared" si="360"/>
        <v>7.9374999999999997E-4</v>
      </c>
      <c r="G2761" s="85">
        <f t="shared" si="361"/>
        <v>2.0947867788210349E-9</v>
      </c>
      <c r="H2761" s="85">
        <v>14950</v>
      </c>
      <c r="I2761" s="85">
        <f t="shared" si="362"/>
        <v>3.1317062343374473E-5</v>
      </c>
      <c r="J2761" s="87">
        <v>1</v>
      </c>
      <c r="K2761" s="88">
        <f t="shared" si="363"/>
        <v>31931.475214231352</v>
      </c>
    </row>
    <row r="2762" spans="1:11" hidden="1" x14ac:dyDescent="0.25">
      <c r="A2762" t="str">
        <f t="shared" si="364"/>
        <v>Wc-CoØ3</v>
      </c>
      <c r="B2762" s="81" t="s">
        <v>206</v>
      </c>
      <c r="D2762" s="86">
        <v>3</v>
      </c>
      <c r="E2762" s="85">
        <f t="shared" si="359"/>
        <v>3.0000000000000001E-3</v>
      </c>
      <c r="F2762" s="85">
        <f t="shared" si="360"/>
        <v>1.5E-3</v>
      </c>
      <c r="G2762" s="85">
        <f t="shared" si="361"/>
        <v>1.4137166941154068E-8</v>
      </c>
      <c r="H2762" s="85">
        <v>14950</v>
      </c>
      <c r="I2762" s="85">
        <f t="shared" si="362"/>
        <v>2.1135064577025331E-4</v>
      </c>
      <c r="J2762" s="87">
        <v>1</v>
      </c>
      <c r="K2762" s="88">
        <f t="shared" si="363"/>
        <v>4731.4735961916122</v>
      </c>
    </row>
    <row r="2763" spans="1:11" hidden="1" x14ac:dyDescent="0.25">
      <c r="A2763" t="str">
        <f t="shared" si="364"/>
        <v>POMØ30</v>
      </c>
      <c r="B2763" s="81" t="s">
        <v>201</v>
      </c>
      <c r="D2763" s="86">
        <v>30</v>
      </c>
      <c r="E2763" s="85">
        <f t="shared" si="359"/>
        <v>0.03</v>
      </c>
      <c r="F2763" s="85">
        <f t="shared" si="360"/>
        <v>1.4999999999999999E-2</v>
      </c>
      <c r="G2763" s="85">
        <f t="shared" si="361"/>
        <v>1.4137166941154067E-5</v>
      </c>
      <c r="H2763" s="85">
        <v>1360</v>
      </c>
      <c r="I2763" s="85">
        <f t="shared" si="362"/>
        <v>1.9226547039969531E-2</v>
      </c>
      <c r="J2763" s="87">
        <v>1</v>
      </c>
      <c r="K2763" s="88">
        <f t="shared" si="363"/>
        <v>52.011419311076914</v>
      </c>
    </row>
    <row r="2764" spans="1:11" hidden="1" x14ac:dyDescent="0.25">
      <c r="A2764" t="str">
        <f t="shared" si="364"/>
        <v>316LØ0,9</v>
      </c>
      <c r="B2764" s="81" t="s">
        <v>298</v>
      </c>
      <c r="D2764" s="86">
        <v>0.9</v>
      </c>
      <c r="E2764" s="85">
        <f t="shared" si="359"/>
        <v>8.9999999999999998E-4</v>
      </c>
      <c r="F2764" s="85">
        <f t="shared" si="360"/>
        <v>4.4999999999999999E-4</v>
      </c>
      <c r="G2764" s="85">
        <f t="shared" si="361"/>
        <v>3.8170350741115976E-10</v>
      </c>
      <c r="H2764" s="85">
        <v>7950</v>
      </c>
      <c r="I2764" s="85">
        <f t="shared" si="362"/>
        <v>3.03454288391872E-6</v>
      </c>
      <c r="J2764" s="87">
        <v>1</v>
      </c>
      <c r="K2764" s="88">
        <f t="shared" si="363"/>
        <v>329538.92505504133</v>
      </c>
    </row>
    <row r="2765" spans="1:11" hidden="1" x14ac:dyDescent="0.25">
      <c r="A2765" t="str">
        <f t="shared" si="364"/>
        <v>440CØ3,175</v>
      </c>
      <c r="B2765" s="81" t="s">
        <v>314</v>
      </c>
      <c r="C2765" s="101" t="s">
        <v>214</v>
      </c>
      <c r="D2765" s="86">
        <f>1/8*25.4</f>
        <v>3.1749999999999998</v>
      </c>
      <c r="E2765" s="85">
        <f t="shared" si="359"/>
        <v>3.1749999999999999E-3</v>
      </c>
      <c r="F2765" s="85">
        <f t="shared" si="360"/>
        <v>1.5874999999999999E-3</v>
      </c>
      <c r="G2765" s="85">
        <f t="shared" si="361"/>
        <v>1.6758294230568279E-8</v>
      </c>
      <c r="H2765" s="85">
        <v>7700</v>
      </c>
      <c r="I2765" s="85">
        <f t="shared" si="362"/>
        <v>1.2903886557537575E-4</v>
      </c>
      <c r="J2765" s="87">
        <v>1</v>
      </c>
      <c r="K2765" s="88">
        <f t="shared" si="363"/>
        <v>7749.6031567006294</v>
      </c>
    </row>
    <row r="2766" spans="1:11" hidden="1" x14ac:dyDescent="0.25">
      <c r="A2766" t="str">
        <f t="shared" si="364"/>
        <v>440CØ2,38125</v>
      </c>
      <c r="B2766" s="81" t="s">
        <v>314</v>
      </c>
      <c r="C2766" s="101" t="s">
        <v>213</v>
      </c>
      <c r="D2766" s="86">
        <f>3/32*25.4</f>
        <v>2.3812499999999996</v>
      </c>
      <c r="E2766" s="85">
        <f t="shared" si="359"/>
        <v>2.3812499999999997E-3</v>
      </c>
      <c r="F2766" s="85">
        <f t="shared" si="360"/>
        <v>1.1906249999999998E-3</v>
      </c>
      <c r="G2766" s="85">
        <f t="shared" si="361"/>
        <v>7.0699053785209917E-9</v>
      </c>
      <c r="H2766" s="85">
        <v>7700</v>
      </c>
      <c r="I2766" s="85">
        <f t="shared" si="362"/>
        <v>5.4438271414611634E-5</v>
      </c>
      <c r="J2766" s="87">
        <v>1</v>
      </c>
      <c r="K2766" s="88">
        <f t="shared" si="363"/>
        <v>18369.429704771865</v>
      </c>
    </row>
    <row r="2767" spans="1:11" hidden="1" x14ac:dyDescent="0.25">
      <c r="A2767" t="str">
        <f t="shared" si="364"/>
        <v>420CØ1</v>
      </c>
      <c r="B2767" s="81" t="s">
        <v>295</v>
      </c>
      <c r="D2767" s="86">
        <v>1</v>
      </c>
      <c r="E2767" s="85">
        <f t="shared" si="359"/>
        <v>1E-3</v>
      </c>
      <c r="F2767" s="85">
        <f t="shared" si="360"/>
        <v>5.0000000000000001E-4</v>
      </c>
      <c r="G2767" s="85">
        <f t="shared" si="361"/>
        <v>5.2359877559829886E-10</v>
      </c>
      <c r="H2767" s="85">
        <v>7750</v>
      </c>
      <c r="I2767" s="85">
        <f t="shared" si="362"/>
        <v>4.0578905108868158E-6</v>
      </c>
      <c r="J2767" s="87">
        <v>1</v>
      </c>
      <c r="K2767" s="88">
        <f t="shared" si="363"/>
        <v>246433.46027132185</v>
      </c>
    </row>
    <row r="2768" spans="1:11" hidden="1" x14ac:dyDescent="0.25">
      <c r="A2768" t="str">
        <f t="shared" si="364"/>
        <v>420CØ1</v>
      </c>
      <c r="B2768" s="81" t="s">
        <v>295</v>
      </c>
      <c r="D2768" s="86">
        <v>1</v>
      </c>
      <c r="E2768" s="85">
        <f t="shared" si="359"/>
        <v>1E-3</v>
      </c>
      <c r="F2768" s="85">
        <f t="shared" si="360"/>
        <v>5.0000000000000001E-4</v>
      </c>
      <c r="G2768" s="85">
        <f t="shared" si="361"/>
        <v>5.2359877559829886E-10</v>
      </c>
      <c r="H2768" s="85">
        <v>7750</v>
      </c>
      <c r="I2768" s="85">
        <f t="shared" si="362"/>
        <v>4.0578905108868158E-6</v>
      </c>
      <c r="J2768" s="87">
        <v>1</v>
      </c>
      <c r="K2768" s="88">
        <f t="shared" si="363"/>
        <v>246433.46027132185</v>
      </c>
    </row>
    <row r="2769" spans="1:11" hidden="1" x14ac:dyDescent="0.25">
      <c r="A2769" t="str">
        <f t="shared" si="364"/>
        <v>420CØ1</v>
      </c>
      <c r="B2769" s="81" t="s">
        <v>295</v>
      </c>
      <c r="D2769" s="86">
        <v>1</v>
      </c>
      <c r="E2769" s="85">
        <f t="shared" si="359"/>
        <v>1E-3</v>
      </c>
      <c r="F2769" s="85">
        <f t="shared" si="360"/>
        <v>5.0000000000000001E-4</v>
      </c>
      <c r="G2769" s="85">
        <f t="shared" si="361"/>
        <v>5.2359877559829886E-10</v>
      </c>
      <c r="H2769" s="85">
        <v>7750</v>
      </c>
      <c r="I2769" s="85">
        <f t="shared" si="362"/>
        <v>4.0578905108868158E-6</v>
      </c>
      <c r="J2769" s="87">
        <v>1</v>
      </c>
      <c r="K2769" s="88">
        <f t="shared" si="363"/>
        <v>246433.46027132185</v>
      </c>
    </row>
    <row r="2770" spans="1:11" hidden="1" x14ac:dyDescent="0.25">
      <c r="A2770" t="str">
        <f t="shared" si="364"/>
        <v>420CØ1</v>
      </c>
      <c r="B2770" s="81" t="s">
        <v>295</v>
      </c>
      <c r="D2770" s="86">
        <v>1</v>
      </c>
      <c r="E2770" s="85">
        <f t="shared" si="359"/>
        <v>1E-3</v>
      </c>
      <c r="F2770" s="85">
        <f t="shared" si="360"/>
        <v>5.0000000000000001E-4</v>
      </c>
      <c r="G2770" s="85">
        <f t="shared" si="361"/>
        <v>5.2359877559829886E-10</v>
      </c>
      <c r="H2770" s="85">
        <v>7750</v>
      </c>
      <c r="I2770" s="85">
        <f t="shared" si="362"/>
        <v>4.0578905108868158E-6</v>
      </c>
      <c r="J2770" s="87">
        <v>1</v>
      </c>
      <c r="K2770" s="88">
        <f t="shared" si="363"/>
        <v>246433.46027132185</v>
      </c>
    </row>
    <row r="2771" spans="1:11" hidden="1" x14ac:dyDescent="0.25">
      <c r="A2771" t="str">
        <f t="shared" si="364"/>
        <v>52100Ø2,5</v>
      </c>
      <c r="B2771" s="81">
        <v>52100</v>
      </c>
      <c r="D2771" s="86">
        <v>2.5</v>
      </c>
      <c r="E2771" s="85">
        <f t="shared" si="359"/>
        <v>2.5000000000000001E-3</v>
      </c>
      <c r="F2771" s="85">
        <f t="shared" si="360"/>
        <v>1.25E-3</v>
      </c>
      <c r="G2771" s="85">
        <f t="shared" si="361"/>
        <v>8.181230868723419E-9</v>
      </c>
      <c r="H2771" s="85">
        <v>7800</v>
      </c>
      <c r="I2771" s="85">
        <f t="shared" si="362"/>
        <v>6.3813600776042664E-5</v>
      </c>
      <c r="J2771" s="87">
        <v>1</v>
      </c>
      <c r="K2771" s="88">
        <f t="shared" si="363"/>
        <v>15670.640550586621</v>
      </c>
    </row>
    <row r="2772" spans="1:11" hidden="1" x14ac:dyDescent="0.25">
      <c r="A2772" t="str">
        <f t="shared" si="364"/>
        <v>NBRØ2,38125</v>
      </c>
      <c r="B2772" s="81" t="s">
        <v>341</v>
      </c>
      <c r="C2772" s="101" t="s">
        <v>213</v>
      </c>
      <c r="D2772" s="86">
        <f>3/32*25.4</f>
        <v>2.3812499999999996</v>
      </c>
      <c r="E2772" s="85">
        <f t="shared" si="359"/>
        <v>2.3812499999999997E-3</v>
      </c>
      <c r="F2772" s="85">
        <f t="shared" si="360"/>
        <v>1.1906249999999998E-3</v>
      </c>
      <c r="G2772" s="85">
        <f t="shared" si="361"/>
        <v>7.0699053785209917E-9</v>
      </c>
      <c r="H2772" s="85">
        <v>1400</v>
      </c>
      <c r="I2772" s="85">
        <f t="shared" si="362"/>
        <v>9.8978675299293891E-6</v>
      </c>
      <c r="J2772" s="87">
        <v>1</v>
      </c>
      <c r="K2772" s="88">
        <f t="shared" si="363"/>
        <v>101031.86337624524</v>
      </c>
    </row>
    <row r="2773" spans="1:11" hidden="1" x14ac:dyDescent="0.25">
      <c r="A2773" t="str">
        <f t="shared" si="364"/>
        <v>WC-CoØ1,984375</v>
      </c>
      <c r="B2773" s="81" t="s">
        <v>297</v>
      </c>
      <c r="C2773" s="101" t="s">
        <v>327</v>
      </c>
      <c r="D2773" s="86">
        <f>5/64*25.4</f>
        <v>1.984375</v>
      </c>
      <c r="E2773" s="85">
        <f t="shared" si="359"/>
        <v>1.984375E-3</v>
      </c>
      <c r="F2773" s="85">
        <f t="shared" si="360"/>
        <v>9.9218750000000001E-4</v>
      </c>
      <c r="G2773" s="85">
        <f t="shared" si="361"/>
        <v>4.0913804273848354E-9</v>
      </c>
      <c r="H2773" s="85">
        <v>14950</v>
      </c>
      <c r="I2773" s="85">
        <f t="shared" si="362"/>
        <v>6.1166137389403284E-5</v>
      </c>
      <c r="J2773" s="87">
        <v>1</v>
      </c>
      <c r="K2773" s="88">
        <f t="shared" si="363"/>
        <v>16348.915309686448</v>
      </c>
    </row>
    <row r="2774" spans="1:11" hidden="1" x14ac:dyDescent="0.25">
      <c r="A2774" t="str">
        <f t="shared" si="364"/>
        <v>304Ø6</v>
      </c>
      <c r="B2774" s="81">
        <v>304</v>
      </c>
      <c r="D2774" s="86">
        <v>6</v>
      </c>
      <c r="E2774" s="85">
        <f t="shared" si="359"/>
        <v>6.0000000000000001E-3</v>
      </c>
      <c r="F2774" s="85">
        <f t="shared" si="360"/>
        <v>3.0000000000000001E-3</v>
      </c>
      <c r="G2774" s="85">
        <f t="shared" si="361"/>
        <v>1.1309733552923255E-7</v>
      </c>
      <c r="H2774" s="85">
        <v>7950</v>
      </c>
      <c r="I2774" s="85">
        <f t="shared" si="362"/>
        <v>8.9912381745739869E-4</v>
      </c>
      <c r="J2774" s="87">
        <v>1</v>
      </c>
      <c r="K2774" s="88">
        <f t="shared" si="363"/>
        <v>1112.1938720607643</v>
      </c>
    </row>
    <row r="2775" spans="1:11" hidden="1" x14ac:dyDescent="0.25">
      <c r="A2775" t="str">
        <f t="shared" si="364"/>
        <v>304Ø7</v>
      </c>
      <c r="B2775" s="81">
        <v>304</v>
      </c>
      <c r="D2775" s="86">
        <v>7</v>
      </c>
      <c r="E2775" s="85">
        <f t="shared" si="359"/>
        <v>7.0000000000000001E-3</v>
      </c>
      <c r="F2775" s="85">
        <f t="shared" si="360"/>
        <v>3.5000000000000001E-3</v>
      </c>
      <c r="G2775" s="85">
        <f t="shared" si="361"/>
        <v>1.7959438003021651E-7</v>
      </c>
      <c r="H2775" s="85">
        <v>7950</v>
      </c>
      <c r="I2775" s="85">
        <f t="shared" si="362"/>
        <v>1.4277753212402213E-3</v>
      </c>
      <c r="J2775" s="87">
        <v>1</v>
      </c>
      <c r="K2775" s="88">
        <f t="shared" si="363"/>
        <v>700.39031010240535</v>
      </c>
    </row>
    <row r="2776" spans="1:11" hidden="1" x14ac:dyDescent="0.25">
      <c r="A2776" t="str">
        <f t="shared" si="364"/>
        <v>EPDMØ5,7</v>
      </c>
      <c r="B2776" s="81" t="s">
        <v>368</v>
      </c>
      <c r="D2776" s="86">
        <v>5.7</v>
      </c>
      <c r="E2776" s="85">
        <f t="shared" si="359"/>
        <v>5.7000000000000002E-3</v>
      </c>
      <c r="F2776" s="85">
        <f t="shared" si="360"/>
        <v>2.8500000000000001E-3</v>
      </c>
      <c r="G2776" s="85">
        <f t="shared" si="361"/>
        <v>9.6966828049375756E-8</v>
      </c>
      <c r="H2776" s="85">
        <v>1250</v>
      </c>
      <c r="I2776" s="85">
        <f t="shared" si="362"/>
        <v>1.212085350617197E-4</v>
      </c>
      <c r="J2776" s="87">
        <v>1</v>
      </c>
      <c r="K2776" s="88">
        <f t="shared" si="363"/>
        <v>8250.2440895832733</v>
      </c>
    </row>
    <row r="2777" spans="1:11" hidden="1" x14ac:dyDescent="0.25">
      <c r="A2777" t="str">
        <f t="shared" si="364"/>
        <v>304Ø10</v>
      </c>
      <c r="B2777" s="81">
        <v>304</v>
      </c>
      <c r="D2777" s="86">
        <v>10</v>
      </c>
      <c r="E2777" s="85">
        <f t="shared" si="359"/>
        <v>0.01</v>
      </c>
      <c r="F2777" s="85">
        <f t="shared" si="360"/>
        <v>5.0000000000000001E-3</v>
      </c>
      <c r="G2777" s="85">
        <f t="shared" si="361"/>
        <v>5.2359877559829882E-7</v>
      </c>
      <c r="H2777" s="85">
        <v>7950</v>
      </c>
      <c r="I2777" s="85">
        <f t="shared" si="362"/>
        <v>4.1626102660064753E-3</v>
      </c>
      <c r="J2777" s="87">
        <v>1</v>
      </c>
      <c r="K2777" s="88">
        <f t="shared" si="363"/>
        <v>240.23387636512507</v>
      </c>
    </row>
    <row r="2778" spans="1:11" hidden="1" x14ac:dyDescent="0.25">
      <c r="A2778" t="str">
        <f t="shared" si="364"/>
        <v>AlluminioØ2,5</v>
      </c>
      <c r="B2778" s="81" t="s">
        <v>296</v>
      </c>
      <c r="D2778" s="86">
        <v>2.5</v>
      </c>
      <c r="E2778" s="85">
        <f t="shared" si="359"/>
        <v>2.5000000000000001E-3</v>
      </c>
      <c r="F2778" s="85">
        <f t="shared" si="360"/>
        <v>1.25E-3</v>
      </c>
      <c r="G2778" s="85">
        <f t="shared" si="361"/>
        <v>8.181230868723419E-9</v>
      </c>
      <c r="H2778" s="85">
        <v>2710</v>
      </c>
      <c r="I2778" s="85">
        <f t="shared" si="362"/>
        <v>2.2171135654240467E-5</v>
      </c>
      <c r="J2778" s="87">
        <v>1</v>
      </c>
      <c r="K2778" s="88">
        <f t="shared" si="363"/>
        <v>45103.688669585099</v>
      </c>
    </row>
    <row r="2779" spans="1:11" hidden="1" x14ac:dyDescent="0.25">
      <c r="A2779" t="str">
        <f t="shared" si="364"/>
        <v>PPHØ7,14375</v>
      </c>
      <c r="B2779" s="81" t="s">
        <v>202</v>
      </c>
      <c r="C2779" s="101" t="s">
        <v>250</v>
      </c>
      <c r="D2779" s="86">
        <f>9/32*25.4</f>
        <v>7.1437499999999998</v>
      </c>
      <c r="E2779" s="85">
        <f t="shared" si="359"/>
        <v>7.1437499999999999E-3</v>
      </c>
      <c r="F2779" s="85">
        <f t="shared" si="360"/>
        <v>3.571875E-3</v>
      </c>
      <c r="G2779" s="85">
        <f t="shared" si="361"/>
        <v>1.9088744522006684E-7</v>
      </c>
      <c r="H2779" s="85">
        <v>860</v>
      </c>
      <c r="I2779" s="85">
        <f t="shared" si="362"/>
        <v>1.6416320288925747E-4</v>
      </c>
      <c r="J2779" s="87">
        <v>1</v>
      </c>
      <c r="K2779" s="88">
        <f t="shared" si="363"/>
        <v>6091.499083839075</v>
      </c>
    </row>
    <row r="2780" spans="1:11" hidden="1" x14ac:dyDescent="0.25">
      <c r="A2780" t="str">
        <f t="shared" si="364"/>
        <v>PPHØ7,14375</v>
      </c>
      <c r="B2780" s="81" t="s">
        <v>202</v>
      </c>
      <c r="C2780" s="101" t="s">
        <v>250</v>
      </c>
      <c r="D2780" s="86">
        <f>9/32*25.4</f>
        <v>7.1437499999999998</v>
      </c>
      <c r="E2780" s="85">
        <f t="shared" si="359"/>
        <v>7.1437499999999999E-3</v>
      </c>
      <c r="F2780" s="85">
        <f t="shared" si="360"/>
        <v>3.571875E-3</v>
      </c>
      <c r="G2780" s="85">
        <f t="shared" si="361"/>
        <v>1.9088744522006684E-7</v>
      </c>
      <c r="H2780" s="85">
        <v>860</v>
      </c>
      <c r="I2780" s="85">
        <f t="shared" si="362"/>
        <v>1.6416320288925747E-4</v>
      </c>
      <c r="J2780" s="87">
        <v>1</v>
      </c>
      <c r="K2780" s="88">
        <f t="shared" si="363"/>
        <v>6091.499083839075</v>
      </c>
    </row>
    <row r="2781" spans="1:11" hidden="1" x14ac:dyDescent="0.25">
      <c r="A2781" t="str">
        <f t="shared" si="364"/>
        <v>SiCØ6,35</v>
      </c>
      <c r="B2781" s="81" t="s">
        <v>326</v>
      </c>
      <c r="C2781" s="101" t="s">
        <v>218</v>
      </c>
      <c r="D2781" s="86">
        <f>1/4*25.4</f>
        <v>6.35</v>
      </c>
      <c r="E2781" s="85">
        <f t="shared" si="359"/>
        <v>6.3499999999999997E-3</v>
      </c>
      <c r="F2781" s="85">
        <f t="shared" si="360"/>
        <v>3.1749999999999999E-3</v>
      </c>
      <c r="G2781" s="85">
        <f t="shared" si="361"/>
        <v>1.3406635384454623E-7</v>
      </c>
      <c r="H2781" s="85">
        <v>3150</v>
      </c>
      <c r="I2781" s="85">
        <f t="shared" si="362"/>
        <v>4.2230901461032066E-4</v>
      </c>
      <c r="J2781" s="87">
        <v>1</v>
      </c>
      <c r="K2781" s="88">
        <f t="shared" si="363"/>
        <v>2367.9342978807476</v>
      </c>
    </row>
    <row r="2782" spans="1:11" hidden="1" x14ac:dyDescent="0.25">
      <c r="A2782" t="str">
        <f t="shared" si="364"/>
        <v>304Ø1,5875</v>
      </c>
      <c r="B2782" s="81">
        <v>304</v>
      </c>
      <c r="C2782" s="101" t="s">
        <v>246</v>
      </c>
      <c r="D2782" s="86">
        <f>1/16*25.4</f>
        <v>1.5874999999999999</v>
      </c>
      <c r="E2782" s="85">
        <f t="shared" si="359"/>
        <v>1.5874999999999999E-3</v>
      </c>
      <c r="F2782" s="85">
        <f t="shared" si="360"/>
        <v>7.9374999999999997E-4</v>
      </c>
      <c r="G2782" s="85">
        <f t="shared" si="361"/>
        <v>2.0947867788210349E-9</v>
      </c>
      <c r="H2782" s="85">
        <v>7950</v>
      </c>
      <c r="I2782" s="85">
        <f t="shared" si="362"/>
        <v>1.6653554891627226E-5</v>
      </c>
      <c r="J2782" s="87">
        <v>1</v>
      </c>
      <c r="K2782" s="88">
        <f t="shared" si="363"/>
        <v>60047.239553806132</v>
      </c>
    </row>
    <row r="2783" spans="1:11" hidden="1" x14ac:dyDescent="0.25">
      <c r="A2783" t="str">
        <f t="shared" si="364"/>
        <v>OttoneØ1</v>
      </c>
      <c r="B2783" s="81" t="s">
        <v>216</v>
      </c>
      <c r="D2783" s="86">
        <v>1</v>
      </c>
      <c r="E2783" s="85">
        <f t="shared" si="359"/>
        <v>1E-3</v>
      </c>
      <c r="F2783" s="85">
        <f t="shared" si="360"/>
        <v>5.0000000000000001E-4</v>
      </c>
      <c r="G2783" s="85">
        <f t="shared" si="361"/>
        <v>5.2359877559829886E-10</v>
      </c>
      <c r="H2783" s="85">
        <v>8620</v>
      </c>
      <c r="I2783" s="85">
        <f t="shared" si="362"/>
        <v>4.5134214456573361E-6</v>
      </c>
      <c r="J2783" s="87">
        <v>1</v>
      </c>
      <c r="K2783" s="88">
        <f t="shared" si="363"/>
        <v>221561.40569637401</v>
      </c>
    </row>
    <row r="2784" spans="1:11" hidden="1" x14ac:dyDescent="0.25">
      <c r="A2784" t="str">
        <f t="shared" si="364"/>
        <v>Wc-CoØ0,5</v>
      </c>
      <c r="B2784" s="81" t="s">
        <v>206</v>
      </c>
      <c r="D2784" s="86">
        <v>0.5</v>
      </c>
      <c r="E2784" s="85">
        <f t="shared" si="359"/>
        <v>5.0000000000000001E-4</v>
      </c>
      <c r="F2784" s="85">
        <f t="shared" si="360"/>
        <v>2.5000000000000001E-4</v>
      </c>
      <c r="G2784" s="85">
        <f t="shared" si="361"/>
        <v>6.5449846949787358E-11</v>
      </c>
      <c r="H2784" s="88">
        <v>12510.322064722593</v>
      </c>
      <c r="I2784" s="85">
        <f t="shared" si="362"/>
        <v>8.1879866442864147E-7</v>
      </c>
      <c r="J2784" s="87">
        <v>1</v>
      </c>
      <c r="K2784" s="88">
        <f t="shared" si="363"/>
        <v>1221301.4547328323</v>
      </c>
    </row>
    <row r="2785" spans="1:11" hidden="1" x14ac:dyDescent="0.25">
      <c r="A2785" t="str">
        <f t="shared" si="364"/>
        <v>Wc-CoØ0,5</v>
      </c>
      <c r="B2785" s="81" t="s">
        <v>206</v>
      </c>
      <c r="D2785" s="86">
        <v>0.5</v>
      </c>
      <c r="E2785" s="85">
        <f t="shared" si="359"/>
        <v>5.0000000000000001E-4</v>
      </c>
      <c r="F2785" s="85">
        <f t="shared" si="360"/>
        <v>2.5000000000000001E-4</v>
      </c>
      <c r="G2785" s="85">
        <f t="shared" si="361"/>
        <v>6.5449846949787358E-11</v>
      </c>
      <c r="H2785" s="88">
        <v>14950</v>
      </c>
      <c r="I2785" s="85">
        <f t="shared" si="362"/>
        <v>9.7847521189932093E-7</v>
      </c>
      <c r="J2785" s="87">
        <v>1</v>
      </c>
      <c r="K2785" s="88">
        <f t="shared" si="363"/>
        <v>1021998.2967773882</v>
      </c>
    </row>
    <row r="2786" spans="1:11" hidden="1" x14ac:dyDescent="0.25">
      <c r="A2786" t="str">
        <f t="shared" si="364"/>
        <v>Vetro neroØ7,9375</v>
      </c>
      <c r="B2786" s="81" t="s">
        <v>418</v>
      </c>
      <c r="C2786" s="101" t="s">
        <v>252</v>
      </c>
      <c r="D2786" s="86">
        <f>5/16*25.4</f>
        <v>7.9375</v>
      </c>
      <c r="E2786" s="85">
        <f t="shared" si="359"/>
        <v>7.9375000000000001E-3</v>
      </c>
      <c r="F2786" s="85">
        <f t="shared" si="360"/>
        <v>3.9687500000000001E-3</v>
      </c>
      <c r="G2786" s="85">
        <f t="shared" si="361"/>
        <v>2.6184834735262947E-7</v>
      </c>
      <c r="H2786" s="85">
        <v>2590</v>
      </c>
      <c r="I2786" s="85">
        <f t="shared" si="362"/>
        <v>6.7818721964331028E-4</v>
      </c>
      <c r="J2786" s="87">
        <v>1</v>
      </c>
      <c r="K2786" s="88">
        <f t="shared" si="363"/>
        <v>1474.5190871127677</v>
      </c>
    </row>
    <row r="2787" spans="1:11" hidden="1" x14ac:dyDescent="0.25">
      <c r="A2787" t="str">
        <f t="shared" si="364"/>
        <v>52100Ø4,54</v>
      </c>
      <c r="B2787" s="81">
        <v>52100</v>
      </c>
      <c r="D2787" s="86">
        <v>4.54</v>
      </c>
      <c r="E2787" s="85">
        <f t="shared" si="359"/>
        <v>4.5399999999999998E-3</v>
      </c>
      <c r="F2787" s="85">
        <f t="shared" si="360"/>
        <v>2.2699999999999999E-3</v>
      </c>
      <c r="G2787" s="85">
        <f t="shared" si="361"/>
        <v>4.8996626694973399E-8</v>
      </c>
      <c r="H2787" s="85">
        <v>7800</v>
      </c>
      <c r="I2787" s="85">
        <f t="shared" si="362"/>
        <v>3.821736882207925E-4</v>
      </c>
      <c r="J2787" s="87">
        <v>1</v>
      </c>
      <c r="K2787" s="88">
        <f t="shared" si="363"/>
        <v>2616.6113231276977</v>
      </c>
    </row>
    <row r="2788" spans="1:11" hidden="1" x14ac:dyDescent="0.25">
      <c r="A2788" t="str">
        <f t="shared" si="364"/>
        <v>POMØ19,05</v>
      </c>
      <c r="B2788" s="81" t="s">
        <v>201</v>
      </c>
      <c r="C2788" s="101" t="s">
        <v>262</v>
      </c>
      <c r="D2788" s="86">
        <f>3/4*25.4</f>
        <v>19.049999999999997</v>
      </c>
      <c r="E2788" s="85">
        <f t="shared" si="359"/>
        <v>1.9049999999999997E-2</v>
      </c>
      <c r="F2788" s="85">
        <f t="shared" si="360"/>
        <v>9.5249999999999987E-3</v>
      </c>
      <c r="G2788" s="85">
        <f t="shared" si="361"/>
        <v>3.6197915538027477E-6</v>
      </c>
      <c r="H2788" s="85">
        <v>1370</v>
      </c>
      <c r="I2788" s="85">
        <f t="shared" si="362"/>
        <v>4.9591144287097644E-3</v>
      </c>
      <c r="J2788" s="87">
        <v>1</v>
      </c>
      <c r="K2788" s="88">
        <f t="shared" si="363"/>
        <v>201.64890614556248</v>
      </c>
    </row>
    <row r="2789" spans="1:11" hidden="1" x14ac:dyDescent="0.25">
      <c r="A2789" t="str">
        <f t="shared" si="364"/>
        <v>52100Ø4,54</v>
      </c>
      <c r="B2789" s="81">
        <v>52100</v>
      </c>
      <c r="D2789" s="86">
        <v>4.54</v>
      </c>
      <c r="E2789" s="85">
        <f t="shared" si="359"/>
        <v>4.5399999999999998E-3</v>
      </c>
      <c r="F2789" s="85">
        <f t="shared" si="360"/>
        <v>2.2699999999999999E-3</v>
      </c>
      <c r="G2789" s="85">
        <f t="shared" si="361"/>
        <v>4.8996626694973399E-8</v>
      </c>
      <c r="H2789" s="85">
        <v>7800</v>
      </c>
      <c r="I2789" s="85">
        <f t="shared" si="362"/>
        <v>3.821736882207925E-4</v>
      </c>
      <c r="J2789" s="87">
        <v>1</v>
      </c>
      <c r="K2789" s="88">
        <f t="shared" si="363"/>
        <v>2616.6113231276977</v>
      </c>
    </row>
    <row r="2790" spans="1:11" hidden="1" x14ac:dyDescent="0.25">
      <c r="A2790" t="str">
        <f t="shared" si="364"/>
        <v>VESCØ22</v>
      </c>
      <c r="B2790" s="81" t="s">
        <v>210</v>
      </c>
      <c r="D2790" s="86">
        <v>22</v>
      </c>
      <c r="E2790" s="85">
        <f t="shared" si="359"/>
        <v>2.1999999999999999E-2</v>
      </c>
      <c r="F2790" s="85">
        <f t="shared" si="360"/>
        <v>1.0999999999999999E-2</v>
      </c>
      <c r="G2790" s="85">
        <f t="shared" si="361"/>
        <v>5.5752797625706841E-6</v>
      </c>
      <c r="H2790" s="85">
        <v>2500</v>
      </c>
      <c r="I2790" s="85">
        <f t="shared" si="362"/>
        <v>1.393819940642671E-2</v>
      </c>
      <c r="J2790" s="87">
        <v>1</v>
      </c>
      <c r="K2790" s="97">
        <f t="shared" si="363"/>
        <v>71.745278628953599</v>
      </c>
    </row>
    <row r="2791" spans="1:11" hidden="1" x14ac:dyDescent="0.25">
      <c r="A2791" t="str">
        <f t="shared" si="364"/>
        <v>52100Ø1</v>
      </c>
      <c r="B2791" s="81">
        <v>52100</v>
      </c>
      <c r="D2791" s="86">
        <v>1</v>
      </c>
      <c r="E2791" s="85">
        <f t="shared" si="359"/>
        <v>1E-3</v>
      </c>
      <c r="F2791" s="85">
        <f t="shared" si="360"/>
        <v>5.0000000000000001E-4</v>
      </c>
      <c r="G2791" s="85">
        <f t="shared" si="361"/>
        <v>5.2359877559829886E-10</v>
      </c>
      <c r="H2791" s="85">
        <v>7800</v>
      </c>
      <c r="I2791" s="85">
        <f t="shared" si="362"/>
        <v>4.0840704496667312E-6</v>
      </c>
      <c r="J2791" s="87">
        <v>1</v>
      </c>
      <c r="K2791" s="88">
        <f t="shared" si="363"/>
        <v>244853.75860291591</v>
      </c>
    </row>
    <row r="2792" spans="1:11" hidden="1" x14ac:dyDescent="0.25">
      <c r="A2792" t="str">
        <f t="shared" si="364"/>
        <v>52100Ø0,6</v>
      </c>
      <c r="B2792" s="81">
        <v>52100</v>
      </c>
      <c r="D2792" s="86">
        <v>0.6</v>
      </c>
      <c r="E2792" s="85">
        <f t="shared" si="359"/>
        <v>5.9999999999999995E-4</v>
      </c>
      <c r="F2792" s="85">
        <f t="shared" si="360"/>
        <v>2.9999999999999997E-4</v>
      </c>
      <c r="G2792" s="85">
        <f t="shared" si="361"/>
        <v>1.1309733552923252E-10</v>
      </c>
      <c r="H2792" s="85">
        <v>7800</v>
      </c>
      <c r="I2792" s="85">
        <f t="shared" si="362"/>
        <v>8.8215921712801365E-7</v>
      </c>
      <c r="J2792" s="87">
        <v>1</v>
      </c>
      <c r="K2792" s="88">
        <f t="shared" si="363"/>
        <v>1133582.2157542408</v>
      </c>
    </row>
    <row r="2793" spans="1:11" hidden="1" x14ac:dyDescent="0.25">
      <c r="A2793" t="str">
        <f t="shared" si="364"/>
        <v>316Ø0,8</v>
      </c>
      <c r="B2793" s="81">
        <v>316</v>
      </c>
      <c r="D2793" s="86">
        <v>0.8</v>
      </c>
      <c r="E2793" s="85">
        <f t="shared" si="359"/>
        <v>8.0000000000000004E-4</v>
      </c>
      <c r="F2793" s="85">
        <f t="shared" si="360"/>
        <v>4.0000000000000002E-4</v>
      </c>
      <c r="G2793" s="85">
        <f t="shared" si="361"/>
        <v>2.6808257310632903E-10</v>
      </c>
      <c r="H2793" s="85">
        <v>7950</v>
      </c>
      <c r="I2793" s="85">
        <f t="shared" si="362"/>
        <v>2.1312564561953159E-6</v>
      </c>
      <c r="J2793" s="87">
        <v>1</v>
      </c>
      <c r="K2793" s="88">
        <f t="shared" si="363"/>
        <v>469206.78977563482</v>
      </c>
    </row>
    <row r="2794" spans="1:11" hidden="1" x14ac:dyDescent="0.25">
      <c r="A2794" t="str">
        <f t="shared" si="364"/>
        <v>52100Ø1,5</v>
      </c>
      <c r="B2794" s="81">
        <v>52100</v>
      </c>
      <c r="D2794" s="86">
        <v>1.5</v>
      </c>
      <c r="E2794" s="85">
        <f t="shared" si="359"/>
        <v>1.5E-3</v>
      </c>
      <c r="F2794" s="85">
        <f t="shared" si="360"/>
        <v>7.5000000000000002E-4</v>
      </c>
      <c r="G2794" s="85">
        <f t="shared" si="361"/>
        <v>1.7671458676442585E-9</v>
      </c>
      <c r="H2794" s="85">
        <v>7800</v>
      </c>
      <c r="I2794" s="85">
        <f t="shared" si="362"/>
        <v>1.3783737767625217E-5</v>
      </c>
      <c r="J2794" s="87">
        <v>1</v>
      </c>
      <c r="K2794" s="88">
        <f t="shared" si="363"/>
        <v>72549.261808271374</v>
      </c>
    </row>
    <row r="2795" spans="1:11" hidden="1" x14ac:dyDescent="0.25">
      <c r="A2795" t="str">
        <f t="shared" si="364"/>
        <v>304Ø1,5</v>
      </c>
      <c r="B2795" s="81">
        <v>304</v>
      </c>
      <c r="D2795" s="86">
        <v>1.5</v>
      </c>
      <c r="E2795" s="85">
        <f t="shared" si="359"/>
        <v>1.5E-3</v>
      </c>
      <c r="F2795" s="85">
        <f t="shared" si="360"/>
        <v>7.5000000000000002E-4</v>
      </c>
      <c r="G2795" s="85">
        <f t="shared" si="361"/>
        <v>1.7671458676442585E-9</v>
      </c>
      <c r="H2795" s="85">
        <v>7950</v>
      </c>
      <c r="I2795" s="85">
        <f t="shared" si="362"/>
        <v>1.4048809647771855E-5</v>
      </c>
      <c r="J2795" s="87">
        <v>1</v>
      </c>
      <c r="K2795" s="88">
        <f t="shared" si="363"/>
        <v>71180.407811888916</v>
      </c>
    </row>
    <row r="2796" spans="1:11" hidden="1" x14ac:dyDescent="0.25">
      <c r="A2796" t="str">
        <f t="shared" si="364"/>
        <v>52100Ø2,5</v>
      </c>
      <c r="B2796" s="81">
        <v>52100</v>
      </c>
      <c r="D2796" s="86">
        <v>2.5</v>
      </c>
      <c r="E2796" s="85">
        <f t="shared" si="359"/>
        <v>2.5000000000000001E-3</v>
      </c>
      <c r="F2796" s="85">
        <f t="shared" si="360"/>
        <v>1.25E-3</v>
      </c>
      <c r="G2796" s="85">
        <f t="shared" si="361"/>
        <v>8.181230868723419E-9</v>
      </c>
      <c r="H2796" s="85">
        <v>7800</v>
      </c>
      <c r="I2796" s="85">
        <f t="shared" si="362"/>
        <v>6.3813600776042664E-5</v>
      </c>
      <c r="J2796" s="87">
        <v>1</v>
      </c>
      <c r="K2796" s="88">
        <f t="shared" si="363"/>
        <v>15670.640550586621</v>
      </c>
    </row>
    <row r="2797" spans="1:11" hidden="1" x14ac:dyDescent="0.25">
      <c r="A2797" t="str">
        <f t="shared" si="364"/>
        <v>Wc-CoØ2</v>
      </c>
      <c r="B2797" s="81" t="s">
        <v>206</v>
      </c>
      <c r="D2797" s="86">
        <v>2</v>
      </c>
      <c r="E2797" s="85">
        <f t="shared" si="359"/>
        <v>2E-3</v>
      </c>
      <c r="F2797" s="85">
        <f t="shared" si="360"/>
        <v>1E-3</v>
      </c>
      <c r="G2797" s="85">
        <f t="shared" si="361"/>
        <v>4.1887902047863909E-9</v>
      </c>
      <c r="H2797" s="88">
        <v>14950</v>
      </c>
      <c r="I2797" s="85">
        <f t="shared" si="362"/>
        <v>6.2622413561556539E-5</v>
      </c>
      <c r="J2797" s="87">
        <v>1</v>
      </c>
      <c r="K2797" s="88">
        <f t="shared" si="363"/>
        <v>15968.723387146691</v>
      </c>
    </row>
    <row r="2798" spans="1:11" hidden="1" x14ac:dyDescent="0.25">
      <c r="A2798" t="str">
        <f t="shared" si="364"/>
        <v>PPHØ3,5</v>
      </c>
      <c r="B2798" s="81" t="s">
        <v>202</v>
      </c>
      <c r="D2798" s="86">
        <v>3.5</v>
      </c>
      <c r="E2798" s="85">
        <f t="shared" si="359"/>
        <v>3.5000000000000001E-3</v>
      </c>
      <c r="F2798" s="85">
        <f t="shared" si="360"/>
        <v>1.75E-3</v>
      </c>
      <c r="G2798" s="85">
        <f t="shared" si="361"/>
        <v>2.2449297503777064E-8</v>
      </c>
      <c r="H2798" s="85">
        <v>890</v>
      </c>
      <c r="I2798" s="85">
        <f t="shared" si="362"/>
        <v>1.9979874778361588E-5</v>
      </c>
      <c r="J2798" s="87">
        <v>1</v>
      </c>
      <c r="K2798" s="88">
        <f t="shared" si="363"/>
        <v>50050.363733160651</v>
      </c>
    </row>
    <row r="2799" spans="1:11" hidden="1" x14ac:dyDescent="0.25">
      <c r="A2799" t="str">
        <f t="shared" si="364"/>
        <v>PPHØ3,5</v>
      </c>
      <c r="B2799" s="81" t="s">
        <v>202</v>
      </c>
      <c r="D2799" s="86">
        <v>3.5</v>
      </c>
      <c r="E2799" s="85">
        <f t="shared" si="359"/>
        <v>3.5000000000000001E-3</v>
      </c>
      <c r="F2799" s="85">
        <f t="shared" si="360"/>
        <v>1.75E-3</v>
      </c>
      <c r="G2799" s="85">
        <f t="shared" si="361"/>
        <v>2.2449297503777064E-8</v>
      </c>
      <c r="H2799" s="85">
        <v>890</v>
      </c>
      <c r="I2799" s="85">
        <f t="shared" si="362"/>
        <v>1.9979874778361588E-5</v>
      </c>
      <c r="J2799" s="87">
        <v>1</v>
      </c>
      <c r="K2799" s="88">
        <f t="shared" si="363"/>
        <v>50050.363733160651</v>
      </c>
    </row>
    <row r="2800" spans="1:11" hidden="1" x14ac:dyDescent="0.25">
      <c r="A2800" t="str">
        <f t="shared" si="364"/>
        <v>PPHØ3,5</v>
      </c>
      <c r="B2800" s="81" t="s">
        <v>202</v>
      </c>
      <c r="D2800" s="86">
        <v>3.5</v>
      </c>
      <c r="E2800" s="85">
        <f t="shared" si="359"/>
        <v>3.5000000000000001E-3</v>
      </c>
      <c r="F2800" s="85">
        <f t="shared" si="360"/>
        <v>1.75E-3</v>
      </c>
      <c r="G2800" s="85">
        <f t="shared" si="361"/>
        <v>2.2449297503777064E-8</v>
      </c>
      <c r="H2800" s="85">
        <v>890</v>
      </c>
      <c r="I2800" s="85">
        <f t="shared" si="362"/>
        <v>1.9979874778361588E-5</v>
      </c>
      <c r="J2800" s="87">
        <v>1</v>
      </c>
      <c r="K2800" s="88">
        <f t="shared" si="363"/>
        <v>50050.363733160651</v>
      </c>
    </row>
    <row r="2801" spans="1:11" hidden="1" x14ac:dyDescent="0.25">
      <c r="A2801" t="str">
        <f t="shared" si="364"/>
        <v>PPHØ3,5</v>
      </c>
      <c r="B2801" s="81" t="s">
        <v>202</v>
      </c>
      <c r="D2801" s="86">
        <v>3.5</v>
      </c>
      <c r="E2801" s="85">
        <f t="shared" si="359"/>
        <v>3.5000000000000001E-3</v>
      </c>
      <c r="F2801" s="85">
        <f t="shared" si="360"/>
        <v>1.75E-3</v>
      </c>
      <c r="G2801" s="85">
        <f t="shared" si="361"/>
        <v>2.2449297503777064E-8</v>
      </c>
      <c r="H2801" s="85">
        <v>890</v>
      </c>
      <c r="I2801" s="85">
        <f t="shared" si="362"/>
        <v>1.9979874778361588E-5</v>
      </c>
      <c r="J2801" s="87">
        <v>1</v>
      </c>
      <c r="K2801" s="88">
        <f t="shared" si="363"/>
        <v>50050.363733160651</v>
      </c>
    </row>
    <row r="2802" spans="1:11" hidden="1" x14ac:dyDescent="0.25">
      <c r="A2802" t="str">
        <f t="shared" si="364"/>
        <v>POMØ3,175</v>
      </c>
      <c r="B2802" s="81" t="s">
        <v>201</v>
      </c>
      <c r="C2802" s="101" t="s">
        <v>214</v>
      </c>
      <c r="D2802" s="86">
        <f>1/8*25.4</f>
        <v>3.1749999999999998</v>
      </c>
      <c r="E2802" s="85">
        <f t="shared" si="359"/>
        <v>3.1749999999999999E-3</v>
      </c>
      <c r="F2802" s="85">
        <f t="shared" si="360"/>
        <v>1.5874999999999999E-3</v>
      </c>
      <c r="G2802" s="85">
        <f t="shared" si="361"/>
        <v>1.6758294230568279E-8</v>
      </c>
      <c r="H2802" s="85">
        <v>1380</v>
      </c>
      <c r="I2802" s="85">
        <f t="shared" si="362"/>
        <v>2.3126446038184223E-5</v>
      </c>
      <c r="J2802" s="87">
        <v>1</v>
      </c>
      <c r="K2802" s="88">
        <f t="shared" si="363"/>
        <v>43240.539352604959</v>
      </c>
    </row>
    <row r="2803" spans="1:11" hidden="1" x14ac:dyDescent="0.25">
      <c r="A2803" t="str">
        <f t="shared" si="364"/>
        <v>Alluminio serie 6Ø6</v>
      </c>
      <c r="B2803" s="81" t="s">
        <v>395</v>
      </c>
      <c r="D2803" s="86">
        <v>6</v>
      </c>
      <c r="E2803" s="85">
        <f t="shared" si="359"/>
        <v>6.0000000000000001E-3</v>
      </c>
      <c r="F2803" s="85">
        <f t="shared" si="360"/>
        <v>3.0000000000000001E-3</v>
      </c>
      <c r="G2803" s="85">
        <f t="shared" si="361"/>
        <v>1.1309733552923255E-7</v>
      </c>
      <c r="H2803" s="85">
        <v>2700</v>
      </c>
      <c r="I2803" s="85">
        <f t="shared" si="362"/>
        <v>3.0536280592892786E-4</v>
      </c>
      <c r="J2803" s="87">
        <v>1</v>
      </c>
      <c r="K2803" s="88">
        <f t="shared" si="363"/>
        <v>3274.7930677344725</v>
      </c>
    </row>
    <row r="2804" spans="1:11" hidden="1" x14ac:dyDescent="0.25">
      <c r="A2804" t="str">
        <f t="shared" si="364"/>
        <v>ZrO2Ø0,5</v>
      </c>
      <c r="B2804" s="81" t="s">
        <v>205</v>
      </c>
      <c r="D2804" s="86">
        <v>0.5</v>
      </c>
      <c r="E2804" s="85">
        <f t="shared" si="359"/>
        <v>5.0000000000000001E-4</v>
      </c>
      <c r="F2804" s="85">
        <f t="shared" si="360"/>
        <v>2.5000000000000001E-4</v>
      </c>
      <c r="G2804" s="85">
        <f t="shared" si="361"/>
        <v>6.5449846949787358E-11</v>
      </c>
      <c r="H2804" s="85">
        <v>6000</v>
      </c>
      <c r="I2804" s="85">
        <f t="shared" si="362"/>
        <v>3.9269908169872417E-7</v>
      </c>
      <c r="J2804" s="87">
        <v>1</v>
      </c>
      <c r="K2804" s="88">
        <f t="shared" si="363"/>
        <v>2546479.0894703255</v>
      </c>
    </row>
    <row r="2805" spans="1:11" hidden="1" x14ac:dyDescent="0.25">
      <c r="A2805" t="str">
        <f t="shared" si="364"/>
        <v>52100Ø5,1</v>
      </c>
      <c r="B2805" s="81">
        <v>52100</v>
      </c>
      <c r="D2805" s="86">
        <v>5.0999999999999996</v>
      </c>
      <c r="E2805" s="85">
        <f t="shared" si="359"/>
        <v>5.0999999999999995E-3</v>
      </c>
      <c r="F2805" s="85">
        <f t="shared" si="360"/>
        <v>2.5499999999999997E-3</v>
      </c>
      <c r="G2805" s="85">
        <f t="shared" si="361"/>
        <v>6.9455901181889918E-8</v>
      </c>
      <c r="H2805" s="85">
        <v>7800</v>
      </c>
      <c r="I2805" s="85">
        <f t="shared" si="362"/>
        <v>5.4175602921874137E-4</v>
      </c>
      <c r="J2805" s="87">
        <v>1</v>
      </c>
      <c r="K2805" s="88">
        <f t="shared" si="363"/>
        <v>1845.8493234345462</v>
      </c>
    </row>
    <row r="2806" spans="1:11" hidden="1" x14ac:dyDescent="0.25">
      <c r="A2806" t="str">
        <f t="shared" si="364"/>
        <v>VESCØ20</v>
      </c>
      <c r="B2806" s="81" t="s">
        <v>210</v>
      </c>
      <c r="D2806" s="86">
        <v>20</v>
      </c>
      <c r="E2806" s="85">
        <f t="shared" si="359"/>
        <v>0.02</v>
      </c>
      <c r="F2806" s="85">
        <f t="shared" si="360"/>
        <v>0.01</v>
      </c>
      <c r="G2806" s="85">
        <f t="shared" si="361"/>
        <v>4.1887902047863905E-6</v>
      </c>
      <c r="H2806" s="85">
        <v>2500</v>
      </c>
      <c r="I2806" s="85">
        <f t="shared" si="362"/>
        <v>1.0471975511965976E-2</v>
      </c>
      <c r="J2806" s="87">
        <v>1</v>
      </c>
      <c r="K2806" s="88">
        <f t="shared" si="363"/>
        <v>95.492965855137214</v>
      </c>
    </row>
    <row r="2807" spans="1:11" hidden="1" x14ac:dyDescent="0.25">
      <c r="A2807" t="str">
        <f t="shared" si="364"/>
        <v>VESCØ20,6375</v>
      </c>
      <c r="B2807" s="81" t="s">
        <v>210</v>
      </c>
      <c r="C2807" s="101" t="s">
        <v>260</v>
      </c>
      <c r="D2807" s="86">
        <f>13/16*25.4</f>
        <v>20.637499999999999</v>
      </c>
      <c r="E2807" s="85">
        <f t="shared" si="359"/>
        <v>2.06375E-2</v>
      </c>
      <c r="F2807" s="85">
        <f t="shared" si="360"/>
        <v>1.031875E-2</v>
      </c>
      <c r="G2807" s="85">
        <f t="shared" si="361"/>
        <v>4.6022465530698137E-6</v>
      </c>
      <c r="H2807" s="85">
        <v>2500</v>
      </c>
      <c r="I2807" s="85">
        <f t="shared" si="362"/>
        <v>1.1505616382674534E-2</v>
      </c>
      <c r="J2807" s="87">
        <v>1</v>
      </c>
      <c r="K2807" s="88">
        <f t="shared" si="363"/>
        <v>86.91407454761196</v>
      </c>
    </row>
    <row r="2808" spans="1:11" hidden="1" x14ac:dyDescent="0.25">
      <c r="A2808" t="str">
        <f t="shared" si="364"/>
        <v>VESCØ21</v>
      </c>
      <c r="B2808" s="81" t="s">
        <v>210</v>
      </c>
      <c r="D2808" s="86">
        <v>21</v>
      </c>
      <c r="E2808" s="85">
        <f t="shared" si="359"/>
        <v>2.1000000000000001E-2</v>
      </c>
      <c r="F2808" s="85">
        <f t="shared" si="360"/>
        <v>1.0500000000000001E-2</v>
      </c>
      <c r="G2808" s="85">
        <f t="shared" si="361"/>
        <v>4.8490482608158458E-6</v>
      </c>
      <c r="H2808" s="85">
        <v>2500</v>
      </c>
      <c r="I2808" s="85">
        <f t="shared" si="362"/>
        <v>1.2122620652039614E-2</v>
      </c>
      <c r="J2808" s="87">
        <v>1</v>
      </c>
      <c r="K2808" s="88">
        <f t="shared" si="363"/>
        <v>82.490414300949965</v>
      </c>
    </row>
    <row r="2809" spans="1:11" hidden="1" x14ac:dyDescent="0.25">
      <c r="A2809" t="str">
        <f t="shared" si="364"/>
        <v>304Ø9</v>
      </c>
      <c r="B2809" s="81">
        <v>304</v>
      </c>
      <c r="D2809" s="86">
        <v>9</v>
      </c>
      <c r="E2809" s="85">
        <f t="shared" si="359"/>
        <v>8.9999999999999993E-3</v>
      </c>
      <c r="F2809" s="85">
        <f t="shared" si="360"/>
        <v>4.4999999999999997E-3</v>
      </c>
      <c r="G2809" s="85">
        <f t="shared" si="361"/>
        <v>3.8170350741115974E-7</v>
      </c>
      <c r="H2809" s="85">
        <v>7950</v>
      </c>
      <c r="I2809" s="85">
        <f t="shared" si="362"/>
        <v>3.0345428839187198E-3</v>
      </c>
      <c r="J2809" s="87">
        <v>1</v>
      </c>
      <c r="K2809" s="88">
        <f t="shared" si="363"/>
        <v>329.53892505504132</v>
      </c>
    </row>
    <row r="2810" spans="1:11" hidden="1" x14ac:dyDescent="0.25">
      <c r="A2810" t="str">
        <f t="shared" si="364"/>
        <v>316LØ1</v>
      </c>
      <c r="B2810" s="81" t="s">
        <v>298</v>
      </c>
      <c r="D2810" s="86">
        <v>1</v>
      </c>
      <c r="E2810" s="85">
        <f t="shared" si="359"/>
        <v>1E-3</v>
      </c>
      <c r="F2810" s="85">
        <f t="shared" si="360"/>
        <v>5.0000000000000001E-4</v>
      </c>
      <c r="G2810" s="85">
        <f t="shared" si="361"/>
        <v>5.2359877559829886E-10</v>
      </c>
      <c r="H2810" s="88">
        <v>7998.6663722202957</v>
      </c>
      <c r="I2810" s="85">
        <f t="shared" si="362"/>
        <v>4.1880919189138337E-6</v>
      </c>
      <c r="J2810" s="87">
        <v>1</v>
      </c>
      <c r="K2810" s="88">
        <f t="shared" si="363"/>
        <v>238772.218795844</v>
      </c>
    </row>
    <row r="2811" spans="1:11" hidden="1" x14ac:dyDescent="0.25">
      <c r="A2811" t="str">
        <f t="shared" si="364"/>
        <v>WC-CoØ2</v>
      </c>
      <c r="B2811" s="81" t="s">
        <v>297</v>
      </c>
      <c r="D2811" s="86">
        <v>2</v>
      </c>
      <c r="E2811" s="85">
        <f t="shared" si="359"/>
        <v>2E-3</v>
      </c>
      <c r="F2811" s="85">
        <f t="shared" si="360"/>
        <v>1E-3</v>
      </c>
      <c r="G2811" s="85">
        <f t="shared" si="361"/>
        <v>4.1887902047863909E-9</v>
      </c>
      <c r="H2811" s="85">
        <v>14950</v>
      </c>
      <c r="I2811" s="85">
        <f t="shared" si="362"/>
        <v>6.2622413561556539E-5</v>
      </c>
      <c r="J2811" s="87">
        <v>1</v>
      </c>
      <c r="K2811" s="88">
        <f t="shared" si="363"/>
        <v>15968.723387146691</v>
      </c>
    </row>
    <row r="2812" spans="1:11" hidden="1" x14ac:dyDescent="0.25">
      <c r="A2812" t="str">
        <f t="shared" si="364"/>
        <v>NBRØ2,38125</v>
      </c>
      <c r="B2812" s="81" t="s">
        <v>341</v>
      </c>
      <c r="C2812" s="101" t="s">
        <v>213</v>
      </c>
      <c r="D2812" s="86">
        <f>3/32*25.4</f>
        <v>2.3812499999999996</v>
      </c>
      <c r="E2812" s="85">
        <f t="shared" si="359"/>
        <v>2.3812499999999997E-3</v>
      </c>
      <c r="F2812" s="85">
        <f t="shared" si="360"/>
        <v>1.1906249999999998E-3</v>
      </c>
      <c r="G2812" s="85">
        <f t="shared" si="361"/>
        <v>7.0699053785209917E-9</v>
      </c>
      <c r="H2812" s="85">
        <v>1200</v>
      </c>
      <c r="I2812" s="85">
        <f t="shared" si="362"/>
        <v>8.4838864542251892E-6</v>
      </c>
      <c r="J2812" s="87">
        <v>1</v>
      </c>
      <c r="K2812" s="88">
        <f t="shared" si="363"/>
        <v>117870.50727228614</v>
      </c>
    </row>
    <row r="2813" spans="1:11" hidden="1" x14ac:dyDescent="0.25">
      <c r="A2813" t="str">
        <f t="shared" si="364"/>
        <v>PURØ2</v>
      </c>
      <c r="B2813" s="81" t="s">
        <v>300</v>
      </c>
      <c r="D2813" s="86">
        <v>2</v>
      </c>
      <c r="E2813" s="85">
        <f t="shared" si="359"/>
        <v>2E-3</v>
      </c>
      <c r="F2813" s="85">
        <f t="shared" si="360"/>
        <v>1E-3</v>
      </c>
      <c r="G2813" s="85">
        <f t="shared" si="361"/>
        <v>4.1887902047863909E-9</v>
      </c>
      <c r="H2813" s="85">
        <v>1140</v>
      </c>
      <c r="I2813" s="85">
        <f t="shared" si="362"/>
        <v>4.7752208334564857E-6</v>
      </c>
      <c r="J2813" s="87">
        <v>1</v>
      </c>
      <c r="K2813" s="88">
        <f t="shared" si="363"/>
        <v>209414.39880512544</v>
      </c>
    </row>
    <row r="2814" spans="1:11" hidden="1" x14ac:dyDescent="0.25">
      <c r="A2814" t="str">
        <f t="shared" si="364"/>
        <v>PURØ4</v>
      </c>
      <c r="B2814" s="81" t="s">
        <v>300</v>
      </c>
      <c r="D2814" s="86">
        <v>4</v>
      </c>
      <c r="E2814" s="85">
        <f t="shared" si="359"/>
        <v>4.0000000000000001E-3</v>
      </c>
      <c r="F2814" s="85">
        <f t="shared" si="360"/>
        <v>2E-3</v>
      </c>
      <c r="G2814" s="85">
        <f t="shared" si="361"/>
        <v>3.3510321638291127E-8</v>
      </c>
      <c r="H2814" s="85">
        <v>1140</v>
      </c>
      <c r="I2814" s="85">
        <f>H2814*G2814</f>
        <v>3.8201766667651885E-5</v>
      </c>
      <c r="J2814" s="87">
        <v>1</v>
      </c>
      <c r="K2814" s="88">
        <f>J2814/I2814</f>
        <v>26176.79985064068</v>
      </c>
    </row>
    <row r="2815" spans="1:11" hidden="1" x14ac:dyDescent="0.25">
      <c r="A2815" t="str">
        <f t="shared" si="364"/>
        <v>52100Ø2,5</v>
      </c>
      <c r="B2815" s="81">
        <v>52100</v>
      </c>
      <c r="D2815" s="86">
        <v>2.5</v>
      </c>
      <c r="E2815" s="85">
        <f t="shared" si="359"/>
        <v>2.5000000000000001E-3</v>
      </c>
      <c r="F2815" s="85">
        <f t="shared" si="360"/>
        <v>1.25E-3</v>
      </c>
      <c r="G2815" s="85">
        <f t="shared" si="361"/>
        <v>8.181230868723419E-9</v>
      </c>
      <c r="H2815" s="85">
        <v>7800</v>
      </c>
      <c r="I2815" s="85">
        <f>H2815*G2815</f>
        <v>6.3813600776042664E-5</v>
      </c>
      <c r="J2815" s="87">
        <v>1</v>
      </c>
      <c r="K2815" s="88">
        <f>J2815/I2815</f>
        <v>15670.640550586621</v>
      </c>
    </row>
    <row r="2816" spans="1:11" hidden="1" x14ac:dyDescent="0.25">
      <c r="A2816" t="str">
        <f t="shared" si="364"/>
        <v>420CØ1,2</v>
      </c>
      <c r="B2816" s="81" t="s">
        <v>295</v>
      </c>
      <c r="D2816" s="86">
        <v>1.2</v>
      </c>
      <c r="E2816" s="85">
        <f t="shared" si="359"/>
        <v>1.1999999999999999E-3</v>
      </c>
      <c r="F2816" s="85">
        <f t="shared" si="360"/>
        <v>5.9999999999999995E-4</v>
      </c>
      <c r="G2816" s="85">
        <f t="shared" si="361"/>
        <v>9.0477868423386013E-10</v>
      </c>
      <c r="H2816" s="85">
        <v>7750</v>
      </c>
      <c r="I2816" s="85">
        <f>H2816*G2816</f>
        <v>7.0120348028124162E-6</v>
      </c>
      <c r="J2816" s="87">
        <v>1</v>
      </c>
      <c r="K2816" s="88">
        <f>J2816/I2816</f>
        <v>142611.9561755335</v>
      </c>
    </row>
    <row r="2817" spans="1:11" hidden="1" x14ac:dyDescent="0.25">
      <c r="A2817" t="str">
        <f t="shared" si="364"/>
        <v>52100Ø10,1</v>
      </c>
      <c r="B2817" s="81">
        <v>52100</v>
      </c>
      <c r="D2817" s="86">
        <v>10.1</v>
      </c>
      <c r="E2817" s="85">
        <f t="shared" si="359"/>
        <v>1.01E-2</v>
      </c>
      <c r="F2817" s="85">
        <f t="shared" si="360"/>
        <v>5.0499999999999998E-3</v>
      </c>
      <c r="G2817" s="85">
        <f t="shared" si="361"/>
        <v>5.3946434209770283E-7</v>
      </c>
      <c r="H2817" s="85">
        <v>7800</v>
      </c>
      <c r="I2817" s="85">
        <f>H2817*G2817</f>
        <v>4.2078218683620824E-3</v>
      </c>
      <c r="J2817" s="87">
        <v>1</v>
      </c>
      <c r="K2817" s="88">
        <f>J2817/I2817</f>
        <v>237.65264578304391</v>
      </c>
    </row>
    <row r="2818" spans="1:11" hidden="1" x14ac:dyDescent="0.25">
      <c r="A2818" t="str">
        <f t="shared" si="364"/>
        <v>52100Ø65</v>
      </c>
      <c r="B2818" s="81">
        <v>52100</v>
      </c>
      <c r="D2818" s="86">
        <v>65</v>
      </c>
      <c r="E2818" s="85">
        <f t="shared" ref="E2818:E2881" si="365">D2818/1000</f>
        <v>6.5000000000000002E-2</v>
      </c>
      <c r="F2818" s="85">
        <f t="shared" ref="F2818:F2881" si="366">E2818/2</f>
        <v>3.2500000000000001E-2</v>
      </c>
      <c r="G2818" s="85">
        <f t="shared" ref="G2818:G2881" si="367">4/3*PI()*F2818*F2818*F2818</f>
        <v>1.4379331374868285E-4</v>
      </c>
      <c r="H2818" s="85">
        <v>7800</v>
      </c>
      <c r="I2818" s="85">
        <f>H2818*G2818</f>
        <v>1.1215878472397263</v>
      </c>
      <c r="J2818" s="87">
        <v>1</v>
      </c>
      <c r="K2818" s="88">
        <f>J2818/I2818</f>
        <v>0.89159311280078601</v>
      </c>
    </row>
    <row r="2819" spans="1:11" hidden="1" x14ac:dyDescent="0.25">
      <c r="A2819" t="str">
        <f t="shared" si="364"/>
        <v>52100Ø9,525</v>
      </c>
      <c r="B2819" s="81">
        <v>52100</v>
      </c>
      <c r="C2819" s="101" t="s">
        <v>254</v>
      </c>
      <c r="D2819" s="86">
        <f>3/8*25.4</f>
        <v>9.5249999999999986</v>
      </c>
      <c r="E2819" s="85">
        <f t="shared" si="365"/>
        <v>9.5249999999999987E-3</v>
      </c>
      <c r="F2819" s="85">
        <f t="shared" si="366"/>
        <v>4.7624999999999994E-3</v>
      </c>
      <c r="G2819" s="85">
        <f t="shared" si="367"/>
        <v>4.5247394422534347E-7</v>
      </c>
      <c r="H2819" s="85">
        <v>7800</v>
      </c>
      <c r="I2819" s="85">
        <f t="shared" ref="I2819:I2882" si="368">H2819*G2819</f>
        <v>3.5292967649576791E-3</v>
      </c>
      <c r="J2819" s="87">
        <v>1</v>
      </c>
      <c r="K2819" s="88">
        <f t="shared" ref="K2819:K2882" si="369">J2819/I2819</f>
        <v>283.3425655583801</v>
      </c>
    </row>
    <row r="2820" spans="1:11" hidden="1" x14ac:dyDescent="0.25">
      <c r="A2820" t="str">
        <f t="shared" ref="A2820:A2883" si="370">CONCATENATE(B2820,"Ø",D2820)</f>
        <v>52100Ø0,78</v>
      </c>
      <c r="B2820" s="81">
        <v>52100</v>
      </c>
      <c r="D2820" s="86">
        <v>0.78</v>
      </c>
      <c r="E2820" s="85">
        <f t="shared" si="365"/>
        <v>7.7999999999999999E-4</v>
      </c>
      <c r="F2820" s="85">
        <f t="shared" si="366"/>
        <v>3.8999999999999999E-4</v>
      </c>
      <c r="G2820" s="85">
        <f t="shared" si="367"/>
        <v>2.4847484615772389E-10</v>
      </c>
      <c r="H2820" s="85">
        <v>7800</v>
      </c>
      <c r="I2820" s="85">
        <f t="shared" si="368"/>
        <v>1.9381038000302462E-6</v>
      </c>
      <c r="J2820" s="87">
        <v>1</v>
      </c>
      <c r="K2820" s="88">
        <f t="shared" si="369"/>
        <v>515968.23657452915</v>
      </c>
    </row>
    <row r="2821" spans="1:11" hidden="1" x14ac:dyDescent="0.25">
      <c r="A2821" t="str">
        <f t="shared" si="370"/>
        <v>Al2O3Ø50</v>
      </c>
      <c r="B2821" s="81" t="s">
        <v>217</v>
      </c>
      <c r="D2821" s="86">
        <v>50</v>
      </c>
      <c r="E2821" s="85">
        <f t="shared" si="365"/>
        <v>0.05</v>
      </c>
      <c r="F2821" s="85">
        <f t="shared" si="366"/>
        <v>2.5000000000000001E-2</v>
      </c>
      <c r="G2821" s="85">
        <f t="shared" si="367"/>
        <v>6.5449846949787365E-5</v>
      </c>
      <c r="H2821" s="85">
        <v>3600</v>
      </c>
      <c r="I2821" s="85">
        <f t="shared" si="368"/>
        <v>0.23561944901923451</v>
      </c>
      <c r="J2821" s="87">
        <v>1</v>
      </c>
      <c r="K2821" s="97">
        <f t="shared" si="369"/>
        <v>4.2441318157838754</v>
      </c>
    </row>
    <row r="2822" spans="1:11" hidden="1" x14ac:dyDescent="0.25">
      <c r="A2822" t="str">
        <f t="shared" si="370"/>
        <v>Al2O3Ø65</v>
      </c>
      <c r="B2822" s="81" t="s">
        <v>217</v>
      </c>
      <c r="D2822" s="86">
        <v>65</v>
      </c>
      <c r="E2822" s="85">
        <f t="shared" si="365"/>
        <v>6.5000000000000002E-2</v>
      </c>
      <c r="F2822" s="85">
        <f t="shared" si="366"/>
        <v>3.2500000000000001E-2</v>
      </c>
      <c r="G2822" s="85">
        <f t="shared" si="367"/>
        <v>1.4379331374868285E-4</v>
      </c>
      <c r="H2822" s="85">
        <v>3600</v>
      </c>
      <c r="I2822" s="85">
        <f t="shared" si="368"/>
        <v>0.51765592949525829</v>
      </c>
      <c r="J2822" s="87">
        <v>1</v>
      </c>
      <c r="K2822" s="97">
        <f t="shared" si="369"/>
        <v>1.9317850777350363</v>
      </c>
    </row>
    <row r="2823" spans="1:11" hidden="1" x14ac:dyDescent="0.25">
      <c r="A2823" t="str">
        <f t="shared" si="370"/>
        <v>Al2O3Ø75</v>
      </c>
      <c r="B2823" s="81" t="s">
        <v>217</v>
      </c>
      <c r="D2823" s="86">
        <v>75</v>
      </c>
      <c r="E2823" s="85">
        <f t="shared" si="365"/>
        <v>7.4999999999999997E-2</v>
      </c>
      <c r="F2823" s="85">
        <f t="shared" si="366"/>
        <v>3.7499999999999999E-2</v>
      </c>
      <c r="G2823" s="85">
        <f t="shared" si="367"/>
        <v>2.2089323345553228E-4</v>
      </c>
      <c r="H2823" s="85">
        <v>3600</v>
      </c>
      <c r="I2823" s="85">
        <f t="shared" si="368"/>
        <v>0.79521564043991622</v>
      </c>
      <c r="J2823" s="87">
        <v>1</v>
      </c>
      <c r="K2823" s="97">
        <f t="shared" si="369"/>
        <v>1.2575205380100376</v>
      </c>
    </row>
    <row r="2824" spans="1:11" hidden="1" x14ac:dyDescent="0.25">
      <c r="A2824" t="str">
        <f t="shared" si="370"/>
        <v>Al2O3Ø90</v>
      </c>
      <c r="B2824" s="81" t="s">
        <v>217</v>
      </c>
      <c r="D2824" s="86">
        <v>90</v>
      </c>
      <c r="E2824" s="85">
        <f t="shared" si="365"/>
        <v>0.09</v>
      </c>
      <c r="F2824" s="85">
        <f t="shared" si="366"/>
        <v>4.4999999999999998E-2</v>
      </c>
      <c r="G2824" s="85">
        <f t="shared" si="367"/>
        <v>3.817035074111598E-4</v>
      </c>
      <c r="H2824" s="85">
        <v>3600</v>
      </c>
      <c r="I2824" s="85">
        <f t="shared" si="368"/>
        <v>1.3741326266801752</v>
      </c>
      <c r="J2824" s="87">
        <v>1</v>
      </c>
      <c r="K2824" s="97">
        <f t="shared" si="369"/>
        <v>0.72773179282988287</v>
      </c>
    </row>
    <row r="2825" spans="1:11" hidden="1" x14ac:dyDescent="0.25">
      <c r="A2825" t="str">
        <f t="shared" si="370"/>
        <v>POMØ4,7625</v>
      </c>
      <c r="B2825" s="81" t="s">
        <v>201</v>
      </c>
      <c r="C2825" s="101" t="s">
        <v>248</v>
      </c>
      <c r="D2825" s="86">
        <f>3/16*25.4</f>
        <v>4.7624999999999993</v>
      </c>
      <c r="E2825" s="85">
        <f t="shared" si="365"/>
        <v>4.7624999999999994E-3</v>
      </c>
      <c r="F2825" s="85">
        <f t="shared" si="366"/>
        <v>2.3812499999999997E-3</v>
      </c>
      <c r="G2825" s="85">
        <f t="shared" si="367"/>
        <v>5.6559243028167934E-8</v>
      </c>
      <c r="H2825" s="85">
        <v>1370</v>
      </c>
      <c r="I2825" s="85">
        <f t="shared" si="368"/>
        <v>7.7486162948590069E-5</v>
      </c>
      <c r="J2825" s="87">
        <v>1</v>
      </c>
      <c r="K2825" s="88">
        <f t="shared" si="369"/>
        <v>12905.529993315999</v>
      </c>
    </row>
    <row r="2826" spans="1:11" hidden="1" x14ac:dyDescent="0.25">
      <c r="A2826" t="str">
        <f t="shared" si="370"/>
        <v>POMØ6,35</v>
      </c>
      <c r="B2826" s="81" t="s">
        <v>201</v>
      </c>
      <c r="C2826" s="101" t="s">
        <v>218</v>
      </c>
      <c r="D2826" s="86">
        <f>1/4*25.4</f>
        <v>6.35</v>
      </c>
      <c r="E2826" s="85">
        <f t="shared" si="365"/>
        <v>6.3499999999999997E-3</v>
      </c>
      <c r="F2826" s="85">
        <f t="shared" si="366"/>
        <v>3.1749999999999999E-3</v>
      </c>
      <c r="G2826" s="85">
        <f t="shared" si="367"/>
        <v>1.3406635384454623E-7</v>
      </c>
      <c r="H2826" s="85">
        <v>1370</v>
      </c>
      <c r="I2826" s="85">
        <f t="shared" si="368"/>
        <v>1.8367090476702834E-4</v>
      </c>
      <c r="J2826" s="87">
        <v>1</v>
      </c>
      <c r="K2826" s="88">
        <f t="shared" si="369"/>
        <v>5444.5204659301862</v>
      </c>
    </row>
    <row r="2827" spans="1:11" hidden="1" x14ac:dyDescent="0.25">
      <c r="A2827" t="str">
        <f t="shared" si="370"/>
        <v>POMØ7,9375</v>
      </c>
      <c r="B2827" s="81" t="s">
        <v>201</v>
      </c>
      <c r="C2827" s="101" t="s">
        <v>252</v>
      </c>
      <c r="D2827" s="86">
        <f>5/16*25.4</f>
        <v>7.9375</v>
      </c>
      <c r="E2827" s="85">
        <f t="shared" si="365"/>
        <v>7.9375000000000001E-3</v>
      </c>
      <c r="F2827" s="85">
        <f t="shared" si="366"/>
        <v>3.9687500000000001E-3</v>
      </c>
      <c r="G2827" s="85">
        <f t="shared" si="367"/>
        <v>2.6184834735262947E-7</v>
      </c>
      <c r="H2827" s="85">
        <v>1370</v>
      </c>
      <c r="I2827" s="85">
        <f t="shared" si="368"/>
        <v>3.5873223587310236E-4</v>
      </c>
      <c r="J2827" s="87">
        <v>1</v>
      </c>
      <c r="K2827" s="88">
        <f t="shared" si="369"/>
        <v>2787.5944785562542</v>
      </c>
    </row>
    <row r="2828" spans="1:11" hidden="1" x14ac:dyDescent="0.25">
      <c r="A2828" t="str">
        <f t="shared" si="370"/>
        <v>TorlonØ4,7625</v>
      </c>
      <c r="B2828" s="81" t="s">
        <v>324</v>
      </c>
      <c r="C2828" s="101" t="s">
        <v>248</v>
      </c>
      <c r="D2828" s="86">
        <f>3/16*25.4</f>
        <v>4.7624999999999993</v>
      </c>
      <c r="E2828" s="85">
        <f t="shared" si="365"/>
        <v>4.7624999999999994E-3</v>
      </c>
      <c r="F2828" s="85">
        <f t="shared" si="366"/>
        <v>2.3812499999999997E-3</v>
      </c>
      <c r="G2828" s="85">
        <f t="shared" si="367"/>
        <v>5.6559243028167934E-8</v>
      </c>
      <c r="H2828" s="85">
        <v>1420</v>
      </c>
      <c r="I2828" s="85">
        <f t="shared" si="368"/>
        <v>8.0314125099998466E-5</v>
      </c>
      <c r="J2828" s="87">
        <v>1</v>
      </c>
      <c r="K2828" s="88">
        <f t="shared" si="369"/>
        <v>12451.109923128815</v>
      </c>
    </row>
    <row r="2829" spans="1:11" hidden="1" x14ac:dyDescent="0.25">
      <c r="A2829" t="str">
        <f t="shared" si="370"/>
        <v>TorlonØ6,35</v>
      </c>
      <c r="B2829" s="81" t="s">
        <v>324</v>
      </c>
      <c r="C2829" s="101" t="s">
        <v>218</v>
      </c>
      <c r="D2829" s="86">
        <f>1/4*25.4</f>
        <v>6.35</v>
      </c>
      <c r="E2829" s="85">
        <f t="shared" si="365"/>
        <v>6.3499999999999997E-3</v>
      </c>
      <c r="F2829" s="85">
        <f t="shared" si="366"/>
        <v>3.1749999999999999E-3</v>
      </c>
      <c r="G2829" s="85">
        <f t="shared" si="367"/>
        <v>1.3406635384454623E-7</v>
      </c>
      <c r="H2829" s="85">
        <v>1420</v>
      </c>
      <c r="I2829" s="85">
        <f t="shared" si="368"/>
        <v>1.9037422245925565E-4</v>
      </c>
      <c r="J2829" s="87">
        <v>1</v>
      </c>
      <c r="K2829" s="88">
        <f t="shared" si="369"/>
        <v>5252.8119988199687</v>
      </c>
    </row>
    <row r="2830" spans="1:11" hidden="1" x14ac:dyDescent="0.25">
      <c r="A2830" t="str">
        <f t="shared" si="370"/>
        <v>TorlonØ7,9375</v>
      </c>
      <c r="B2830" s="81" t="s">
        <v>324</v>
      </c>
      <c r="C2830" s="101" t="s">
        <v>252</v>
      </c>
      <c r="D2830" s="86">
        <f>5/16*25.4</f>
        <v>7.9375</v>
      </c>
      <c r="E2830" s="85">
        <f t="shared" si="365"/>
        <v>7.9375000000000001E-3</v>
      </c>
      <c r="F2830" s="85">
        <f t="shared" si="366"/>
        <v>3.9687500000000001E-3</v>
      </c>
      <c r="G2830" s="85">
        <f t="shared" si="367"/>
        <v>2.6184834735262947E-7</v>
      </c>
      <c r="H2830" s="85">
        <v>1420</v>
      </c>
      <c r="I2830" s="85">
        <f t="shared" si="368"/>
        <v>3.7182465324073384E-4</v>
      </c>
      <c r="J2830" s="87">
        <v>1</v>
      </c>
      <c r="K2830" s="88">
        <f t="shared" si="369"/>
        <v>2689.4397433958229</v>
      </c>
    </row>
    <row r="2831" spans="1:11" hidden="1" x14ac:dyDescent="0.25">
      <c r="A2831" t="str">
        <f t="shared" si="370"/>
        <v>PA6.6Ø2</v>
      </c>
      <c r="B2831" s="81" t="s">
        <v>244</v>
      </c>
      <c r="D2831" s="86">
        <v>2</v>
      </c>
      <c r="E2831" s="85">
        <f t="shared" si="365"/>
        <v>2E-3</v>
      </c>
      <c r="F2831" s="85">
        <f t="shared" si="366"/>
        <v>1E-3</v>
      </c>
      <c r="G2831" s="85">
        <f t="shared" si="367"/>
        <v>4.1887902047863909E-9</v>
      </c>
      <c r="H2831" s="85">
        <v>1110</v>
      </c>
      <c r="I2831" s="85">
        <f t="shared" si="368"/>
        <v>4.6495571273128935E-6</v>
      </c>
      <c r="J2831" s="87">
        <v>1</v>
      </c>
      <c r="K2831" s="88">
        <f t="shared" si="369"/>
        <v>215074.24742148022</v>
      </c>
    </row>
    <row r="2832" spans="1:11" hidden="1" x14ac:dyDescent="0.25">
      <c r="A2832" t="str">
        <f t="shared" si="370"/>
        <v>PTFEØ2</v>
      </c>
      <c r="B2832" s="81" t="s">
        <v>307</v>
      </c>
      <c r="D2832" s="86">
        <v>2</v>
      </c>
      <c r="E2832" s="85">
        <f t="shared" si="365"/>
        <v>2E-3</v>
      </c>
      <c r="F2832" s="85">
        <f t="shared" si="366"/>
        <v>1E-3</v>
      </c>
      <c r="G2832" s="85">
        <f t="shared" si="367"/>
        <v>4.1887902047863909E-9</v>
      </c>
      <c r="H2832" s="85">
        <v>2160</v>
      </c>
      <c r="I2832" s="85">
        <f t="shared" si="368"/>
        <v>9.0477868423386043E-6</v>
      </c>
      <c r="J2832" s="87">
        <v>1</v>
      </c>
      <c r="K2832" s="88">
        <f t="shared" si="369"/>
        <v>110524.26603603843</v>
      </c>
    </row>
    <row r="2833" spans="1:11" hidden="1" x14ac:dyDescent="0.25">
      <c r="A2833" t="str">
        <f t="shared" si="370"/>
        <v>Al2O3Ø2</v>
      </c>
      <c r="B2833" s="81" t="s">
        <v>217</v>
      </c>
      <c r="D2833" s="86">
        <v>2</v>
      </c>
      <c r="E2833" s="85">
        <f t="shared" si="365"/>
        <v>2E-3</v>
      </c>
      <c r="F2833" s="85">
        <f t="shared" si="366"/>
        <v>1E-3</v>
      </c>
      <c r="G2833" s="85">
        <f t="shared" si="367"/>
        <v>4.1887902047863909E-9</v>
      </c>
      <c r="H2833" s="85">
        <v>3900</v>
      </c>
      <c r="I2833" s="85">
        <f t="shared" si="368"/>
        <v>1.6336281798666925E-5</v>
      </c>
      <c r="J2833" s="87">
        <v>1</v>
      </c>
      <c r="K2833" s="88">
        <f t="shared" si="369"/>
        <v>61213.439650728978</v>
      </c>
    </row>
    <row r="2834" spans="1:11" hidden="1" x14ac:dyDescent="0.25">
      <c r="A2834" t="str">
        <f t="shared" si="370"/>
        <v>316Ø1</v>
      </c>
      <c r="B2834" s="81">
        <v>316</v>
      </c>
      <c r="D2834" s="86">
        <v>1</v>
      </c>
      <c r="E2834" s="85">
        <f t="shared" si="365"/>
        <v>1E-3</v>
      </c>
      <c r="F2834" s="85">
        <f t="shared" si="366"/>
        <v>5.0000000000000001E-4</v>
      </c>
      <c r="G2834" s="85">
        <f t="shared" si="367"/>
        <v>5.2359877559829886E-10</v>
      </c>
      <c r="H2834" s="88">
        <v>7950</v>
      </c>
      <c r="I2834" s="85">
        <f t="shared" si="368"/>
        <v>4.1626102660064759E-6</v>
      </c>
      <c r="J2834" s="87">
        <v>1</v>
      </c>
      <c r="K2834" s="88">
        <f t="shared" si="369"/>
        <v>240233.87636512503</v>
      </c>
    </row>
    <row r="2835" spans="1:11" hidden="1" x14ac:dyDescent="0.25">
      <c r="A2835" t="str">
        <f t="shared" si="370"/>
        <v>52100Ø9,7</v>
      </c>
      <c r="B2835" s="81">
        <v>52100</v>
      </c>
      <c r="D2835" s="86">
        <v>9.6999999999999993</v>
      </c>
      <c r="E2835" s="85">
        <f t="shared" si="365"/>
        <v>9.6999999999999986E-3</v>
      </c>
      <c r="F2835" s="85">
        <f t="shared" si="366"/>
        <v>4.8499999999999993E-3</v>
      </c>
      <c r="G2835" s="85">
        <f t="shared" si="367"/>
        <v>4.7787446532162595E-7</v>
      </c>
      <c r="H2835" s="85">
        <v>7800</v>
      </c>
      <c r="I2835" s="85">
        <f t="shared" si="368"/>
        <v>3.7274208295086826E-3</v>
      </c>
      <c r="J2835" s="87">
        <v>1</v>
      </c>
      <c r="K2835" s="88">
        <f t="shared" si="369"/>
        <v>268.28202280873438</v>
      </c>
    </row>
    <row r="2836" spans="1:11" hidden="1" x14ac:dyDescent="0.25">
      <c r="A2836" t="str">
        <f t="shared" si="370"/>
        <v>52100Ø9,425</v>
      </c>
      <c r="B2836" s="81">
        <v>52100</v>
      </c>
      <c r="C2836" s="101" t="s">
        <v>419</v>
      </c>
      <c r="D2836" s="86">
        <f>3/8*25.4-0.1</f>
        <v>9.4249999999999989</v>
      </c>
      <c r="E2836" s="85">
        <f t="shared" si="365"/>
        <v>9.4249999999999994E-3</v>
      </c>
      <c r="F2836" s="85">
        <f t="shared" si="366"/>
        <v>4.7124999999999997E-3</v>
      </c>
      <c r="G2836" s="85">
        <f t="shared" si="367"/>
        <v>4.3837189112707808E-7</v>
      </c>
      <c r="H2836" s="85">
        <v>7800</v>
      </c>
      <c r="I2836" s="85">
        <f t="shared" si="368"/>
        <v>3.4193007507912088E-3</v>
      </c>
      <c r="J2836" s="87">
        <v>1</v>
      </c>
      <c r="K2836" s="88">
        <f t="shared" si="369"/>
        <v>292.45745632893073</v>
      </c>
    </row>
    <row r="2837" spans="1:11" hidden="1" x14ac:dyDescent="0.25">
      <c r="A2837" t="str">
        <f t="shared" si="370"/>
        <v>52100Ø9,921875</v>
      </c>
      <c r="B2837" s="81">
        <v>52100</v>
      </c>
      <c r="C2837" s="101" t="s">
        <v>345</v>
      </c>
      <c r="D2837" s="86">
        <f>25/64*25.4</f>
        <v>9.921875</v>
      </c>
      <c r="E2837" s="85">
        <f t="shared" si="365"/>
        <v>9.9218750000000001E-3</v>
      </c>
      <c r="F2837" s="85">
        <f t="shared" si="366"/>
        <v>4.9609375000000001E-3</v>
      </c>
      <c r="G2837" s="85">
        <f t="shared" si="367"/>
        <v>5.1142255342310435E-7</v>
      </c>
      <c r="H2837" s="85">
        <v>7800</v>
      </c>
      <c r="I2837" s="85">
        <f t="shared" si="368"/>
        <v>3.9890959167002138E-3</v>
      </c>
      <c r="J2837" s="87">
        <v>1</v>
      </c>
      <c r="K2837" s="88">
        <f t="shared" si="369"/>
        <v>250.6833680818589</v>
      </c>
    </row>
    <row r="2838" spans="1:11" hidden="1" x14ac:dyDescent="0.25">
      <c r="A2838" t="str">
        <f t="shared" si="370"/>
        <v>52100Ø10</v>
      </c>
      <c r="B2838" s="81">
        <v>52100</v>
      </c>
      <c r="D2838" s="86">
        <v>10</v>
      </c>
      <c r="E2838" s="85">
        <f t="shared" si="365"/>
        <v>0.01</v>
      </c>
      <c r="F2838" s="85">
        <f t="shared" si="366"/>
        <v>5.0000000000000001E-3</v>
      </c>
      <c r="G2838" s="85">
        <f t="shared" si="367"/>
        <v>5.2359877559829882E-7</v>
      </c>
      <c r="H2838" s="85">
        <v>7800</v>
      </c>
      <c r="I2838" s="85">
        <f t="shared" si="368"/>
        <v>4.0840704496667305E-3</v>
      </c>
      <c r="J2838" s="87">
        <v>1</v>
      </c>
      <c r="K2838" s="88">
        <f t="shared" si="369"/>
        <v>244.85375860291595</v>
      </c>
    </row>
    <row r="2839" spans="1:11" hidden="1" x14ac:dyDescent="0.25">
      <c r="A2839" t="str">
        <f t="shared" si="370"/>
        <v>440CØ1</v>
      </c>
      <c r="B2839" s="81" t="s">
        <v>314</v>
      </c>
      <c r="D2839" s="86">
        <v>1</v>
      </c>
      <c r="E2839" s="85">
        <f t="shared" si="365"/>
        <v>1E-3</v>
      </c>
      <c r="F2839" s="85">
        <f t="shared" si="366"/>
        <v>5.0000000000000001E-4</v>
      </c>
      <c r="G2839" s="85">
        <f t="shared" si="367"/>
        <v>5.2359877559829886E-10</v>
      </c>
      <c r="H2839" s="85">
        <v>7600</v>
      </c>
      <c r="I2839" s="85">
        <f t="shared" si="368"/>
        <v>3.9793506945470711E-6</v>
      </c>
      <c r="J2839" s="87">
        <v>1</v>
      </c>
      <c r="K2839" s="88">
        <f t="shared" si="369"/>
        <v>251297.27856615055</v>
      </c>
    </row>
    <row r="2840" spans="1:11" hidden="1" x14ac:dyDescent="0.25">
      <c r="A2840" t="str">
        <f t="shared" si="370"/>
        <v>PA6.6Ø3,96875</v>
      </c>
      <c r="B2840" s="81" t="s">
        <v>244</v>
      </c>
      <c r="C2840" s="101" t="s">
        <v>215</v>
      </c>
      <c r="D2840" s="86">
        <f>5/32*25.4</f>
        <v>3.96875</v>
      </c>
      <c r="E2840" s="85">
        <f t="shared" si="365"/>
        <v>3.9687500000000001E-3</v>
      </c>
      <c r="F2840" s="85">
        <f t="shared" si="366"/>
        <v>1.984375E-3</v>
      </c>
      <c r="G2840" s="85">
        <f t="shared" si="367"/>
        <v>3.2731043419078684E-8</v>
      </c>
      <c r="H2840" s="85">
        <v>1110</v>
      </c>
      <c r="I2840" s="85">
        <f t="shared" si="368"/>
        <v>3.6331458195177338E-5</v>
      </c>
      <c r="J2840" s="87">
        <v>1</v>
      </c>
      <c r="K2840" s="88">
        <f t="shared" si="369"/>
        <v>27524.356292771663</v>
      </c>
    </row>
    <row r="2841" spans="1:11" hidden="1" x14ac:dyDescent="0.25">
      <c r="A2841" t="str">
        <f t="shared" si="370"/>
        <v>440CØ1,2</v>
      </c>
      <c r="B2841" s="81" t="s">
        <v>314</v>
      </c>
      <c r="D2841" s="86">
        <v>1.2</v>
      </c>
      <c r="E2841" s="85">
        <f t="shared" si="365"/>
        <v>1.1999999999999999E-3</v>
      </c>
      <c r="F2841" s="85">
        <f t="shared" si="366"/>
        <v>5.9999999999999995E-4</v>
      </c>
      <c r="G2841" s="85">
        <f t="shared" si="367"/>
        <v>9.0477868423386013E-10</v>
      </c>
      <c r="H2841" s="85">
        <v>7685</v>
      </c>
      <c r="I2841" s="85">
        <f t="shared" si="368"/>
        <v>6.9532241883372155E-6</v>
      </c>
      <c r="J2841" s="87">
        <v>1</v>
      </c>
      <c r="K2841" s="88">
        <f t="shared" si="369"/>
        <v>143818.17311130575</v>
      </c>
    </row>
    <row r="2842" spans="1:11" hidden="1" x14ac:dyDescent="0.25">
      <c r="A2842" t="str">
        <f t="shared" si="370"/>
        <v>NBRØ2,38125</v>
      </c>
      <c r="B2842" s="81" t="s">
        <v>341</v>
      </c>
      <c r="C2842" s="101" t="s">
        <v>213</v>
      </c>
      <c r="D2842" s="86">
        <f>3/32*25.4</f>
        <v>2.3812499999999996</v>
      </c>
      <c r="E2842" s="85">
        <f t="shared" si="365"/>
        <v>2.3812499999999997E-3</v>
      </c>
      <c r="F2842" s="85">
        <f t="shared" si="366"/>
        <v>1.1906249999999998E-3</v>
      </c>
      <c r="G2842" s="85">
        <f t="shared" si="367"/>
        <v>7.0699053785209917E-9</v>
      </c>
      <c r="H2842" s="85">
        <v>1200</v>
      </c>
      <c r="I2842" s="85">
        <f t="shared" si="368"/>
        <v>8.4838864542251892E-6</v>
      </c>
      <c r="J2842" s="87">
        <v>1</v>
      </c>
      <c r="K2842" s="88">
        <f t="shared" si="369"/>
        <v>117870.50727228614</v>
      </c>
    </row>
    <row r="2843" spans="1:11" hidden="1" x14ac:dyDescent="0.25">
      <c r="A2843" t="str">
        <f t="shared" si="370"/>
        <v>PA6.6Ø3,96875</v>
      </c>
      <c r="B2843" s="81" t="s">
        <v>244</v>
      </c>
      <c r="C2843" s="101" t="s">
        <v>215</v>
      </c>
      <c r="D2843" s="86">
        <f>5/32*25.4</f>
        <v>3.96875</v>
      </c>
      <c r="E2843" s="85">
        <f t="shared" si="365"/>
        <v>3.9687500000000001E-3</v>
      </c>
      <c r="F2843" s="85">
        <f t="shared" si="366"/>
        <v>1.984375E-3</v>
      </c>
      <c r="G2843" s="85">
        <f t="shared" si="367"/>
        <v>3.2731043419078684E-8</v>
      </c>
      <c r="H2843" s="85">
        <v>1110</v>
      </c>
      <c r="I2843" s="85">
        <f t="shared" si="368"/>
        <v>3.6331458195177338E-5</v>
      </c>
      <c r="J2843" s="87">
        <v>1</v>
      </c>
      <c r="K2843" s="88">
        <f t="shared" si="369"/>
        <v>27524.356292771663</v>
      </c>
    </row>
    <row r="2844" spans="1:11" hidden="1" x14ac:dyDescent="0.25">
      <c r="A2844" t="str">
        <f t="shared" si="370"/>
        <v>52100Ø10,5</v>
      </c>
      <c r="B2844" s="81">
        <v>52100</v>
      </c>
      <c r="D2844" s="86">
        <v>10.5</v>
      </c>
      <c r="E2844" s="85">
        <f t="shared" si="365"/>
        <v>1.0500000000000001E-2</v>
      </c>
      <c r="F2844" s="85">
        <f t="shared" si="366"/>
        <v>5.2500000000000003E-3</v>
      </c>
      <c r="G2844" s="85">
        <f t="shared" si="367"/>
        <v>6.0613103260198073E-7</v>
      </c>
      <c r="H2844" s="85">
        <v>7800</v>
      </c>
      <c r="I2844" s="85">
        <f t="shared" si="368"/>
        <v>4.7278220542954497E-3</v>
      </c>
      <c r="J2844" s="87">
        <v>1</v>
      </c>
      <c r="K2844" s="88">
        <f t="shared" si="369"/>
        <v>211.51388282294863</v>
      </c>
    </row>
    <row r="2845" spans="1:11" hidden="1" x14ac:dyDescent="0.25">
      <c r="A2845" t="str">
        <f t="shared" si="370"/>
        <v>52100Ø22,7</v>
      </c>
      <c r="B2845" s="81">
        <v>52100</v>
      </c>
      <c r="D2845" s="86">
        <v>22.7</v>
      </c>
      <c r="E2845" s="85">
        <f t="shared" si="365"/>
        <v>2.2699999999999998E-2</v>
      </c>
      <c r="F2845" s="85">
        <f t="shared" si="366"/>
        <v>1.1349999999999999E-2</v>
      </c>
      <c r="G2845" s="85">
        <f t="shared" si="367"/>
        <v>6.1245783368716748E-6</v>
      </c>
      <c r="H2845" s="85">
        <v>7800</v>
      </c>
      <c r="I2845" s="85">
        <f t="shared" si="368"/>
        <v>4.7771711027599063E-2</v>
      </c>
      <c r="J2845" s="87">
        <v>1</v>
      </c>
      <c r="K2845" s="88">
        <f t="shared" si="369"/>
        <v>20.932890585021578</v>
      </c>
    </row>
    <row r="2846" spans="1:11" hidden="1" x14ac:dyDescent="0.25">
      <c r="A2846" t="str">
        <f t="shared" si="370"/>
        <v>316Ø0,8</v>
      </c>
      <c r="B2846" s="81">
        <v>316</v>
      </c>
      <c r="D2846" s="86">
        <v>0.8</v>
      </c>
      <c r="E2846" s="85">
        <f t="shared" si="365"/>
        <v>8.0000000000000004E-4</v>
      </c>
      <c r="F2846" s="85">
        <f t="shared" si="366"/>
        <v>4.0000000000000002E-4</v>
      </c>
      <c r="G2846" s="85">
        <f t="shared" si="367"/>
        <v>2.6808257310632903E-10</v>
      </c>
      <c r="H2846" s="85">
        <v>7950</v>
      </c>
      <c r="I2846" s="85">
        <f t="shared" si="368"/>
        <v>2.1312564561953159E-6</v>
      </c>
      <c r="J2846" s="87">
        <v>1</v>
      </c>
      <c r="K2846" s="88">
        <f t="shared" si="369"/>
        <v>469206.78977563482</v>
      </c>
    </row>
    <row r="2847" spans="1:11" hidden="1" x14ac:dyDescent="0.25">
      <c r="A2847" t="str">
        <f t="shared" si="370"/>
        <v>304Ø8</v>
      </c>
      <c r="B2847" s="81">
        <v>304</v>
      </c>
      <c r="D2847" s="86">
        <v>8</v>
      </c>
      <c r="E2847" s="85">
        <f t="shared" si="365"/>
        <v>8.0000000000000002E-3</v>
      </c>
      <c r="F2847" s="85">
        <f t="shared" si="366"/>
        <v>4.0000000000000001E-3</v>
      </c>
      <c r="G2847" s="85">
        <f t="shared" si="367"/>
        <v>2.6808257310632902E-7</v>
      </c>
      <c r="H2847" s="85">
        <v>7950</v>
      </c>
      <c r="I2847" s="85">
        <f t="shared" si="368"/>
        <v>2.1312564561953157E-3</v>
      </c>
      <c r="J2847" s="87">
        <v>1</v>
      </c>
      <c r="K2847" s="88">
        <f t="shared" si="369"/>
        <v>469.20678977563483</v>
      </c>
    </row>
    <row r="2848" spans="1:11" hidden="1" x14ac:dyDescent="0.25">
      <c r="A2848" t="str">
        <f t="shared" si="370"/>
        <v>TantalioØ1,6</v>
      </c>
      <c r="B2848" s="81" t="s">
        <v>301</v>
      </c>
      <c r="D2848" s="86">
        <v>1.6</v>
      </c>
      <c r="E2848" s="85">
        <f t="shared" si="365"/>
        <v>1.6000000000000001E-3</v>
      </c>
      <c r="F2848" s="85">
        <f t="shared" si="366"/>
        <v>8.0000000000000004E-4</v>
      </c>
      <c r="G2848" s="85">
        <f t="shared" si="367"/>
        <v>2.1446605848506322E-9</v>
      </c>
      <c r="H2848" s="85">
        <v>16650</v>
      </c>
      <c r="I2848" s="85">
        <f t="shared" si="368"/>
        <v>3.5708598737763027E-5</v>
      </c>
      <c r="J2848" s="87">
        <v>1</v>
      </c>
      <c r="K2848" s="88">
        <f t="shared" si="369"/>
        <v>28004.459299671897</v>
      </c>
    </row>
    <row r="2849" spans="1:11" hidden="1" x14ac:dyDescent="0.25">
      <c r="A2849" t="str">
        <f t="shared" si="370"/>
        <v>VESCØ8</v>
      </c>
      <c r="B2849" s="81" t="s">
        <v>210</v>
      </c>
      <c r="D2849" s="86">
        <v>8</v>
      </c>
      <c r="E2849" s="85">
        <f t="shared" si="365"/>
        <v>8.0000000000000002E-3</v>
      </c>
      <c r="F2849" s="85">
        <f t="shared" si="366"/>
        <v>4.0000000000000001E-3</v>
      </c>
      <c r="G2849" s="85">
        <f t="shared" si="367"/>
        <v>2.6808257310632902E-7</v>
      </c>
      <c r="H2849" s="85">
        <v>2500</v>
      </c>
      <c r="I2849" s="85">
        <f t="shared" si="368"/>
        <v>6.7020643276582254E-4</v>
      </c>
      <c r="J2849" s="87">
        <v>1</v>
      </c>
      <c r="K2849" s="88">
        <f t="shared" si="369"/>
        <v>1492.0775914865187</v>
      </c>
    </row>
    <row r="2850" spans="1:11" hidden="1" x14ac:dyDescent="0.25">
      <c r="A2850" t="str">
        <f t="shared" si="370"/>
        <v>PA6.6Ø15,08125</v>
      </c>
      <c r="B2850" s="81" t="s">
        <v>244</v>
      </c>
      <c r="C2850" s="101" t="s">
        <v>267</v>
      </c>
      <c r="D2850" s="86">
        <f>19/32*25.4</f>
        <v>15.081249999999999</v>
      </c>
      <c r="E2850" s="85">
        <f t="shared" si="365"/>
        <v>1.5081249999999999E-2</v>
      </c>
      <c r="F2850" s="85">
        <f t="shared" si="366"/>
        <v>7.5406249999999996E-3</v>
      </c>
      <c r="G2850" s="85">
        <f t="shared" si="367"/>
        <v>1.7960178144916849E-6</v>
      </c>
      <c r="H2850" s="85">
        <v>1110</v>
      </c>
      <c r="I2850" s="85">
        <f t="shared" si="368"/>
        <v>1.9935797740857704E-3</v>
      </c>
      <c r="J2850" s="87">
        <v>1</v>
      </c>
      <c r="K2850" s="88">
        <f t="shared" si="369"/>
        <v>501.61022548424825</v>
      </c>
    </row>
    <row r="2851" spans="1:11" hidden="1" x14ac:dyDescent="0.25">
      <c r="A2851" t="str">
        <f t="shared" si="370"/>
        <v>SiCØ5</v>
      </c>
      <c r="B2851" s="81" t="s">
        <v>326</v>
      </c>
      <c r="D2851" s="86">
        <v>5</v>
      </c>
      <c r="E2851" s="85">
        <f t="shared" si="365"/>
        <v>5.0000000000000001E-3</v>
      </c>
      <c r="F2851" s="85">
        <f t="shared" si="366"/>
        <v>2.5000000000000001E-3</v>
      </c>
      <c r="G2851" s="85">
        <f t="shared" si="367"/>
        <v>6.5449846949787352E-8</v>
      </c>
      <c r="H2851" s="85">
        <v>3150</v>
      </c>
      <c r="I2851" s="85">
        <f t="shared" si="368"/>
        <v>2.0616701789183015E-4</v>
      </c>
      <c r="J2851" s="87">
        <v>1</v>
      </c>
      <c r="K2851" s="88">
        <f t="shared" si="369"/>
        <v>4850.4363608958583</v>
      </c>
    </row>
    <row r="2852" spans="1:11" hidden="1" x14ac:dyDescent="0.25">
      <c r="A2852" t="str">
        <f t="shared" si="370"/>
        <v>SiCØ10</v>
      </c>
      <c r="B2852" s="81" t="s">
        <v>326</v>
      </c>
      <c r="D2852" s="86">
        <v>10</v>
      </c>
      <c r="E2852" s="85">
        <f t="shared" si="365"/>
        <v>0.01</v>
      </c>
      <c r="F2852" s="85">
        <f t="shared" si="366"/>
        <v>5.0000000000000001E-3</v>
      </c>
      <c r="G2852" s="85">
        <f t="shared" si="367"/>
        <v>5.2359877559829882E-7</v>
      </c>
      <c r="H2852" s="85">
        <v>3150</v>
      </c>
      <c r="I2852" s="85">
        <f t="shared" si="368"/>
        <v>1.6493361431346412E-3</v>
      </c>
      <c r="J2852" s="87">
        <v>1</v>
      </c>
      <c r="K2852" s="88">
        <f t="shared" si="369"/>
        <v>606.30454511198229</v>
      </c>
    </row>
    <row r="2853" spans="1:11" hidden="1" x14ac:dyDescent="0.25">
      <c r="A2853" t="str">
        <f t="shared" si="370"/>
        <v>SiCØ15</v>
      </c>
      <c r="B2853" s="81" t="s">
        <v>326</v>
      </c>
      <c r="D2853" s="86">
        <v>15</v>
      </c>
      <c r="E2853" s="85">
        <f t="shared" si="365"/>
        <v>1.4999999999999999E-2</v>
      </c>
      <c r="F2853" s="85">
        <f t="shared" si="366"/>
        <v>7.4999999999999997E-3</v>
      </c>
      <c r="G2853" s="85">
        <f t="shared" si="367"/>
        <v>1.7671458676442584E-6</v>
      </c>
      <c r="H2853" s="85">
        <v>3150</v>
      </c>
      <c r="I2853" s="85">
        <f t="shared" si="368"/>
        <v>5.566509483079414E-3</v>
      </c>
      <c r="J2853" s="87">
        <v>1</v>
      </c>
      <c r="K2853" s="88">
        <f t="shared" si="369"/>
        <v>179.64579114429105</v>
      </c>
    </row>
    <row r="2854" spans="1:11" hidden="1" x14ac:dyDescent="0.25">
      <c r="A2854" t="str">
        <f t="shared" si="370"/>
        <v>SiCØ20</v>
      </c>
      <c r="B2854" s="81" t="s">
        <v>326</v>
      </c>
      <c r="D2854" s="86">
        <v>20</v>
      </c>
      <c r="E2854" s="85">
        <f t="shared" si="365"/>
        <v>0.02</v>
      </c>
      <c r="F2854" s="85">
        <f t="shared" si="366"/>
        <v>0.01</v>
      </c>
      <c r="G2854" s="85">
        <f t="shared" si="367"/>
        <v>4.1887902047863905E-6</v>
      </c>
      <c r="H2854" s="85">
        <v>3150</v>
      </c>
      <c r="I2854" s="85">
        <f t="shared" si="368"/>
        <v>1.319468914507713E-2</v>
      </c>
      <c r="J2854" s="87">
        <v>1</v>
      </c>
      <c r="K2854" s="88">
        <f t="shared" si="369"/>
        <v>75.788068138997787</v>
      </c>
    </row>
    <row r="2855" spans="1:11" hidden="1" x14ac:dyDescent="0.25">
      <c r="A2855" t="str">
        <f t="shared" si="370"/>
        <v>NBRØ25,4</v>
      </c>
      <c r="B2855" s="81" t="s">
        <v>341</v>
      </c>
      <c r="C2855" s="101" t="s">
        <v>255</v>
      </c>
      <c r="D2855" s="86">
        <f>1*25.4</f>
        <v>25.4</v>
      </c>
      <c r="E2855" s="85">
        <f t="shared" si="365"/>
        <v>2.5399999999999999E-2</v>
      </c>
      <c r="F2855" s="85">
        <f t="shared" si="366"/>
        <v>1.2699999999999999E-2</v>
      </c>
      <c r="G2855" s="85">
        <f t="shared" si="367"/>
        <v>8.5802466460509588E-6</v>
      </c>
      <c r="H2855" s="85">
        <v>1400</v>
      </c>
      <c r="I2855" s="85">
        <f t="shared" si="368"/>
        <v>1.2012345304471343E-2</v>
      </c>
      <c r="J2855" s="87">
        <v>1</v>
      </c>
      <c r="K2855" s="88">
        <f t="shared" si="369"/>
        <v>83.247690159870032</v>
      </c>
    </row>
    <row r="2856" spans="1:11" hidden="1" x14ac:dyDescent="0.25">
      <c r="A2856" t="str">
        <f t="shared" si="370"/>
        <v>SiCØ10</v>
      </c>
      <c r="B2856" s="81" t="s">
        <v>326</v>
      </c>
      <c r="D2856" s="86">
        <v>10</v>
      </c>
      <c r="E2856" s="85">
        <f t="shared" si="365"/>
        <v>0.01</v>
      </c>
      <c r="F2856" s="85">
        <f t="shared" si="366"/>
        <v>5.0000000000000001E-3</v>
      </c>
      <c r="G2856" s="85">
        <f t="shared" si="367"/>
        <v>5.2359877559829882E-7</v>
      </c>
      <c r="H2856" s="85">
        <v>3150</v>
      </c>
      <c r="I2856" s="85">
        <f t="shared" si="368"/>
        <v>1.6493361431346412E-3</v>
      </c>
      <c r="J2856" s="87">
        <v>1</v>
      </c>
      <c r="K2856" s="88">
        <f t="shared" si="369"/>
        <v>606.30454511198229</v>
      </c>
    </row>
    <row r="2857" spans="1:11" hidden="1" x14ac:dyDescent="0.25">
      <c r="A2857" t="str">
        <f t="shared" si="370"/>
        <v>Al2O3Ø6</v>
      </c>
      <c r="B2857" s="81" t="s">
        <v>217</v>
      </c>
      <c r="D2857" s="86">
        <v>6</v>
      </c>
      <c r="E2857" s="85">
        <f t="shared" si="365"/>
        <v>6.0000000000000001E-3</v>
      </c>
      <c r="F2857" s="85">
        <f t="shared" si="366"/>
        <v>3.0000000000000001E-3</v>
      </c>
      <c r="G2857" s="85">
        <f t="shared" si="367"/>
        <v>1.1309733552923255E-7</v>
      </c>
      <c r="H2857" s="85">
        <v>3900</v>
      </c>
      <c r="I2857" s="85">
        <f t="shared" si="368"/>
        <v>4.4107960856400695E-4</v>
      </c>
      <c r="J2857" s="87">
        <v>1</v>
      </c>
      <c r="K2857" s="88">
        <f t="shared" si="369"/>
        <v>2267.1644315084804</v>
      </c>
    </row>
    <row r="2858" spans="1:11" hidden="1" x14ac:dyDescent="0.25">
      <c r="A2858" t="str">
        <f t="shared" si="370"/>
        <v>Al2O3Ø6,35</v>
      </c>
      <c r="B2858" s="81" t="s">
        <v>217</v>
      </c>
      <c r="C2858" s="101" t="s">
        <v>218</v>
      </c>
      <c r="D2858" s="86">
        <f>1/4*25.4</f>
        <v>6.35</v>
      </c>
      <c r="E2858" s="85">
        <f t="shared" si="365"/>
        <v>6.3499999999999997E-3</v>
      </c>
      <c r="F2858" s="85">
        <f t="shared" si="366"/>
        <v>3.1749999999999999E-3</v>
      </c>
      <c r="G2858" s="85">
        <f t="shared" si="367"/>
        <v>1.3406635384454623E-7</v>
      </c>
      <c r="H2858" s="85">
        <v>3900</v>
      </c>
      <c r="I2858" s="85">
        <f t="shared" si="368"/>
        <v>5.2285877999373026E-4</v>
      </c>
      <c r="J2858" s="87">
        <v>1</v>
      </c>
      <c r="K2858" s="88">
        <f t="shared" si="369"/>
        <v>1912.5623175190656</v>
      </c>
    </row>
    <row r="2859" spans="1:11" hidden="1" x14ac:dyDescent="0.25">
      <c r="A2859" t="str">
        <f t="shared" si="370"/>
        <v>Al2O3Ø6,35</v>
      </c>
      <c r="B2859" s="81" t="s">
        <v>217</v>
      </c>
      <c r="C2859" s="101" t="s">
        <v>218</v>
      </c>
      <c r="D2859" s="86">
        <f>1/4*25.4</f>
        <v>6.35</v>
      </c>
      <c r="E2859" s="85">
        <f t="shared" si="365"/>
        <v>6.3499999999999997E-3</v>
      </c>
      <c r="F2859" s="85">
        <f t="shared" si="366"/>
        <v>3.1749999999999999E-3</v>
      </c>
      <c r="G2859" s="85">
        <f t="shared" si="367"/>
        <v>1.3406635384454623E-7</v>
      </c>
      <c r="H2859" s="85">
        <v>3600</v>
      </c>
      <c r="I2859" s="85">
        <f t="shared" si="368"/>
        <v>4.8263887384036641E-4</v>
      </c>
      <c r="J2859" s="87">
        <v>1</v>
      </c>
      <c r="K2859" s="88">
        <f t="shared" si="369"/>
        <v>2071.9425106456542</v>
      </c>
    </row>
    <row r="2860" spans="1:11" hidden="1" x14ac:dyDescent="0.25">
      <c r="A2860" t="str">
        <f t="shared" si="370"/>
        <v>316LØ1,5</v>
      </c>
      <c r="B2860" s="81" t="s">
        <v>298</v>
      </c>
      <c r="D2860" s="86">
        <v>1.5</v>
      </c>
      <c r="E2860" s="85">
        <f t="shared" si="365"/>
        <v>1.5E-3</v>
      </c>
      <c r="F2860" s="85">
        <f t="shared" si="366"/>
        <v>7.5000000000000002E-4</v>
      </c>
      <c r="G2860" s="85">
        <f t="shared" si="367"/>
        <v>1.7671458676442585E-9</v>
      </c>
      <c r="H2860" s="85">
        <v>7950</v>
      </c>
      <c r="I2860" s="85">
        <f t="shared" si="368"/>
        <v>1.4048809647771855E-5</v>
      </c>
      <c r="J2860" s="87">
        <v>1</v>
      </c>
      <c r="K2860" s="88">
        <f t="shared" si="369"/>
        <v>71180.407811888916</v>
      </c>
    </row>
    <row r="2861" spans="1:11" hidden="1" x14ac:dyDescent="0.25">
      <c r="A2861" t="str">
        <f t="shared" si="370"/>
        <v>420CØ6,1</v>
      </c>
      <c r="B2861" s="81" t="s">
        <v>295</v>
      </c>
      <c r="D2861" s="86">
        <v>6.1</v>
      </c>
      <c r="E2861" s="85">
        <f t="shared" si="365"/>
        <v>6.0999999999999995E-3</v>
      </c>
      <c r="F2861" s="85">
        <f t="shared" si="366"/>
        <v>3.0499999999999998E-3</v>
      </c>
      <c r="G2861" s="85">
        <f t="shared" si="367"/>
        <v>1.1884697368407743E-7</v>
      </c>
      <c r="H2861" s="85">
        <v>7700</v>
      </c>
      <c r="I2861" s="85">
        <f t="shared" si="368"/>
        <v>9.1512169736739622E-4</v>
      </c>
      <c r="J2861" s="87">
        <v>1</v>
      </c>
      <c r="K2861" s="88">
        <f t="shared" si="369"/>
        <v>1092.7508361748826</v>
      </c>
    </row>
    <row r="2862" spans="1:11" hidden="1" x14ac:dyDescent="0.25">
      <c r="A2862" t="str">
        <f t="shared" si="370"/>
        <v>WC-CoØ1</v>
      </c>
      <c r="B2862" s="81" t="s">
        <v>297</v>
      </c>
      <c r="D2862" s="86">
        <v>1</v>
      </c>
      <c r="E2862" s="85">
        <f t="shared" si="365"/>
        <v>1E-3</v>
      </c>
      <c r="F2862" s="85">
        <f t="shared" si="366"/>
        <v>5.0000000000000001E-4</v>
      </c>
      <c r="G2862" s="85">
        <f t="shared" si="367"/>
        <v>5.2359877559829886E-10</v>
      </c>
      <c r="H2862" s="85">
        <v>14950</v>
      </c>
      <c r="I2862" s="85">
        <f t="shared" si="368"/>
        <v>7.8278016951945674E-6</v>
      </c>
      <c r="J2862" s="87">
        <v>1</v>
      </c>
      <c r="K2862" s="88">
        <f t="shared" si="369"/>
        <v>127749.78709717352</v>
      </c>
    </row>
    <row r="2863" spans="1:11" hidden="1" x14ac:dyDescent="0.25">
      <c r="A2863" t="str">
        <f t="shared" si="370"/>
        <v>WC-CoØ0,6</v>
      </c>
      <c r="B2863" s="81" t="s">
        <v>297</v>
      </c>
      <c r="D2863" s="86">
        <v>0.6</v>
      </c>
      <c r="E2863" s="85">
        <f t="shared" si="365"/>
        <v>5.9999999999999995E-4</v>
      </c>
      <c r="F2863" s="85">
        <f t="shared" si="366"/>
        <v>2.9999999999999997E-4</v>
      </c>
      <c r="G2863" s="85">
        <f t="shared" si="367"/>
        <v>1.1309733552923252E-10</v>
      </c>
      <c r="H2863" s="85">
        <v>14950</v>
      </c>
      <c r="I2863" s="85">
        <f t="shared" si="368"/>
        <v>1.690805166162026E-6</v>
      </c>
      <c r="J2863" s="87">
        <v>1</v>
      </c>
      <c r="K2863" s="88">
        <f t="shared" si="369"/>
        <v>591434.19952395174</v>
      </c>
    </row>
    <row r="2864" spans="1:11" hidden="1" x14ac:dyDescent="0.25">
      <c r="A2864" t="str">
        <f t="shared" si="370"/>
        <v>POMØ25,4</v>
      </c>
      <c r="B2864" s="81" t="s">
        <v>201</v>
      </c>
      <c r="C2864" s="101" t="s">
        <v>255</v>
      </c>
      <c r="D2864" s="86">
        <f>1*25.4</f>
        <v>25.4</v>
      </c>
      <c r="E2864" s="85">
        <f t="shared" si="365"/>
        <v>2.5399999999999999E-2</v>
      </c>
      <c r="F2864" s="85">
        <f t="shared" si="366"/>
        <v>1.2699999999999999E-2</v>
      </c>
      <c r="G2864" s="85">
        <f t="shared" si="367"/>
        <v>8.5802466460509588E-6</v>
      </c>
      <c r="H2864" s="85">
        <v>1340</v>
      </c>
      <c r="I2864" s="85">
        <f t="shared" si="368"/>
        <v>1.1497530505708285E-2</v>
      </c>
      <c r="J2864" s="87">
        <v>1</v>
      </c>
      <c r="K2864" s="88">
        <f t="shared" si="369"/>
        <v>86.975198674491082</v>
      </c>
    </row>
    <row r="2865" spans="1:11" hidden="1" x14ac:dyDescent="0.25">
      <c r="A2865" t="str">
        <f t="shared" si="370"/>
        <v>PA6.6Ø3</v>
      </c>
      <c r="B2865" s="81" t="s">
        <v>244</v>
      </c>
      <c r="D2865" s="86">
        <v>3</v>
      </c>
      <c r="E2865" s="85">
        <f t="shared" si="365"/>
        <v>3.0000000000000001E-3</v>
      </c>
      <c r="F2865" s="85">
        <f t="shared" si="366"/>
        <v>1.5E-3</v>
      </c>
      <c r="G2865" s="85">
        <f t="shared" si="367"/>
        <v>1.4137166941154068E-8</v>
      </c>
      <c r="H2865" s="85">
        <v>1110</v>
      </c>
      <c r="I2865" s="85">
        <f t="shared" si="368"/>
        <v>1.5692255304681016E-5</v>
      </c>
      <c r="J2865" s="87">
        <v>1</v>
      </c>
      <c r="K2865" s="88">
        <f t="shared" si="369"/>
        <v>63725.702939697832</v>
      </c>
    </row>
    <row r="2866" spans="1:11" hidden="1" x14ac:dyDescent="0.25">
      <c r="A2866" t="str">
        <f t="shared" si="370"/>
        <v>Al2O3Ø6,35</v>
      </c>
      <c r="B2866" s="81" t="s">
        <v>217</v>
      </c>
      <c r="C2866" s="101" t="s">
        <v>218</v>
      </c>
      <c r="D2866" s="86">
        <f>1/4*25.4</f>
        <v>6.35</v>
      </c>
      <c r="E2866" s="85">
        <f t="shared" si="365"/>
        <v>6.3499999999999997E-3</v>
      </c>
      <c r="F2866" s="85">
        <f t="shared" si="366"/>
        <v>3.1749999999999999E-3</v>
      </c>
      <c r="G2866" s="85">
        <f t="shared" si="367"/>
        <v>1.3406635384454623E-7</v>
      </c>
      <c r="H2866" s="85">
        <v>3900</v>
      </c>
      <c r="I2866" s="85">
        <f t="shared" si="368"/>
        <v>5.2285877999373026E-4</v>
      </c>
      <c r="J2866" s="87">
        <v>1</v>
      </c>
      <c r="K2866" s="85">
        <f t="shared" si="369"/>
        <v>1912.5623175190656</v>
      </c>
    </row>
    <row r="2867" spans="1:11" hidden="1" x14ac:dyDescent="0.25">
      <c r="A2867" t="str">
        <f t="shared" si="370"/>
        <v>420CØ5,8</v>
      </c>
      <c r="B2867" s="81" t="s">
        <v>295</v>
      </c>
      <c r="D2867" s="86">
        <v>5.8</v>
      </c>
      <c r="E2867" s="85">
        <f t="shared" si="365"/>
        <v>5.7999999999999996E-3</v>
      </c>
      <c r="F2867" s="85">
        <f t="shared" si="366"/>
        <v>2.8999999999999998E-3</v>
      </c>
      <c r="G2867" s="85">
        <f t="shared" si="367"/>
        <v>1.0216040430453526E-7</v>
      </c>
      <c r="H2867" s="85">
        <v>7700</v>
      </c>
      <c r="I2867" s="85">
        <f t="shared" si="368"/>
        <v>7.8663511314492143E-4</v>
      </c>
      <c r="J2867" s="87">
        <v>1</v>
      </c>
      <c r="K2867" s="88">
        <f t="shared" si="369"/>
        <v>1271.2374305312385</v>
      </c>
    </row>
    <row r="2868" spans="1:11" hidden="1" x14ac:dyDescent="0.25">
      <c r="A2868" t="str">
        <f t="shared" si="370"/>
        <v>52100Ø9,95</v>
      </c>
      <c r="B2868" s="81">
        <v>52100</v>
      </c>
      <c r="D2868" s="86">
        <v>9.9499999999999993</v>
      </c>
      <c r="E2868" s="85">
        <f t="shared" si="365"/>
        <v>9.9499999999999988E-3</v>
      </c>
      <c r="F2868" s="85">
        <f t="shared" si="366"/>
        <v>4.9749999999999994E-3</v>
      </c>
      <c r="G2868" s="85">
        <f t="shared" si="367"/>
        <v>5.1578399842264707E-7</v>
      </c>
      <c r="H2868" s="85">
        <v>7800</v>
      </c>
      <c r="I2868" s="85">
        <f t="shared" si="368"/>
        <v>4.0231151876966471E-3</v>
      </c>
      <c r="J2868" s="87">
        <v>1</v>
      </c>
      <c r="K2868" s="88">
        <f t="shared" si="369"/>
        <v>248.56360142462879</v>
      </c>
    </row>
    <row r="2869" spans="1:11" hidden="1" x14ac:dyDescent="0.25">
      <c r="A2869" t="str">
        <f t="shared" si="370"/>
        <v>304Ø8</v>
      </c>
      <c r="B2869" s="81">
        <v>304</v>
      </c>
      <c r="D2869" s="86">
        <v>8</v>
      </c>
      <c r="E2869" s="85">
        <f t="shared" si="365"/>
        <v>8.0000000000000002E-3</v>
      </c>
      <c r="F2869" s="85">
        <f t="shared" si="366"/>
        <v>4.0000000000000001E-3</v>
      </c>
      <c r="G2869" s="85">
        <f t="shared" si="367"/>
        <v>2.6808257310632902E-7</v>
      </c>
      <c r="H2869" s="85">
        <v>7950</v>
      </c>
      <c r="I2869" s="85">
        <f t="shared" si="368"/>
        <v>2.1312564561953157E-3</v>
      </c>
      <c r="J2869" s="87">
        <v>1</v>
      </c>
      <c r="K2869" s="88">
        <f t="shared" si="369"/>
        <v>469.20678977563483</v>
      </c>
    </row>
    <row r="2870" spans="1:11" hidden="1" x14ac:dyDescent="0.25">
      <c r="A2870" t="str">
        <f t="shared" si="370"/>
        <v>SiCØ5</v>
      </c>
      <c r="B2870" s="81" t="s">
        <v>326</v>
      </c>
      <c r="D2870" s="86">
        <v>5</v>
      </c>
      <c r="E2870" s="85">
        <f t="shared" si="365"/>
        <v>5.0000000000000001E-3</v>
      </c>
      <c r="F2870" s="85">
        <f t="shared" si="366"/>
        <v>2.5000000000000001E-3</v>
      </c>
      <c r="G2870" s="85">
        <f t="shared" si="367"/>
        <v>6.5449846949787352E-8</v>
      </c>
      <c r="H2870" s="85">
        <v>3150</v>
      </c>
      <c r="I2870" s="85">
        <f t="shared" si="368"/>
        <v>2.0616701789183015E-4</v>
      </c>
      <c r="J2870" s="87">
        <v>1</v>
      </c>
      <c r="K2870" s="88">
        <f t="shared" si="369"/>
        <v>4850.4363608958583</v>
      </c>
    </row>
    <row r="2871" spans="1:11" hidden="1" x14ac:dyDescent="0.25">
      <c r="A2871" t="str">
        <f t="shared" si="370"/>
        <v>SiCØ1,5</v>
      </c>
      <c r="B2871" s="81" t="s">
        <v>326</v>
      </c>
      <c r="D2871" s="86">
        <v>1.5</v>
      </c>
      <c r="E2871" s="85">
        <f t="shared" si="365"/>
        <v>1.5E-3</v>
      </c>
      <c r="F2871" s="85">
        <f t="shared" si="366"/>
        <v>7.5000000000000002E-4</v>
      </c>
      <c r="G2871" s="85">
        <f t="shared" si="367"/>
        <v>1.7671458676442585E-9</v>
      </c>
      <c r="H2871" s="85">
        <v>3150</v>
      </c>
      <c r="I2871" s="85">
        <f t="shared" si="368"/>
        <v>5.5665094830794142E-6</v>
      </c>
      <c r="J2871" s="87">
        <v>1</v>
      </c>
      <c r="K2871" s="88">
        <f t="shared" si="369"/>
        <v>179645.79114429106</v>
      </c>
    </row>
    <row r="2872" spans="1:11" hidden="1" x14ac:dyDescent="0.25">
      <c r="A2872" t="str">
        <f t="shared" si="370"/>
        <v>SiCØ1,5</v>
      </c>
      <c r="B2872" s="81" t="s">
        <v>326</v>
      </c>
      <c r="D2872" s="86">
        <v>1.5</v>
      </c>
      <c r="E2872" s="85">
        <f t="shared" si="365"/>
        <v>1.5E-3</v>
      </c>
      <c r="F2872" s="85">
        <f t="shared" si="366"/>
        <v>7.5000000000000002E-4</v>
      </c>
      <c r="G2872" s="85">
        <f t="shared" si="367"/>
        <v>1.7671458676442585E-9</v>
      </c>
      <c r="H2872" s="85">
        <v>3150</v>
      </c>
      <c r="I2872" s="85">
        <f t="shared" si="368"/>
        <v>5.5665094830794142E-6</v>
      </c>
      <c r="J2872" s="87">
        <v>1</v>
      </c>
      <c r="K2872" s="88">
        <f t="shared" si="369"/>
        <v>179645.79114429106</v>
      </c>
    </row>
    <row r="2873" spans="1:11" hidden="1" x14ac:dyDescent="0.25">
      <c r="A2873" t="str">
        <f t="shared" si="370"/>
        <v>SiCØ2</v>
      </c>
      <c r="B2873" s="81" t="s">
        <v>326</v>
      </c>
      <c r="D2873" s="86">
        <v>2</v>
      </c>
      <c r="E2873" s="85">
        <f t="shared" si="365"/>
        <v>2E-3</v>
      </c>
      <c r="F2873" s="85">
        <f t="shared" si="366"/>
        <v>1E-3</v>
      </c>
      <c r="G2873" s="85">
        <f t="shared" si="367"/>
        <v>4.1887902047863909E-9</v>
      </c>
      <c r="H2873" s="85">
        <v>3150</v>
      </c>
      <c r="I2873" s="85">
        <f t="shared" si="368"/>
        <v>1.3194689145077131E-5</v>
      </c>
      <c r="J2873" s="87">
        <v>1</v>
      </c>
      <c r="K2873" s="88">
        <f t="shared" si="369"/>
        <v>75788.068138997784</v>
      </c>
    </row>
    <row r="2874" spans="1:11" hidden="1" x14ac:dyDescent="0.25">
      <c r="A2874" t="str">
        <f t="shared" si="370"/>
        <v>SiCØ2</v>
      </c>
      <c r="B2874" s="81" t="s">
        <v>326</v>
      </c>
      <c r="D2874" s="86">
        <v>2</v>
      </c>
      <c r="E2874" s="85">
        <f t="shared" si="365"/>
        <v>2E-3</v>
      </c>
      <c r="F2874" s="85">
        <f t="shared" si="366"/>
        <v>1E-3</v>
      </c>
      <c r="G2874" s="85">
        <f t="shared" si="367"/>
        <v>4.1887902047863909E-9</v>
      </c>
      <c r="H2874" s="85">
        <v>3150</v>
      </c>
      <c r="I2874" s="85">
        <f t="shared" si="368"/>
        <v>1.3194689145077131E-5</v>
      </c>
      <c r="J2874" s="87">
        <v>1</v>
      </c>
      <c r="K2874" s="88">
        <f t="shared" si="369"/>
        <v>75788.068138997784</v>
      </c>
    </row>
    <row r="2875" spans="1:11" hidden="1" x14ac:dyDescent="0.25">
      <c r="A2875" t="str">
        <f t="shared" si="370"/>
        <v>52100Ø200</v>
      </c>
      <c r="B2875" s="81">
        <v>52100</v>
      </c>
      <c r="D2875" s="86">
        <v>200</v>
      </c>
      <c r="E2875" s="85">
        <f t="shared" si="365"/>
        <v>0.2</v>
      </c>
      <c r="F2875" s="85">
        <f t="shared" si="366"/>
        <v>0.1</v>
      </c>
      <c r="G2875" s="85">
        <f t="shared" si="367"/>
        <v>4.1887902047863914E-3</v>
      </c>
      <c r="H2875" s="85">
        <v>7800</v>
      </c>
      <c r="I2875" s="85">
        <f t="shared" si="368"/>
        <v>32.672563597333856</v>
      </c>
      <c r="J2875" s="87">
        <v>1</v>
      </c>
      <c r="K2875" s="88">
        <f t="shared" si="369"/>
        <v>3.0606719825364483E-2</v>
      </c>
    </row>
    <row r="2876" spans="1:11" hidden="1" x14ac:dyDescent="0.25">
      <c r="A2876" t="str">
        <f t="shared" si="370"/>
        <v>52100Ø200</v>
      </c>
      <c r="B2876" s="81">
        <v>52100</v>
      </c>
      <c r="D2876" s="86">
        <v>200</v>
      </c>
      <c r="E2876" s="85">
        <f t="shared" si="365"/>
        <v>0.2</v>
      </c>
      <c r="F2876" s="85">
        <f t="shared" si="366"/>
        <v>0.1</v>
      </c>
      <c r="G2876" s="85">
        <f t="shared" si="367"/>
        <v>4.1887902047863914E-3</v>
      </c>
      <c r="H2876" s="85">
        <v>7850</v>
      </c>
      <c r="I2876" s="85">
        <f t="shared" si="368"/>
        <v>32.882003107573169</v>
      </c>
      <c r="J2876" s="87">
        <v>1</v>
      </c>
      <c r="K2876" s="88">
        <f t="shared" si="369"/>
        <v>3.0411772565330317E-2</v>
      </c>
    </row>
    <row r="2877" spans="1:11" hidden="1" x14ac:dyDescent="0.25">
      <c r="A2877" t="str">
        <f t="shared" si="370"/>
        <v>52100Ø0,3</v>
      </c>
      <c r="B2877" s="81">
        <v>52100</v>
      </c>
      <c r="D2877" s="86">
        <v>0.3</v>
      </c>
      <c r="E2877" s="85">
        <f t="shared" si="365"/>
        <v>2.9999999999999997E-4</v>
      </c>
      <c r="F2877" s="85">
        <f t="shared" si="366"/>
        <v>1.4999999999999999E-4</v>
      </c>
      <c r="G2877" s="85">
        <f t="shared" si="367"/>
        <v>1.4137166941154065E-11</v>
      </c>
      <c r="H2877" s="85">
        <v>7800</v>
      </c>
      <c r="I2877" s="85">
        <f t="shared" si="368"/>
        <v>1.1026990214100171E-7</v>
      </c>
      <c r="J2877" s="87">
        <v>1</v>
      </c>
      <c r="K2877" s="88">
        <f t="shared" si="369"/>
        <v>9068657.726033926</v>
      </c>
    </row>
    <row r="2878" spans="1:11" hidden="1" x14ac:dyDescent="0.25">
      <c r="A2878" t="str">
        <f t="shared" si="370"/>
        <v>304Ø2,5</v>
      </c>
      <c r="B2878" s="81">
        <v>304</v>
      </c>
      <c r="D2878" s="86">
        <v>2.5</v>
      </c>
      <c r="E2878" s="85">
        <f t="shared" si="365"/>
        <v>2.5000000000000001E-3</v>
      </c>
      <c r="F2878" s="85">
        <f t="shared" si="366"/>
        <v>1.25E-3</v>
      </c>
      <c r="G2878" s="85">
        <f t="shared" si="367"/>
        <v>8.181230868723419E-9</v>
      </c>
      <c r="H2878" s="85">
        <v>7950</v>
      </c>
      <c r="I2878" s="85">
        <f t="shared" si="368"/>
        <v>6.5040785406351176E-5</v>
      </c>
      <c r="J2878" s="87">
        <v>1</v>
      </c>
      <c r="K2878" s="88">
        <f t="shared" si="369"/>
        <v>15374.968087368004</v>
      </c>
    </row>
    <row r="2879" spans="1:11" hidden="1" x14ac:dyDescent="0.25">
      <c r="A2879" t="str">
        <f t="shared" si="370"/>
        <v>304Ø6</v>
      </c>
      <c r="B2879" s="81">
        <v>304</v>
      </c>
      <c r="D2879" s="86">
        <v>6</v>
      </c>
      <c r="E2879" s="85">
        <f t="shared" si="365"/>
        <v>6.0000000000000001E-3</v>
      </c>
      <c r="F2879" s="85">
        <f t="shared" si="366"/>
        <v>3.0000000000000001E-3</v>
      </c>
      <c r="G2879" s="85">
        <f t="shared" si="367"/>
        <v>1.1309733552923255E-7</v>
      </c>
      <c r="H2879" s="85">
        <v>7950</v>
      </c>
      <c r="I2879" s="85">
        <f t="shared" si="368"/>
        <v>8.9912381745739869E-4</v>
      </c>
      <c r="J2879" s="87">
        <v>1</v>
      </c>
      <c r="K2879" s="88">
        <f t="shared" si="369"/>
        <v>1112.1938720607643</v>
      </c>
    </row>
    <row r="2880" spans="1:11" hidden="1" x14ac:dyDescent="0.25">
      <c r="A2880" t="str">
        <f t="shared" si="370"/>
        <v>52100Ø0,68</v>
      </c>
      <c r="B2880" s="81">
        <v>52100</v>
      </c>
      <c r="D2880" s="86">
        <v>0.68</v>
      </c>
      <c r="E2880" s="85">
        <f t="shared" si="365"/>
        <v>6.8000000000000005E-4</v>
      </c>
      <c r="F2880" s="85">
        <f t="shared" si="366"/>
        <v>3.4000000000000002E-4</v>
      </c>
      <c r="G2880" s="85">
        <f t="shared" si="367"/>
        <v>1.6463621020892433E-10</v>
      </c>
      <c r="H2880" s="85">
        <v>7800</v>
      </c>
      <c r="I2880" s="85">
        <f t="shared" si="368"/>
        <v>1.2841624396296097E-6</v>
      </c>
      <c r="J2880" s="87">
        <v>1</v>
      </c>
      <c r="K2880" s="88">
        <f t="shared" si="369"/>
        <v>778717.68332394888</v>
      </c>
    </row>
    <row r="2881" spans="1:11" hidden="1" x14ac:dyDescent="0.25">
      <c r="A2881" t="str">
        <f t="shared" si="370"/>
        <v>52100Ø27,78125</v>
      </c>
      <c r="B2881" s="81">
        <v>52100</v>
      </c>
      <c r="C2881" s="101" t="s">
        <v>420</v>
      </c>
      <c r="D2881" s="86">
        <f>25.4+3/32*25.4</f>
        <v>27.78125</v>
      </c>
      <c r="E2881" s="85">
        <f t="shared" si="365"/>
        <v>2.778125E-2</v>
      </c>
      <c r="F2881" s="85">
        <f t="shared" si="366"/>
        <v>1.3890625E-2</v>
      </c>
      <c r="G2881" s="85">
        <f t="shared" si="367"/>
        <v>1.1226747892743987E-5</v>
      </c>
      <c r="H2881" s="85">
        <v>7800</v>
      </c>
      <c r="I2881" s="85">
        <f t="shared" si="368"/>
        <v>8.7568633563403095E-2</v>
      </c>
      <c r="J2881" s="87">
        <v>1</v>
      </c>
      <c r="K2881" s="88">
        <f t="shared" si="369"/>
        <v>11.419614070784387</v>
      </c>
    </row>
    <row r="2882" spans="1:11" hidden="1" x14ac:dyDescent="0.25">
      <c r="A2882" t="str">
        <f t="shared" si="370"/>
        <v>304Ø3</v>
      </c>
      <c r="B2882" s="81">
        <v>304</v>
      </c>
      <c r="D2882" s="86">
        <v>3</v>
      </c>
      <c r="E2882" s="85">
        <f t="shared" ref="E2882:E2936" si="371">D2882/1000</f>
        <v>3.0000000000000001E-3</v>
      </c>
      <c r="F2882" s="85">
        <f t="shared" ref="F2882:F2936" si="372">E2882/2</f>
        <v>1.5E-3</v>
      </c>
      <c r="G2882" s="85">
        <f t="shared" ref="G2882:G2936" si="373">4/3*PI()*F2882*F2882*F2882</f>
        <v>1.4137166941154068E-8</v>
      </c>
      <c r="H2882" s="85">
        <v>7950</v>
      </c>
      <c r="I2882" s="85">
        <f t="shared" si="368"/>
        <v>1.1239047718217484E-4</v>
      </c>
      <c r="J2882" s="87">
        <v>1</v>
      </c>
      <c r="K2882" s="88">
        <f t="shared" si="369"/>
        <v>8897.5509764861145</v>
      </c>
    </row>
    <row r="2883" spans="1:11" hidden="1" x14ac:dyDescent="0.25">
      <c r="A2883" t="str">
        <f t="shared" si="370"/>
        <v>304Ø3</v>
      </c>
      <c r="B2883" s="81">
        <v>304</v>
      </c>
      <c r="D2883" s="86">
        <v>3</v>
      </c>
      <c r="E2883" s="85">
        <f t="shared" si="371"/>
        <v>3.0000000000000001E-3</v>
      </c>
      <c r="F2883" s="85">
        <f t="shared" si="372"/>
        <v>1.5E-3</v>
      </c>
      <c r="G2883" s="85">
        <f t="shared" si="373"/>
        <v>1.4137166941154068E-8</v>
      </c>
      <c r="H2883" s="85">
        <v>7950</v>
      </c>
      <c r="I2883" s="85">
        <f t="shared" ref="I2883:I2936" si="374">H2883*G2883</f>
        <v>1.1239047718217484E-4</v>
      </c>
      <c r="J2883" s="87">
        <v>1</v>
      </c>
      <c r="K2883" s="88">
        <f t="shared" ref="K2883:K2936" si="375">J2883/I2883</f>
        <v>8897.5509764861145</v>
      </c>
    </row>
    <row r="2884" spans="1:11" hidden="1" x14ac:dyDescent="0.25">
      <c r="A2884" t="str">
        <f t="shared" ref="A2884:A2947" si="376">CONCATENATE(B2884,"Ø",D2884)</f>
        <v>304Ø7,9375</v>
      </c>
      <c r="B2884" s="81">
        <v>304</v>
      </c>
      <c r="C2884" s="101" t="s">
        <v>252</v>
      </c>
      <c r="D2884" s="86">
        <f>5/16*25.4</f>
        <v>7.9375</v>
      </c>
      <c r="E2884" s="85">
        <f t="shared" si="371"/>
        <v>7.9375000000000001E-3</v>
      </c>
      <c r="F2884" s="85">
        <f t="shared" si="372"/>
        <v>3.9687500000000001E-3</v>
      </c>
      <c r="G2884" s="85">
        <f t="shared" si="373"/>
        <v>2.6184834735262947E-7</v>
      </c>
      <c r="H2884" s="85">
        <v>7950</v>
      </c>
      <c r="I2884" s="85">
        <f t="shared" si="374"/>
        <v>2.0816943614534044E-3</v>
      </c>
      <c r="J2884" s="87">
        <v>1</v>
      </c>
      <c r="K2884" s="88">
        <f t="shared" si="375"/>
        <v>480.37791643044881</v>
      </c>
    </row>
    <row r="2885" spans="1:11" hidden="1" x14ac:dyDescent="0.25">
      <c r="A2885" t="str">
        <f t="shared" si="376"/>
        <v>304Ø14,2875</v>
      </c>
      <c r="B2885" s="81">
        <v>304</v>
      </c>
      <c r="C2885" s="101" t="s">
        <v>268</v>
      </c>
      <c r="D2885" s="86">
        <f>9/16*25.4</f>
        <v>14.2875</v>
      </c>
      <c r="E2885" s="85">
        <f t="shared" si="371"/>
        <v>1.42875E-2</v>
      </c>
      <c r="F2885" s="85">
        <f t="shared" si="372"/>
        <v>7.1437499999999999E-3</v>
      </c>
      <c r="G2885" s="85">
        <f t="shared" si="373"/>
        <v>1.5270995617605347E-6</v>
      </c>
      <c r="H2885" s="85">
        <v>7950</v>
      </c>
      <c r="I2885" s="85">
        <f t="shared" si="374"/>
        <v>1.2140441515996251E-2</v>
      </c>
      <c r="J2885" s="87">
        <v>1</v>
      </c>
      <c r="K2885" s="88">
        <f t="shared" si="375"/>
        <v>82.369327234301949</v>
      </c>
    </row>
    <row r="2886" spans="1:11" hidden="1" x14ac:dyDescent="0.25">
      <c r="A2886" t="str">
        <f t="shared" si="376"/>
        <v>52100Ø13,49375</v>
      </c>
      <c r="B2886" s="81">
        <v>52100</v>
      </c>
      <c r="C2886" s="101" t="s">
        <v>269</v>
      </c>
      <c r="D2886" s="86">
        <f>17/32*25.4</f>
        <v>13.493749999999999</v>
      </c>
      <c r="E2886" s="85">
        <f t="shared" si="371"/>
        <v>1.3493749999999999E-2</v>
      </c>
      <c r="F2886" s="85">
        <f t="shared" si="372"/>
        <v>6.7468749999999994E-3</v>
      </c>
      <c r="G2886" s="85">
        <f t="shared" si="373"/>
        <v>1.2864609305434682E-6</v>
      </c>
      <c r="H2886" s="85">
        <v>7800</v>
      </c>
      <c r="I2886" s="85">
        <f t="shared" si="374"/>
        <v>1.0034395258239051E-2</v>
      </c>
      <c r="J2886" s="87">
        <v>1</v>
      </c>
      <c r="K2886" s="88">
        <f t="shared" si="375"/>
        <v>99.65722639627127</v>
      </c>
    </row>
    <row r="2887" spans="1:11" hidden="1" x14ac:dyDescent="0.25">
      <c r="A2887" t="str">
        <f t="shared" si="376"/>
        <v>420CØ10,31875</v>
      </c>
      <c r="B2887" s="81" t="s">
        <v>295</v>
      </c>
      <c r="C2887" s="101" t="s">
        <v>275</v>
      </c>
      <c r="D2887" s="86">
        <f>13/32*25.4</f>
        <v>10.31875</v>
      </c>
      <c r="E2887" s="85">
        <f t="shared" si="371"/>
        <v>1.031875E-2</v>
      </c>
      <c r="F2887" s="85">
        <f t="shared" si="372"/>
        <v>5.1593749999999999E-3</v>
      </c>
      <c r="G2887" s="85">
        <f t="shared" si="373"/>
        <v>5.7528081913372671E-7</v>
      </c>
      <c r="H2887" s="85">
        <v>7750</v>
      </c>
      <c r="I2887" s="85">
        <f t="shared" si="374"/>
        <v>4.4584263482863821E-3</v>
      </c>
      <c r="J2887" s="87">
        <v>1</v>
      </c>
      <c r="K2887" s="88">
        <f t="shared" si="375"/>
        <v>224.29438592932121</v>
      </c>
    </row>
    <row r="2888" spans="1:11" hidden="1" x14ac:dyDescent="0.25">
      <c r="A2888" t="str">
        <f t="shared" si="376"/>
        <v>420CØ11,1125</v>
      </c>
      <c r="B2888" s="81" t="s">
        <v>295</v>
      </c>
      <c r="C2888" s="101" t="s">
        <v>274</v>
      </c>
      <c r="D2888" s="86">
        <f>7/16*25.4</f>
        <v>11.112499999999999</v>
      </c>
      <c r="E2888" s="85">
        <f t="shared" si="371"/>
        <v>1.1112499999999999E-2</v>
      </c>
      <c r="F2888" s="85">
        <f t="shared" si="372"/>
        <v>5.5562499999999996E-3</v>
      </c>
      <c r="G2888" s="85">
        <f t="shared" si="373"/>
        <v>7.1851186513561499E-7</v>
      </c>
      <c r="H2888" s="85">
        <v>7750</v>
      </c>
      <c r="I2888" s="85">
        <f t="shared" si="374"/>
        <v>5.5684669548010162E-3</v>
      </c>
      <c r="J2888" s="87">
        <v>1</v>
      </c>
      <c r="K2888" s="88">
        <f t="shared" si="375"/>
        <v>179.58264062927066</v>
      </c>
    </row>
    <row r="2889" spans="1:11" hidden="1" x14ac:dyDescent="0.25">
      <c r="A2889" t="str">
        <f t="shared" si="376"/>
        <v>420CØ12</v>
      </c>
      <c r="B2889" s="81" t="s">
        <v>295</v>
      </c>
      <c r="D2889" s="86">
        <v>12</v>
      </c>
      <c r="E2889" s="85">
        <f t="shared" si="371"/>
        <v>1.2E-2</v>
      </c>
      <c r="F2889" s="85">
        <f t="shared" si="372"/>
        <v>6.0000000000000001E-3</v>
      </c>
      <c r="G2889" s="85">
        <f t="shared" si="373"/>
        <v>9.0477868423386037E-7</v>
      </c>
      <c r="H2889" s="85">
        <v>7750</v>
      </c>
      <c r="I2889" s="85">
        <f t="shared" si="374"/>
        <v>7.0120348028124176E-3</v>
      </c>
      <c r="J2889" s="87">
        <v>1</v>
      </c>
      <c r="K2889" s="88">
        <f t="shared" si="375"/>
        <v>142.61195617553346</v>
      </c>
    </row>
    <row r="2890" spans="1:11" hidden="1" x14ac:dyDescent="0.25">
      <c r="A2890" t="str">
        <f t="shared" si="376"/>
        <v>POMØ15</v>
      </c>
      <c r="B2890" s="81" t="s">
        <v>201</v>
      </c>
      <c r="D2890" s="86">
        <v>15</v>
      </c>
      <c r="E2890" s="85">
        <f t="shared" si="371"/>
        <v>1.4999999999999999E-2</v>
      </c>
      <c r="F2890" s="85">
        <f t="shared" si="372"/>
        <v>7.4999999999999997E-3</v>
      </c>
      <c r="G2890" s="85">
        <f t="shared" si="373"/>
        <v>1.7671458676442584E-6</v>
      </c>
      <c r="H2890" s="85">
        <v>1370</v>
      </c>
      <c r="I2890" s="85">
        <f t="shared" si="374"/>
        <v>2.4209898386726341E-3</v>
      </c>
      <c r="J2890" s="87">
        <v>1</v>
      </c>
      <c r="K2890" s="88">
        <f t="shared" si="375"/>
        <v>413.05419131716559</v>
      </c>
    </row>
    <row r="2891" spans="1:11" hidden="1" x14ac:dyDescent="0.25">
      <c r="A2891" t="str">
        <f t="shared" si="376"/>
        <v>POMØ8,73125</v>
      </c>
      <c r="B2891" s="81" t="s">
        <v>201</v>
      </c>
      <c r="C2891" s="101" t="s">
        <v>253</v>
      </c>
      <c r="D2891" s="86">
        <f>11/32*25.4</f>
        <v>8.7312499999999993</v>
      </c>
      <c r="E2891" s="85">
        <f t="shared" si="371"/>
        <v>8.7312499999999994E-3</v>
      </c>
      <c r="F2891" s="85">
        <f t="shared" si="372"/>
        <v>4.3656249999999997E-3</v>
      </c>
      <c r="G2891" s="85">
        <f t="shared" si="373"/>
        <v>3.4852015032634969E-7</v>
      </c>
      <c r="H2891" s="85">
        <v>1360</v>
      </c>
      <c r="I2891" s="85">
        <f t="shared" si="374"/>
        <v>4.7398740444383556E-4</v>
      </c>
      <c r="J2891" s="87">
        <v>1</v>
      </c>
      <c r="K2891" s="88">
        <f t="shared" si="375"/>
        <v>2109.7607038173805</v>
      </c>
    </row>
    <row r="2892" spans="1:11" hidden="1" x14ac:dyDescent="0.25">
      <c r="A2892" t="str">
        <f t="shared" si="376"/>
        <v>POMØ6</v>
      </c>
      <c r="B2892" s="81" t="s">
        <v>201</v>
      </c>
      <c r="D2892" s="86">
        <v>6</v>
      </c>
      <c r="E2892" s="85">
        <f t="shared" si="371"/>
        <v>6.0000000000000001E-3</v>
      </c>
      <c r="F2892" s="85">
        <f t="shared" si="372"/>
        <v>3.0000000000000001E-3</v>
      </c>
      <c r="G2892" s="85">
        <f t="shared" si="373"/>
        <v>1.1309733552923255E-7</v>
      </c>
      <c r="H2892" s="85">
        <v>1370</v>
      </c>
      <c r="I2892" s="85">
        <f t="shared" si="374"/>
        <v>1.549433496750486E-4</v>
      </c>
      <c r="J2892" s="87">
        <v>1</v>
      </c>
      <c r="K2892" s="88">
        <f t="shared" si="375"/>
        <v>6453.971739330711</v>
      </c>
    </row>
    <row r="2893" spans="1:11" hidden="1" x14ac:dyDescent="0.25">
      <c r="A2893" t="str">
        <f t="shared" si="376"/>
        <v>NBRØ6</v>
      </c>
      <c r="B2893" s="81" t="s">
        <v>341</v>
      </c>
      <c r="D2893" s="86">
        <v>6</v>
      </c>
      <c r="E2893" s="85">
        <f t="shared" si="371"/>
        <v>6.0000000000000001E-3</v>
      </c>
      <c r="F2893" s="85">
        <f t="shared" si="372"/>
        <v>3.0000000000000001E-3</v>
      </c>
      <c r="G2893" s="85">
        <f t="shared" si="373"/>
        <v>1.1309733552923255E-7</v>
      </c>
      <c r="H2893" s="85">
        <v>1400</v>
      </c>
      <c r="I2893" s="85">
        <f t="shared" si="374"/>
        <v>1.5833626974092556E-4</v>
      </c>
      <c r="J2893" s="87">
        <v>1</v>
      </c>
      <c r="K2893" s="88">
        <f t="shared" si="375"/>
        <v>6315.6723449164829</v>
      </c>
    </row>
    <row r="2894" spans="1:11" hidden="1" x14ac:dyDescent="0.25">
      <c r="A2894" t="str">
        <f t="shared" si="376"/>
        <v>NBRØ8</v>
      </c>
      <c r="B2894" s="81" t="s">
        <v>341</v>
      </c>
      <c r="D2894" s="86">
        <v>8</v>
      </c>
      <c r="E2894" s="85">
        <f t="shared" si="371"/>
        <v>8.0000000000000002E-3</v>
      </c>
      <c r="F2894" s="85">
        <f t="shared" si="372"/>
        <v>4.0000000000000001E-3</v>
      </c>
      <c r="G2894" s="85">
        <f t="shared" si="373"/>
        <v>2.6808257310632902E-7</v>
      </c>
      <c r="H2894" s="85">
        <v>1400</v>
      </c>
      <c r="I2894" s="85">
        <f t="shared" si="374"/>
        <v>3.753156023488606E-4</v>
      </c>
      <c r="J2894" s="87">
        <v>1</v>
      </c>
      <c r="K2894" s="88">
        <f t="shared" si="375"/>
        <v>2664.4242705116408</v>
      </c>
    </row>
    <row r="2895" spans="1:11" hidden="1" x14ac:dyDescent="0.25">
      <c r="A2895" t="str">
        <f t="shared" si="376"/>
        <v>WC-CoØ3</v>
      </c>
      <c r="B2895" s="81" t="s">
        <v>297</v>
      </c>
      <c r="D2895" s="86">
        <v>3</v>
      </c>
      <c r="E2895" s="85">
        <f t="shared" si="371"/>
        <v>3.0000000000000001E-3</v>
      </c>
      <c r="F2895" s="85">
        <f t="shared" si="372"/>
        <v>1.5E-3</v>
      </c>
      <c r="G2895" s="85">
        <f t="shared" si="373"/>
        <v>1.4137166941154068E-8</v>
      </c>
      <c r="H2895" s="85">
        <v>14950</v>
      </c>
      <c r="I2895" s="85">
        <f t="shared" si="374"/>
        <v>2.1135064577025331E-4</v>
      </c>
      <c r="J2895" s="87">
        <v>1</v>
      </c>
      <c r="K2895" s="88">
        <f t="shared" si="375"/>
        <v>4731.4735961916122</v>
      </c>
    </row>
    <row r="2896" spans="1:11" hidden="1" x14ac:dyDescent="0.25">
      <c r="A2896" t="str">
        <f t="shared" si="376"/>
        <v>WC-CoØ1,5</v>
      </c>
      <c r="B2896" s="81" t="s">
        <v>297</v>
      </c>
      <c r="D2896" s="86">
        <v>1.5</v>
      </c>
      <c r="E2896" s="85">
        <f t="shared" si="371"/>
        <v>1.5E-3</v>
      </c>
      <c r="F2896" s="85">
        <f t="shared" si="372"/>
        <v>7.5000000000000002E-4</v>
      </c>
      <c r="G2896" s="85">
        <f t="shared" si="373"/>
        <v>1.7671458676442585E-9</v>
      </c>
      <c r="H2896" s="85">
        <v>14950</v>
      </c>
      <c r="I2896" s="85">
        <f t="shared" si="374"/>
        <v>2.6418830721281664E-5</v>
      </c>
      <c r="J2896" s="87">
        <v>1</v>
      </c>
      <c r="K2896" s="88">
        <f t="shared" si="375"/>
        <v>37851.788769532897</v>
      </c>
    </row>
    <row r="2897" spans="1:11" hidden="1" x14ac:dyDescent="0.25">
      <c r="A2897" t="str">
        <f t="shared" si="376"/>
        <v>WC-CoØ0,6</v>
      </c>
      <c r="B2897" s="81" t="s">
        <v>297</v>
      </c>
      <c r="D2897" s="86">
        <v>0.6</v>
      </c>
      <c r="E2897" s="85">
        <f t="shared" si="371"/>
        <v>5.9999999999999995E-4</v>
      </c>
      <c r="F2897" s="85">
        <f t="shared" si="372"/>
        <v>2.9999999999999997E-4</v>
      </c>
      <c r="G2897" s="85">
        <f t="shared" si="373"/>
        <v>1.1309733552923252E-10</v>
      </c>
      <c r="H2897" s="85">
        <v>14950</v>
      </c>
      <c r="I2897" s="85">
        <f t="shared" si="374"/>
        <v>1.690805166162026E-6</v>
      </c>
      <c r="J2897" s="87">
        <v>1</v>
      </c>
      <c r="K2897" s="88">
        <f t="shared" si="375"/>
        <v>591434.19952395174</v>
      </c>
    </row>
    <row r="2898" spans="1:11" hidden="1" x14ac:dyDescent="0.25">
      <c r="A2898" t="str">
        <f t="shared" si="376"/>
        <v>POMØ14,2875</v>
      </c>
      <c r="B2898" s="81" t="s">
        <v>201</v>
      </c>
      <c r="C2898" s="101" t="s">
        <v>268</v>
      </c>
      <c r="D2898" s="86">
        <f>9/16*25.4</f>
        <v>14.2875</v>
      </c>
      <c r="E2898" s="85">
        <f t="shared" si="371"/>
        <v>1.42875E-2</v>
      </c>
      <c r="F2898" s="85">
        <f t="shared" si="372"/>
        <v>7.1437499999999999E-3</v>
      </c>
      <c r="G2898" s="85">
        <f t="shared" si="373"/>
        <v>1.5270995617605347E-6</v>
      </c>
      <c r="H2898" s="85">
        <v>1350</v>
      </c>
      <c r="I2898" s="85">
        <f t="shared" si="374"/>
        <v>2.0615844083767217E-3</v>
      </c>
      <c r="J2898" s="87">
        <v>1</v>
      </c>
      <c r="K2898" s="88">
        <f t="shared" si="375"/>
        <v>485.06381593533371</v>
      </c>
    </row>
    <row r="2899" spans="1:11" hidden="1" x14ac:dyDescent="0.25">
      <c r="A2899" t="str">
        <f t="shared" si="376"/>
        <v>PPHØ20</v>
      </c>
      <c r="B2899" s="81" t="s">
        <v>202</v>
      </c>
      <c r="D2899" s="86">
        <v>20</v>
      </c>
      <c r="E2899" s="85">
        <f t="shared" si="371"/>
        <v>0.02</v>
      </c>
      <c r="F2899" s="85">
        <f t="shared" si="372"/>
        <v>0.01</v>
      </c>
      <c r="G2899" s="85">
        <f t="shared" si="373"/>
        <v>4.1887902047863905E-6</v>
      </c>
      <c r="H2899" s="85">
        <v>870</v>
      </c>
      <c r="I2899" s="85">
        <f t="shared" si="374"/>
        <v>3.6442474781641599E-3</v>
      </c>
      <c r="J2899" s="87">
        <v>1</v>
      </c>
      <c r="K2899" s="88">
        <f t="shared" si="375"/>
        <v>274.40507429637131</v>
      </c>
    </row>
    <row r="2900" spans="1:11" hidden="1" x14ac:dyDescent="0.25">
      <c r="A2900" t="str">
        <f t="shared" si="376"/>
        <v>PPHØ20</v>
      </c>
      <c r="B2900" s="81" t="s">
        <v>202</v>
      </c>
      <c r="D2900" s="86">
        <v>20</v>
      </c>
      <c r="E2900" s="85">
        <f t="shared" si="371"/>
        <v>0.02</v>
      </c>
      <c r="F2900" s="85">
        <f t="shared" si="372"/>
        <v>0.01</v>
      </c>
      <c r="G2900" s="85">
        <f t="shared" si="373"/>
        <v>4.1887902047863905E-6</v>
      </c>
      <c r="H2900" s="85">
        <v>870</v>
      </c>
      <c r="I2900" s="85">
        <f t="shared" si="374"/>
        <v>3.6442474781641599E-3</v>
      </c>
      <c r="J2900" s="87">
        <v>1</v>
      </c>
      <c r="K2900" s="88">
        <f t="shared" si="375"/>
        <v>274.40507429637131</v>
      </c>
    </row>
    <row r="2901" spans="1:11" hidden="1" x14ac:dyDescent="0.25">
      <c r="A2901" t="str">
        <f t="shared" si="376"/>
        <v>316LØ1,5</v>
      </c>
      <c r="B2901" s="81" t="s">
        <v>298</v>
      </c>
      <c r="D2901" s="86">
        <v>1.5</v>
      </c>
      <c r="E2901" s="85">
        <f t="shared" si="371"/>
        <v>1.5E-3</v>
      </c>
      <c r="F2901" s="85">
        <f t="shared" si="372"/>
        <v>7.5000000000000002E-4</v>
      </c>
      <c r="G2901" s="85">
        <f t="shared" si="373"/>
        <v>1.7671458676442585E-9</v>
      </c>
      <c r="H2901" s="85">
        <v>7950</v>
      </c>
      <c r="I2901" s="85">
        <f t="shared" si="374"/>
        <v>1.4048809647771855E-5</v>
      </c>
      <c r="J2901" s="87">
        <v>1</v>
      </c>
      <c r="K2901" s="88">
        <f t="shared" si="375"/>
        <v>71180.407811888916</v>
      </c>
    </row>
    <row r="2902" spans="1:11" hidden="1" x14ac:dyDescent="0.25">
      <c r="A2902" t="str">
        <f t="shared" si="376"/>
        <v>VESCØ11,1</v>
      </c>
      <c r="B2902" s="81" t="s">
        <v>210</v>
      </c>
      <c r="D2902" s="86">
        <v>11.1</v>
      </c>
      <c r="E2902" s="85">
        <f t="shared" si="371"/>
        <v>1.11E-2</v>
      </c>
      <c r="F2902" s="85">
        <f t="shared" si="372"/>
        <v>5.5500000000000002E-3</v>
      </c>
      <c r="G2902" s="85">
        <f t="shared" si="373"/>
        <v>7.1608991707027712E-7</v>
      </c>
      <c r="H2902" s="85">
        <v>2500</v>
      </c>
      <c r="I2902" s="85">
        <f t="shared" si="374"/>
        <v>1.7902247926756929E-3</v>
      </c>
      <c r="J2902" s="87">
        <v>1</v>
      </c>
      <c r="K2902" s="88">
        <f t="shared" si="375"/>
        <v>558.58906886513796</v>
      </c>
    </row>
    <row r="2903" spans="1:11" hidden="1" x14ac:dyDescent="0.25">
      <c r="A2903" t="str">
        <f t="shared" si="376"/>
        <v>316LØ1,2</v>
      </c>
      <c r="B2903" s="81" t="s">
        <v>298</v>
      </c>
      <c r="D2903" s="86">
        <v>1.2</v>
      </c>
      <c r="E2903" s="85">
        <f t="shared" si="371"/>
        <v>1.1999999999999999E-3</v>
      </c>
      <c r="F2903" s="85">
        <f t="shared" si="372"/>
        <v>5.9999999999999995E-4</v>
      </c>
      <c r="G2903" s="85">
        <f t="shared" si="373"/>
        <v>9.0477868423386013E-10</v>
      </c>
      <c r="H2903" s="85">
        <v>7950</v>
      </c>
      <c r="I2903" s="85">
        <f t="shared" si="374"/>
        <v>7.1929905396591882E-6</v>
      </c>
      <c r="J2903" s="87">
        <v>1</v>
      </c>
      <c r="K2903" s="88">
        <f t="shared" si="375"/>
        <v>139024.23400759554</v>
      </c>
    </row>
    <row r="2904" spans="1:11" hidden="1" x14ac:dyDescent="0.25">
      <c r="A2904" t="str">
        <f t="shared" si="376"/>
        <v>304Ø3</v>
      </c>
      <c r="B2904" s="81">
        <v>304</v>
      </c>
      <c r="D2904" s="86">
        <v>3</v>
      </c>
      <c r="E2904" s="85">
        <f t="shared" si="371"/>
        <v>3.0000000000000001E-3</v>
      </c>
      <c r="F2904" s="85">
        <f t="shared" si="372"/>
        <v>1.5E-3</v>
      </c>
      <c r="G2904" s="85">
        <f t="shared" si="373"/>
        <v>1.4137166941154068E-8</v>
      </c>
      <c r="H2904" s="85">
        <v>7950</v>
      </c>
      <c r="I2904" s="85">
        <f t="shared" si="374"/>
        <v>1.1239047718217484E-4</v>
      </c>
      <c r="J2904" s="87">
        <v>1</v>
      </c>
      <c r="K2904" s="88">
        <f t="shared" si="375"/>
        <v>8897.5509764861145</v>
      </c>
    </row>
    <row r="2905" spans="1:11" hidden="1" x14ac:dyDescent="0.25">
      <c r="A2905" t="str">
        <f t="shared" si="376"/>
        <v>304Ø14,3</v>
      </c>
      <c r="B2905" s="81">
        <v>304</v>
      </c>
      <c r="D2905" s="86">
        <v>14.3</v>
      </c>
      <c r="E2905" s="85">
        <f t="shared" si="371"/>
        <v>1.43E-2</v>
      </c>
      <c r="F2905" s="85">
        <f t="shared" si="372"/>
        <v>7.1500000000000001E-3</v>
      </c>
      <c r="G2905" s="85">
        <f t="shared" si="373"/>
        <v>1.5311112047959747E-6</v>
      </c>
      <c r="H2905" s="85">
        <v>7950</v>
      </c>
      <c r="I2905" s="85">
        <f t="shared" si="374"/>
        <v>1.2172334078127999E-2</v>
      </c>
      <c r="J2905" s="87">
        <v>1</v>
      </c>
      <c r="K2905" s="88">
        <f t="shared" si="375"/>
        <v>82.153512513007811</v>
      </c>
    </row>
    <row r="2906" spans="1:11" hidden="1" x14ac:dyDescent="0.25">
      <c r="A2906" t="str">
        <f t="shared" si="376"/>
        <v>52100Ø2,6</v>
      </c>
      <c r="B2906" s="81">
        <v>52100</v>
      </c>
      <c r="D2906" s="86">
        <v>2.6</v>
      </c>
      <c r="E2906" s="85">
        <f t="shared" si="371"/>
        <v>2.5999999999999999E-3</v>
      </c>
      <c r="F2906" s="85">
        <f t="shared" si="372"/>
        <v>1.2999999999999999E-3</v>
      </c>
      <c r="G2906" s="85">
        <f t="shared" si="373"/>
        <v>9.2027720799156989E-9</v>
      </c>
      <c r="H2906" s="85">
        <v>7800</v>
      </c>
      <c r="I2906" s="85">
        <f t="shared" si="374"/>
        <v>7.1781622223342453E-5</v>
      </c>
      <c r="J2906" s="87">
        <v>1</v>
      </c>
      <c r="K2906" s="88">
        <f t="shared" si="375"/>
        <v>13931.142387512287</v>
      </c>
    </row>
    <row r="2907" spans="1:11" hidden="1" x14ac:dyDescent="0.25">
      <c r="A2907" t="str">
        <f t="shared" si="376"/>
        <v>52100Ø5,05</v>
      </c>
      <c r="B2907" s="81">
        <v>52100</v>
      </c>
      <c r="D2907" s="86">
        <v>5.05</v>
      </c>
      <c r="E2907" s="85">
        <f t="shared" si="371"/>
        <v>5.0499999999999998E-3</v>
      </c>
      <c r="F2907" s="85">
        <f t="shared" si="372"/>
        <v>2.5249999999999999E-3</v>
      </c>
      <c r="G2907" s="85">
        <f t="shared" si="373"/>
        <v>6.7433042762212854E-8</v>
      </c>
      <c r="H2907" s="85">
        <v>7800</v>
      </c>
      <c r="I2907" s="85">
        <f t="shared" si="374"/>
        <v>5.259777335452603E-4</v>
      </c>
      <c r="J2907" s="87">
        <v>1</v>
      </c>
      <c r="K2907" s="88">
        <f t="shared" si="375"/>
        <v>1901.2211662643513</v>
      </c>
    </row>
    <row r="2908" spans="1:11" hidden="1" x14ac:dyDescent="0.25">
      <c r="A2908" t="str">
        <f t="shared" si="376"/>
        <v>52100Ø1,3</v>
      </c>
      <c r="B2908" s="81">
        <v>52100</v>
      </c>
      <c r="D2908" s="86">
        <v>1.3</v>
      </c>
      <c r="E2908" s="85">
        <f t="shared" si="371"/>
        <v>1.2999999999999999E-3</v>
      </c>
      <c r="F2908" s="85">
        <f t="shared" si="372"/>
        <v>6.4999999999999997E-4</v>
      </c>
      <c r="G2908" s="85">
        <f t="shared" si="373"/>
        <v>1.1503465099894624E-9</v>
      </c>
      <c r="H2908" s="85">
        <v>7800</v>
      </c>
      <c r="I2908" s="85">
        <f t="shared" si="374"/>
        <v>8.9727027779178067E-6</v>
      </c>
      <c r="J2908" s="87">
        <v>1</v>
      </c>
      <c r="K2908" s="88">
        <f t="shared" si="375"/>
        <v>111449.1391000983</v>
      </c>
    </row>
    <row r="2909" spans="1:11" hidden="1" x14ac:dyDescent="0.25">
      <c r="A2909" t="str">
        <f t="shared" si="376"/>
        <v>52100Ø22,05</v>
      </c>
      <c r="B2909" s="81">
        <v>52100</v>
      </c>
      <c r="D2909" s="86">
        <v>22.05</v>
      </c>
      <c r="E2909" s="85">
        <f t="shared" si="371"/>
        <v>2.205E-2</v>
      </c>
      <c r="F2909" s="85">
        <f t="shared" si="372"/>
        <v>1.1025E-2</v>
      </c>
      <c r="G2909" s="85">
        <f t="shared" si="373"/>
        <v>5.6133794929269429E-6</v>
      </c>
      <c r="H2909" s="85">
        <v>7800</v>
      </c>
      <c r="I2909" s="85">
        <f t="shared" si="374"/>
        <v>4.3784360044830155E-2</v>
      </c>
      <c r="J2909" s="87">
        <v>1</v>
      </c>
      <c r="K2909" s="88">
        <f t="shared" si="375"/>
        <v>22.839205574230498</v>
      </c>
    </row>
    <row r="2910" spans="1:11" x14ac:dyDescent="0.25">
      <c r="A2910" t="str">
        <f t="shared" si="376"/>
        <v>1085Ø3,8</v>
      </c>
      <c r="B2910" s="81">
        <v>1085</v>
      </c>
      <c r="D2910" s="86">
        <v>3.8</v>
      </c>
      <c r="E2910" s="85">
        <f t="shared" si="371"/>
        <v>3.8E-3</v>
      </c>
      <c r="F2910" s="85">
        <f t="shared" si="372"/>
        <v>1.9E-3</v>
      </c>
      <c r="G2910" s="85">
        <f t="shared" si="373"/>
        <v>2.8730912014629853E-8</v>
      </c>
      <c r="H2910" s="85">
        <v>7850</v>
      </c>
      <c r="I2910" s="85">
        <f t="shared" si="374"/>
        <v>2.2553765931484436E-4</v>
      </c>
      <c r="J2910" s="87">
        <v>1</v>
      </c>
      <c r="K2910" s="88">
        <f t="shared" si="375"/>
        <v>4433.8493315833675</v>
      </c>
    </row>
    <row r="2911" spans="1:11" hidden="1" x14ac:dyDescent="0.25">
      <c r="A2911" t="str">
        <f t="shared" si="376"/>
        <v>POMØ2,38125</v>
      </c>
      <c r="B2911" s="81" t="s">
        <v>201</v>
      </c>
      <c r="C2911" s="101" t="s">
        <v>213</v>
      </c>
      <c r="D2911" s="86">
        <f>3/32*25.4</f>
        <v>2.3812499999999996</v>
      </c>
      <c r="E2911" s="85">
        <f t="shared" si="371"/>
        <v>2.3812499999999997E-3</v>
      </c>
      <c r="F2911" s="85">
        <f t="shared" si="372"/>
        <v>1.1906249999999998E-3</v>
      </c>
      <c r="G2911" s="85">
        <f t="shared" si="373"/>
        <v>7.0699053785209917E-9</v>
      </c>
      <c r="H2911" s="85">
        <v>1370</v>
      </c>
      <c r="I2911" s="85">
        <f t="shared" si="374"/>
        <v>9.6857703685737587E-6</v>
      </c>
      <c r="J2911" s="87">
        <v>1</v>
      </c>
      <c r="K2911" s="88">
        <f t="shared" si="375"/>
        <v>103244.23994652799</v>
      </c>
    </row>
    <row r="2912" spans="1:11" hidden="1" x14ac:dyDescent="0.25">
      <c r="A2912" t="str">
        <f t="shared" si="376"/>
        <v>Alluminio serie 1Ø3</v>
      </c>
      <c r="B2912" s="81" t="s">
        <v>330</v>
      </c>
      <c r="D2912" s="86">
        <v>3</v>
      </c>
      <c r="E2912" s="85">
        <f t="shared" si="371"/>
        <v>3.0000000000000001E-3</v>
      </c>
      <c r="F2912" s="85">
        <f t="shared" si="372"/>
        <v>1.5E-3</v>
      </c>
      <c r="G2912" s="85">
        <f t="shared" si="373"/>
        <v>1.4137166941154068E-8</v>
      </c>
      <c r="H2912" s="85">
        <v>2710</v>
      </c>
      <c r="I2912" s="85">
        <f t="shared" si="374"/>
        <v>3.8311722410527523E-5</v>
      </c>
      <c r="J2912" s="87">
        <v>1</v>
      </c>
      <c r="K2912" s="88">
        <f t="shared" si="375"/>
        <v>26101.671683787677</v>
      </c>
    </row>
    <row r="2913" spans="1:11" hidden="1" x14ac:dyDescent="0.25">
      <c r="A2913" t="str">
        <f t="shared" si="376"/>
        <v>PPHØ2</v>
      </c>
      <c r="B2913" s="81" t="s">
        <v>202</v>
      </c>
      <c r="D2913" s="86">
        <v>2</v>
      </c>
      <c r="E2913" s="85">
        <f t="shared" si="371"/>
        <v>2E-3</v>
      </c>
      <c r="F2913" s="85">
        <f t="shared" si="372"/>
        <v>1E-3</v>
      </c>
      <c r="G2913" s="85">
        <f t="shared" si="373"/>
        <v>4.1887902047863909E-9</v>
      </c>
      <c r="H2913" s="85">
        <v>870</v>
      </c>
      <c r="I2913" s="85">
        <f t="shared" si="374"/>
        <v>3.6442474781641599E-6</v>
      </c>
      <c r="J2913" s="87">
        <v>1</v>
      </c>
      <c r="K2913" s="88">
        <f t="shared" si="375"/>
        <v>274405.07429637131</v>
      </c>
    </row>
    <row r="2914" spans="1:11" hidden="1" x14ac:dyDescent="0.25">
      <c r="A2914" t="str">
        <f t="shared" si="376"/>
        <v>PPHØ4</v>
      </c>
      <c r="B2914" s="81" t="s">
        <v>202</v>
      </c>
      <c r="D2914" s="86">
        <v>4</v>
      </c>
      <c r="E2914" s="85">
        <f t="shared" si="371"/>
        <v>4.0000000000000001E-3</v>
      </c>
      <c r="F2914" s="85">
        <f t="shared" si="372"/>
        <v>2E-3</v>
      </c>
      <c r="G2914" s="85">
        <f t="shared" si="373"/>
        <v>3.3510321638291127E-8</v>
      </c>
      <c r="H2914" s="85">
        <v>870</v>
      </c>
      <c r="I2914" s="85">
        <f t="shared" si="374"/>
        <v>2.9153979825313279E-5</v>
      </c>
      <c r="J2914" s="87">
        <v>1</v>
      </c>
      <c r="K2914" s="88">
        <f t="shared" si="375"/>
        <v>34300.634287046414</v>
      </c>
    </row>
    <row r="2915" spans="1:11" hidden="1" x14ac:dyDescent="0.25">
      <c r="A2915" t="str">
        <f t="shared" si="376"/>
        <v>PPHØ6</v>
      </c>
      <c r="B2915" s="81" t="s">
        <v>202</v>
      </c>
      <c r="D2915" s="86">
        <v>6</v>
      </c>
      <c r="E2915" s="85">
        <f t="shared" si="371"/>
        <v>6.0000000000000001E-3</v>
      </c>
      <c r="F2915" s="85">
        <f t="shared" si="372"/>
        <v>3.0000000000000001E-3</v>
      </c>
      <c r="G2915" s="85">
        <f t="shared" si="373"/>
        <v>1.1309733552923255E-7</v>
      </c>
      <c r="H2915" s="85">
        <v>870</v>
      </c>
      <c r="I2915" s="85">
        <f t="shared" si="374"/>
        <v>9.8394681910432316E-5</v>
      </c>
      <c r="J2915" s="87">
        <v>1</v>
      </c>
      <c r="K2915" s="88">
        <f t="shared" si="375"/>
        <v>10163.150899865603</v>
      </c>
    </row>
    <row r="2916" spans="1:11" hidden="1" x14ac:dyDescent="0.25">
      <c r="A2916" t="str">
        <f t="shared" si="376"/>
        <v>PPHØ10</v>
      </c>
      <c r="B2916" s="81" t="s">
        <v>202</v>
      </c>
      <c r="D2916" s="86">
        <v>10</v>
      </c>
      <c r="E2916" s="85">
        <f t="shared" si="371"/>
        <v>0.01</v>
      </c>
      <c r="F2916" s="85">
        <f t="shared" si="372"/>
        <v>5.0000000000000001E-3</v>
      </c>
      <c r="G2916" s="85">
        <f t="shared" si="373"/>
        <v>5.2359877559829882E-7</v>
      </c>
      <c r="H2916" s="85">
        <v>870</v>
      </c>
      <c r="I2916" s="85">
        <f t="shared" si="374"/>
        <v>4.5553093477051999E-4</v>
      </c>
      <c r="J2916" s="87">
        <v>1</v>
      </c>
      <c r="K2916" s="88">
        <f t="shared" si="375"/>
        <v>2195.2405943709705</v>
      </c>
    </row>
    <row r="2917" spans="1:11" hidden="1" x14ac:dyDescent="0.25">
      <c r="A2917" t="str">
        <f t="shared" si="376"/>
        <v>420CØ3,6</v>
      </c>
      <c r="B2917" s="81" t="s">
        <v>295</v>
      </c>
      <c r="D2917" s="86">
        <v>3.6</v>
      </c>
      <c r="E2917" s="85">
        <f t="shared" si="371"/>
        <v>3.5999999999999999E-3</v>
      </c>
      <c r="F2917" s="85">
        <f t="shared" si="372"/>
        <v>1.8E-3</v>
      </c>
      <c r="G2917" s="85">
        <f t="shared" si="373"/>
        <v>2.4429024474314225E-8</v>
      </c>
      <c r="H2917" s="85">
        <v>7750</v>
      </c>
      <c r="I2917" s="85">
        <f t="shared" si="374"/>
        <v>1.8932493967593525E-4</v>
      </c>
      <c r="J2917" s="87">
        <v>1</v>
      </c>
      <c r="K2917" s="88">
        <f t="shared" si="375"/>
        <v>5281.9243027975363</v>
      </c>
    </row>
    <row r="2918" spans="1:11" hidden="1" x14ac:dyDescent="0.25">
      <c r="A2918" t="str">
        <f t="shared" si="376"/>
        <v>420CØ3,6</v>
      </c>
      <c r="B2918" s="81" t="s">
        <v>295</v>
      </c>
      <c r="D2918" s="86">
        <v>3.6</v>
      </c>
      <c r="E2918" s="85">
        <f t="shared" si="371"/>
        <v>3.5999999999999999E-3</v>
      </c>
      <c r="F2918" s="85">
        <f t="shared" si="372"/>
        <v>1.8E-3</v>
      </c>
      <c r="G2918" s="85">
        <f t="shared" si="373"/>
        <v>2.4429024474314225E-8</v>
      </c>
      <c r="H2918" s="85">
        <v>7700</v>
      </c>
      <c r="I2918" s="85">
        <f t="shared" si="374"/>
        <v>1.8810348845221952E-4</v>
      </c>
      <c r="J2918" s="87">
        <v>1</v>
      </c>
      <c r="K2918" s="88">
        <f t="shared" si="375"/>
        <v>5316.2225125559626</v>
      </c>
    </row>
    <row r="2919" spans="1:11" hidden="1" x14ac:dyDescent="0.25">
      <c r="A2919" t="str">
        <f t="shared" si="376"/>
        <v>RameØ4</v>
      </c>
      <c r="B2919" s="81" t="s">
        <v>340</v>
      </c>
      <c r="D2919" s="86">
        <v>4</v>
      </c>
      <c r="E2919" s="85">
        <f t="shared" si="371"/>
        <v>4.0000000000000001E-3</v>
      </c>
      <c r="F2919" s="85">
        <f t="shared" si="372"/>
        <v>2E-3</v>
      </c>
      <c r="G2919" s="85">
        <f t="shared" si="373"/>
        <v>3.3510321638291127E-8</v>
      </c>
      <c r="H2919" s="85">
        <v>8910</v>
      </c>
      <c r="I2919" s="85">
        <f t="shared" si="374"/>
        <v>2.9857696579717395E-4</v>
      </c>
      <c r="J2919" s="87">
        <v>1</v>
      </c>
      <c r="K2919" s="88">
        <f t="shared" si="375"/>
        <v>3349.2201829102555</v>
      </c>
    </row>
    <row r="2920" spans="1:11" hidden="1" x14ac:dyDescent="0.25">
      <c r="A2920" t="str">
        <f t="shared" si="376"/>
        <v>Hastelloy C4Ø2</v>
      </c>
      <c r="B2920" s="81" t="s">
        <v>421</v>
      </c>
      <c r="D2920" s="86">
        <v>2</v>
      </c>
      <c r="E2920" s="85">
        <f t="shared" si="371"/>
        <v>2E-3</v>
      </c>
      <c r="F2920" s="85">
        <f t="shared" si="372"/>
        <v>1E-3</v>
      </c>
      <c r="G2920" s="85">
        <f t="shared" si="373"/>
        <v>4.1887902047863909E-9</v>
      </c>
      <c r="H2920" s="85">
        <v>8640</v>
      </c>
      <c r="I2920" s="85">
        <f t="shared" si="374"/>
        <v>3.6191147369354417E-5</v>
      </c>
      <c r="J2920" s="87">
        <v>1</v>
      </c>
      <c r="K2920" s="88">
        <f t="shared" si="375"/>
        <v>27631.066509009608</v>
      </c>
    </row>
    <row r="2921" spans="1:11" hidden="1" x14ac:dyDescent="0.25">
      <c r="A2921" t="str">
        <f t="shared" si="376"/>
        <v>316Ø4,5</v>
      </c>
      <c r="B2921" s="81">
        <v>316</v>
      </c>
      <c r="D2921" s="86">
        <v>4.5</v>
      </c>
      <c r="E2921" s="85">
        <f t="shared" si="371"/>
        <v>4.4999999999999997E-3</v>
      </c>
      <c r="F2921" s="85">
        <f t="shared" si="372"/>
        <v>2.2499999999999998E-3</v>
      </c>
      <c r="G2921" s="85">
        <f t="shared" si="373"/>
        <v>4.7712938426394968E-8</v>
      </c>
      <c r="H2921" s="85">
        <v>7950</v>
      </c>
      <c r="I2921" s="85">
        <f t="shared" si="374"/>
        <v>3.7931786048983997E-4</v>
      </c>
      <c r="J2921" s="87">
        <v>1</v>
      </c>
      <c r="K2921" s="88">
        <f t="shared" si="375"/>
        <v>2636.3114004403305</v>
      </c>
    </row>
    <row r="2922" spans="1:11" hidden="1" x14ac:dyDescent="0.25">
      <c r="A2922" t="str">
        <f t="shared" si="376"/>
        <v>Alluminio serie 1Ø3,5</v>
      </c>
      <c r="B2922" s="81" t="s">
        <v>330</v>
      </c>
      <c r="D2922" s="86">
        <v>3.5</v>
      </c>
      <c r="E2922" s="85">
        <f t="shared" si="371"/>
        <v>3.5000000000000001E-3</v>
      </c>
      <c r="F2922" s="85">
        <f t="shared" si="372"/>
        <v>1.75E-3</v>
      </c>
      <c r="G2922" s="85">
        <f t="shared" si="373"/>
        <v>2.2449297503777064E-8</v>
      </c>
      <c r="H2922" s="85">
        <v>2710</v>
      </c>
      <c r="I2922" s="85">
        <f t="shared" si="374"/>
        <v>6.0837596235235846E-5</v>
      </c>
      <c r="J2922" s="87">
        <v>1</v>
      </c>
      <c r="K2922" s="88">
        <f t="shared" si="375"/>
        <v>16437.204325650546</v>
      </c>
    </row>
    <row r="2923" spans="1:11" hidden="1" x14ac:dyDescent="0.25">
      <c r="A2923" t="str">
        <f t="shared" si="376"/>
        <v>420CØ0,8</v>
      </c>
      <c r="B2923" s="81" t="s">
        <v>295</v>
      </c>
      <c r="D2923" s="86">
        <v>0.8</v>
      </c>
      <c r="E2923" s="85">
        <f t="shared" si="371"/>
        <v>8.0000000000000004E-4</v>
      </c>
      <c r="F2923" s="85">
        <f t="shared" si="372"/>
        <v>4.0000000000000002E-4</v>
      </c>
      <c r="G2923" s="85">
        <f t="shared" si="373"/>
        <v>2.6808257310632903E-10</v>
      </c>
      <c r="H2923" s="85">
        <v>7750</v>
      </c>
      <c r="I2923" s="85">
        <f t="shared" si="374"/>
        <v>2.0776399415740501E-6</v>
      </c>
      <c r="J2923" s="87">
        <v>1</v>
      </c>
      <c r="K2923" s="88">
        <f t="shared" si="375"/>
        <v>481315.3520924254</v>
      </c>
    </row>
    <row r="2924" spans="1:11" hidden="1" x14ac:dyDescent="0.25">
      <c r="A2924" t="str">
        <f t="shared" si="376"/>
        <v>420CØ0,8</v>
      </c>
      <c r="B2924" s="81" t="s">
        <v>295</v>
      </c>
      <c r="D2924" s="86">
        <v>0.8</v>
      </c>
      <c r="E2924" s="85">
        <f t="shared" si="371"/>
        <v>8.0000000000000004E-4</v>
      </c>
      <c r="F2924" s="85">
        <f t="shared" si="372"/>
        <v>4.0000000000000002E-4</v>
      </c>
      <c r="G2924" s="85">
        <f t="shared" si="373"/>
        <v>2.6808257310632903E-10</v>
      </c>
      <c r="H2924" s="85">
        <v>7700</v>
      </c>
      <c r="I2924" s="85">
        <f t="shared" si="374"/>
        <v>2.0642358129187334E-6</v>
      </c>
      <c r="J2924" s="87">
        <v>1</v>
      </c>
      <c r="K2924" s="88">
        <f t="shared" si="375"/>
        <v>484440.77645666193</v>
      </c>
    </row>
    <row r="2925" spans="1:11" hidden="1" x14ac:dyDescent="0.25">
      <c r="A2925" t="str">
        <f t="shared" si="376"/>
        <v>ZrO2Ø3,96875</v>
      </c>
      <c r="B2925" s="81" t="s">
        <v>205</v>
      </c>
      <c r="C2925" s="101" t="s">
        <v>215</v>
      </c>
      <c r="D2925" s="86">
        <f>5/32*25.4</f>
        <v>3.96875</v>
      </c>
      <c r="E2925" s="85">
        <f t="shared" si="371"/>
        <v>3.9687500000000001E-3</v>
      </c>
      <c r="F2925" s="85">
        <f t="shared" si="372"/>
        <v>1.984375E-3</v>
      </c>
      <c r="G2925" s="85">
        <f t="shared" si="373"/>
        <v>3.2731043419078684E-8</v>
      </c>
      <c r="H2925" s="85">
        <v>6000</v>
      </c>
      <c r="I2925" s="85">
        <f t="shared" si="374"/>
        <v>1.9638626051447211E-4</v>
      </c>
      <c r="J2925" s="87">
        <v>1</v>
      </c>
      <c r="K2925" s="88">
        <f t="shared" si="375"/>
        <v>5092.0059141627571</v>
      </c>
    </row>
    <row r="2926" spans="1:11" hidden="1" x14ac:dyDescent="0.25">
      <c r="A2926" t="str">
        <f t="shared" si="376"/>
        <v>ZrO2Ø5</v>
      </c>
      <c r="B2926" s="81" t="s">
        <v>205</v>
      </c>
      <c r="D2926" s="86">
        <v>5</v>
      </c>
      <c r="E2926" s="85">
        <f t="shared" si="371"/>
        <v>5.0000000000000001E-3</v>
      </c>
      <c r="F2926" s="85">
        <f t="shared" si="372"/>
        <v>2.5000000000000001E-3</v>
      </c>
      <c r="G2926" s="85">
        <f t="shared" si="373"/>
        <v>6.5449846949787352E-8</v>
      </c>
      <c r="H2926" s="85">
        <v>6000</v>
      </c>
      <c r="I2926" s="85">
        <f t="shared" si="374"/>
        <v>3.9269908169872411E-4</v>
      </c>
      <c r="J2926" s="87">
        <v>1</v>
      </c>
      <c r="K2926" s="88">
        <f t="shared" si="375"/>
        <v>2546.4790894703256</v>
      </c>
    </row>
    <row r="2927" spans="1:11" hidden="1" x14ac:dyDescent="0.25">
      <c r="A2927" t="str">
        <f t="shared" si="376"/>
        <v>Lescalloy BG 42Ø4</v>
      </c>
      <c r="B2927" s="81" t="s">
        <v>422</v>
      </c>
      <c r="D2927" s="86">
        <v>4</v>
      </c>
      <c r="E2927" s="85">
        <f t="shared" si="371"/>
        <v>4.0000000000000001E-3</v>
      </c>
      <c r="F2927" s="85">
        <f t="shared" si="372"/>
        <v>2E-3</v>
      </c>
      <c r="G2927" s="85">
        <f t="shared" si="373"/>
        <v>3.3510321638291127E-8</v>
      </c>
      <c r="H2927" s="85">
        <v>7750</v>
      </c>
      <c r="I2927" s="85">
        <f t="shared" si="374"/>
        <v>2.5970499269675621E-4</v>
      </c>
      <c r="J2927" s="87">
        <v>1</v>
      </c>
      <c r="K2927" s="88">
        <f t="shared" si="375"/>
        <v>3850.5228167394039</v>
      </c>
    </row>
    <row r="2928" spans="1:11" hidden="1" x14ac:dyDescent="0.25">
      <c r="A2928" t="str">
        <f t="shared" si="376"/>
        <v>Lescalloy BG 42Ø5</v>
      </c>
      <c r="B2928" s="81" t="s">
        <v>422</v>
      </c>
      <c r="D2928" s="86">
        <v>5</v>
      </c>
      <c r="E2928" s="85">
        <f t="shared" si="371"/>
        <v>5.0000000000000001E-3</v>
      </c>
      <c r="F2928" s="85">
        <f t="shared" si="372"/>
        <v>2.5000000000000001E-3</v>
      </c>
      <c r="G2928" s="85">
        <f t="shared" si="373"/>
        <v>6.5449846949787352E-8</v>
      </c>
      <c r="H2928" s="85">
        <v>7750</v>
      </c>
      <c r="I2928" s="85">
        <f t="shared" si="374"/>
        <v>5.0723631386085201E-4</v>
      </c>
      <c r="J2928" s="87">
        <v>1</v>
      </c>
      <c r="K2928" s="88">
        <f t="shared" si="375"/>
        <v>1971.4676821705746</v>
      </c>
    </row>
    <row r="2929" spans="1:11" hidden="1" x14ac:dyDescent="0.25">
      <c r="A2929" t="str">
        <f t="shared" si="376"/>
        <v>Lescalloy BG 42Ø4</v>
      </c>
      <c r="B2929" s="81" t="s">
        <v>422</v>
      </c>
      <c r="D2929" s="86">
        <v>4</v>
      </c>
      <c r="E2929" s="85">
        <f t="shared" si="371"/>
        <v>4.0000000000000001E-3</v>
      </c>
      <c r="F2929" s="85">
        <f t="shared" si="372"/>
        <v>2E-3</v>
      </c>
      <c r="G2929" s="85">
        <f t="shared" si="373"/>
        <v>3.3510321638291127E-8</v>
      </c>
      <c r="H2929" s="85">
        <v>7750</v>
      </c>
      <c r="I2929" s="85">
        <f t="shared" si="374"/>
        <v>2.5970499269675621E-4</v>
      </c>
      <c r="J2929" s="87">
        <v>1</v>
      </c>
      <c r="K2929" s="88">
        <f t="shared" si="375"/>
        <v>3850.5228167394039</v>
      </c>
    </row>
    <row r="2930" spans="1:11" hidden="1" x14ac:dyDescent="0.25">
      <c r="A2930" t="str">
        <f t="shared" si="376"/>
        <v>Lescalloy BG 42Ø5</v>
      </c>
      <c r="B2930" s="81" t="s">
        <v>422</v>
      </c>
      <c r="D2930" s="86">
        <v>5</v>
      </c>
      <c r="E2930" s="85">
        <f t="shared" si="371"/>
        <v>5.0000000000000001E-3</v>
      </c>
      <c r="F2930" s="85">
        <f t="shared" si="372"/>
        <v>2.5000000000000001E-3</v>
      </c>
      <c r="G2930" s="85">
        <f t="shared" si="373"/>
        <v>6.5449846949787352E-8</v>
      </c>
      <c r="H2930" s="85">
        <v>7750</v>
      </c>
      <c r="I2930" s="85">
        <f t="shared" si="374"/>
        <v>5.0723631386085201E-4</v>
      </c>
      <c r="J2930" s="87">
        <v>1</v>
      </c>
      <c r="K2930" s="88">
        <f t="shared" si="375"/>
        <v>1971.4676821705746</v>
      </c>
    </row>
    <row r="2931" spans="1:11" hidden="1" x14ac:dyDescent="0.25">
      <c r="A2931" t="str">
        <f t="shared" si="376"/>
        <v>52100Ø1,688</v>
      </c>
      <c r="B2931" s="81">
        <v>52100</v>
      </c>
      <c r="D2931" s="100">
        <v>1.6879999999999999</v>
      </c>
      <c r="E2931" s="85">
        <f t="shared" si="371"/>
        <v>1.688E-3</v>
      </c>
      <c r="F2931" s="85">
        <f t="shared" si="372"/>
        <v>8.4400000000000002E-4</v>
      </c>
      <c r="G2931" s="85">
        <f t="shared" si="373"/>
        <v>2.5183491940633105E-9</v>
      </c>
      <c r="H2931" s="85">
        <v>7800</v>
      </c>
      <c r="I2931" s="85">
        <f t="shared" si="374"/>
        <v>1.9643123713693822E-5</v>
      </c>
      <c r="J2931" s="87">
        <v>1</v>
      </c>
      <c r="K2931" s="85">
        <f t="shared" si="375"/>
        <v>50908.400037356048</v>
      </c>
    </row>
    <row r="2932" spans="1:11" hidden="1" x14ac:dyDescent="0.25">
      <c r="A2932" t="str">
        <f t="shared" si="376"/>
        <v>WC-CoØ3,7</v>
      </c>
      <c r="B2932" s="81" t="s">
        <v>297</v>
      </c>
      <c r="D2932" s="86">
        <v>3.7</v>
      </c>
      <c r="E2932" s="85">
        <f t="shared" si="371"/>
        <v>3.7000000000000002E-3</v>
      </c>
      <c r="F2932" s="85">
        <f t="shared" si="372"/>
        <v>1.8500000000000001E-3</v>
      </c>
      <c r="G2932" s="85">
        <f t="shared" si="373"/>
        <v>2.6521848780380631E-8</v>
      </c>
      <c r="H2932" s="85">
        <v>14950</v>
      </c>
      <c r="I2932" s="85">
        <f t="shared" si="374"/>
        <v>3.9650163926669042E-4</v>
      </c>
      <c r="J2932" s="87">
        <v>1</v>
      </c>
      <c r="K2932" s="88">
        <f t="shared" si="375"/>
        <v>2522.0576687890853</v>
      </c>
    </row>
    <row r="2933" spans="1:11" hidden="1" x14ac:dyDescent="0.25">
      <c r="A2933" t="str">
        <f t="shared" si="376"/>
        <v>PURØ20</v>
      </c>
      <c r="B2933" s="81" t="s">
        <v>300</v>
      </c>
      <c r="D2933" s="86">
        <v>20</v>
      </c>
      <c r="E2933" s="85">
        <f t="shared" si="371"/>
        <v>0.02</v>
      </c>
      <c r="F2933" s="85">
        <f t="shared" si="372"/>
        <v>0.01</v>
      </c>
      <c r="G2933" s="85">
        <f t="shared" si="373"/>
        <v>4.1887902047863905E-6</v>
      </c>
      <c r="H2933" s="85">
        <v>1140</v>
      </c>
      <c r="I2933" s="85">
        <f t="shared" si="374"/>
        <v>4.7752208334564854E-3</v>
      </c>
      <c r="J2933" s="87">
        <v>1</v>
      </c>
      <c r="K2933" s="88">
        <f t="shared" si="375"/>
        <v>209.41439880512544</v>
      </c>
    </row>
    <row r="2934" spans="1:11" hidden="1" x14ac:dyDescent="0.25">
      <c r="A2934" t="str">
        <f t="shared" si="376"/>
        <v>420CØ4,54</v>
      </c>
      <c r="B2934" s="81" t="s">
        <v>295</v>
      </c>
      <c r="D2934" s="86">
        <v>4.54</v>
      </c>
      <c r="E2934" s="85">
        <f t="shared" si="371"/>
        <v>4.5399999999999998E-3</v>
      </c>
      <c r="F2934" s="85">
        <f t="shared" si="372"/>
        <v>2.2699999999999999E-3</v>
      </c>
      <c r="G2934" s="85">
        <f t="shared" si="373"/>
        <v>4.8996626694973399E-8</v>
      </c>
      <c r="H2934" s="85">
        <v>7750</v>
      </c>
      <c r="I2934" s="85">
        <f t="shared" si="374"/>
        <v>3.7972385688604383E-4</v>
      </c>
      <c r="J2934" s="87">
        <v>1</v>
      </c>
      <c r="K2934" s="88">
        <f t="shared" si="375"/>
        <v>2633.4926865027151</v>
      </c>
    </row>
    <row r="2935" spans="1:11" hidden="1" x14ac:dyDescent="0.25">
      <c r="A2935" t="str">
        <f t="shared" si="376"/>
        <v>VESCØ3</v>
      </c>
      <c r="B2935" s="81" t="s">
        <v>210</v>
      </c>
      <c r="D2935" s="86">
        <v>3</v>
      </c>
      <c r="E2935" s="85">
        <f t="shared" si="371"/>
        <v>3.0000000000000001E-3</v>
      </c>
      <c r="F2935" s="85">
        <f t="shared" si="372"/>
        <v>1.5E-3</v>
      </c>
      <c r="G2935" s="85">
        <f t="shared" si="373"/>
        <v>1.4137166941154068E-8</v>
      </c>
      <c r="H2935" s="85">
        <v>2500</v>
      </c>
      <c r="I2935" s="85">
        <f t="shared" si="374"/>
        <v>3.5342917352885171E-5</v>
      </c>
      <c r="J2935" s="87">
        <v>1</v>
      </c>
      <c r="K2935" s="88">
        <f t="shared" si="375"/>
        <v>28294.212105225841</v>
      </c>
    </row>
    <row r="2936" spans="1:11" hidden="1" x14ac:dyDescent="0.25">
      <c r="A2936" t="str">
        <f t="shared" si="376"/>
        <v>POMØ3,175</v>
      </c>
      <c r="B2936" s="81" t="s">
        <v>201</v>
      </c>
      <c r="C2936" s="101" t="s">
        <v>214</v>
      </c>
      <c r="D2936" s="86">
        <f>1/8*25.4</f>
        <v>3.1749999999999998</v>
      </c>
      <c r="E2936" s="85">
        <f t="shared" si="371"/>
        <v>3.1749999999999999E-3</v>
      </c>
      <c r="F2936" s="85">
        <f t="shared" si="372"/>
        <v>1.5874999999999999E-3</v>
      </c>
      <c r="G2936" s="85">
        <f t="shared" si="373"/>
        <v>1.6758294230568279E-8</v>
      </c>
      <c r="H2936" s="85">
        <v>1370</v>
      </c>
      <c r="I2936" s="85">
        <f t="shared" si="374"/>
        <v>2.2958863095878543E-5</v>
      </c>
      <c r="J2936" s="87">
        <v>1</v>
      </c>
      <c r="K2936" s="88">
        <f t="shared" si="375"/>
        <v>43556.16372744149</v>
      </c>
    </row>
    <row r="2937" spans="1:11" hidden="1" x14ac:dyDescent="0.25">
      <c r="A2937" t="str">
        <f t="shared" si="376"/>
        <v>POMØ7</v>
      </c>
      <c r="B2937" s="81" t="s">
        <v>201</v>
      </c>
      <c r="D2937" s="86">
        <v>7</v>
      </c>
      <c r="E2937" s="85">
        <f>D2937/1000</f>
        <v>7.0000000000000001E-3</v>
      </c>
      <c r="F2937" s="85">
        <f>E2937/2</f>
        <v>3.5000000000000001E-3</v>
      </c>
      <c r="G2937" s="85">
        <f>4/3*PI()*F2937*F2937*F2937</f>
        <v>1.7959438003021651E-7</v>
      </c>
      <c r="H2937" s="85">
        <v>1370</v>
      </c>
      <c r="I2937" s="85">
        <f>H2937*G2937</f>
        <v>2.460443006413966E-4</v>
      </c>
      <c r="J2937" s="87">
        <v>1</v>
      </c>
      <c r="K2937" s="88">
        <f>J2937/I2937</f>
        <v>4064.308733805929</v>
      </c>
    </row>
    <row r="2938" spans="1:11" hidden="1" x14ac:dyDescent="0.25">
      <c r="A2938" t="str">
        <f t="shared" si="376"/>
        <v>Si3N4Ø6</v>
      </c>
      <c r="B2938" s="81" t="s">
        <v>207</v>
      </c>
      <c r="D2938" s="86">
        <v>6</v>
      </c>
      <c r="E2938" s="85">
        <f>D2938/1000</f>
        <v>6.0000000000000001E-3</v>
      </c>
      <c r="F2938" s="85">
        <f>E2938/2</f>
        <v>3.0000000000000001E-3</v>
      </c>
      <c r="G2938" s="85">
        <f>4/3*PI()*F2938*F2938*F2938</f>
        <v>1.1309733552923255E-7</v>
      </c>
      <c r="H2938" s="85">
        <v>3260</v>
      </c>
      <c r="I2938" s="85">
        <f>H2938*G2938</f>
        <v>3.6869731382529808E-4</v>
      </c>
      <c r="J2938" s="87">
        <v>1</v>
      </c>
      <c r="K2938" s="88">
        <f>J2938/I2938</f>
        <v>2712.2519272647473</v>
      </c>
    </row>
    <row r="2939" spans="1:11" hidden="1" x14ac:dyDescent="0.25">
      <c r="A2939" t="str">
        <f t="shared" si="376"/>
        <v>ZrO2Ø1</v>
      </c>
      <c r="B2939" s="81" t="s">
        <v>205</v>
      </c>
      <c r="D2939" s="86">
        <v>1</v>
      </c>
      <c r="E2939" s="85">
        <f>D2939/1000</f>
        <v>1E-3</v>
      </c>
      <c r="F2939" s="85">
        <f>E2939/2</f>
        <v>5.0000000000000001E-4</v>
      </c>
      <c r="G2939" s="85">
        <f>4/3*PI()*F2939*F2939*F2939</f>
        <v>5.2359877559829886E-10</v>
      </c>
      <c r="H2939" s="85">
        <v>6000</v>
      </c>
      <c r="I2939" s="85">
        <f>H2939*G2939</f>
        <v>3.1415926535897933E-6</v>
      </c>
      <c r="J2939" s="87">
        <v>1</v>
      </c>
      <c r="K2939" s="88">
        <f>J2939/I2939</f>
        <v>318309.88618379069</v>
      </c>
    </row>
    <row r="2940" spans="1:11" hidden="1" x14ac:dyDescent="0.25">
      <c r="A2940" t="str">
        <f t="shared" si="376"/>
        <v>ZaffiroØ3</v>
      </c>
      <c r="B2940" s="81" t="s">
        <v>423</v>
      </c>
      <c r="D2940" s="86">
        <v>3</v>
      </c>
      <c r="E2940" s="85">
        <f>D2940/1000</f>
        <v>3.0000000000000001E-3</v>
      </c>
      <c r="F2940" s="85">
        <f>E2940/2</f>
        <v>1.5E-3</v>
      </c>
      <c r="G2940" s="85">
        <f>4/3*PI()*F2940*F2940*F2940</f>
        <v>1.4137166941154068E-8</v>
      </c>
      <c r="H2940" s="85">
        <v>3980</v>
      </c>
      <c r="I2940" s="85">
        <f>H2940*G2940</f>
        <v>5.6265924425793195E-5</v>
      </c>
      <c r="J2940" s="87">
        <v>1</v>
      </c>
      <c r="K2940" s="88">
        <f>J2940/I2940</f>
        <v>17772.746297252412</v>
      </c>
    </row>
    <row r="2941" spans="1:11" hidden="1" x14ac:dyDescent="0.25">
      <c r="A2941" t="str">
        <f t="shared" si="376"/>
        <v>ZaffiroØ5</v>
      </c>
      <c r="B2941" s="81" t="s">
        <v>423</v>
      </c>
      <c r="D2941" s="86">
        <v>5</v>
      </c>
      <c r="E2941" s="85">
        <f t="shared" ref="E2941:E2984" si="377">D2941/1000</f>
        <v>5.0000000000000001E-3</v>
      </c>
      <c r="F2941" s="85">
        <f t="shared" ref="F2941:F2984" si="378">E2941/2</f>
        <v>2.5000000000000001E-3</v>
      </c>
      <c r="G2941" s="85">
        <f t="shared" ref="G2941:G2984" si="379">4/3*PI()*F2941*F2941*F2941</f>
        <v>6.5449846949787352E-8</v>
      </c>
      <c r="H2941" s="85">
        <v>3980</v>
      </c>
      <c r="I2941" s="85">
        <f t="shared" ref="I2941:I2984" si="380">H2941*G2941</f>
        <v>2.6049039086015364E-4</v>
      </c>
      <c r="J2941" s="87">
        <v>1</v>
      </c>
      <c r="K2941" s="88">
        <f t="shared" ref="K2941:K2984" si="381">J2941/I2941</f>
        <v>3838.9132002065212</v>
      </c>
    </row>
    <row r="2942" spans="1:11" hidden="1" x14ac:dyDescent="0.25">
      <c r="A2942" t="str">
        <f t="shared" si="376"/>
        <v>PA6.6Ø2</v>
      </c>
      <c r="B2942" s="81" t="s">
        <v>244</v>
      </c>
      <c r="D2942" s="86">
        <v>2</v>
      </c>
      <c r="E2942" s="85">
        <f t="shared" si="377"/>
        <v>2E-3</v>
      </c>
      <c r="F2942" s="85">
        <f t="shared" si="378"/>
        <v>1E-3</v>
      </c>
      <c r="G2942" s="85">
        <f t="shared" si="379"/>
        <v>4.1887902047863909E-9</v>
      </c>
      <c r="H2942" s="85">
        <v>1110</v>
      </c>
      <c r="I2942" s="85">
        <f t="shared" si="380"/>
        <v>4.6495571273128935E-6</v>
      </c>
      <c r="J2942" s="87">
        <v>1</v>
      </c>
      <c r="K2942" s="88">
        <f t="shared" si="381"/>
        <v>215074.24742148022</v>
      </c>
    </row>
    <row r="2943" spans="1:11" hidden="1" x14ac:dyDescent="0.25">
      <c r="A2943" t="str">
        <f t="shared" si="376"/>
        <v>304Ø6</v>
      </c>
      <c r="B2943" s="81">
        <v>304</v>
      </c>
      <c r="D2943" s="86">
        <v>6</v>
      </c>
      <c r="E2943" s="85">
        <f t="shared" si="377"/>
        <v>6.0000000000000001E-3</v>
      </c>
      <c r="F2943" s="85">
        <f t="shared" si="378"/>
        <v>3.0000000000000001E-3</v>
      </c>
      <c r="G2943" s="85">
        <f t="shared" si="379"/>
        <v>1.1309733552923255E-7</v>
      </c>
      <c r="H2943" s="85">
        <v>7950</v>
      </c>
      <c r="I2943" s="85">
        <f t="shared" si="380"/>
        <v>8.9912381745739869E-4</v>
      </c>
      <c r="J2943" s="87">
        <v>1</v>
      </c>
      <c r="K2943" s="88">
        <f t="shared" si="381"/>
        <v>1112.1938720607643</v>
      </c>
    </row>
    <row r="2944" spans="1:11" hidden="1" x14ac:dyDescent="0.25">
      <c r="A2944" t="str">
        <f t="shared" si="376"/>
        <v>304Ø6</v>
      </c>
      <c r="B2944" s="81">
        <v>304</v>
      </c>
      <c r="D2944" s="86">
        <v>6</v>
      </c>
      <c r="E2944" s="85">
        <f t="shared" si="377"/>
        <v>6.0000000000000001E-3</v>
      </c>
      <c r="F2944" s="85">
        <f t="shared" si="378"/>
        <v>3.0000000000000001E-3</v>
      </c>
      <c r="G2944" s="85">
        <f t="shared" si="379"/>
        <v>1.1309733552923255E-7</v>
      </c>
      <c r="H2944" s="85">
        <v>7950</v>
      </c>
      <c r="I2944" s="85">
        <f t="shared" si="380"/>
        <v>8.9912381745739869E-4</v>
      </c>
      <c r="J2944" s="87">
        <v>1</v>
      </c>
      <c r="K2944" s="88">
        <f t="shared" si="381"/>
        <v>1112.1938720607643</v>
      </c>
    </row>
    <row r="2945" spans="1:11" hidden="1" x14ac:dyDescent="0.25">
      <c r="A2945" t="str">
        <f t="shared" si="376"/>
        <v>440CØ3,175</v>
      </c>
      <c r="B2945" s="81" t="s">
        <v>314</v>
      </c>
      <c r="C2945" s="101" t="s">
        <v>214</v>
      </c>
      <c r="D2945" s="86">
        <f>1/8*25.4</f>
        <v>3.1749999999999998</v>
      </c>
      <c r="E2945" s="85">
        <f t="shared" si="377"/>
        <v>3.1749999999999999E-3</v>
      </c>
      <c r="F2945" s="85">
        <f t="shared" si="378"/>
        <v>1.5874999999999999E-3</v>
      </c>
      <c r="G2945" s="85">
        <f t="shared" si="379"/>
        <v>1.6758294230568279E-8</v>
      </c>
      <c r="H2945" s="85">
        <v>7700</v>
      </c>
      <c r="I2945" s="85">
        <f t="shared" si="380"/>
        <v>1.2903886557537575E-4</v>
      </c>
      <c r="J2945" s="87">
        <v>1</v>
      </c>
      <c r="K2945" s="88">
        <f t="shared" si="381"/>
        <v>7749.6031567006294</v>
      </c>
    </row>
    <row r="2946" spans="1:11" hidden="1" x14ac:dyDescent="0.25">
      <c r="A2946" t="str">
        <f t="shared" si="376"/>
        <v>ZrO2Ø1,5875</v>
      </c>
      <c r="B2946" s="81" t="s">
        <v>205</v>
      </c>
      <c r="C2946" s="101" t="s">
        <v>246</v>
      </c>
      <c r="D2946" s="86">
        <f>1/16*25.4</f>
        <v>1.5874999999999999</v>
      </c>
      <c r="E2946" s="85">
        <f t="shared" si="377"/>
        <v>1.5874999999999999E-3</v>
      </c>
      <c r="F2946" s="85">
        <f t="shared" si="378"/>
        <v>7.9374999999999997E-4</v>
      </c>
      <c r="G2946" s="85">
        <f t="shared" si="379"/>
        <v>2.0947867788210349E-9</v>
      </c>
      <c r="H2946" s="85">
        <v>6000</v>
      </c>
      <c r="I2946" s="85">
        <f t="shared" si="380"/>
        <v>1.2568720672926209E-5</v>
      </c>
      <c r="J2946" s="87">
        <v>1</v>
      </c>
      <c r="K2946" s="88">
        <f t="shared" si="381"/>
        <v>79562.59240879312</v>
      </c>
    </row>
    <row r="2947" spans="1:11" hidden="1" x14ac:dyDescent="0.25">
      <c r="A2947" t="str">
        <f t="shared" si="376"/>
        <v>ZrO2Ø1,5875</v>
      </c>
      <c r="B2947" s="81" t="s">
        <v>205</v>
      </c>
      <c r="C2947" s="101" t="s">
        <v>246</v>
      </c>
      <c r="D2947" s="86">
        <f>1/16*25.4</f>
        <v>1.5874999999999999</v>
      </c>
      <c r="E2947" s="85">
        <f t="shared" si="377"/>
        <v>1.5874999999999999E-3</v>
      </c>
      <c r="F2947" s="85">
        <f t="shared" si="378"/>
        <v>7.9374999999999997E-4</v>
      </c>
      <c r="G2947" s="85">
        <f t="shared" si="379"/>
        <v>2.0947867788210349E-9</v>
      </c>
      <c r="H2947" s="85">
        <v>6000</v>
      </c>
      <c r="I2947" s="85">
        <f t="shared" si="380"/>
        <v>1.2568720672926209E-5</v>
      </c>
      <c r="J2947" s="87">
        <v>1</v>
      </c>
      <c r="K2947" s="88">
        <f t="shared" si="381"/>
        <v>79562.59240879312</v>
      </c>
    </row>
    <row r="2948" spans="1:11" hidden="1" x14ac:dyDescent="0.25">
      <c r="A2948" t="str">
        <f t="shared" ref="A2948:A3011" si="382">CONCATENATE(B2948,"Ø",D2948)</f>
        <v>ZrO2Ø2,38125</v>
      </c>
      <c r="B2948" s="81" t="s">
        <v>205</v>
      </c>
      <c r="C2948" s="101" t="s">
        <v>213</v>
      </c>
      <c r="D2948" s="86">
        <f>3/32*25.4</f>
        <v>2.3812499999999996</v>
      </c>
      <c r="E2948" s="85">
        <f t="shared" si="377"/>
        <v>2.3812499999999997E-3</v>
      </c>
      <c r="F2948" s="85">
        <f t="shared" si="378"/>
        <v>1.1906249999999998E-3</v>
      </c>
      <c r="G2948" s="85">
        <f t="shared" si="379"/>
        <v>7.0699053785209917E-9</v>
      </c>
      <c r="H2948" s="85">
        <v>6000</v>
      </c>
      <c r="I2948" s="85">
        <f t="shared" si="380"/>
        <v>4.2419432271125953E-5</v>
      </c>
      <c r="J2948" s="87">
        <v>1</v>
      </c>
      <c r="K2948" s="88">
        <f t="shared" si="381"/>
        <v>23574.101454457224</v>
      </c>
    </row>
    <row r="2949" spans="1:11" hidden="1" x14ac:dyDescent="0.25">
      <c r="A2949" t="str">
        <f t="shared" si="382"/>
        <v>ZrO2Ø2,38125</v>
      </c>
      <c r="B2949" s="81" t="s">
        <v>205</v>
      </c>
      <c r="C2949" s="101" t="s">
        <v>213</v>
      </c>
      <c r="D2949" s="86">
        <f>3/32*25.4</f>
        <v>2.3812499999999996</v>
      </c>
      <c r="E2949" s="85">
        <f t="shared" si="377"/>
        <v>2.3812499999999997E-3</v>
      </c>
      <c r="F2949" s="85">
        <f t="shared" si="378"/>
        <v>1.1906249999999998E-3</v>
      </c>
      <c r="G2949" s="85">
        <f t="shared" si="379"/>
        <v>7.0699053785209917E-9</v>
      </c>
      <c r="H2949" s="85">
        <v>6000</v>
      </c>
      <c r="I2949" s="85">
        <f t="shared" si="380"/>
        <v>4.2419432271125953E-5</v>
      </c>
      <c r="J2949" s="87">
        <v>1</v>
      </c>
      <c r="K2949" s="88">
        <f t="shared" si="381"/>
        <v>23574.101454457224</v>
      </c>
    </row>
    <row r="2950" spans="1:11" hidden="1" x14ac:dyDescent="0.25">
      <c r="A2950" t="str">
        <f t="shared" si="382"/>
        <v>POMØ1,5875</v>
      </c>
      <c r="B2950" s="81" t="s">
        <v>201</v>
      </c>
      <c r="C2950" s="101" t="s">
        <v>246</v>
      </c>
      <c r="D2950" s="86">
        <f>1/16*25.4</f>
        <v>1.5874999999999999</v>
      </c>
      <c r="E2950" s="85">
        <f t="shared" si="377"/>
        <v>1.5874999999999999E-3</v>
      </c>
      <c r="F2950" s="85">
        <f t="shared" si="378"/>
        <v>7.9374999999999997E-4</v>
      </c>
      <c r="G2950" s="85">
        <f t="shared" si="379"/>
        <v>2.0947867788210349E-9</v>
      </c>
      <c r="H2950" s="85">
        <v>1370</v>
      </c>
      <c r="I2950" s="85">
        <f t="shared" si="380"/>
        <v>2.8698578869848178E-6</v>
      </c>
      <c r="J2950" s="87">
        <v>1</v>
      </c>
      <c r="K2950" s="88">
        <f t="shared" si="381"/>
        <v>348449.30981953192</v>
      </c>
    </row>
    <row r="2951" spans="1:11" hidden="1" x14ac:dyDescent="0.25">
      <c r="A2951" t="str">
        <f t="shared" si="382"/>
        <v>POMØ1,5875</v>
      </c>
      <c r="B2951" s="81" t="s">
        <v>201</v>
      </c>
      <c r="C2951" s="101" t="s">
        <v>246</v>
      </c>
      <c r="D2951" s="86">
        <f>1/16*25.4</f>
        <v>1.5874999999999999</v>
      </c>
      <c r="E2951" s="85">
        <f t="shared" si="377"/>
        <v>1.5874999999999999E-3</v>
      </c>
      <c r="F2951" s="85">
        <f t="shared" si="378"/>
        <v>7.9374999999999997E-4</v>
      </c>
      <c r="G2951" s="85">
        <f t="shared" si="379"/>
        <v>2.0947867788210349E-9</v>
      </c>
      <c r="H2951" s="85">
        <v>1370</v>
      </c>
      <c r="I2951" s="85">
        <f t="shared" si="380"/>
        <v>2.8698578869848178E-6</v>
      </c>
      <c r="J2951" s="87">
        <v>1</v>
      </c>
      <c r="K2951" s="88">
        <f t="shared" si="381"/>
        <v>348449.30981953192</v>
      </c>
    </row>
    <row r="2952" spans="1:11" hidden="1" x14ac:dyDescent="0.25">
      <c r="A2952" t="str">
        <f t="shared" si="382"/>
        <v>HDPEØ1,5875</v>
      </c>
      <c r="B2952" s="81" t="s">
        <v>322</v>
      </c>
      <c r="C2952" s="101" t="s">
        <v>246</v>
      </c>
      <c r="D2952" s="86">
        <f>1/16*25.4</f>
        <v>1.5874999999999999</v>
      </c>
      <c r="E2952" s="85">
        <f t="shared" si="377"/>
        <v>1.5874999999999999E-3</v>
      </c>
      <c r="F2952" s="85">
        <f t="shared" si="378"/>
        <v>7.9374999999999997E-4</v>
      </c>
      <c r="G2952" s="85">
        <f t="shared" si="379"/>
        <v>2.0947867788210349E-9</v>
      </c>
      <c r="H2952" s="85">
        <v>970</v>
      </c>
      <c r="I2952" s="85">
        <f t="shared" si="380"/>
        <v>2.0319431754564038E-6</v>
      </c>
      <c r="J2952" s="87">
        <v>1</v>
      </c>
      <c r="K2952" s="88">
        <f t="shared" si="381"/>
        <v>492139.74685851415</v>
      </c>
    </row>
    <row r="2953" spans="1:11" hidden="1" x14ac:dyDescent="0.25">
      <c r="A2953" t="str">
        <f t="shared" si="382"/>
        <v>PPHØ2</v>
      </c>
      <c r="B2953" s="81" t="s">
        <v>202</v>
      </c>
      <c r="D2953" s="86">
        <v>2</v>
      </c>
      <c r="E2953" s="85">
        <f t="shared" si="377"/>
        <v>2E-3</v>
      </c>
      <c r="F2953" s="85">
        <f t="shared" si="378"/>
        <v>1E-3</v>
      </c>
      <c r="G2953" s="85">
        <f t="shared" si="379"/>
        <v>4.1887902047863909E-9</v>
      </c>
      <c r="H2953" s="85">
        <v>870</v>
      </c>
      <c r="I2953" s="85">
        <f t="shared" si="380"/>
        <v>3.6442474781641599E-6</v>
      </c>
      <c r="J2953" s="87">
        <v>1</v>
      </c>
      <c r="K2953" s="88">
        <f t="shared" si="381"/>
        <v>274405.07429637131</v>
      </c>
    </row>
    <row r="2954" spans="1:11" hidden="1" x14ac:dyDescent="0.25">
      <c r="A2954" t="str">
        <f t="shared" si="382"/>
        <v>52100Ø1</v>
      </c>
      <c r="B2954" s="81">
        <v>52100</v>
      </c>
      <c r="D2954" s="86">
        <v>1</v>
      </c>
      <c r="E2954" s="85">
        <f t="shared" si="377"/>
        <v>1E-3</v>
      </c>
      <c r="F2954" s="85">
        <f t="shared" si="378"/>
        <v>5.0000000000000001E-4</v>
      </c>
      <c r="G2954" s="85">
        <f t="shared" si="379"/>
        <v>5.2359877559829886E-10</v>
      </c>
      <c r="H2954" s="85">
        <v>7800</v>
      </c>
      <c r="I2954" s="85">
        <f t="shared" si="380"/>
        <v>4.0840704496667312E-6</v>
      </c>
      <c r="J2954" s="87">
        <v>1</v>
      </c>
      <c r="K2954" s="88">
        <f t="shared" si="381"/>
        <v>244853.75860291591</v>
      </c>
    </row>
    <row r="2955" spans="1:11" hidden="1" x14ac:dyDescent="0.25">
      <c r="A2955" t="str">
        <f t="shared" si="382"/>
        <v>52100Ø2,5</v>
      </c>
      <c r="B2955" s="81">
        <v>52100</v>
      </c>
      <c r="D2955" s="86">
        <v>2.5</v>
      </c>
      <c r="E2955" s="85">
        <f t="shared" si="377"/>
        <v>2.5000000000000001E-3</v>
      </c>
      <c r="F2955" s="85">
        <f t="shared" si="378"/>
        <v>1.25E-3</v>
      </c>
      <c r="G2955" s="85">
        <f t="shared" si="379"/>
        <v>8.181230868723419E-9</v>
      </c>
      <c r="H2955" s="85">
        <v>7800</v>
      </c>
      <c r="I2955" s="85">
        <f t="shared" si="380"/>
        <v>6.3813600776042664E-5</v>
      </c>
      <c r="J2955" s="87">
        <v>1</v>
      </c>
      <c r="K2955" s="88">
        <f t="shared" si="381"/>
        <v>15670.640550586621</v>
      </c>
    </row>
    <row r="2956" spans="1:11" hidden="1" x14ac:dyDescent="0.25">
      <c r="A2956" t="str">
        <f t="shared" si="382"/>
        <v>52100Ø5</v>
      </c>
      <c r="B2956" s="81">
        <v>52100</v>
      </c>
      <c r="D2956" s="86">
        <v>5</v>
      </c>
      <c r="E2956" s="85">
        <f t="shared" si="377"/>
        <v>5.0000000000000001E-3</v>
      </c>
      <c r="F2956" s="85">
        <f t="shared" si="378"/>
        <v>2.5000000000000001E-3</v>
      </c>
      <c r="G2956" s="85">
        <f t="shared" si="379"/>
        <v>6.5449846949787352E-8</v>
      </c>
      <c r="H2956" s="85">
        <v>7800</v>
      </c>
      <c r="I2956" s="85">
        <f t="shared" si="380"/>
        <v>5.1050880620834131E-4</v>
      </c>
      <c r="J2956" s="87">
        <v>1</v>
      </c>
      <c r="K2956" s="88">
        <f t="shared" si="381"/>
        <v>1958.8300688233276</v>
      </c>
    </row>
    <row r="2957" spans="1:11" hidden="1" x14ac:dyDescent="0.25">
      <c r="A2957" t="str">
        <f t="shared" si="382"/>
        <v>PPHØ1</v>
      </c>
      <c r="B2957" s="81" t="s">
        <v>202</v>
      </c>
      <c r="D2957" s="86">
        <v>1</v>
      </c>
      <c r="E2957" s="85">
        <f t="shared" si="377"/>
        <v>1E-3</v>
      </c>
      <c r="F2957" s="85">
        <f t="shared" si="378"/>
        <v>5.0000000000000001E-4</v>
      </c>
      <c r="G2957" s="85">
        <f t="shared" si="379"/>
        <v>5.2359877559829886E-10</v>
      </c>
      <c r="H2957" s="85">
        <v>870</v>
      </c>
      <c r="I2957" s="85">
        <f t="shared" si="380"/>
        <v>4.5553093477051999E-7</v>
      </c>
      <c r="J2957" s="87">
        <v>1</v>
      </c>
      <c r="K2957" s="88">
        <f t="shared" si="381"/>
        <v>2195240.5943709705</v>
      </c>
    </row>
    <row r="2958" spans="1:11" hidden="1" x14ac:dyDescent="0.25">
      <c r="A2958" t="str">
        <f t="shared" si="382"/>
        <v>PPHØ2,5</v>
      </c>
      <c r="B2958" s="81" t="s">
        <v>202</v>
      </c>
      <c r="D2958" s="86">
        <v>2.5</v>
      </c>
      <c r="E2958" s="85">
        <f t="shared" si="377"/>
        <v>2.5000000000000001E-3</v>
      </c>
      <c r="F2958" s="85">
        <f t="shared" si="378"/>
        <v>1.25E-3</v>
      </c>
      <c r="G2958" s="85">
        <f t="shared" si="379"/>
        <v>8.181230868723419E-9</v>
      </c>
      <c r="H2958" s="85">
        <v>870</v>
      </c>
      <c r="I2958" s="85">
        <f t="shared" si="380"/>
        <v>7.1176708557893749E-6</v>
      </c>
      <c r="J2958" s="87">
        <v>1</v>
      </c>
      <c r="K2958" s="88">
        <f t="shared" si="381"/>
        <v>140495.39803974211</v>
      </c>
    </row>
    <row r="2959" spans="1:11" hidden="1" x14ac:dyDescent="0.25">
      <c r="A2959" t="str">
        <f t="shared" si="382"/>
        <v>PPHØ5</v>
      </c>
      <c r="B2959" s="81" t="s">
        <v>202</v>
      </c>
      <c r="D2959" s="86">
        <v>5</v>
      </c>
      <c r="E2959" s="85">
        <f t="shared" si="377"/>
        <v>5.0000000000000001E-3</v>
      </c>
      <c r="F2959" s="85">
        <f t="shared" si="378"/>
        <v>2.5000000000000001E-3</v>
      </c>
      <c r="G2959" s="85">
        <f t="shared" si="379"/>
        <v>6.5449846949787352E-8</v>
      </c>
      <c r="H2959" s="85">
        <v>870</v>
      </c>
      <c r="I2959" s="85">
        <f t="shared" si="380"/>
        <v>5.6941366846314999E-5</v>
      </c>
      <c r="J2959" s="87">
        <v>1</v>
      </c>
      <c r="K2959" s="88">
        <f t="shared" si="381"/>
        <v>17561.924754967764</v>
      </c>
    </row>
    <row r="2960" spans="1:11" hidden="1" x14ac:dyDescent="0.25">
      <c r="A2960" t="str">
        <f t="shared" si="382"/>
        <v>PPHØ2,38125</v>
      </c>
      <c r="B2960" s="81" t="s">
        <v>202</v>
      </c>
      <c r="C2960" s="101" t="s">
        <v>213</v>
      </c>
      <c r="D2960" s="86">
        <f>3/32*25.4</f>
        <v>2.3812499999999996</v>
      </c>
      <c r="E2960" s="85">
        <f t="shared" si="377"/>
        <v>2.3812499999999997E-3</v>
      </c>
      <c r="F2960" s="85">
        <f t="shared" si="378"/>
        <v>1.1906249999999998E-3</v>
      </c>
      <c r="G2960" s="85">
        <f t="shared" si="379"/>
        <v>7.0699053785209917E-9</v>
      </c>
      <c r="H2960" s="85">
        <v>870</v>
      </c>
      <c r="I2960" s="85">
        <f t="shared" si="380"/>
        <v>6.1508176793132632E-6</v>
      </c>
      <c r="J2960" s="87">
        <v>1</v>
      </c>
      <c r="K2960" s="88">
        <f t="shared" si="381"/>
        <v>162580.01003073948</v>
      </c>
    </row>
    <row r="2961" spans="1:11" hidden="1" x14ac:dyDescent="0.25">
      <c r="A2961" t="str">
        <f t="shared" si="382"/>
        <v>52100Ø19,925</v>
      </c>
      <c r="B2961" s="81">
        <v>52100</v>
      </c>
      <c r="D2961" s="86">
        <v>19.925000000000001</v>
      </c>
      <c r="E2961" s="85">
        <f t="shared" si="377"/>
        <v>1.9925000000000002E-2</v>
      </c>
      <c r="F2961" s="85">
        <f t="shared" si="378"/>
        <v>9.9625000000000009E-3</v>
      </c>
      <c r="G2961" s="85">
        <f t="shared" si="379"/>
        <v>4.1418428086760756E-6</v>
      </c>
      <c r="H2961" s="85">
        <v>7800</v>
      </c>
      <c r="I2961" s="85">
        <f t="shared" si="380"/>
        <v>3.2306373907673387E-2</v>
      </c>
      <c r="J2961" s="87">
        <v>1</v>
      </c>
      <c r="K2961" s="88">
        <f t="shared" si="381"/>
        <v>30.953644096915522</v>
      </c>
    </row>
    <row r="2962" spans="1:11" hidden="1" x14ac:dyDescent="0.25">
      <c r="A2962" t="str">
        <f t="shared" si="382"/>
        <v>PPHØ10</v>
      </c>
      <c r="B2962" s="81" t="s">
        <v>202</v>
      </c>
      <c r="D2962" s="86">
        <v>10</v>
      </c>
      <c r="E2962" s="85">
        <f t="shared" si="377"/>
        <v>0.01</v>
      </c>
      <c r="F2962" s="85">
        <f t="shared" si="378"/>
        <v>5.0000000000000001E-3</v>
      </c>
      <c r="G2962" s="85">
        <f t="shared" si="379"/>
        <v>5.2359877559829882E-7</v>
      </c>
      <c r="H2962" s="85">
        <v>870</v>
      </c>
      <c r="I2962" s="85">
        <f t="shared" si="380"/>
        <v>4.5553093477051999E-4</v>
      </c>
      <c r="J2962" s="87">
        <v>1</v>
      </c>
      <c r="K2962" s="88">
        <f t="shared" si="381"/>
        <v>2195.2405943709705</v>
      </c>
    </row>
    <row r="2963" spans="1:11" hidden="1" x14ac:dyDescent="0.25">
      <c r="A2963" t="str">
        <f t="shared" si="382"/>
        <v>PPHØ25</v>
      </c>
      <c r="B2963" s="81" t="s">
        <v>202</v>
      </c>
      <c r="D2963" s="86">
        <v>25</v>
      </c>
      <c r="E2963" s="85">
        <f t="shared" si="377"/>
        <v>2.5000000000000001E-2</v>
      </c>
      <c r="F2963" s="85">
        <f t="shared" si="378"/>
        <v>1.2500000000000001E-2</v>
      </c>
      <c r="G2963" s="85">
        <f t="shared" si="379"/>
        <v>8.1812308687234206E-6</v>
      </c>
      <c r="H2963" s="85">
        <v>870</v>
      </c>
      <c r="I2963" s="85">
        <f t="shared" si="380"/>
        <v>7.1176708557893755E-3</v>
      </c>
      <c r="J2963" s="87">
        <v>1</v>
      </c>
      <c r="K2963" s="88">
        <f t="shared" si="381"/>
        <v>140.49539803974207</v>
      </c>
    </row>
    <row r="2964" spans="1:11" hidden="1" x14ac:dyDescent="0.25">
      <c r="A2964" t="str">
        <f t="shared" si="382"/>
        <v>PPHØ50</v>
      </c>
      <c r="B2964" s="81" t="s">
        <v>202</v>
      </c>
      <c r="D2964" s="86">
        <v>50</v>
      </c>
      <c r="E2964" s="85">
        <f t="shared" si="377"/>
        <v>0.05</v>
      </c>
      <c r="F2964" s="85">
        <f t="shared" si="378"/>
        <v>2.5000000000000001E-2</v>
      </c>
      <c r="G2964" s="85">
        <f t="shared" si="379"/>
        <v>6.5449846949787365E-5</v>
      </c>
      <c r="H2964" s="85">
        <v>870</v>
      </c>
      <c r="I2964" s="85">
        <f t="shared" si="380"/>
        <v>5.6941366846315004E-2</v>
      </c>
      <c r="J2964" s="87">
        <v>1</v>
      </c>
      <c r="K2964" s="88">
        <f t="shared" si="381"/>
        <v>17.561924754967759</v>
      </c>
    </row>
    <row r="2965" spans="1:11" hidden="1" x14ac:dyDescent="0.25">
      <c r="A2965" t="str">
        <f t="shared" si="382"/>
        <v>420CØ6,35</v>
      </c>
      <c r="B2965" s="81" t="s">
        <v>295</v>
      </c>
      <c r="C2965" s="101" t="s">
        <v>218</v>
      </c>
      <c r="D2965" s="86">
        <f>1/4*25.4</f>
        <v>6.35</v>
      </c>
      <c r="E2965" s="85">
        <f t="shared" si="377"/>
        <v>6.3499999999999997E-3</v>
      </c>
      <c r="F2965" s="85">
        <f t="shared" si="378"/>
        <v>3.1749999999999999E-3</v>
      </c>
      <c r="G2965" s="85">
        <f t="shared" si="379"/>
        <v>1.3406635384454623E-7</v>
      </c>
      <c r="H2965" s="85">
        <v>7700</v>
      </c>
      <c r="I2965" s="85">
        <f t="shared" si="380"/>
        <v>1.032310924603006E-3</v>
      </c>
      <c r="J2965" s="87">
        <v>1</v>
      </c>
      <c r="K2965" s="88">
        <f t="shared" si="381"/>
        <v>968.70039458757867</v>
      </c>
    </row>
    <row r="2966" spans="1:11" hidden="1" x14ac:dyDescent="0.25">
      <c r="A2966" t="str">
        <f t="shared" si="382"/>
        <v>52100Ø1,688</v>
      </c>
      <c r="B2966" s="81">
        <v>52100</v>
      </c>
      <c r="D2966" s="86">
        <v>1.6879999999999999</v>
      </c>
      <c r="E2966" s="85">
        <f t="shared" si="377"/>
        <v>1.688E-3</v>
      </c>
      <c r="F2966" s="85">
        <f t="shared" si="378"/>
        <v>8.4400000000000002E-4</v>
      </c>
      <c r="G2966" s="85">
        <f t="shared" si="379"/>
        <v>2.5183491940633105E-9</v>
      </c>
      <c r="H2966" s="85">
        <v>7800</v>
      </c>
      <c r="I2966" s="85">
        <f t="shared" si="380"/>
        <v>1.9643123713693822E-5</v>
      </c>
      <c r="J2966" s="87">
        <v>1</v>
      </c>
      <c r="K2966" s="88">
        <f t="shared" si="381"/>
        <v>50908.400037356048</v>
      </c>
    </row>
    <row r="2967" spans="1:11" hidden="1" x14ac:dyDescent="0.25">
      <c r="A2967" t="str">
        <f t="shared" si="382"/>
        <v>Si3N4Ø1,4</v>
      </c>
      <c r="B2967" s="81" t="s">
        <v>207</v>
      </c>
      <c r="D2967" s="86">
        <v>1.4</v>
      </c>
      <c r="E2967" s="85">
        <f t="shared" si="377"/>
        <v>1.4E-3</v>
      </c>
      <c r="F2967" s="85">
        <f t="shared" si="378"/>
        <v>6.9999999999999999E-4</v>
      </c>
      <c r="G2967" s="85">
        <f t="shared" si="379"/>
        <v>1.4367550402417319E-9</v>
      </c>
      <c r="H2967" s="85">
        <v>3260</v>
      </c>
      <c r="I2967" s="85">
        <f t="shared" si="380"/>
        <v>4.6838214311880458E-6</v>
      </c>
      <c r="J2967" s="87">
        <v>1</v>
      </c>
      <c r="K2967" s="88">
        <f t="shared" si="381"/>
        <v>213500.88057186056</v>
      </c>
    </row>
    <row r="2968" spans="1:11" hidden="1" x14ac:dyDescent="0.25">
      <c r="A2968" t="str">
        <f t="shared" si="382"/>
        <v>QuarzoØ1</v>
      </c>
      <c r="B2968" s="81" t="s">
        <v>424</v>
      </c>
      <c r="D2968" s="86">
        <v>1</v>
      </c>
      <c r="E2968" s="85">
        <f t="shared" si="377"/>
        <v>1E-3</v>
      </c>
      <c r="F2968" s="85">
        <f t="shared" si="378"/>
        <v>5.0000000000000001E-4</v>
      </c>
      <c r="G2968" s="85">
        <f t="shared" si="379"/>
        <v>5.2359877559829886E-10</v>
      </c>
      <c r="H2968" s="85">
        <v>2200</v>
      </c>
      <c r="I2968" s="85">
        <f t="shared" si="380"/>
        <v>1.1519173063162576E-6</v>
      </c>
      <c r="J2968" s="87">
        <v>1</v>
      </c>
      <c r="K2968" s="88">
        <f t="shared" si="381"/>
        <v>868117.87141033821</v>
      </c>
    </row>
    <row r="2969" spans="1:11" hidden="1" x14ac:dyDescent="0.25">
      <c r="A2969" t="str">
        <f t="shared" si="382"/>
        <v>52100Ø0,25</v>
      </c>
      <c r="B2969" s="81">
        <v>52100</v>
      </c>
      <c r="D2969" s="86">
        <v>0.25</v>
      </c>
      <c r="E2969" s="85">
        <f t="shared" si="377"/>
        <v>2.5000000000000001E-4</v>
      </c>
      <c r="F2969" s="85">
        <f t="shared" si="378"/>
        <v>1.25E-4</v>
      </c>
      <c r="G2969" s="85">
        <f t="shared" si="379"/>
        <v>8.1812308687234197E-12</v>
      </c>
      <c r="H2969" s="85">
        <v>7800</v>
      </c>
      <c r="I2969" s="85">
        <f t="shared" si="380"/>
        <v>6.3813600776042676E-8</v>
      </c>
      <c r="J2969" s="87">
        <v>1</v>
      </c>
      <c r="K2969" s="88">
        <f t="shared" si="381"/>
        <v>15670640.550586618</v>
      </c>
    </row>
    <row r="2970" spans="1:11" hidden="1" x14ac:dyDescent="0.25">
      <c r="A2970" t="str">
        <f t="shared" si="382"/>
        <v>WC-CoØ4,7625</v>
      </c>
      <c r="B2970" s="81" t="s">
        <v>297</v>
      </c>
      <c r="C2970" s="101" t="s">
        <v>248</v>
      </c>
      <c r="D2970" s="86">
        <f>3/16*25.4</f>
        <v>4.7624999999999993</v>
      </c>
      <c r="E2970" s="85">
        <f t="shared" si="377"/>
        <v>4.7624999999999994E-3</v>
      </c>
      <c r="F2970" s="85">
        <f t="shared" si="378"/>
        <v>2.3812499999999997E-3</v>
      </c>
      <c r="G2970" s="85">
        <f t="shared" si="379"/>
        <v>5.6559243028167934E-8</v>
      </c>
      <c r="H2970" s="85">
        <v>14950</v>
      </c>
      <c r="I2970" s="85">
        <f t="shared" si="380"/>
        <v>8.4556068327111056E-4</v>
      </c>
      <c r="J2970" s="87">
        <v>1</v>
      </c>
      <c r="K2970" s="88">
        <f t="shared" si="381"/>
        <v>1182.6472301567171</v>
      </c>
    </row>
    <row r="2971" spans="1:11" hidden="1" x14ac:dyDescent="0.25">
      <c r="A2971" t="str">
        <f t="shared" si="382"/>
        <v>WC-CoØ4,7625</v>
      </c>
      <c r="B2971" s="81" t="s">
        <v>297</v>
      </c>
      <c r="C2971" s="101" t="s">
        <v>248</v>
      </c>
      <c r="D2971" s="86">
        <f>3/16*25.4</f>
        <v>4.7624999999999993</v>
      </c>
      <c r="E2971" s="85">
        <f t="shared" si="377"/>
        <v>4.7624999999999994E-3</v>
      </c>
      <c r="F2971" s="85">
        <f t="shared" si="378"/>
        <v>2.3812499999999997E-3</v>
      </c>
      <c r="G2971" s="85">
        <f t="shared" si="379"/>
        <v>5.6559243028167934E-8</v>
      </c>
      <c r="H2971" s="85">
        <v>14950</v>
      </c>
      <c r="I2971" s="85">
        <f t="shared" si="380"/>
        <v>8.4556068327111056E-4</v>
      </c>
      <c r="J2971" s="87">
        <v>1</v>
      </c>
      <c r="K2971" s="88">
        <f t="shared" si="381"/>
        <v>1182.6472301567171</v>
      </c>
    </row>
    <row r="2972" spans="1:11" hidden="1" x14ac:dyDescent="0.25">
      <c r="A2972" t="str">
        <f t="shared" si="382"/>
        <v>WC-CoØ7,9375</v>
      </c>
      <c r="B2972" s="81" t="s">
        <v>297</v>
      </c>
      <c r="C2972" s="101" t="s">
        <v>252</v>
      </c>
      <c r="D2972" s="86">
        <f>5/16*25.4</f>
        <v>7.9375</v>
      </c>
      <c r="E2972" s="85">
        <f t="shared" si="377"/>
        <v>7.9375000000000001E-3</v>
      </c>
      <c r="F2972" s="85">
        <f t="shared" si="378"/>
        <v>3.9687500000000001E-3</v>
      </c>
      <c r="G2972" s="85">
        <f t="shared" si="379"/>
        <v>2.6184834735262947E-7</v>
      </c>
      <c r="H2972" s="85">
        <v>14950</v>
      </c>
      <c r="I2972" s="85">
        <f t="shared" si="380"/>
        <v>3.9146327929218102E-3</v>
      </c>
      <c r="J2972" s="87">
        <v>1</v>
      </c>
      <c r="K2972" s="88">
        <f t="shared" si="381"/>
        <v>255.45180171385076</v>
      </c>
    </row>
    <row r="2973" spans="1:11" hidden="1" x14ac:dyDescent="0.25">
      <c r="A2973" t="str">
        <f t="shared" si="382"/>
        <v>WC-CoØ7,9375</v>
      </c>
      <c r="B2973" s="81" t="s">
        <v>297</v>
      </c>
      <c r="C2973" s="101" t="s">
        <v>252</v>
      </c>
      <c r="D2973" s="86">
        <f>5/16*25.4</f>
        <v>7.9375</v>
      </c>
      <c r="E2973" s="85">
        <f t="shared" si="377"/>
        <v>7.9375000000000001E-3</v>
      </c>
      <c r="F2973" s="85">
        <f t="shared" si="378"/>
        <v>3.9687500000000001E-3</v>
      </c>
      <c r="G2973" s="85">
        <f t="shared" si="379"/>
        <v>2.6184834735262947E-7</v>
      </c>
      <c r="H2973" s="85">
        <v>14950</v>
      </c>
      <c r="I2973" s="85">
        <f t="shared" si="380"/>
        <v>3.9146327929218102E-3</v>
      </c>
      <c r="J2973" s="87">
        <v>1</v>
      </c>
      <c r="K2973" s="88">
        <f t="shared" si="381"/>
        <v>255.45180171385076</v>
      </c>
    </row>
    <row r="2974" spans="1:11" hidden="1" x14ac:dyDescent="0.25">
      <c r="A2974" t="str">
        <f t="shared" si="382"/>
        <v>420CØ1,5</v>
      </c>
      <c r="B2974" s="81" t="s">
        <v>295</v>
      </c>
      <c r="D2974" s="86">
        <v>1.5</v>
      </c>
      <c r="E2974" s="85">
        <f t="shared" si="377"/>
        <v>1.5E-3</v>
      </c>
      <c r="F2974" s="85">
        <f t="shared" si="378"/>
        <v>7.5000000000000002E-4</v>
      </c>
      <c r="G2974" s="85">
        <f t="shared" si="379"/>
        <v>1.7671458676442585E-9</v>
      </c>
      <c r="H2974" s="85">
        <v>7750</v>
      </c>
      <c r="I2974" s="85">
        <f t="shared" si="380"/>
        <v>1.3695380474243003E-5</v>
      </c>
      <c r="J2974" s="87">
        <v>1</v>
      </c>
      <c r="K2974" s="88">
        <f t="shared" si="381"/>
        <v>73017.321561873134</v>
      </c>
    </row>
    <row r="2975" spans="1:11" hidden="1" x14ac:dyDescent="0.25">
      <c r="A2975" t="str">
        <f t="shared" si="382"/>
        <v>PPHØ4</v>
      </c>
      <c r="B2975" s="81" t="s">
        <v>202</v>
      </c>
      <c r="D2975" s="86">
        <v>4</v>
      </c>
      <c r="E2975" s="85">
        <f t="shared" si="377"/>
        <v>4.0000000000000001E-3</v>
      </c>
      <c r="F2975" s="85">
        <f t="shared" si="378"/>
        <v>2E-3</v>
      </c>
      <c r="G2975" s="85">
        <f t="shared" si="379"/>
        <v>3.3510321638291127E-8</v>
      </c>
      <c r="H2975" s="85">
        <v>870</v>
      </c>
      <c r="I2975" s="85">
        <f t="shared" si="380"/>
        <v>2.9153979825313279E-5</v>
      </c>
      <c r="J2975" s="87">
        <v>1</v>
      </c>
      <c r="K2975" s="88">
        <f t="shared" si="381"/>
        <v>34300.634287046414</v>
      </c>
    </row>
    <row r="2976" spans="1:11" hidden="1" x14ac:dyDescent="0.25">
      <c r="A2976" t="str">
        <f t="shared" si="382"/>
        <v>420CØ12</v>
      </c>
      <c r="B2976" s="81" t="s">
        <v>295</v>
      </c>
      <c r="D2976" s="86">
        <v>12</v>
      </c>
      <c r="E2976" s="85">
        <f t="shared" si="377"/>
        <v>1.2E-2</v>
      </c>
      <c r="F2976" s="85">
        <f t="shared" si="378"/>
        <v>6.0000000000000001E-3</v>
      </c>
      <c r="G2976" s="85">
        <f t="shared" si="379"/>
        <v>9.0477868423386037E-7</v>
      </c>
      <c r="H2976" s="85">
        <v>7750</v>
      </c>
      <c r="I2976" s="85">
        <f t="shared" si="380"/>
        <v>7.0120348028124176E-3</v>
      </c>
      <c r="J2976" s="87">
        <v>1</v>
      </c>
      <c r="K2976" s="88">
        <f t="shared" si="381"/>
        <v>142.61195617553346</v>
      </c>
    </row>
    <row r="2977" spans="1:11" hidden="1" x14ac:dyDescent="0.25">
      <c r="A2977" t="str">
        <f t="shared" si="382"/>
        <v>420CØ3,5</v>
      </c>
      <c r="B2977" s="81" t="s">
        <v>295</v>
      </c>
      <c r="D2977" s="86">
        <v>3.5</v>
      </c>
      <c r="E2977" s="85">
        <f t="shared" si="377"/>
        <v>3.5000000000000001E-3</v>
      </c>
      <c r="F2977" s="85">
        <f t="shared" si="378"/>
        <v>1.75E-3</v>
      </c>
      <c r="G2977" s="85">
        <f t="shared" si="379"/>
        <v>2.2449297503777064E-8</v>
      </c>
      <c r="H2977" s="85">
        <v>7750</v>
      </c>
      <c r="I2977" s="85">
        <f t="shared" si="380"/>
        <v>1.7398205565427225E-4</v>
      </c>
      <c r="J2977" s="87">
        <v>1</v>
      </c>
      <c r="K2977" s="88">
        <f t="shared" si="381"/>
        <v>5747.7191900016751</v>
      </c>
    </row>
    <row r="2978" spans="1:11" hidden="1" x14ac:dyDescent="0.25">
      <c r="A2978" t="str">
        <f t="shared" si="382"/>
        <v>Si3N4Ø9,525</v>
      </c>
      <c r="B2978" s="81" t="s">
        <v>207</v>
      </c>
      <c r="C2978" s="101" t="s">
        <v>254</v>
      </c>
      <c r="D2978" s="86">
        <f>3/8*25.4</f>
        <v>9.5249999999999986</v>
      </c>
      <c r="E2978" s="85">
        <f t="shared" si="377"/>
        <v>9.5249999999999987E-3</v>
      </c>
      <c r="F2978" s="85">
        <f t="shared" si="378"/>
        <v>4.7624999999999994E-3</v>
      </c>
      <c r="G2978" s="85">
        <f t="shared" si="379"/>
        <v>4.5247394422534347E-7</v>
      </c>
      <c r="H2978" s="85">
        <v>3260</v>
      </c>
      <c r="I2978" s="85">
        <f t="shared" si="380"/>
        <v>1.4750650581746196E-3</v>
      </c>
      <c r="J2978" s="87">
        <v>1</v>
      </c>
      <c r="K2978" s="88">
        <f t="shared" si="381"/>
        <v>677.93619980225913</v>
      </c>
    </row>
    <row r="2979" spans="1:11" hidden="1" x14ac:dyDescent="0.25">
      <c r="A2979" t="str">
        <f t="shared" si="382"/>
        <v>Si3N4Ø9,525</v>
      </c>
      <c r="B2979" s="81" t="s">
        <v>207</v>
      </c>
      <c r="C2979" s="101" t="s">
        <v>254</v>
      </c>
      <c r="D2979" s="86">
        <f>3/8*25.4</f>
        <v>9.5249999999999986</v>
      </c>
      <c r="E2979" s="85">
        <f t="shared" si="377"/>
        <v>9.5249999999999987E-3</v>
      </c>
      <c r="F2979" s="85">
        <f t="shared" si="378"/>
        <v>4.7624999999999994E-3</v>
      </c>
      <c r="G2979" s="85">
        <f t="shared" si="379"/>
        <v>4.5247394422534347E-7</v>
      </c>
      <c r="H2979" s="85">
        <v>3260</v>
      </c>
      <c r="I2979" s="85">
        <f t="shared" si="380"/>
        <v>1.4750650581746196E-3</v>
      </c>
      <c r="J2979" s="87">
        <v>1</v>
      </c>
      <c r="K2979" s="88">
        <f t="shared" si="381"/>
        <v>677.93619980225913</v>
      </c>
    </row>
    <row r="2980" spans="1:11" hidden="1" x14ac:dyDescent="0.25">
      <c r="A2980" t="str">
        <f t="shared" si="382"/>
        <v>Si3N4Ø9,525</v>
      </c>
      <c r="B2980" s="81" t="s">
        <v>207</v>
      </c>
      <c r="C2980" s="101" t="s">
        <v>254</v>
      </c>
      <c r="D2980" s="86">
        <f>3/8*25.4</f>
        <v>9.5249999999999986</v>
      </c>
      <c r="E2980" s="85">
        <f t="shared" si="377"/>
        <v>9.5249999999999987E-3</v>
      </c>
      <c r="F2980" s="85">
        <f t="shared" si="378"/>
        <v>4.7624999999999994E-3</v>
      </c>
      <c r="G2980" s="85">
        <f t="shared" si="379"/>
        <v>4.5247394422534347E-7</v>
      </c>
      <c r="H2980" s="85">
        <v>3260</v>
      </c>
      <c r="I2980" s="85">
        <f t="shared" si="380"/>
        <v>1.4750650581746196E-3</v>
      </c>
      <c r="J2980" s="87">
        <v>1</v>
      </c>
      <c r="K2980" s="88">
        <f t="shared" si="381"/>
        <v>677.93619980225913</v>
      </c>
    </row>
    <row r="2981" spans="1:11" hidden="1" x14ac:dyDescent="0.25">
      <c r="A2981" t="str">
        <f t="shared" si="382"/>
        <v>VEBOØ3,96875</v>
      </c>
      <c r="B2981" s="81" t="s">
        <v>329</v>
      </c>
      <c r="C2981" s="101" t="s">
        <v>215</v>
      </c>
      <c r="D2981" s="86">
        <f>5/32*25.4</f>
        <v>3.96875</v>
      </c>
      <c r="E2981" s="85">
        <f t="shared" si="377"/>
        <v>3.9687500000000001E-3</v>
      </c>
      <c r="F2981" s="85">
        <f t="shared" si="378"/>
        <v>1.984375E-3</v>
      </c>
      <c r="G2981" s="85">
        <f t="shared" si="379"/>
        <v>3.2731043419078684E-8</v>
      </c>
      <c r="H2981" s="85">
        <v>2230</v>
      </c>
      <c r="I2981" s="85">
        <f t="shared" si="380"/>
        <v>7.2990226824545465E-5</v>
      </c>
      <c r="J2981" s="87">
        <v>1</v>
      </c>
      <c r="K2981" s="88">
        <f t="shared" si="381"/>
        <v>13700.46434303881</v>
      </c>
    </row>
    <row r="2982" spans="1:11" hidden="1" x14ac:dyDescent="0.25">
      <c r="A2982" t="str">
        <f t="shared" si="382"/>
        <v>420CØ3,9</v>
      </c>
      <c r="B2982" s="81" t="s">
        <v>295</v>
      </c>
      <c r="D2982" s="86">
        <v>3.9</v>
      </c>
      <c r="E2982" s="85">
        <f t="shared" si="377"/>
        <v>3.8999999999999998E-3</v>
      </c>
      <c r="F2982" s="85">
        <f t="shared" si="378"/>
        <v>1.9499999999999999E-3</v>
      </c>
      <c r="G2982" s="85">
        <f t="shared" si="379"/>
        <v>3.1059355769715486E-8</v>
      </c>
      <c r="H2982" s="85">
        <v>7750</v>
      </c>
      <c r="I2982" s="85">
        <f t="shared" si="380"/>
        <v>2.4071000721529503E-4</v>
      </c>
      <c r="J2982" s="87">
        <v>1</v>
      </c>
      <c r="K2982" s="88">
        <f t="shared" si="381"/>
        <v>4154.3765112581441</v>
      </c>
    </row>
    <row r="2983" spans="1:11" hidden="1" x14ac:dyDescent="0.25">
      <c r="A2983" t="str">
        <f t="shared" si="382"/>
        <v>WC-CoØ0,6</v>
      </c>
      <c r="B2983" s="81" t="s">
        <v>297</v>
      </c>
      <c r="D2983" s="86">
        <v>0.6</v>
      </c>
      <c r="E2983" s="85">
        <f t="shared" si="377"/>
        <v>5.9999999999999995E-4</v>
      </c>
      <c r="F2983" s="85">
        <f t="shared" si="378"/>
        <v>2.9999999999999997E-4</v>
      </c>
      <c r="G2983" s="85">
        <f t="shared" si="379"/>
        <v>1.1309733552923252E-10</v>
      </c>
      <c r="H2983" s="85">
        <v>14950</v>
      </c>
      <c r="I2983" s="85">
        <f t="shared" si="380"/>
        <v>1.690805166162026E-6</v>
      </c>
      <c r="J2983" s="87">
        <v>1</v>
      </c>
      <c r="K2983" s="88">
        <f t="shared" si="381"/>
        <v>591434.19952395174</v>
      </c>
    </row>
    <row r="2984" spans="1:11" hidden="1" x14ac:dyDescent="0.25">
      <c r="A2984" t="str">
        <f t="shared" si="382"/>
        <v>52100Ø1,984375</v>
      </c>
      <c r="B2984" s="81">
        <v>52100</v>
      </c>
      <c r="C2984" s="101" t="s">
        <v>327</v>
      </c>
      <c r="D2984" s="86">
        <f>5/64*25.4</f>
        <v>1.984375</v>
      </c>
      <c r="E2984" s="85">
        <f t="shared" si="377"/>
        <v>1.984375E-3</v>
      </c>
      <c r="F2984" s="85">
        <f t="shared" si="378"/>
        <v>9.9218750000000001E-4</v>
      </c>
      <c r="G2984" s="85">
        <f t="shared" si="379"/>
        <v>4.0913804273848354E-9</v>
      </c>
      <c r="H2984" s="85">
        <v>7800</v>
      </c>
      <c r="I2984" s="85">
        <f t="shared" si="380"/>
        <v>3.1912767333601717E-5</v>
      </c>
      <c r="J2984" s="87">
        <v>1</v>
      </c>
      <c r="K2984" s="88">
        <f t="shared" si="381"/>
        <v>31335.421010232356</v>
      </c>
    </row>
    <row r="2985" spans="1:11" hidden="1" x14ac:dyDescent="0.25">
      <c r="A2985" t="str">
        <f t="shared" si="382"/>
        <v>52100Ø1,984375</v>
      </c>
      <c r="B2985" s="81">
        <v>52100</v>
      </c>
      <c r="C2985" s="101" t="s">
        <v>327</v>
      </c>
      <c r="D2985" s="86">
        <f>5/64*25.4</f>
        <v>1.984375</v>
      </c>
      <c r="E2985" s="85">
        <f>D2985/1000</f>
        <v>1.984375E-3</v>
      </c>
      <c r="F2985" s="85">
        <f>E2985/2</f>
        <v>9.9218750000000001E-4</v>
      </c>
      <c r="G2985" s="85">
        <f>4/3*PI()*F2985*F2985*F2985</f>
        <v>4.0913804273848354E-9</v>
      </c>
      <c r="H2985" s="85">
        <v>7780</v>
      </c>
      <c r="I2985" s="85">
        <f>H2985*G2985</f>
        <v>3.1830939725054017E-5</v>
      </c>
      <c r="J2985" s="87">
        <v>1</v>
      </c>
      <c r="K2985" s="88">
        <f>J2985/I2985</f>
        <v>31415.974791749664</v>
      </c>
    </row>
    <row r="2986" spans="1:11" hidden="1" x14ac:dyDescent="0.25">
      <c r="A2986" t="str">
        <f t="shared" si="382"/>
        <v>52100Ø1,191</v>
      </c>
      <c r="B2986" s="81">
        <v>52100</v>
      </c>
      <c r="D2986" s="86">
        <v>1.1910000000000001</v>
      </c>
      <c r="E2986" s="85">
        <f>D2986/1000</f>
        <v>1.191E-3</v>
      </c>
      <c r="F2986" s="85">
        <f>E2986/2</f>
        <v>5.955E-4</v>
      </c>
      <c r="G2986" s="85">
        <f>4/3*PI()*F2986*F2986*F2986</f>
        <v>8.8457346353805557E-10</v>
      </c>
      <c r="H2986" s="85">
        <v>7800</v>
      </c>
      <c r="I2986" s="85">
        <f>H2986*G2986</f>
        <v>6.8996730155968332E-6</v>
      </c>
      <c r="J2986" s="87">
        <v>1</v>
      </c>
      <c r="K2986" s="88">
        <f>J2986/I2986</f>
        <v>144934.40453474858</v>
      </c>
    </row>
    <row r="2987" spans="1:11" hidden="1" x14ac:dyDescent="0.25">
      <c r="A2987" t="str">
        <f t="shared" si="382"/>
        <v>52100Ø1,3</v>
      </c>
      <c r="B2987" s="81">
        <v>52100</v>
      </c>
      <c r="D2987" s="86">
        <v>1.3</v>
      </c>
      <c r="E2987" s="85">
        <f>D2987/1000</f>
        <v>1.2999999999999999E-3</v>
      </c>
      <c r="F2987" s="85">
        <f>E2987/2</f>
        <v>6.4999999999999997E-4</v>
      </c>
      <c r="G2987" s="85">
        <f>4/3*PI()*F2987*F2987*F2987</f>
        <v>1.1503465099894624E-9</v>
      </c>
      <c r="H2987" s="85">
        <v>7800</v>
      </c>
      <c r="I2987" s="85">
        <f>H2987*G2987</f>
        <v>8.9727027779178067E-6</v>
      </c>
      <c r="J2987" s="87">
        <v>1</v>
      </c>
      <c r="K2987" s="88">
        <f>J2987/I2987</f>
        <v>111449.1391000983</v>
      </c>
    </row>
    <row r="2988" spans="1:11" hidden="1" x14ac:dyDescent="0.25">
      <c r="A2988" t="str">
        <f t="shared" si="382"/>
        <v>440CØ1,191</v>
      </c>
      <c r="B2988" s="81" t="s">
        <v>314</v>
      </c>
      <c r="D2988" s="86">
        <v>1.1910000000000001</v>
      </c>
      <c r="E2988" s="85">
        <f>D2988/1000</f>
        <v>1.191E-3</v>
      </c>
      <c r="F2988" s="85">
        <f>E2988/2</f>
        <v>5.955E-4</v>
      </c>
      <c r="G2988" s="85">
        <f>4/3*PI()*F2988*F2988*F2988</f>
        <v>8.8457346353805557E-10</v>
      </c>
      <c r="H2988" s="85">
        <v>7700</v>
      </c>
      <c r="I2988" s="85">
        <f>H2988*G2988</f>
        <v>6.8112156692430282E-6</v>
      </c>
      <c r="J2988" s="87">
        <v>1</v>
      </c>
      <c r="K2988" s="88">
        <f>J2988/I2988</f>
        <v>146816.66952870632</v>
      </c>
    </row>
    <row r="2989" spans="1:11" hidden="1" x14ac:dyDescent="0.25">
      <c r="A2989" t="str">
        <f t="shared" si="382"/>
        <v>440CØ1,3</v>
      </c>
      <c r="B2989" s="81" t="s">
        <v>314</v>
      </c>
      <c r="D2989" s="86">
        <v>1.3</v>
      </c>
      <c r="E2989" s="85">
        <f>D2989/1000</f>
        <v>1.2999999999999999E-3</v>
      </c>
      <c r="F2989" s="85">
        <f>E2989/2</f>
        <v>6.4999999999999997E-4</v>
      </c>
      <c r="G2989" s="85">
        <f>4/3*PI()*F2989*F2989*F2989</f>
        <v>1.1503465099894624E-9</v>
      </c>
      <c r="H2989" s="85">
        <v>7700</v>
      </c>
      <c r="I2989" s="85">
        <f>H2989*G2989</f>
        <v>8.8576681269188602E-6</v>
      </c>
      <c r="J2989" s="87">
        <v>1</v>
      </c>
      <c r="K2989" s="88">
        <f>J2989/I2989</f>
        <v>112896.53051698269</v>
      </c>
    </row>
    <row r="2990" spans="1:11" hidden="1" x14ac:dyDescent="0.25">
      <c r="A2990" t="str">
        <f t="shared" si="382"/>
        <v>440CØ1,2</v>
      </c>
      <c r="B2990" s="81" t="s">
        <v>314</v>
      </c>
      <c r="D2990" s="86">
        <v>1.2</v>
      </c>
      <c r="E2990" s="85">
        <f t="shared" ref="E2990:E2997" si="383">D2990/1000</f>
        <v>1.1999999999999999E-3</v>
      </c>
      <c r="F2990" s="85">
        <f t="shared" ref="F2990:F2997" si="384">E2990/2</f>
        <v>5.9999999999999995E-4</v>
      </c>
      <c r="G2990" s="85">
        <f t="shared" ref="G2990:G2997" si="385">4/3*PI()*F2990*F2990*F2990</f>
        <v>9.0477868423386013E-10</v>
      </c>
      <c r="H2990" s="85">
        <v>7700</v>
      </c>
      <c r="I2990" s="85">
        <f t="shared" ref="I2990:I2997" si="386">H2990*G2990</f>
        <v>6.9667958686007232E-6</v>
      </c>
      <c r="J2990" s="87">
        <v>1</v>
      </c>
      <c r="K2990" s="88">
        <f t="shared" ref="K2990:K3053" si="387">J2990/I2990</f>
        <v>143538.007839011</v>
      </c>
    </row>
    <row r="2991" spans="1:11" hidden="1" x14ac:dyDescent="0.25">
      <c r="A2991" t="str">
        <f t="shared" si="382"/>
        <v>Al2O3Ø3</v>
      </c>
      <c r="B2991" s="81" t="s">
        <v>217</v>
      </c>
      <c r="D2991" s="86">
        <v>3</v>
      </c>
      <c r="E2991" s="85">
        <f t="shared" si="383"/>
        <v>3.0000000000000001E-3</v>
      </c>
      <c r="F2991" s="85">
        <f t="shared" si="384"/>
        <v>1.5E-3</v>
      </c>
      <c r="G2991" s="85">
        <f t="shared" si="385"/>
        <v>1.4137166941154068E-8</v>
      </c>
      <c r="H2991" s="85">
        <v>3900</v>
      </c>
      <c r="I2991" s="85">
        <f t="shared" si="386"/>
        <v>5.5134951070500869E-5</v>
      </c>
      <c r="J2991" s="87">
        <v>1</v>
      </c>
      <c r="K2991" s="88">
        <f t="shared" si="387"/>
        <v>18137.315452067844</v>
      </c>
    </row>
    <row r="2992" spans="1:11" hidden="1" x14ac:dyDescent="0.25">
      <c r="A2992" t="str">
        <f t="shared" si="382"/>
        <v>Al2O3Ø5</v>
      </c>
      <c r="B2992" s="81" t="s">
        <v>217</v>
      </c>
      <c r="D2992" s="86">
        <v>5</v>
      </c>
      <c r="E2992" s="85">
        <f t="shared" si="383"/>
        <v>5.0000000000000001E-3</v>
      </c>
      <c r="F2992" s="85">
        <f t="shared" si="384"/>
        <v>2.5000000000000001E-3</v>
      </c>
      <c r="G2992" s="85">
        <f t="shared" si="385"/>
        <v>6.5449846949787352E-8</v>
      </c>
      <c r="H2992" s="85">
        <v>3900</v>
      </c>
      <c r="I2992" s="85">
        <f t="shared" si="386"/>
        <v>2.5525440310417065E-4</v>
      </c>
      <c r="J2992" s="87">
        <v>1</v>
      </c>
      <c r="K2992" s="88">
        <f t="shared" si="387"/>
        <v>3917.6601376466551</v>
      </c>
    </row>
    <row r="2993" spans="1:11" hidden="1" x14ac:dyDescent="0.25">
      <c r="A2993" t="str">
        <f t="shared" si="382"/>
        <v>PPHØ10</v>
      </c>
      <c r="B2993" s="81" t="s">
        <v>202</v>
      </c>
      <c r="D2993" s="86">
        <v>10</v>
      </c>
      <c r="E2993" s="85">
        <f t="shared" si="383"/>
        <v>0.01</v>
      </c>
      <c r="F2993" s="85">
        <f t="shared" si="384"/>
        <v>5.0000000000000001E-3</v>
      </c>
      <c r="G2993" s="85">
        <f t="shared" si="385"/>
        <v>5.2359877559829882E-7</v>
      </c>
      <c r="H2993" s="85">
        <v>870</v>
      </c>
      <c r="I2993" s="85">
        <f t="shared" si="386"/>
        <v>4.5553093477051999E-4</v>
      </c>
      <c r="J2993" s="87">
        <v>1</v>
      </c>
      <c r="K2993" s="88">
        <f t="shared" si="387"/>
        <v>2195.2405943709705</v>
      </c>
    </row>
    <row r="2994" spans="1:11" hidden="1" x14ac:dyDescent="0.25">
      <c r="A2994" t="str">
        <f t="shared" si="382"/>
        <v>OttoneØ2,5</v>
      </c>
      <c r="B2994" s="81" t="s">
        <v>216</v>
      </c>
      <c r="D2994" s="86">
        <v>2.5</v>
      </c>
      <c r="E2994" s="85">
        <f t="shared" si="383"/>
        <v>2.5000000000000001E-3</v>
      </c>
      <c r="F2994" s="85">
        <f t="shared" si="384"/>
        <v>1.25E-3</v>
      </c>
      <c r="G2994" s="85">
        <f t="shared" si="385"/>
        <v>8.181230868723419E-9</v>
      </c>
      <c r="H2994" s="85">
        <v>8490</v>
      </c>
      <c r="I2994" s="85">
        <f t="shared" si="386"/>
        <v>6.9458650075461829E-5</v>
      </c>
      <c r="J2994" s="87">
        <v>1</v>
      </c>
      <c r="K2994" s="88">
        <f t="shared" si="387"/>
        <v>14397.054922800427</v>
      </c>
    </row>
    <row r="2995" spans="1:11" hidden="1" x14ac:dyDescent="0.25">
      <c r="A2995" t="str">
        <f t="shared" si="382"/>
        <v>OttoneØ3</v>
      </c>
      <c r="B2995" s="81" t="s">
        <v>216</v>
      </c>
      <c r="D2995" s="86">
        <v>3</v>
      </c>
      <c r="E2995" s="85">
        <f t="shared" si="383"/>
        <v>3.0000000000000001E-3</v>
      </c>
      <c r="F2995" s="85">
        <f t="shared" si="384"/>
        <v>1.5E-3</v>
      </c>
      <c r="G2995" s="85">
        <f t="shared" si="385"/>
        <v>1.4137166941154068E-8</v>
      </c>
      <c r="H2995" s="85">
        <v>8490</v>
      </c>
      <c r="I2995" s="85">
        <f t="shared" si="386"/>
        <v>1.2002454733039803E-4</v>
      </c>
      <c r="J2995" s="87">
        <v>1</v>
      </c>
      <c r="K2995" s="88">
        <f t="shared" si="387"/>
        <v>8331.6290062502485</v>
      </c>
    </row>
    <row r="2996" spans="1:11" hidden="1" x14ac:dyDescent="0.25">
      <c r="A2996" t="str">
        <f t="shared" si="382"/>
        <v>OttoneØ3,175</v>
      </c>
      <c r="B2996" s="81" t="s">
        <v>216</v>
      </c>
      <c r="C2996" s="101" t="s">
        <v>214</v>
      </c>
      <c r="D2996" s="86">
        <f>1/8*25.4</f>
        <v>3.1749999999999998</v>
      </c>
      <c r="E2996" s="85">
        <f t="shared" si="383"/>
        <v>3.1749999999999999E-3</v>
      </c>
      <c r="F2996" s="85">
        <f t="shared" si="384"/>
        <v>1.5874999999999999E-3</v>
      </c>
      <c r="G2996" s="85">
        <f t="shared" si="385"/>
        <v>1.6758294230568279E-8</v>
      </c>
      <c r="H2996" s="85">
        <v>8490</v>
      </c>
      <c r="I2996" s="85">
        <f t="shared" si="386"/>
        <v>1.4227791801752469E-4</v>
      </c>
      <c r="J2996" s="87">
        <v>1</v>
      </c>
      <c r="K2996" s="88">
        <f t="shared" si="387"/>
        <v>7028.4975626142332</v>
      </c>
    </row>
    <row r="2997" spans="1:11" hidden="1" x14ac:dyDescent="0.25">
      <c r="A2997" t="str">
        <f t="shared" si="382"/>
        <v>316LØ4</v>
      </c>
      <c r="B2997" s="81" t="s">
        <v>298</v>
      </c>
      <c r="D2997" s="86">
        <v>4</v>
      </c>
      <c r="E2997" s="85">
        <f t="shared" si="383"/>
        <v>4.0000000000000001E-3</v>
      </c>
      <c r="F2997" s="85">
        <f t="shared" si="384"/>
        <v>2E-3</v>
      </c>
      <c r="G2997" s="85">
        <f t="shared" si="385"/>
        <v>3.3510321638291127E-8</v>
      </c>
      <c r="H2997" s="85">
        <v>7950</v>
      </c>
      <c r="I2997" s="85">
        <f t="shared" si="386"/>
        <v>2.6640705702441446E-4</v>
      </c>
      <c r="J2997" s="87">
        <v>1</v>
      </c>
      <c r="K2997" s="88">
        <f t="shared" si="387"/>
        <v>3753.6543182050787</v>
      </c>
    </row>
    <row r="2998" spans="1:11" hidden="1" x14ac:dyDescent="0.25">
      <c r="A2998" t="str">
        <f t="shared" si="382"/>
        <v>316LØ4</v>
      </c>
      <c r="B2998" s="81" t="s">
        <v>298</v>
      </c>
      <c r="D2998" s="86">
        <v>4</v>
      </c>
      <c r="E2998" s="85">
        <f>D2998/1000</f>
        <v>4.0000000000000001E-3</v>
      </c>
      <c r="F2998" s="85">
        <f>E2998/2</f>
        <v>2E-3</v>
      </c>
      <c r="G2998" s="85">
        <f>4/3*PI()*F2998*F2998*F2998</f>
        <v>3.3510321638291127E-8</v>
      </c>
      <c r="H2998" s="85">
        <v>8000</v>
      </c>
      <c r="I2998" s="85">
        <f>H2998*G2998</f>
        <v>2.6808257310632899E-4</v>
      </c>
      <c r="J2998" s="87">
        <v>1</v>
      </c>
      <c r="K2998" s="88">
        <f t="shared" si="387"/>
        <v>3730.1939787162974</v>
      </c>
    </row>
    <row r="2999" spans="1:11" hidden="1" x14ac:dyDescent="0.25">
      <c r="A2999" t="str">
        <f t="shared" si="382"/>
        <v>Al2O3Ø6,35</v>
      </c>
      <c r="B2999" s="81" t="s">
        <v>217</v>
      </c>
      <c r="C2999" s="101" t="s">
        <v>218</v>
      </c>
      <c r="D2999" s="86">
        <v>6.35</v>
      </c>
      <c r="E2999" s="85">
        <v>6.3499999999999997E-3</v>
      </c>
      <c r="F2999" s="85">
        <v>3.1749999999999999E-3</v>
      </c>
      <c r="G2999" s="85">
        <v>1.3406635384454623E-7</v>
      </c>
      <c r="H2999" s="85">
        <v>3900</v>
      </c>
      <c r="I2999" s="85">
        <v>4.8263887384036641E-4</v>
      </c>
      <c r="J2999" s="87">
        <v>1</v>
      </c>
      <c r="K2999" s="88">
        <f t="shared" si="387"/>
        <v>2071.9425106456542</v>
      </c>
    </row>
    <row r="3000" spans="1:11" hidden="1" x14ac:dyDescent="0.25">
      <c r="A3000" t="str">
        <f t="shared" si="382"/>
        <v>Al2O3Ø6,35</v>
      </c>
      <c r="B3000" s="81" t="s">
        <v>217</v>
      </c>
      <c r="C3000" s="101" t="s">
        <v>218</v>
      </c>
      <c r="D3000" s="86">
        <v>6.35</v>
      </c>
      <c r="E3000" s="85">
        <v>6.3499999999999997E-3</v>
      </c>
      <c r="F3000" s="85">
        <v>3.1749999999999999E-3</v>
      </c>
      <c r="G3000" s="85">
        <v>1.3406635384454623E-7</v>
      </c>
      <c r="H3000" s="85">
        <v>3900</v>
      </c>
      <c r="I3000" s="85">
        <v>5.2285877999373026E-4</v>
      </c>
      <c r="J3000" s="87">
        <v>1</v>
      </c>
      <c r="K3000" s="88">
        <f t="shared" si="387"/>
        <v>1912.5623175190656</v>
      </c>
    </row>
    <row r="3001" spans="1:11" hidden="1" x14ac:dyDescent="0.25">
      <c r="A3001" t="str">
        <f t="shared" si="382"/>
        <v>PPHØ9</v>
      </c>
      <c r="B3001" s="81" t="s">
        <v>202</v>
      </c>
      <c r="D3001" s="86">
        <v>9</v>
      </c>
      <c r="E3001" s="85">
        <f t="shared" ref="E3001:E3048" si="388">D3001/1000</f>
        <v>8.9999999999999993E-3</v>
      </c>
      <c r="F3001" s="85">
        <f t="shared" ref="F3001:F3048" si="389">E3001/2</f>
        <v>4.4999999999999997E-3</v>
      </c>
      <c r="G3001" s="85">
        <f t="shared" ref="G3001:G3048" si="390">4/3*PI()*F3001*F3001*F3001</f>
        <v>3.8170350741115974E-7</v>
      </c>
      <c r="H3001" s="85">
        <v>870</v>
      </c>
      <c r="I3001" s="85">
        <f t="shared" ref="I3001:I3064" si="391">H3001*G3001</f>
        <v>3.3208205144770898E-4</v>
      </c>
      <c r="J3001" s="87">
        <v>1</v>
      </c>
      <c r="K3001" s="88">
        <f t="shared" si="387"/>
        <v>3011.3039703305499</v>
      </c>
    </row>
    <row r="3002" spans="1:11" hidden="1" x14ac:dyDescent="0.25">
      <c r="A3002" t="str">
        <f t="shared" si="382"/>
        <v>52100Ø5,159375</v>
      </c>
      <c r="B3002" s="81">
        <v>52100</v>
      </c>
      <c r="C3002" s="101" t="s">
        <v>372</v>
      </c>
      <c r="D3002" s="86">
        <f>13/64*25.4</f>
        <v>5.1593749999999998</v>
      </c>
      <c r="E3002" s="85">
        <f t="shared" si="388"/>
        <v>5.1593749999999999E-3</v>
      </c>
      <c r="F3002" s="85">
        <f t="shared" si="389"/>
        <v>2.5796874999999999E-3</v>
      </c>
      <c r="G3002" s="85">
        <f t="shared" si="390"/>
        <v>7.1910102391715839E-8</v>
      </c>
      <c r="H3002" s="85">
        <v>7800</v>
      </c>
      <c r="I3002" s="85">
        <f t="shared" si="391"/>
        <v>5.6089879865538358E-4</v>
      </c>
      <c r="J3002" s="87">
        <v>1</v>
      </c>
      <c r="K3002" s="88">
        <f t="shared" si="387"/>
        <v>1782.8528112330659</v>
      </c>
    </row>
    <row r="3003" spans="1:11" hidden="1" x14ac:dyDescent="0.25">
      <c r="A3003" t="str">
        <f t="shared" si="382"/>
        <v>WC-CoØ6</v>
      </c>
      <c r="B3003" s="81" t="s">
        <v>297</v>
      </c>
      <c r="D3003" s="86">
        <v>6</v>
      </c>
      <c r="E3003" s="85">
        <f t="shared" si="388"/>
        <v>6.0000000000000001E-3</v>
      </c>
      <c r="F3003" s="85">
        <f t="shared" si="389"/>
        <v>3.0000000000000001E-3</v>
      </c>
      <c r="G3003" s="85">
        <f t="shared" si="390"/>
        <v>1.1309733552923255E-7</v>
      </c>
      <c r="H3003" s="85">
        <v>14950</v>
      </c>
      <c r="I3003" s="85">
        <f t="shared" si="391"/>
        <v>1.6908051661620265E-3</v>
      </c>
      <c r="J3003" s="87">
        <v>1</v>
      </c>
      <c r="K3003" s="88">
        <f t="shared" si="387"/>
        <v>591.43419952395152</v>
      </c>
    </row>
    <row r="3004" spans="1:11" hidden="1" x14ac:dyDescent="0.25">
      <c r="A3004" t="str">
        <f t="shared" si="382"/>
        <v>VESCØ20</v>
      </c>
      <c r="B3004" s="81" t="s">
        <v>210</v>
      </c>
      <c r="D3004" s="86">
        <v>20</v>
      </c>
      <c r="E3004" s="85">
        <f t="shared" si="388"/>
        <v>0.02</v>
      </c>
      <c r="F3004" s="85">
        <f t="shared" si="389"/>
        <v>0.01</v>
      </c>
      <c r="G3004" s="85">
        <f t="shared" si="390"/>
        <v>4.1887902047863905E-6</v>
      </c>
      <c r="H3004" s="85">
        <v>2500</v>
      </c>
      <c r="I3004" s="85">
        <f t="shared" si="391"/>
        <v>1.0471975511965976E-2</v>
      </c>
      <c r="J3004" s="87">
        <v>1</v>
      </c>
      <c r="K3004" s="88">
        <f t="shared" si="387"/>
        <v>95.492965855137214</v>
      </c>
    </row>
    <row r="3005" spans="1:11" hidden="1" x14ac:dyDescent="0.25">
      <c r="A3005" t="str">
        <f t="shared" si="382"/>
        <v>POMØ1,5</v>
      </c>
      <c r="B3005" s="81" t="s">
        <v>201</v>
      </c>
      <c r="D3005" s="86">
        <v>1.5</v>
      </c>
      <c r="E3005" s="85">
        <f t="shared" si="388"/>
        <v>1.5E-3</v>
      </c>
      <c r="F3005" s="85">
        <f t="shared" si="389"/>
        <v>7.5000000000000002E-4</v>
      </c>
      <c r="G3005" s="85">
        <f t="shared" si="390"/>
        <v>1.7671458676442585E-9</v>
      </c>
      <c r="H3005" s="85">
        <v>1370</v>
      </c>
      <c r="I3005" s="85">
        <f t="shared" si="391"/>
        <v>2.4209898386726343E-6</v>
      </c>
      <c r="J3005" s="87">
        <v>1</v>
      </c>
      <c r="K3005" s="88">
        <f t="shared" si="387"/>
        <v>413054.1913171655</v>
      </c>
    </row>
    <row r="3006" spans="1:11" hidden="1" x14ac:dyDescent="0.25">
      <c r="A3006" t="str">
        <f t="shared" si="382"/>
        <v>PTFEØ1,5875</v>
      </c>
      <c r="B3006" s="81" t="s">
        <v>307</v>
      </c>
      <c r="C3006" s="101" t="s">
        <v>246</v>
      </c>
      <c r="D3006" s="86">
        <f>1/16*25.4</f>
        <v>1.5874999999999999</v>
      </c>
      <c r="E3006" s="85">
        <f t="shared" si="388"/>
        <v>1.5874999999999999E-3</v>
      </c>
      <c r="F3006" s="85">
        <f t="shared" si="389"/>
        <v>7.9374999999999997E-4</v>
      </c>
      <c r="G3006" s="85">
        <f t="shared" si="390"/>
        <v>2.0947867788210349E-9</v>
      </c>
      <c r="H3006" s="85">
        <v>2160</v>
      </c>
      <c r="I3006" s="85">
        <f t="shared" si="391"/>
        <v>4.5247394422534354E-6</v>
      </c>
      <c r="J3006" s="87">
        <v>1</v>
      </c>
      <c r="K3006" s="88">
        <f t="shared" si="387"/>
        <v>221007.20113553645</v>
      </c>
    </row>
    <row r="3007" spans="1:11" hidden="1" x14ac:dyDescent="0.25">
      <c r="A3007" t="str">
        <f t="shared" si="382"/>
        <v>PPHØ1,5875</v>
      </c>
      <c r="B3007" s="81" t="s">
        <v>202</v>
      </c>
      <c r="C3007" s="101" t="s">
        <v>246</v>
      </c>
      <c r="D3007" s="86">
        <f>1/16*25.4</f>
        <v>1.5874999999999999</v>
      </c>
      <c r="E3007" s="85">
        <f t="shared" si="388"/>
        <v>1.5874999999999999E-3</v>
      </c>
      <c r="F3007" s="85">
        <f t="shared" si="389"/>
        <v>7.9374999999999997E-4</v>
      </c>
      <c r="G3007" s="85">
        <f t="shared" si="390"/>
        <v>2.0947867788210349E-9</v>
      </c>
      <c r="H3007" s="85">
        <v>870</v>
      </c>
      <c r="I3007" s="85">
        <f t="shared" si="391"/>
        <v>1.8224644975743004E-6</v>
      </c>
      <c r="J3007" s="87">
        <v>1</v>
      </c>
      <c r="K3007" s="88">
        <f t="shared" si="387"/>
        <v>548707.53385374567</v>
      </c>
    </row>
    <row r="3008" spans="1:11" hidden="1" x14ac:dyDescent="0.25">
      <c r="A3008" t="str">
        <f t="shared" si="382"/>
        <v>52100Ø1,688</v>
      </c>
      <c r="B3008" s="81">
        <v>52100</v>
      </c>
      <c r="D3008" s="86">
        <v>1.6879999999999999</v>
      </c>
      <c r="E3008" s="85">
        <f t="shared" si="388"/>
        <v>1.688E-3</v>
      </c>
      <c r="F3008" s="85">
        <f t="shared" si="389"/>
        <v>8.4400000000000002E-4</v>
      </c>
      <c r="G3008" s="85">
        <f t="shared" si="390"/>
        <v>2.5183491940633105E-9</v>
      </c>
      <c r="H3008" s="85">
        <v>7800</v>
      </c>
      <c r="I3008" s="85">
        <f t="shared" si="391"/>
        <v>1.9643123713693822E-5</v>
      </c>
      <c r="J3008" s="87">
        <v>1</v>
      </c>
      <c r="K3008" s="88">
        <f t="shared" si="387"/>
        <v>50908.400037356048</v>
      </c>
    </row>
    <row r="3009" spans="1:11" hidden="1" x14ac:dyDescent="0.25">
      <c r="A3009" t="str">
        <f t="shared" si="382"/>
        <v>1010Ø5,47</v>
      </c>
      <c r="B3009" s="81">
        <v>1010</v>
      </c>
      <c r="D3009" s="86">
        <v>5.47</v>
      </c>
      <c r="E3009" s="85">
        <f t="shared" si="388"/>
        <v>5.47E-3</v>
      </c>
      <c r="F3009" s="85">
        <f t="shared" si="389"/>
        <v>2.735E-3</v>
      </c>
      <c r="G3009" s="85">
        <f t="shared" si="390"/>
        <v>8.5696009928251292E-8</v>
      </c>
      <c r="H3009" s="85">
        <v>7820</v>
      </c>
      <c r="I3009" s="85">
        <f t="shared" si="391"/>
        <v>6.7014279763892505E-4</v>
      </c>
      <c r="J3009" s="87">
        <v>1</v>
      </c>
      <c r="K3009" s="88">
        <f t="shared" si="387"/>
        <v>1492.2192755383503</v>
      </c>
    </row>
    <row r="3010" spans="1:11" hidden="1" x14ac:dyDescent="0.25">
      <c r="A3010" t="str">
        <f t="shared" si="382"/>
        <v>52100Ø20</v>
      </c>
      <c r="B3010" s="81">
        <v>52100</v>
      </c>
      <c r="D3010" s="86">
        <v>20</v>
      </c>
      <c r="E3010" s="85">
        <f t="shared" si="388"/>
        <v>0.02</v>
      </c>
      <c r="F3010" s="85">
        <f t="shared" si="389"/>
        <v>0.01</v>
      </c>
      <c r="G3010" s="85">
        <f t="shared" si="390"/>
        <v>4.1887902047863905E-6</v>
      </c>
      <c r="H3010" s="85">
        <v>7780</v>
      </c>
      <c r="I3010" s="85">
        <f t="shared" si="391"/>
        <v>3.2588787793238115E-2</v>
      </c>
      <c r="J3010" s="87">
        <v>1</v>
      </c>
      <c r="K3010" s="88">
        <f t="shared" si="387"/>
        <v>30.685400339054375</v>
      </c>
    </row>
    <row r="3011" spans="1:11" hidden="1" x14ac:dyDescent="0.25">
      <c r="A3011" t="str">
        <f t="shared" si="382"/>
        <v>52100Ø20</v>
      </c>
      <c r="B3011" s="81">
        <v>52100</v>
      </c>
      <c r="D3011" s="86">
        <v>20</v>
      </c>
      <c r="E3011" s="85">
        <f t="shared" si="388"/>
        <v>0.02</v>
      </c>
      <c r="F3011" s="85">
        <f t="shared" si="389"/>
        <v>0.01</v>
      </c>
      <c r="G3011" s="85">
        <f t="shared" si="390"/>
        <v>4.1887902047863905E-6</v>
      </c>
      <c r="H3011" s="85">
        <v>7780</v>
      </c>
      <c r="I3011" s="85">
        <f t="shared" si="391"/>
        <v>3.2588787793238115E-2</v>
      </c>
      <c r="J3011" s="87">
        <v>1</v>
      </c>
      <c r="K3011" s="88">
        <f t="shared" si="387"/>
        <v>30.685400339054375</v>
      </c>
    </row>
    <row r="3012" spans="1:11" hidden="1" x14ac:dyDescent="0.25">
      <c r="A3012" t="str">
        <f t="shared" ref="A3012:A3075" si="392">CONCATENATE(B3012,"Ø",D3012)</f>
        <v>52100Ø20</v>
      </c>
      <c r="B3012" s="81">
        <v>52100</v>
      </c>
      <c r="D3012" s="86">
        <v>20</v>
      </c>
      <c r="E3012" s="85">
        <f t="shared" si="388"/>
        <v>0.02</v>
      </c>
      <c r="F3012" s="85">
        <f t="shared" si="389"/>
        <v>0.01</v>
      </c>
      <c r="G3012" s="85">
        <f t="shared" si="390"/>
        <v>4.1887902047863905E-6</v>
      </c>
      <c r="H3012" s="85">
        <v>7780</v>
      </c>
      <c r="I3012" s="85">
        <f t="shared" si="391"/>
        <v>3.2588787793238115E-2</v>
      </c>
      <c r="J3012" s="87">
        <v>1</v>
      </c>
      <c r="K3012" s="88">
        <f t="shared" si="387"/>
        <v>30.685400339054375</v>
      </c>
    </row>
    <row r="3013" spans="1:11" hidden="1" x14ac:dyDescent="0.25">
      <c r="A3013" t="str">
        <f t="shared" si="392"/>
        <v>52100Ø20</v>
      </c>
      <c r="B3013" s="81">
        <v>52100</v>
      </c>
      <c r="D3013" s="86">
        <v>20</v>
      </c>
      <c r="E3013" s="85">
        <f t="shared" si="388"/>
        <v>0.02</v>
      </c>
      <c r="F3013" s="85">
        <f t="shared" si="389"/>
        <v>0.01</v>
      </c>
      <c r="G3013" s="85">
        <f t="shared" si="390"/>
        <v>4.1887902047863905E-6</v>
      </c>
      <c r="H3013" s="85">
        <v>7780</v>
      </c>
      <c r="I3013" s="85">
        <f t="shared" si="391"/>
        <v>3.2588787793238115E-2</v>
      </c>
      <c r="J3013" s="87">
        <v>1</v>
      </c>
      <c r="K3013" s="88">
        <f t="shared" si="387"/>
        <v>30.685400339054375</v>
      </c>
    </row>
    <row r="3014" spans="1:11" hidden="1" x14ac:dyDescent="0.25">
      <c r="A3014" t="str">
        <f t="shared" si="392"/>
        <v>52100Ø20</v>
      </c>
      <c r="B3014" s="81">
        <v>52100</v>
      </c>
      <c r="D3014" s="86">
        <v>20</v>
      </c>
      <c r="E3014" s="85">
        <f t="shared" si="388"/>
        <v>0.02</v>
      </c>
      <c r="F3014" s="85">
        <f t="shared" si="389"/>
        <v>0.01</v>
      </c>
      <c r="G3014" s="85">
        <f t="shared" si="390"/>
        <v>4.1887902047863905E-6</v>
      </c>
      <c r="H3014" s="85">
        <v>7780</v>
      </c>
      <c r="I3014" s="85">
        <f t="shared" si="391"/>
        <v>3.2588787793238115E-2</v>
      </c>
      <c r="J3014" s="87">
        <v>1</v>
      </c>
      <c r="K3014" s="88">
        <f t="shared" si="387"/>
        <v>30.685400339054375</v>
      </c>
    </row>
    <row r="3015" spans="1:11" hidden="1" x14ac:dyDescent="0.25">
      <c r="A3015" t="str">
        <f t="shared" si="392"/>
        <v>52100Ø20</v>
      </c>
      <c r="B3015" s="81">
        <v>52100</v>
      </c>
      <c r="D3015" s="86">
        <v>20</v>
      </c>
      <c r="E3015" s="85">
        <f t="shared" si="388"/>
        <v>0.02</v>
      </c>
      <c r="F3015" s="85">
        <f t="shared" si="389"/>
        <v>0.01</v>
      </c>
      <c r="G3015" s="85">
        <f t="shared" si="390"/>
        <v>4.1887902047863905E-6</v>
      </c>
      <c r="H3015" s="85">
        <v>7780</v>
      </c>
      <c r="I3015" s="85">
        <f t="shared" si="391"/>
        <v>3.2588787793238115E-2</v>
      </c>
      <c r="J3015" s="87">
        <v>1</v>
      </c>
      <c r="K3015" s="88">
        <f t="shared" si="387"/>
        <v>30.685400339054375</v>
      </c>
    </row>
    <row r="3016" spans="1:11" hidden="1" x14ac:dyDescent="0.25">
      <c r="A3016" t="str">
        <f t="shared" si="392"/>
        <v>52100Ø20</v>
      </c>
      <c r="B3016" s="81">
        <v>52100</v>
      </c>
      <c r="D3016" s="86">
        <v>20</v>
      </c>
      <c r="E3016" s="85">
        <f t="shared" si="388"/>
        <v>0.02</v>
      </c>
      <c r="F3016" s="85">
        <f t="shared" si="389"/>
        <v>0.01</v>
      </c>
      <c r="G3016" s="85">
        <f t="shared" si="390"/>
        <v>4.1887902047863905E-6</v>
      </c>
      <c r="H3016" s="85">
        <v>7780</v>
      </c>
      <c r="I3016" s="85">
        <f t="shared" si="391"/>
        <v>3.2588787793238115E-2</v>
      </c>
      <c r="J3016" s="87">
        <v>1</v>
      </c>
      <c r="K3016" s="88">
        <f t="shared" si="387"/>
        <v>30.685400339054375</v>
      </c>
    </row>
    <row r="3017" spans="1:11" hidden="1" x14ac:dyDescent="0.25">
      <c r="A3017" t="str">
        <f t="shared" si="392"/>
        <v>52100Ø20</v>
      </c>
      <c r="B3017" s="81">
        <v>52100</v>
      </c>
      <c r="D3017" s="86">
        <v>20</v>
      </c>
      <c r="E3017" s="85">
        <f t="shared" si="388"/>
        <v>0.02</v>
      </c>
      <c r="F3017" s="85">
        <f t="shared" si="389"/>
        <v>0.01</v>
      </c>
      <c r="G3017" s="85">
        <f t="shared" si="390"/>
        <v>4.1887902047863905E-6</v>
      </c>
      <c r="H3017" s="85">
        <v>7780</v>
      </c>
      <c r="I3017" s="85">
        <f t="shared" si="391"/>
        <v>3.2588787793238115E-2</v>
      </c>
      <c r="J3017" s="87">
        <v>1</v>
      </c>
      <c r="K3017" s="88">
        <f t="shared" si="387"/>
        <v>30.685400339054375</v>
      </c>
    </row>
    <row r="3018" spans="1:11" hidden="1" x14ac:dyDescent="0.25">
      <c r="A3018" t="str">
        <f t="shared" si="392"/>
        <v>52100Ø20</v>
      </c>
      <c r="B3018" s="81">
        <v>52100</v>
      </c>
      <c r="D3018" s="86">
        <v>20</v>
      </c>
      <c r="E3018" s="85">
        <f t="shared" si="388"/>
        <v>0.02</v>
      </c>
      <c r="F3018" s="85">
        <f t="shared" si="389"/>
        <v>0.01</v>
      </c>
      <c r="G3018" s="85">
        <f t="shared" si="390"/>
        <v>4.1887902047863905E-6</v>
      </c>
      <c r="H3018" s="85">
        <v>7780</v>
      </c>
      <c r="I3018" s="85">
        <f t="shared" si="391"/>
        <v>3.2588787793238115E-2</v>
      </c>
      <c r="J3018" s="87">
        <v>1</v>
      </c>
      <c r="K3018" s="88">
        <f t="shared" si="387"/>
        <v>30.685400339054375</v>
      </c>
    </row>
    <row r="3019" spans="1:11" hidden="1" x14ac:dyDescent="0.25">
      <c r="A3019" t="str">
        <f t="shared" si="392"/>
        <v>52100Ø20</v>
      </c>
      <c r="B3019" s="81">
        <v>52100</v>
      </c>
      <c r="D3019" s="86">
        <v>20</v>
      </c>
      <c r="E3019" s="85">
        <f t="shared" si="388"/>
        <v>0.02</v>
      </c>
      <c r="F3019" s="85">
        <f t="shared" si="389"/>
        <v>0.01</v>
      </c>
      <c r="G3019" s="85">
        <f t="shared" si="390"/>
        <v>4.1887902047863905E-6</v>
      </c>
      <c r="H3019" s="85">
        <v>7780</v>
      </c>
      <c r="I3019" s="85">
        <f t="shared" si="391"/>
        <v>3.2588787793238115E-2</v>
      </c>
      <c r="J3019" s="87">
        <v>1</v>
      </c>
      <c r="K3019" s="88">
        <f t="shared" si="387"/>
        <v>30.685400339054375</v>
      </c>
    </row>
    <row r="3020" spans="1:11" hidden="1" x14ac:dyDescent="0.25">
      <c r="A3020" t="str">
        <f t="shared" si="392"/>
        <v>52100Ø19,84375</v>
      </c>
      <c r="B3020" s="81">
        <v>52100</v>
      </c>
      <c r="C3020" s="101" t="s">
        <v>261</v>
      </c>
      <c r="D3020" s="86">
        <f>25/32*25.4</f>
        <v>19.84375</v>
      </c>
      <c r="E3020" s="85">
        <f t="shared" si="388"/>
        <v>1.984375E-2</v>
      </c>
      <c r="F3020" s="85">
        <f t="shared" si="389"/>
        <v>9.9218750000000001E-3</v>
      </c>
      <c r="G3020" s="85">
        <f t="shared" si="390"/>
        <v>4.0913804273848348E-6</v>
      </c>
      <c r="H3020" s="85">
        <v>7790</v>
      </c>
      <c r="I3020" s="85">
        <f t="shared" si="391"/>
        <v>3.1871853529327865E-2</v>
      </c>
      <c r="J3020" s="87">
        <v>1</v>
      </c>
      <c r="K3020" s="88">
        <f t="shared" si="387"/>
        <v>31.375646197665262</v>
      </c>
    </row>
    <row r="3021" spans="1:11" hidden="1" x14ac:dyDescent="0.25">
      <c r="A3021" t="str">
        <f t="shared" si="392"/>
        <v>52100Ø19,84375</v>
      </c>
      <c r="B3021" s="81">
        <v>52100</v>
      </c>
      <c r="C3021" s="101" t="s">
        <v>261</v>
      </c>
      <c r="D3021" s="86">
        <f>25/32*25.4</f>
        <v>19.84375</v>
      </c>
      <c r="E3021" s="85">
        <f t="shared" si="388"/>
        <v>1.984375E-2</v>
      </c>
      <c r="F3021" s="85">
        <f t="shared" si="389"/>
        <v>9.9218750000000001E-3</v>
      </c>
      <c r="G3021" s="85">
        <f t="shared" si="390"/>
        <v>4.0913804273848348E-6</v>
      </c>
      <c r="H3021" s="85">
        <v>7790</v>
      </c>
      <c r="I3021" s="85">
        <f t="shared" si="391"/>
        <v>3.1871853529327865E-2</v>
      </c>
      <c r="J3021" s="87">
        <v>1</v>
      </c>
      <c r="K3021" s="88">
        <f t="shared" si="387"/>
        <v>31.375646197665262</v>
      </c>
    </row>
    <row r="3022" spans="1:11" hidden="1" x14ac:dyDescent="0.25">
      <c r="A3022" t="str">
        <f t="shared" si="392"/>
        <v>52100Ø19,84375</v>
      </c>
      <c r="B3022" s="81">
        <v>52100</v>
      </c>
      <c r="C3022" s="101" t="s">
        <v>261</v>
      </c>
      <c r="D3022" s="86">
        <f>25/32*25.4</f>
        <v>19.84375</v>
      </c>
      <c r="E3022" s="85">
        <f t="shared" si="388"/>
        <v>1.984375E-2</v>
      </c>
      <c r="F3022" s="85">
        <f t="shared" si="389"/>
        <v>9.9218750000000001E-3</v>
      </c>
      <c r="G3022" s="85">
        <f t="shared" si="390"/>
        <v>4.0913804273848348E-6</v>
      </c>
      <c r="H3022" s="85">
        <v>7790</v>
      </c>
      <c r="I3022" s="85">
        <f t="shared" si="391"/>
        <v>3.1871853529327865E-2</v>
      </c>
      <c r="J3022" s="87">
        <v>1</v>
      </c>
      <c r="K3022" s="88">
        <f t="shared" si="387"/>
        <v>31.375646197665262</v>
      </c>
    </row>
    <row r="3023" spans="1:11" hidden="1" x14ac:dyDescent="0.25">
      <c r="A3023" t="str">
        <f t="shared" si="392"/>
        <v>52100Ø19,84375</v>
      </c>
      <c r="B3023" s="81">
        <v>52100</v>
      </c>
      <c r="C3023" s="101" t="s">
        <v>261</v>
      </c>
      <c r="D3023" s="86">
        <f>25/32*25.4</f>
        <v>19.84375</v>
      </c>
      <c r="E3023" s="85">
        <f t="shared" si="388"/>
        <v>1.984375E-2</v>
      </c>
      <c r="F3023" s="85">
        <f t="shared" si="389"/>
        <v>9.9218750000000001E-3</v>
      </c>
      <c r="G3023" s="85">
        <f t="shared" si="390"/>
        <v>4.0913804273848348E-6</v>
      </c>
      <c r="H3023" s="85">
        <v>7790</v>
      </c>
      <c r="I3023" s="85">
        <f t="shared" si="391"/>
        <v>3.1871853529327865E-2</v>
      </c>
      <c r="J3023" s="87">
        <v>1</v>
      </c>
      <c r="K3023" s="88">
        <f t="shared" si="387"/>
        <v>31.375646197665262</v>
      </c>
    </row>
    <row r="3024" spans="1:11" hidden="1" x14ac:dyDescent="0.25">
      <c r="A3024" t="str">
        <f t="shared" si="392"/>
        <v>ZrO2Ø1</v>
      </c>
      <c r="B3024" s="81" t="s">
        <v>205</v>
      </c>
      <c r="D3024" s="86">
        <v>1</v>
      </c>
      <c r="E3024" s="85">
        <f t="shared" si="388"/>
        <v>1E-3</v>
      </c>
      <c r="F3024" s="85">
        <f t="shared" si="389"/>
        <v>5.0000000000000001E-4</v>
      </c>
      <c r="G3024" s="85">
        <f t="shared" si="390"/>
        <v>5.2359877559829886E-10</v>
      </c>
      <c r="H3024" s="85">
        <v>6000</v>
      </c>
      <c r="I3024" s="85">
        <f t="shared" si="391"/>
        <v>3.1415926535897933E-6</v>
      </c>
      <c r="J3024" s="87">
        <v>1</v>
      </c>
      <c r="K3024" s="88">
        <f t="shared" si="387"/>
        <v>318309.88618379069</v>
      </c>
    </row>
    <row r="3025" spans="1:11" hidden="1" x14ac:dyDescent="0.25">
      <c r="A3025" t="str">
        <f t="shared" si="392"/>
        <v>ZrO2Ø2</v>
      </c>
      <c r="B3025" s="81" t="s">
        <v>205</v>
      </c>
      <c r="D3025" s="86">
        <v>2</v>
      </c>
      <c r="E3025" s="85">
        <f t="shared" si="388"/>
        <v>2E-3</v>
      </c>
      <c r="F3025" s="85">
        <f t="shared" si="389"/>
        <v>1E-3</v>
      </c>
      <c r="G3025" s="85">
        <f t="shared" si="390"/>
        <v>4.1887902047863909E-9</v>
      </c>
      <c r="H3025" s="85">
        <v>6000</v>
      </c>
      <c r="I3025" s="85">
        <f t="shared" si="391"/>
        <v>2.5132741228718347E-5</v>
      </c>
      <c r="J3025" s="87">
        <v>1</v>
      </c>
      <c r="K3025" s="88">
        <f t="shared" si="387"/>
        <v>39788.735772973836</v>
      </c>
    </row>
    <row r="3026" spans="1:11" x14ac:dyDescent="0.25">
      <c r="A3026" t="str">
        <f t="shared" si="392"/>
        <v>1085Ø5,8</v>
      </c>
      <c r="B3026" s="81">
        <v>1085</v>
      </c>
      <c r="D3026" s="86">
        <v>5.8</v>
      </c>
      <c r="E3026" s="85">
        <f t="shared" si="388"/>
        <v>5.7999999999999996E-3</v>
      </c>
      <c r="F3026" s="85">
        <f t="shared" si="389"/>
        <v>2.8999999999999998E-3</v>
      </c>
      <c r="G3026" s="85">
        <f t="shared" si="390"/>
        <v>1.0216040430453526E-7</v>
      </c>
      <c r="H3026" s="85">
        <v>7850</v>
      </c>
      <c r="I3026" s="85">
        <f t="shared" si="391"/>
        <v>8.0195917379060179E-4</v>
      </c>
      <c r="J3026" s="87">
        <v>1</v>
      </c>
      <c r="K3026" s="88">
        <f t="shared" si="387"/>
        <v>1246.9462694382848</v>
      </c>
    </row>
    <row r="3027" spans="1:11" hidden="1" x14ac:dyDescent="0.25">
      <c r="A3027" t="str">
        <f t="shared" si="392"/>
        <v>POMØ2</v>
      </c>
      <c r="B3027" s="81" t="s">
        <v>201</v>
      </c>
      <c r="D3027" s="86">
        <v>2</v>
      </c>
      <c r="E3027" s="85">
        <f t="shared" si="388"/>
        <v>2E-3</v>
      </c>
      <c r="F3027" s="85">
        <f t="shared" si="389"/>
        <v>1E-3</v>
      </c>
      <c r="G3027" s="85">
        <f t="shared" si="390"/>
        <v>4.1887902047863909E-9</v>
      </c>
      <c r="H3027" s="85">
        <v>1370</v>
      </c>
      <c r="I3027" s="85">
        <f t="shared" si="391"/>
        <v>5.7386425805573556E-6</v>
      </c>
      <c r="J3027" s="87">
        <v>1</v>
      </c>
      <c r="K3027" s="88">
        <f t="shared" si="387"/>
        <v>174257.23696192921</v>
      </c>
    </row>
    <row r="3028" spans="1:11" hidden="1" x14ac:dyDescent="0.25">
      <c r="A3028" t="str">
        <f t="shared" si="392"/>
        <v>POMØ3</v>
      </c>
      <c r="B3028" s="81" t="s">
        <v>201</v>
      </c>
      <c r="D3028" s="86">
        <v>3</v>
      </c>
      <c r="E3028" s="85">
        <f t="shared" si="388"/>
        <v>3.0000000000000001E-3</v>
      </c>
      <c r="F3028" s="85">
        <f t="shared" si="389"/>
        <v>1.5E-3</v>
      </c>
      <c r="G3028" s="85">
        <f t="shared" si="390"/>
        <v>1.4137166941154068E-8</v>
      </c>
      <c r="H3028" s="85">
        <v>1370</v>
      </c>
      <c r="I3028" s="85">
        <f t="shared" si="391"/>
        <v>1.9367918709381075E-5</v>
      </c>
      <c r="J3028" s="87">
        <v>1</v>
      </c>
      <c r="K3028" s="88">
        <f t="shared" si="387"/>
        <v>51631.773914645688</v>
      </c>
    </row>
    <row r="3029" spans="1:11" hidden="1" x14ac:dyDescent="0.25">
      <c r="A3029" t="str">
        <f t="shared" si="392"/>
        <v>POMØ3,96875</v>
      </c>
      <c r="B3029" s="81" t="s">
        <v>201</v>
      </c>
      <c r="C3029" s="101" t="s">
        <v>215</v>
      </c>
      <c r="D3029" s="86">
        <f>5/32*25.4</f>
        <v>3.96875</v>
      </c>
      <c r="E3029" s="85">
        <f t="shared" si="388"/>
        <v>3.9687500000000001E-3</v>
      </c>
      <c r="F3029" s="85">
        <f t="shared" si="389"/>
        <v>1.984375E-3</v>
      </c>
      <c r="G3029" s="85">
        <f t="shared" si="390"/>
        <v>3.2731043419078684E-8</v>
      </c>
      <c r="H3029" s="85">
        <v>1370</v>
      </c>
      <c r="I3029" s="85">
        <f t="shared" si="391"/>
        <v>4.4841529484137795E-5</v>
      </c>
      <c r="J3029" s="87">
        <v>1</v>
      </c>
      <c r="K3029" s="88">
        <f t="shared" si="387"/>
        <v>22300.755828450034</v>
      </c>
    </row>
    <row r="3030" spans="1:11" hidden="1" x14ac:dyDescent="0.25">
      <c r="A3030" t="str">
        <f t="shared" si="392"/>
        <v>POMØ5</v>
      </c>
      <c r="B3030" s="81" t="s">
        <v>201</v>
      </c>
      <c r="D3030" s="86">
        <v>5</v>
      </c>
      <c r="E3030" s="85">
        <f t="shared" si="388"/>
        <v>5.0000000000000001E-3</v>
      </c>
      <c r="F3030" s="85">
        <f t="shared" si="389"/>
        <v>2.5000000000000001E-3</v>
      </c>
      <c r="G3030" s="85">
        <f t="shared" si="390"/>
        <v>6.5449846949787352E-8</v>
      </c>
      <c r="H3030" s="85">
        <v>1370</v>
      </c>
      <c r="I3030" s="85">
        <f t="shared" si="391"/>
        <v>8.9666290321208675E-5</v>
      </c>
      <c r="J3030" s="87">
        <v>1</v>
      </c>
      <c r="K3030" s="88">
        <f t="shared" si="387"/>
        <v>11152.463165563469</v>
      </c>
    </row>
    <row r="3031" spans="1:11" hidden="1" x14ac:dyDescent="0.25">
      <c r="A3031" t="str">
        <f t="shared" si="392"/>
        <v>440CØ1,984375</v>
      </c>
      <c r="B3031" s="81" t="s">
        <v>314</v>
      </c>
      <c r="C3031" s="101" t="s">
        <v>327</v>
      </c>
      <c r="D3031" s="86">
        <f>5/64*25.4</f>
        <v>1.984375</v>
      </c>
      <c r="E3031" s="85">
        <f t="shared" si="388"/>
        <v>1.984375E-3</v>
      </c>
      <c r="F3031" s="85">
        <f t="shared" si="389"/>
        <v>9.9218750000000001E-4</v>
      </c>
      <c r="G3031" s="85">
        <f t="shared" si="390"/>
        <v>4.0913804273848354E-9</v>
      </c>
      <c r="H3031" s="85">
        <v>7700</v>
      </c>
      <c r="I3031" s="85">
        <f t="shared" si="391"/>
        <v>3.1503629290863234E-5</v>
      </c>
      <c r="J3031" s="87">
        <v>1</v>
      </c>
      <c r="K3031" s="88">
        <f t="shared" si="387"/>
        <v>31742.374529845762</v>
      </c>
    </row>
    <row r="3032" spans="1:11" hidden="1" x14ac:dyDescent="0.25">
      <c r="A3032" t="str">
        <f t="shared" si="392"/>
        <v>1010Ø2</v>
      </c>
      <c r="B3032" s="81">
        <v>1010</v>
      </c>
      <c r="D3032" s="86">
        <v>2</v>
      </c>
      <c r="E3032" s="85">
        <f t="shared" si="388"/>
        <v>2E-3</v>
      </c>
      <c r="F3032" s="85">
        <f t="shared" si="389"/>
        <v>1E-3</v>
      </c>
      <c r="G3032" s="85">
        <f t="shared" si="390"/>
        <v>4.1887902047863909E-9</v>
      </c>
      <c r="H3032" s="85">
        <v>7820</v>
      </c>
      <c r="I3032" s="85">
        <f t="shared" si="391"/>
        <v>3.2756339401429578E-5</v>
      </c>
      <c r="J3032" s="87">
        <v>1</v>
      </c>
      <c r="K3032" s="88">
        <f t="shared" si="387"/>
        <v>30528.441769545141</v>
      </c>
    </row>
    <row r="3033" spans="1:11" hidden="1" x14ac:dyDescent="0.25">
      <c r="A3033" t="str">
        <f t="shared" si="392"/>
        <v>1010Ø2,38125</v>
      </c>
      <c r="B3033" s="81">
        <v>1010</v>
      </c>
      <c r="C3033" s="101" t="s">
        <v>213</v>
      </c>
      <c r="D3033" s="86">
        <f>3/32*25.4</f>
        <v>2.3812499999999996</v>
      </c>
      <c r="E3033" s="85">
        <f t="shared" si="388"/>
        <v>2.3812499999999997E-3</v>
      </c>
      <c r="F3033" s="85">
        <f t="shared" si="389"/>
        <v>1.1906249999999998E-3</v>
      </c>
      <c r="G3033" s="85">
        <f t="shared" si="390"/>
        <v>7.0699053785209917E-9</v>
      </c>
      <c r="H3033" s="85">
        <v>7820</v>
      </c>
      <c r="I3033" s="85">
        <f t="shared" si="391"/>
        <v>5.5286660060034156E-5</v>
      </c>
      <c r="J3033" s="87">
        <v>1</v>
      </c>
      <c r="K3033" s="88">
        <f t="shared" si="387"/>
        <v>18087.545872985083</v>
      </c>
    </row>
    <row r="3034" spans="1:11" hidden="1" x14ac:dyDescent="0.25">
      <c r="A3034" t="str">
        <f t="shared" si="392"/>
        <v>1010Ø3</v>
      </c>
      <c r="B3034" s="81">
        <v>1010</v>
      </c>
      <c r="D3034" s="86">
        <v>3</v>
      </c>
      <c r="E3034" s="85">
        <f t="shared" si="388"/>
        <v>3.0000000000000001E-3</v>
      </c>
      <c r="F3034" s="85">
        <f t="shared" si="389"/>
        <v>1.5E-3</v>
      </c>
      <c r="G3034" s="85">
        <f t="shared" si="390"/>
        <v>1.4137166941154068E-8</v>
      </c>
      <c r="H3034" s="85">
        <v>7820</v>
      </c>
      <c r="I3034" s="85">
        <f t="shared" si="391"/>
        <v>1.1055264547982482E-4</v>
      </c>
      <c r="J3034" s="87">
        <v>1</v>
      </c>
      <c r="K3034" s="88">
        <f t="shared" si="387"/>
        <v>9045.4642280133758</v>
      </c>
    </row>
    <row r="3035" spans="1:11" hidden="1" x14ac:dyDescent="0.25">
      <c r="A3035" t="str">
        <f t="shared" si="392"/>
        <v>1010Ø3,96875</v>
      </c>
      <c r="B3035" s="81">
        <v>1010</v>
      </c>
      <c r="C3035" s="101" t="s">
        <v>215</v>
      </c>
      <c r="D3035" s="86">
        <f>5/32*25.4</f>
        <v>3.96875</v>
      </c>
      <c r="E3035" s="85">
        <f t="shared" si="388"/>
        <v>3.9687500000000001E-3</v>
      </c>
      <c r="F3035" s="85">
        <f t="shared" si="389"/>
        <v>1.984375E-3</v>
      </c>
      <c r="G3035" s="85">
        <f t="shared" si="390"/>
        <v>3.2731043419078684E-8</v>
      </c>
      <c r="H3035" s="85">
        <v>7820</v>
      </c>
      <c r="I3035" s="85">
        <f t="shared" si="391"/>
        <v>2.5595675953719529E-4</v>
      </c>
      <c r="J3035" s="87">
        <v>1</v>
      </c>
      <c r="K3035" s="88">
        <f t="shared" si="387"/>
        <v>3906.9099085647758</v>
      </c>
    </row>
    <row r="3036" spans="1:11" hidden="1" x14ac:dyDescent="0.25">
      <c r="A3036" t="str">
        <f t="shared" si="392"/>
        <v>1010Ø4,7625</v>
      </c>
      <c r="B3036" s="81">
        <v>1010</v>
      </c>
      <c r="C3036" s="101" t="s">
        <v>248</v>
      </c>
      <c r="D3036" s="86">
        <f>3/16*25.4</f>
        <v>4.7624999999999993</v>
      </c>
      <c r="E3036" s="85">
        <f t="shared" si="388"/>
        <v>4.7624999999999994E-3</v>
      </c>
      <c r="F3036" s="85">
        <f t="shared" si="389"/>
        <v>2.3812499999999997E-3</v>
      </c>
      <c r="G3036" s="85">
        <f t="shared" si="390"/>
        <v>5.6559243028167934E-8</v>
      </c>
      <c r="H3036" s="85">
        <v>7820</v>
      </c>
      <c r="I3036" s="85">
        <f t="shared" si="391"/>
        <v>4.4229328048027325E-4</v>
      </c>
      <c r="J3036" s="87">
        <v>1</v>
      </c>
      <c r="K3036" s="88">
        <f t="shared" si="387"/>
        <v>2260.9432341231354</v>
      </c>
    </row>
    <row r="3037" spans="1:11" hidden="1" x14ac:dyDescent="0.25">
      <c r="A3037" t="str">
        <f t="shared" si="392"/>
        <v>1010Ø6</v>
      </c>
      <c r="B3037" s="81">
        <v>1010</v>
      </c>
      <c r="D3037" s="86">
        <v>6</v>
      </c>
      <c r="E3037" s="85">
        <f t="shared" si="388"/>
        <v>6.0000000000000001E-3</v>
      </c>
      <c r="F3037" s="85">
        <f t="shared" si="389"/>
        <v>3.0000000000000001E-3</v>
      </c>
      <c r="G3037" s="85">
        <f t="shared" si="390"/>
        <v>1.1309733552923255E-7</v>
      </c>
      <c r="H3037" s="85">
        <v>7820</v>
      </c>
      <c r="I3037" s="85">
        <f t="shared" si="391"/>
        <v>8.8442116383859854E-4</v>
      </c>
      <c r="J3037" s="87">
        <v>1</v>
      </c>
      <c r="K3037" s="88">
        <f t="shared" si="387"/>
        <v>1130.683028501672</v>
      </c>
    </row>
    <row r="3038" spans="1:11" hidden="1" x14ac:dyDescent="0.25">
      <c r="A3038" t="str">
        <f t="shared" si="392"/>
        <v>QuarzoØ1</v>
      </c>
      <c r="B3038" s="81" t="s">
        <v>424</v>
      </c>
      <c r="D3038" s="86">
        <v>1</v>
      </c>
      <c r="E3038" s="85">
        <f t="shared" si="388"/>
        <v>1E-3</v>
      </c>
      <c r="F3038" s="85">
        <f t="shared" si="389"/>
        <v>5.0000000000000001E-4</v>
      </c>
      <c r="G3038" s="85">
        <f t="shared" si="390"/>
        <v>5.2359877559829886E-10</v>
      </c>
      <c r="H3038" s="85">
        <v>2200</v>
      </c>
      <c r="I3038" s="85">
        <f t="shared" si="391"/>
        <v>1.1519173063162576E-6</v>
      </c>
      <c r="J3038" s="87">
        <v>1</v>
      </c>
      <c r="K3038" s="88">
        <f t="shared" si="387"/>
        <v>868117.87141033821</v>
      </c>
    </row>
    <row r="3039" spans="1:11" hidden="1" x14ac:dyDescent="0.25">
      <c r="A3039" t="str">
        <f t="shared" si="392"/>
        <v>SiCØ1</v>
      </c>
      <c r="B3039" s="81" t="s">
        <v>326</v>
      </c>
      <c r="D3039" s="86">
        <v>1</v>
      </c>
      <c r="E3039" s="85">
        <f t="shared" si="388"/>
        <v>1E-3</v>
      </c>
      <c r="F3039" s="85">
        <f t="shared" si="389"/>
        <v>5.0000000000000001E-4</v>
      </c>
      <c r="G3039" s="85">
        <f t="shared" si="390"/>
        <v>5.2359877559829886E-10</v>
      </c>
      <c r="H3039" s="85">
        <v>3150</v>
      </c>
      <c r="I3039" s="85">
        <f t="shared" si="391"/>
        <v>1.6493361431346413E-6</v>
      </c>
      <c r="J3039" s="87">
        <v>1</v>
      </c>
      <c r="K3039" s="88">
        <f t="shared" si="387"/>
        <v>606304.54511198227</v>
      </c>
    </row>
    <row r="3040" spans="1:11" hidden="1" x14ac:dyDescent="0.25">
      <c r="A3040" t="str">
        <f t="shared" si="392"/>
        <v>SiCØ1,5</v>
      </c>
      <c r="B3040" s="81" t="s">
        <v>326</v>
      </c>
      <c r="D3040" s="86">
        <v>1.5</v>
      </c>
      <c r="E3040" s="85">
        <f t="shared" si="388"/>
        <v>1.5E-3</v>
      </c>
      <c r="F3040" s="85">
        <f t="shared" si="389"/>
        <v>7.5000000000000002E-4</v>
      </c>
      <c r="G3040" s="85">
        <f t="shared" si="390"/>
        <v>1.7671458676442585E-9</v>
      </c>
      <c r="H3040" s="85">
        <v>3150</v>
      </c>
      <c r="I3040" s="85">
        <f t="shared" si="391"/>
        <v>5.5665094830794142E-6</v>
      </c>
      <c r="J3040" s="87">
        <v>1</v>
      </c>
      <c r="K3040" s="88">
        <f t="shared" si="387"/>
        <v>179645.79114429106</v>
      </c>
    </row>
    <row r="3041" spans="1:11" hidden="1" x14ac:dyDescent="0.25">
      <c r="A3041" t="str">
        <f t="shared" si="392"/>
        <v>ZrO2Ø2</v>
      </c>
      <c r="B3041" s="81" t="s">
        <v>205</v>
      </c>
      <c r="D3041" s="86">
        <v>2</v>
      </c>
      <c r="E3041" s="85">
        <f t="shared" si="388"/>
        <v>2E-3</v>
      </c>
      <c r="F3041" s="85">
        <f t="shared" si="389"/>
        <v>1E-3</v>
      </c>
      <c r="G3041" s="85">
        <f t="shared" si="390"/>
        <v>4.1887902047863909E-9</v>
      </c>
      <c r="H3041" s="85">
        <v>6000</v>
      </c>
      <c r="I3041" s="85">
        <f t="shared" si="391"/>
        <v>2.5132741228718347E-5</v>
      </c>
      <c r="J3041" s="87">
        <v>1</v>
      </c>
      <c r="K3041" s="88">
        <f t="shared" si="387"/>
        <v>39788.735772973836</v>
      </c>
    </row>
    <row r="3042" spans="1:11" hidden="1" x14ac:dyDescent="0.25">
      <c r="A3042" t="str">
        <f t="shared" si="392"/>
        <v>ZrO2Ø2</v>
      </c>
      <c r="B3042" s="81" t="s">
        <v>205</v>
      </c>
      <c r="D3042" s="86">
        <v>2</v>
      </c>
      <c r="E3042" s="85">
        <f t="shared" si="388"/>
        <v>2E-3</v>
      </c>
      <c r="F3042" s="85">
        <f t="shared" si="389"/>
        <v>1E-3</v>
      </c>
      <c r="G3042" s="85">
        <f t="shared" si="390"/>
        <v>4.1887902047863909E-9</v>
      </c>
      <c r="H3042" s="85">
        <v>6000</v>
      </c>
      <c r="I3042" s="85">
        <f t="shared" si="391"/>
        <v>2.5132741228718347E-5</v>
      </c>
      <c r="J3042" s="87">
        <v>1</v>
      </c>
      <c r="K3042" s="88">
        <f t="shared" si="387"/>
        <v>39788.735772973836</v>
      </c>
    </row>
    <row r="3043" spans="1:11" hidden="1" x14ac:dyDescent="0.25">
      <c r="A3043" t="str">
        <f t="shared" si="392"/>
        <v>ZrO2Ø4</v>
      </c>
      <c r="B3043" s="81" t="s">
        <v>205</v>
      </c>
      <c r="D3043" s="86">
        <v>4</v>
      </c>
      <c r="E3043" s="85">
        <f t="shared" si="388"/>
        <v>4.0000000000000001E-3</v>
      </c>
      <c r="F3043" s="85">
        <f t="shared" si="389"/>
        <v>2E-3</v>
      </c>
      <c r="G3043" s="85">
        <f t="shared" si="390"/>
        <v>3.3510321638291127E-8</v>
      </c>
      <c r="H3043" s="85">
        <v>6000</v>
      </c>
      <c r="I3043" s="85">
        <f t="shared" si="391"/>
        <v>2.0106192982974677E-4</v>
      </c>
      <c r="J3043" s="87">
        <v>1</v>
      </c>
      <c r="K3043" s="88">
        <f t="shared" si="387"/>
        <v>4973.5919716217295</v>
      </c>
    </row>
    <row r="3044" spans="1:11" hidden="1" x14ac:dyDescent="0.25">
      <c r="A3044" t="str">
        <f t="shared" si="392"/>
        <v>ZrO2Ø4</v>
      </c>
      <c r="B3044" s="81" t="s">
        <v>205</v>
      </c>
      <c r="D3044" s="86">
        <v>4</v>
      </c>
      <c r="E3044" s="85">
        <f t="shared" si="388"/>
        <v>4.0000000000000001E-3</v>
      </c>
      <c r="F3044" s="85">
        <f t="shared" si="389"/>
        <v>2E-3</v>
      </c>
      <c r="G3044" s="85">
        <f t="shared" si="390"/>
        <v>3.3510321638291127E-8</v>
      </c>
      <c r="H3044" s="85">
        <v>6000</v>
      </c>
      <c r="I3044" s="85">
        <f t="shared" si="391"/>
        <v>2.0106192982974677E-4</v>
      </c>
      <c r="J3044" s="87">
        <v>1</v>
      </c>
      <c r="K3044" s="88">
        <f t="shared" si="387"/>
        <v>4973.5919716217295</v>
      </c>
    </row>
    <row r="3045" spans="1:11" hidden="1" x14ac:dyDescent="0.25">
      <c r="A3045" t="str">
        <f t="shared" si="392"/>
        <v>SiCØ1,5875</v>
      </c>
      <c r="B3045" s="81" t="s">
        <v>326</v>
      </c>
      <c r="C3045" s="101" t="s">
        <v>246</v>
      </c>
      <c r="D3045" s="86">
        <f>1/16*25.4</f>
        <v>1.5874999999999999</v>
      </c>
      <c r="E3045" s="85">
        <f t="shared" si="388"/>
        <v>1.5874999999999999E-3</v>
      </c>
      <c r="F3045" s="85">
        <f t="shared" si="389"/>
        <v>7.9374999999999997E-4</v>
      </c>
      <c r="G3045" s="85">
        <f t="shared" si="390"/>
        <v>2.0947867788210349E-9</v>
      </c>
      <c r="H3045" s="85">
        <v>3150</v>
      </c>
      <c r="I3045" s="85">
        <f t="shared" si="391"/>
        <v>6.5985783532862602E-6</v>
      </c>
      <c r="J3045" s="87">
        <v>1</v>
      </c>
      <c r="K3045" s="88">
        <f t="shared" si="387"/>
        <v>151547.79506436785</v>
      </c>
    </row>
    <row r="3046" spans="1:11" hidden="1" x14ac:dyDescent="0.25">
      <c r="A3046" t="str">
        <f t="shared" si="392"/>
        <v>NBRØ4,7625</v>
      </c>
      <c r="B3046" s="81" t="s">
        <v>341</v>
      </c>
      <c r="C3046" s="101" t="s">
        <v>248</v>
      </c>
      <c r="D3046" s="86">
        <f>3/16*25.4</f>
        <v>4.7624999999999993</v>
      </c>
      <c r="E3046" s="85">
        <f t="shared" si="388"/>
        <v>4.7624999999999994E-3</v>
      </c>
      <c r="F3046" s="85">
        <f t="shared" si="389"/>
        <v>2.3812499999999997E-3</v>
      </c>
      <c r="G3046" s="85">
        <f t="shared" si="390"/>
        <v>5.6559243028167934E-8</v>
      </c>
      <c r="H3046" s="85">
        <v>1200</v>
      </c>
      <c r="I3046" s="85">
        <f t="shared" si="391"/>
        <v>6.7871091633801514E-5</v>
      </c>
      <c r="J3046" s="87">
        <v>1</v>
      </c>
      <c r="K3046" s="88">
        <f t="shared" si="387"/>
        <v>14733.813409035767</v>
      </c>
    </row>
    <row r="3047" spans="1:11" hidden="1" x14ac:dyDescent="0.25">
      <c r="A3047" t="str">
        <f t="shared" si="392"/>
        <v>PA6.6Ø3,96875</v>
      </c>
      <c r="B3047" s="81" t="s">
        <v>244</v>
      </c>
      <c r="C3047" s="101" t="s">
        <v>215</v>
      </c>
      <c r="D3047" s="86">
        <f>5/32*25.4</f>
        <v>3.96875</v>
      </c>
      <c r="E3047" s="85">
        <f t="shared" si="388"/>
        <v>3.9687500000000001E-3</v>
      </c>
      <c r="F3047" s="85">
        <f t="shared" si="389"/>
        <v>1.984375E-3</v>
      </c>
      <c r="G3047" s="85">
        <f t="shared" si="390"/>
        <v>3.2731043419078684E-8</v>
      </c>
      <c r="H3047" s="85">
        <v>1110</v>
      </c>
      <c r="I3047" s="85">
        <f t="shared" si="391"/>
        <v>3.6331458195177338E-5</v>
      </c>
      <c r="J3047" s="87">
        <v>1</v>
      </c>
      <c r="K3047" s="88">
        <f t="shared" si="387"/>
        <v>27524.356292771663</v>
      </c>
    </row>
    <row r="3048" spans="1:11" hidden="1" x14ac:dyDescent="0.25">
      <c r="A3048" t="str">
        <f t="shared" si="392"/>
        <v>VEBOØ3</v>
      </c>
      <c r="B3048" s="81" t="s">
        <v>329</v>
      </c>
      <c r="D3048" s="86">
        <v>3</v>
      </c>
      <c r="E3048" s="85">
        <f t="shared" si="388"/>
        <v>3.0000000000000001E-3</v>
      </c>
      <c r="F3048" s="85">
        <f t="shared" si="389"/>
        <v>1.5E-3</v>
      </c>
      <c r="G3048" s="85">
        <f t="shared" si="390"/>
        <v>1.4137166941154068E-8</v>
      </c>
      <c r="H3048" s="85">
        <v>2230</v>
      </c>
      <c r="I3048" s="85">
        <f t="shared" si="391"/>
        <v>3.1525882278773573E-5</v>
      </c>
      <c r="J3048" s="87">
        <v>1</v>
      </c>
      <c r="K3048" s="88">
        <f t="shared" si="387"/>
        <v>31719.96872783166</v>
      </c>
    </row>
    <row r="3049" spans="1:11" x14ac:dyDescent="0.25">
      <c r="A3049" t="str">
        <f t="shared" si="392"/>
        <v>1085Ø3,96875</v>
      </c>
      <c r="B3049" s="81">
        <v>1085</v>
      </c>
      <c r="C3049" s="101" t="s">
        <v>215</v>
      </c>
      <c r="D3049" s="86">
        <f>5/32*25.4</f>
        <v>3.96875</v>
      </c>
      <c r="E3049" s="85">
        <f>D3049/1000</f>
        <v>3.9687500000000001E-3</v>
      </c>
      <c r="F3049" s="85">
        <f>E3049/2</f>
        <v>1.984375E-3</v>
      </c>
      <c r="G3049" s="85">
        <f>4/3*PI()*F3049*F3049*F3049</f>
        <v>3.2731043419078684E-8</v>
      </c>
      <c r="H3049" s="85">
        <v>7850</v>
      </c>
      <c r="I3049" s="85">
        <f t="shared" si="391"/>
        <v>2.5693869083976767E-4</v>
      </c>
      <c r="J3049" s="87">
        <v>1</v>
      </c>
      <c r="K3049" s="88">
        <f t="shared" si="387"/>
        <v>3891.9790426721715</v>
      </c>
    </row>
    <row r="3050" spans="1:11" hidden="1" x14ac:dyDescent="0.25">
      <c r="A3050" t="str">
        <f t="shared" si="392"/>
        <v>OttoneØ2,38125</v>
      </c>
      <c r="B3050" s="81" t="s">
        <v>216</v>
      </c>
      <c r="C3050" s="101" t="s">
        <v>213</v>
      </c>
      <c r="D3050" s="86">
        <f>3/32*25.4</f>
        <v>2.3812499999999996</v>
      </c>
      <c r="E3050" s="85">
        <f>D3050/1000</f>
        <v>2.3812499999999997E-3</v>
      </c>
      <c r="F3050" s="85">
        <f>E3050/2</f>
        <v>1.1906249999999998E-3</v>
      </c>
      <c r="G3050" s="85">
        <f>4/3*PI()*F3050*F3050*F3050</f>
        <v>7.0699053785209917E-9</v>
      </c>
      <c r="H3050" s="85">
        <v>8490</v>
      </c>
      <c r="I3050" s="85">
        <f t="shared" si="391"/>
        <v>6.0023496663643221E-5</v>
      </c>
      <c r="J3050" s="87">
        <v>1</v>
      </c>
      <c r="K3050" s="88">
        <f t="shared" si="387"/>
        <v>16660.142370641148</v>
      </c>
    </row>
    <row r="3051" spans="1:11" hidden="1" x14ac:dyDescent="0.25">
      <c r="A3051" t="str">
        <f t="shared" si="392"/>
        <v>OttoneØ2,5</v>
      </c>
      <c r="B3051" s="81" t="s">
        <v>216</v>
      </c>
      <c r="D3051" s="86">
        <v>2.5</v>
      </c>
      <c r="E3051" s="85">
        <f t="shared" ref="E3051:E3085" si="393">D3051/1000</f>
        <v>2.5000000000000001E-3</v>
      </c>
      <c r="F3051" s="85">
        <f t="shared" ref="F3051:F3085" si="394">E3051/2</f>
        <v>1.25E-3</v>
      </c>
      <c r="G3051" s="85">
        <f t="shared" ref="G3051:G3085" si="395">4/3*PI()*F3051*F3051*F3051</f>
        <v>8.181230868723419E-9</v>
      </c>
      <c r="H3051" s="85">
        <v>8490</v>
      </c>
      <c r="I3051" s="85">
        <f t="shared" si="391"/>
        <v>6.9458650075461829E-5</v>
      </c>
      <c r="J3051" s="87">
        <v>1</v>
      </c>
      <c r="K3051" s="88">
        <f t="shared" si="387"/>
        <v>14397.054922800427</v>
      </c>
    </row>
    <row r="3052" spans="1:11" hidden="1" x14ac:dyDescent="0.25">
      <c r="A3052" t="str">
        <f t="shared" si="392"/>
        <v>316LØ0,7</v>
      </c>
      <c r="B3052" s="81" t="s">
        <v>298</v>
      </c>
      <c r="D3052" s="86">
        <v>0.7</v>
      </c>
      <c r="E3052" s="85">
        <f t="shared" si="393"/>
        <v>6.9999999999999999E-4</v>
      </c>
      <c r="F3052" s="85">
        <f t="shared" si="394"/>
        <v>3.5E-4</v>
      </c>
      <c r="G3052" s="85">
        <f t="shared" si="395"/>
        <v>1.7959438003021649E-10</v>
      </c>
      <c r="H3052" s="85">
        <v>7950</v>
      </c>
      <c r="I3052" s="85">
        <f t="shared" si="391"/>
        <v>1.4277753212402211E-6</v>
      </c>
      <c r="J3052" s="87">
        <v>1</v>
      </c>
      <c r="K3052" s="88">
        <f t="shared" si="387"/>
        <v>700390.31010240538</v>
      </c>
    </row>
    <row r="3053" spans="1:11" hidden="1" x14ac:dyDescent="0.25">
      <c r="A3053" t="str">
        <f t="shared" si="392"/>
        <v>52100Ø3,275</v>
      </c>
      <c r="B3053" s="81">
        <v>52100</v>
      </c>
      <c r="D3053" s="86">
        <v>3.2749999999999999</v>
      </c>
      <c r="E3053" s="85">
        <f t="shared" si="393"/>
        <v>3.2749999999999997E-3</v>
      </c>
      <c r="F3053" s="85">
        <f t="shared" si="394"/>
        <v>1.6374999999999998E-3</v>
      </c>
      <c r="G3053" s="85">
        <f t="shared" si="395"/>
        <v>1.8392151484899296E-8</v>
      </c>
      <c r="H3053" s="85">
        <v>7800</v>
      </c>
      <c r="I3053" s="85">
        <f t="shared" si="391"/>
        <v>1.4345878158221451E-4</v>
      </c>
      <c r="J3053" s="87">
        <v>1</v>
      </c>
      <c r="K3053" s="88">
        <f t="shared" si="387"/>
        <v>6970.6433372077117</v>
      </c>
    </row>
    <row r="3054" spans="1:11" hidden="1" x14ac:dyDescent="0.25">
      <c r="A3054" t="str">
        <f t="shared" si="392"/>
        <v>304Ø3,175</v>
      </c>
      <c r="B3054" s="81">
        <v>304</v>
      </c>
      <c r="C3054" s="101" t="s">
        <v>214</v>
      </c>
      <c r="D3054" s="86">
        <f>1/8*25.4</f>
        <v>3.1749999999999998</v>
      </c>
      <c r="E3054" s="85">
        <f t="shared" si="393"/>
        <v>3.1749999999999999E-3</v>
      </c>
      <c r="F3054" s="85">
        <f t="shared" si="394"/>
        <v>1.5874999999999999E-3</v>
      </c>
      <c r="G3054" s="85">
        <f t="shared" si="395"/>
        <v>1.6758294230568279E-8</v>
      </c>
      <c r="H3054" s="85">
        <v>7950</v>
      </c>
      <c r="I3054" s="85">
        <f t="shared" si="391"/>
        <v>1.3322843913301781E-4</v>
      </c>
      <c r="J3054" s="87">
        <v>1</v>
      </c>
      <c r="K3054" s="88">
        <f t="shared" ref="K3054:K3061" si="396">J3054/I3054</f>
        <v>7505.9049442257665</v>
      </c>
    </row>
    <row r="3055" spans="1:11" hidden="1" x14ac:dyDescent="0.25">
      <c r="A3055" t="str">
        <f t="shared" si="392"/>
        <v>PPHØ1,5875</v>
      </c>
      <c r="B3055" s="81" t="s">
        <v>202</v>
      </c>
      <c r="C3055" s="101" t="s">
        <v>246</v>
      </c>
      <c r="D3055" s="86">
        <f>1/16*25.4</f>
        <v>1.5874999999999999</v>
      </c>
      <c r="E3055" s="85">
        <f t="shared" si="393"/>
        <v>1.5874999999999999E-3</v>
      </c>
      <c r="F3055" s="85">
        <f t="shared" si="394"/>
        <v>7.9374999999999997E-4</v>
      </c>
      <c r="G3055" s="85">
        <f t="shared" si="395"/>
        <v>2.0947867788210349E-9</v>
      </c>
      <c r="H3055" s="85">
        <v>870</v>
      </c>
      <c r="I3055" s="85">
        <f t="shared" si="391"/>
        <v>1.8224644975743004E-6</v>
      </c>
      <c r="J3055" s="87">
        <v>1</v>
      </c>
      <c r="K3055" s="88">
        <f t="shared" si="396"/>
        <v>548707.53385374567</v>
      </c>
    </row>
    <row r="3056" spans="1:11" hidden="1" x14ac:dyDescent="0.25">
      <c r="A3056" t="str">
        <f t="shared" si="392"/>
        <v>OttoneØ1</v>
      </c>
      <c r="B3056" s="81" t="s">
        <v>216</v>
      </c>
      <c r="D3056" s="86">
        <v>1</v>
      </c>
      <c r="E3056" s="85">
        <f t="shared" si="393"/>
        <v>1E-3</v>
      </c>
      <c r="F3056" s="85">
        <f t="shared" si="394"/>
        <v>5.0000000000000001E-4</v>
      </c>
      <c r="G3056" s="85">
        <f t="shared" si="395"/>
        <v>5.2359877559829886E-10</v>
      </c>
      <c r="H3056" s="85">
        <v>8490</v>
      </c>
      <c r="I3056" s="85">
        <f t="shared" si="391"/>
        <v>4.4453536048295575E-6</v>
      </c>
      <c r="J3056" s="87">
        <v>1</v>
      </c>
      <c r="K3056" s="88">
        <f t="shared" si="396"/>
        <v>224953.98316875665</v>
      </c>
    </row>
    <row r="3057" spans="1:11" hidden="1" x14ac:dyDescent="0.25">
      <c r="A3057" t="str">
        <f t="shared" si="392"/>
        <v>OttoneØ1,17</v>
      </c>
      <c r="B3057" s="81" t="s">
        <v>216</v>
      </c>
      <c r="D3057" s="86">
        <v>1.17</v>
      </c>
      <c r="E3057" s="85">
        <f t="shared" si="393"/>
        <v>1.17E-3</v>
      </c>
      <c r="F3057" s="85">
        <f t="shared" si="394"/>
        <v>5.8500000000000002E-4</v>
      </c>
      <c r="G3057" s="85">
        <f t="shared" si="395"/>
        <v>8.3860260578231816E-10</v>
      </c>
      <c r="H3057" s="85">
        <v>8490</v>
      </c>
      <c r="I3057" s="85">
        <f t="shared" si="391"/>
        <v>7.1197361230918815E-6</v>
      </c>
      <c r="J3057" s="87">
        <v>1</v>
      </c>
      <c r="K3057" s="88">
        <f t="shared" si="396"/>
        <v>140454.64364285048</v>
      </c>
    </row>
    <row r="3058" spans="1:11" hidden="1" x14ac:dyDescent="0.25">
      <c r="A3058" t="str">
        <f t="shared" si="392"/>
        <v>OttoneØ1,8</v>
      </c>
      <c r="B3058" s="81" t="s">
        <v>216</v>
      </c>
      <c r="D3058" s="86">
        <v>1.8</v>
      </c>
      <c r="E3058" s="85">
        <f t="shared" si="393"/>
        <v>1.8E-3</v>
      </c>
      <c r="F3058" s="85">
        <f t="shared" si="394"/>
        <v>8.9999999999999998E-4</v>
      </c>
      <c r="G3058" s="85">
        <f t="shared" si="395"/>
        <v>3.0536280592892781E-9</v>
      </c>
      <c r="H3058" s="85">
        <v>8490</v>
      </c>
      <c r="I3058" s="85">
        <f t="shared" si="391"/>
        <v>2.5925302223365972E-5</v>
      </c>
      <c r="J3058" s="87">
        <v>1</v>
      </c>
      <c r="K3058" s="88">
        <f t="shared" si="396"/>
        <v>38572.35651041782</v>
      </c>
    </row>
    <row r="3059" spans="1:11" hidden="1" x14ac:dyDescent="0.25">
      <c r="A3059" t="str">
        <f t="shared" si="392"/>
        <v>WC-CoØ1,1</v>
      </c>
      <c r="B3059" s="81" t="s">
        <v>297</v>
      </c>
      <c r="D3059" s="86">
        <v>1.1000000000000001</v>
      </c>
      <c r="E3059" s="85">
        <f t="shared" si="393"/>
        <v>1.1000000000000001E-3</v>
      </c>
      <c r="F3059" s="85">
        <f t="shared" si="394"/>
        <v>5.5000000000000003E-4</v>
      </c>
      <c r="G3059" s="85">
        <f t="shared" si="395"/>
        <v>6.9690997032133588E-10</v>
      </c>
      <c r="H3059" s="85">
        <v>14950</v>
      </c>
      <c r="I3059" s="85">
        <f t="shared" si="391"/>
        <v>1.0418804056303971E-5</v>
      </c>
      <c r="J3059" s="87">
        <v>1</v>
      </c>
      <c r="K3059" s="88">
        <f t="shared" si="396"/>
        <v>95980.305858131862</v>
      </c>
    </row>
    <row r="3060" spans="1:11" hidden="1" x14ac:dyDescent="0.25">
      <c r="A3060" t="str">
        <f t="shared" si="392"/>
        <v>Alluminio vuotoØ9,525</v>
      </c>
      <c r="B3060" s="81" t="s">
        <v>425</v>
      </c>
      <c r="C3060" s="101" t="s">
        <v>254</v>
      </c>
      <c r="D3060" s="86">
        <f>3/8*25.4</f>
        <v>9.5249999999999986</v>
      </c>
      <c r="E3060" s="85">
        <f t="shared" si="393"/>
        <v>9.5249999999999987E-3</v>
      </c>
      <c r="F3060" s="85">
        <f t="shared" si="394"/>
        <v>4.7624999999999994E-3</v>
      </c>
      <c r="G3060" s="85">
        <f t="shared" si="395"/>
        <v>4.5247394422534347E-7</v>
      </c>
      <c r="H3060" s="85">
        <v>1350</v>
      </c>
      <c r="I3060" s="85">
        <f t="shared" si="391"/>
        <v>6.1083982470421373E-4</v>
      </c>
      <c r="J3060" s="87">
        <v>1</v>
      </c>
      <c r="K3060" s="88">
        <f t="shared" si="396"/>
        <v>1637.0903787817515</v>
      </c>
    </row>
    <row r="3061" spans="1:11" hidden="1" x14ac:dyDescent="0.25">
      <c r="A3061" t="str">
        <f t="shared" si="392"/>
        <v>POMØ2</v>
      </c>
      <c r="B3061" s="81" t="s">
        <v>201</v>
      </c>
      <c r="D3061" s="86">
        <v>2</v>
      </c>
      <c r="E3061" s="85">
        <f t="shared" si="393"/>
        <v>2E-3</v>
      </c>
      <c r="F3061" s="85">
        <f t="shared" si="394"/>
        <v>1E-3</v>
      </c>
      <c r="G3061" s="85">
        <f t="shared" si="395"/>
        <v>4.1887902047863909E-9</v>
      </c>
      <c r="H3061" s="85">
        <v>1370</v>
      </c>
      <c r="I3061" s="85">
        <f t="shared" si="391"/>
        <v>5.7386425805573556E-6</v>
      </c>
      <c r="J3061" s="87">
        <v>1</v>
      </c>
      <c r="K3061" s="88">
        <f t="shared" si="396"/>
        <v>174257.23696192921</v>
      </c>
    </row>
    <row r="3062" spans="1:11" hidden="1" x14ac:dyDescent="0.25">
      <c r="A3062" t="str">
        <f t="shared" si="392"/>
        <v>52100Ø10,4</v>
      </c>
      <c r="B3062" s="81">
        <v>52100</v>
      </c>
      <c r="D3062" s="86">
        <v>10.4</v>
      </c>
      <c r="E3062" s="85">
        <f t="shared" si="393"/>
        <v>1.04E-2</v>
      </c>
      <c r="F3062" s="85">
        <f t="shared" si="394"/>
        <v>5.1999999999999998E-3</v>
      </c>
      <c r="G3062" s="85">
        <f t="shared" si="395"/>
        <v>5.8897741311460473E-7</v>
      </c>
      <c r="H3062" s="85">
        <v>7800</v>
      </c>
      <c r="I3062" s="85">
        <f t="shared" si="391"/>
        <v>4.594023822293917E-3</v>
      </c>
      <c r="J3062" s="87">
        <v>1</v>
      </c>
      <c r="K3062" s="88">
        <f>J3062/I3062</f>
        <v>217.67409980487949</v>
      </c>
    </row>
    <row r="3063" spans="1:11" hidden="1" x14ac:dyDescent="0.25">
      <c r="A3063" t="str">
        <f t="shared" si="392"/>
        <v>OttoneØ1</v>
      </c>
      <c r="B3063" s="81" t="s">
        <v>216</v>
      </c>
      <c r="D3063" s="86">
        <v>1</v>
      </c>
      <c r="E3063" s="85">
        <f t="shared" si="393"/>
        <v>1E-3</v>
      </c>
      <c r="F3063" s="85">
        <f t="shared" si="394"/>
        <v>5.0000000000000001E-4</v>
      </c>
      <c r="G3063" s="85">
        <f t="shared" si="395"/>
        <v>5.2359877559829886E-10</v>
      </c>
      <c r="H3063" s="85">
        <v>8490</v>
      </c>
      <c r="I3063" s="85">
        <f t="shared" si="391"/>
        <v>4.4453536048295575E-6</v>
      </c>
      <c r="J3063" s="87">
        <v>1</v>
      </c>
      <c r="K3063" s="88">
        <f>J3063/I3063</f>
        <v>224953.98316875665</v>
      </c>
    </row>
    <row r="3064" spans="1:11" hidden="1" x14ac:dyDescent="0.25">
      <c r="A3064" t="str">
        <f t="shared" si="392"/>
        <v>Alluminio serie 2Ø1</v>
      </c>
      <c r="B3064" s="81" t="s">
        <v>323</v>
      </c>
      <c r="D3064" s="86">
        <v>1</v>
      </c>
      <c r="E3064" s="85">
        <f t="shared" si="393"/>
        <v>1E-3</v>
      </c>
      <c r="F3064" s="85">
        <f t="shared" si="394"/>
        <v>5.0000000000000001E-4</v>
      </c>
      <c r="G3064" s="85">
        <f t="shared" si="395"/>
        <v>5.2359877559829886E-10</v>
      </c>
      <c r="H3064" s="85">
        <v>2780</v>
      </c>
      <c r="I3064" s="85">
        <f t="shared" si="391"/>
        <v>1.4556045961632709E-6</v>
      </c>
      <c r="J3064" s="87">
        <v>1</v>
      </c>
      <c r="K3064" s="88">
        <f>J3064/I3064</f>
        <v>686999.75435350498</v>
      </c>
    </row>
    <row r="3065" spans="1:11" hidden="1" x14ac:dyDescent="0.25">
      <c r="A3065" t="str">
        <f t="shared" si="392"/>
        <v>Bronzo AlluminioØ38,1</v>
      </c>
      <c r="B3065" s="81" t="s">
        <v>348</v>
      </c>
      <c r="C3065" s="101" t="s">
        <v>283</v>
      </c>
      <c r="D3065" s="86">
        <f>25.4+1/2*25.4</f>
        <v>38.099999999999994</v>
      </c>
      <c r="E3065" s="85">
        <f t="shared" si="393"/>
        <v>3.8099999999999995E-2</v>
      </c>
      <c r="F3065" s="85">
        <f t="shared" si="394"/>
        <v>1.9049999999999997E-2</v>
      </c>
      <c r="G3065" s="85">
        <f t="shared" si="395"/>
        <v>2.8958332430421982E-5</v>
      </c>
      <c r="H3065" s="85">
        <v>7660</v>
      </c>
      <c r="I3065" s="85">
        <f t="shared" ref="I3065:I3085" si="397">H3065*G3065</f>
        <v>0.22182082641703238</v>
      </c>
      <c r="J3065" s="87">
        <v>1</v>
      </c>
      <c r="K3065" s="88">
        <f>J3065/I3065</f>
        <v>4.5081429735545138</v>
      </c>
    </row>
    <row r="3066" spans="1:11" hidden="1" x14ac:dyDescent="0.25">
      <c r="A3066" t="str">
        <f t="shared" si="392"/>
        <v>Bronzo AlluminioØ44,45</v>
      </c>
      <c r="B3066" s="81" t="s">
        <v>348</v>
      </c>
      <c r="C3066" s="101" t="s">
        <v>287</v>
      </c>
      <c r="D3066" s="86">
        <f>25.4+3/4*25.4</f>
        <v>44.449999999999996</v>
      </c>
      <c r="E3066" s="85">
        <f t="shared" si="393"/>
        <v>4.4449999999999996E-2</v>
      </c>
      <c r="F3066" s="85">
        <f t="shared" si="394"/>
        <v>2.2224999999999998E-2</v>
      </c>
      <c r="G3066" s="85">
        <f t="shared" si="395"/>
        <v>4.5984759368679359E-5</v>
      </c>
      <c r="H3066" s="85">
        <v>7660</v>
      </c>
      <c r="I3066" s="85">
        <f t="shared" si="397"/>
        <v>0.35224325676408391</v>
      </c>
      <c r="J3066" s="87">
        <v>1</v>
      </c>
      <c r="K3066" s="88">
        <f t="shared" ref="K3066:K3085" si="398">J3066/I3066</f>
        <v>2.838947178681559</v>
      </c>
    </row>
    <row r="3067" spans="1:11" hidden="1" x14ac:dyDescent="0.25">
      <c r="A3067" t="str">
        <f t="shared" si="392"/>
        <v>POMØ1,5</v>
      </c>
      <c r="B3067" s="81" t="s">
        <v>201</v>
      </c>
      <c r="D3067" s="86">
        <v>1.5</v>
      </c>
      <c r="E3067" s="85">
        <f t="shared" si="393"/>
        <v>1.5E-3</v>
      </c>
      <c r="F3067" s="85">
        <f t="shared" si="394"/>
        <v>7.5000000000000002E-4</v>
      </c>
      <c r="G3067" s="85">
        <f t="shared" si="395"/>
        <v>1.7671458676442585E-9</v>
      </c>
      <c r="H3067" s="85">
        <v>1370</v>
      </c>
      <c r="I3067" s="85">
        <f t="shared" si="397"/>
        <v>2.4209898386726343E-6</v>
      </c>
      <c r="J3067" s="87">
        <v>1</v>
      </c>
      <c r="K3067" s="88">
        <f t="shared" si="398"/>
        <v>413054.1913171655</v>
      </c>
    </row>
    <row r="3068" spans="1:11" hidden="1" x14ac:dyDescent="0.25">
      <c r="A3068" t="str">
        <f t="shared" si="392"/>
        <v>POMØ2</v>
      </c>
      <c r="B3068" s="81" t="s">
        <v>201</v>
      </c>
      <c r="D3068" s="86">
        <v>2</v>
      </c>
      <c r="E3068" s="85">
        <f t="shared" si="393"/>
        <v>2E-3</v>
      </c>
      <c r="F3068" s="85">
        <f t="shared" si="394"/>
        <v>1E-3</v>
      </c>
      <c r="G3068" s="85">
        <f t="shared" si="395"/>
        <v>4.1887902047863909E-9</v>
      </c>
      <c r="H3068" s="85">
        <v>1370</v>
      </c>
      <c r="I3068" s="85">
        <f t="shared" si="397"/>
        <v>5.7386425805573556E-6</v>
      </c>
      <c r="J3068" s="87">
        <v>1</v>
      </c>
      <c r="K3068" s="88">
        <f t="shared" si="398"/>
        <v>174257.23696192921</v>
      </c>
    </row>
    <row r="3069" spans="1:11" hidden="1" x14ac:dyDescent="0.25">
      <c r="A3069" t="str">
        <f t="shared" si="392"/>
        <v>POMØ2,5</v>
      </c>
      <c r="B3069" s="81" t="s">
        <v>201</v>
      </c>
      <c r="D3069" s="86">
        <v>2.5</v>
      </c>
      <c r="E3069" s="85">
        <f t="shared" si="393"/>
        <v>2.5000000000000001E-3</v>
      </c>
      <c r="F3069" s="85">
        <f t="shared" si="394"/>
        <v>1.25E-3</v>
      </c>
      <c r="G3069" s="85">
        <f t="shared" si="395"/>
        <v>8.181230868723419E-9</v>
      </c>
      <c r="H3069" s="85">
        <v>1370</v>
      </c>
      <c r="I3069" s="85">
        <f t="shared" si="397"/>
        <v>1.1208286290151084E-5</v>
      </c>
      <c r="J3069" s="87">
        <v>1</v>
      </c>
      <c r="K3069" s="88">
        <f t="shared" si="398"/>
        <v>89219.705324507755</v>
      </c>
    </row>
    <row r="3070" spans="1:11" hidden="1" x14ac:dyDescent="0.25">
      <c r="A3070" t="str">
        <f t="shared" si="392"/>
        <v>52100Ø3,275</v>
      </c>
      <c r="B3070" s="81">
        <v>52100</v>
      </c>
      <c r="D3070" s="86">
        <v>3.2749999999999999</v>
      </c>
      <c r="E3070" s="85">
        <f t="shared" si="393"/>
        <v>3.2749999999999997E-3</v>
      </c>
      <c r="F3070" s="85">
        <f t="shared" si="394"/>
        <v>1.6374999999999998E-3</v>
      </c>
      <c r="G3070" s="85">
        <f t="shared" si="395"/>
        <v>1.8392151484899296E-8</v>
      </c>
      <c r="H3070" s="85">
        <v>7800</v>
      </c>
      <c r="I3070" s="85">
        <f t="shared" si="397"/>
        <v>1.4345878158221451E-4</v>
      </c>
      <c r="J3070" s="87">
        <v>1</v>
      </c>
      <c r="K3070" s="88">
        <f t="shared" si="398"/>
        <v>6970.6433372077117</v>
      </c>
    </row>
    <row r="3071" spans="1:11" hidden="1" x14ac:dyDescent="0.25">
      <c r="A3071" t="str">
        <f t="shared" si="392"/>
        <v>420CØ3</v>
      </c>
      <c r="B3071" s="81" t="s">
        <v>295</v>
      </c>
      <c r="D3071" s="86">
        <v>3</v>
      </c>
      <c r="E3071" s="85">
        <f t="shared" si="393"/>
        <v>3.0000000000000001E-3</v>
      </c>
      <c r="F3071" s="85">
        <f t="shared" si="394"/>
        <v>1.5E-3</v>
      </c>
      <c r="G3071" s="85">
        <f t="shared" si="395"/>
        <v>1.4137166941154068E-8</v>
      </c>
      <c r="H3071" s="85">
        <v>7750</v>
      </c>
      <c r="I3071" s="85">
        <f t="shared" si="397"/>
        <v>1.0956304379394402E-4</v>
      </c>
      <c r="J3071" s="87">
        <v>1</v>
      </c>
      <c r="K3071" s="88">
        <f t="shared" si="398"/>
        <v>9127.1651952341417</v>
      </c>
    </row>
    <row r="3072" spans="1:11" hidden="1" x14ac:dyDescent="0.25">
      <c r="A3072" t="str">
        <f t="shared" si="392"/>
        <v>420CØ3,5</v>
      </c>
      <c r="B3072" s="81" t="s">
        <v>295</v>
      </c>
      <c r="D3072" s="86">
        <v>3.5</v>
      </c>
      <c r="E3072" s="85">
        <f t="shared" si="393"/>
        <v>3.5000000000000001E-3</v>
      </c>
      <c r="F3072" s="85">
        <f t="shared" si="394"/>
        <v>1.75E-3</v>
      </c>
      <c r="G3072" s="85">
        <f t="shared" si="395"/>
        <v>2.2449297503777064E-8</v>
      </c>
      <c r="H3072" s="85">
        <v>7750</v>
      </c>
      <c r="I3072" s="85">
        <f t="shared" si="397"/>
        <v>1.7398205565427225E-4</v>
      </c>
      <c r="J3072" s="87">
        <v>1</v>
      </c>
      <c r="K3072" s="88">
        <f t="shared" si="398"/>
        <v>5747.7191900016751</v>
      </c>
    </row>
    <row r="3073" spans="1:11" hidden="1" x14ac:dyDescent="0.25">
      <c r="A3073" t="str">
        <f t="shared" si="392"/>
        <v>420CØ3,96875</v>
      </c>
      <c r="B3073" s="81" t="s">
        <v>295</v>
      </c>
      <c r="C3073" s="101" t="s">
        <v>215</v>
      </c>
      <c r="D3073" s="86">
        <f>5/32*25.4</f>
        <v>3.96875</v>
      </c>
      <c r="E3073" s="85">
        <f t="shared" si="393"/>
        <v>3.9687500000000001E-3</v>
      </c>
      <c r="F3073" s="85">
        <f t="shared" si="394"/>
        <v>1.984375E-3</v>
      </c>
      <c r="G3073" s="85">
        <f t="shared" si="395"/>
        <v>3.2731043419078684E-8</v>
      </c>
      <c r="H3073" s="85">
        <v>7750</v>
      </c>
      <c r="I3073" s="85">
        <f t="shared" si="397"/>
        <v>2.536655864978598E-4</v>
      </c>
      <c r="J3073" s="87">
        <v>1</v>
      </c>
      <c r="K3073" s="88">
        <f t="shared" si="398"/>
        <v>3942.1981270937476</v>
      </c>
    </row>
    <row r="3074" spans="1:11" hidden="1" x14ac:dyDescent="0.25">
      <c r="A3074" t="str">
        <f t="shared" si="392"/>
        <v>NBRØ3,175</v>
      </c>
      <c r="B3074" s="81" t="s">
        <v>341</v>
      </c>
      <c r="C3074" s="101" t="s">
        <v>214</v>
      </c>
      <c r="D3074" s="86">
        <f>1/8*25.4</f>
        <v>3.1749999999999998</v>
      </c>
      <c r="E3074" s="85">
        <f t="shared" si="393"/>
        <v>3.1749999999999999E-3</v>
      </c>
      <c r="F3074" s="85">
        <f t="shared" si="394"/>
        <v>1.5874999999999999E-3</v>
      </c>
      <c r="G3074" s="85">
        <f t="shared" si="395"/>
        <v>1.6758294230568279E-8</v>
      </c>
      <c r="H3074" s="85">
        <v>1450</v>
      </c>
      <c r="I3074" s="85">
        <f t="shared" si="397"/>
        <v>2.4299526634324005E-5</v>
      </c>
      <c r="J3074" s="87">
        <v>1</v>
      </c>
      <c r="K3074" s="88">
        <f t="shared" si="398"/>
        <v>41153.065039030924</v>
      </c>
    </row>
    <row r="3075" spans="1:11" hidden="1" x14ac:dyDescent="0.25">
      <c r="A3075" t="str">
        <f t="shared" si="392"/>
        <v>PPHØ1,5875</v>
      </c>
      <c r="B3075" s="81" t="s">
        <v>202</v>
      </c>
      <c r="C3075" s="101" t="s">
        <v>246</v>
      </c>
      <c r="D3075" s="86">
        <f>1/16*25.4</f>
        <v>1.5874999999999999</v>
      </c>
      <c r="E3075" s="85">
        <f t="shared" si="393"/>
        <v>1.5874999999999999E-3</v>
      </c>
      <c r="F3075" s="85">
        <f t="shared" si="394"/>
        <v>7.9374999999999997E-4</v>
      </c>
      <c r="G3075" s="85">
        <f t="shared" si="395"/>
        <v>2.0947867788210349E-9</v>
      </c>
      <c r="H3075" s="85">
        <v>870</v>
      </c>
      <c r="I3075" s="85">
        <f t="shared" si="397"/>
        <v>1.8224644975743004E-6</v>
      </c>
      <c r="J3075" s="87">
        <v>1</v>
      </c>
      <c r="K3075" s="88">
        <f t="shared" si="398"/>
        <v>548707.53385374567</v>
      </c>
    </row>
    <row r="3076" spans="1:11" hidden="1" x14ac:dyDescent="0.25">
      <c r="A3076" t="str">
        <f t="shared" ref="A3076:A3139" si="399">CONCATENATE(B3076,"Ø",D3076)</f>
        <v>PPHØ1,5</v>
      </c>
      <c r="B3076" s="81" t="s">
        <v>202</v>
      </c>
      <c r="D3076" s="86">
        <v>1.5</v>
      </c>
      <c r="E3076" s="85">
        <f t="shared" si="393"/>
        <v>1.5E-3</v>
      </c>
      <c r="F3076" s="85">
        <f t="shared" si="394"/>
        <v>7.5000000000000002E-4</v>
      </c>
      <c r="G3076" s="85">
        <f t="shared" si="395"/>
        <v>1.7671458676442585E-9</v>
      </c>
      <c r="H3076" s="85">
        <v>870</v>
      </c>
      <c r="I3076" s="85">
        <f t="shared" si="397"/>
        <v>1.5374169048505049E-6</v>
      </c>
      <c r="J3076" s="87">
        <v>1</v>
      </c>
      <c r="K3076" s="88">
        <f t="shared" si="398"/>
        <v>650441.65759139857</v>
      </c>
    </row>
    <row r="3077" spans="1:11" hidden="1" x14ac:dyDescent="0.25">
      <c r="A3077" t="str">
        <f t="shared" si="399"/>
        <v>PPHØ3</v>
      </c>
      <c r="B3077" s="81" t="s">
        <v>202</v>
      </c>
      <c r="D3077" s="86">
        <v>3</v>
      </c>
      <c r="E3077" s="85">
        <f t="shared" si="393"/>
        <v>3.0000000000000001E-3</v>
      </c>
      <c r="F3077" s="85">
        <f t="shared" si="394"/>
        <v>1.5E-3</v>
      </c>
      <c r="G3077" s="85">
        <f t="shared" si="395"/>
        <v>1.4137166941154068E-8</v>
      </c>
      <c r="H3077" s="85">
        <v>870</v>
      </c>
      <c r="I3077" s="85">
        <f t="shared" si="397"/>
        <v>1.229933523880404E-5</v>
      </c>
      <c r="J3077" s="87">
        <v>1</v>
      </c>
      <c r="K3077" s="88">
        <f t="shared" si="398"/>
        <v>81305.207198924822</v>
      </c>
    </row>
    <row r="3078" spans="1:11" hidden="1" x14ac:dyDescent="0.25">
      <c r="A3078" t="str">
        <f t="shared" si="399"/>
        <v>PPHØ6</v>
      </c>
      <c r="B3078" s="81" t="s">
        <v>202</v>
      </c>
      <c r="D3078" s="86">
        <v>6</v>
      </c>
      <c r="E3078" s="85">
        <f t="shared" si="393"/>
        <v>6.0000000000000001E-3</v>
      </c>
      <c r="F3078" s="85">
        <f t="shared" si="394"/>
        <v>3.0000000000000001E-3</v>
      </c>
      <c r="G3078" s="85">
        <f t="shared" si="395"/>
        <v>1.1309733552923255E-7</v>
      </c>
      <c r="H3078" s="85">
        <v>870</v>
      </c>
      <c r="I3078" s="85">
        <f t="shared" si="397"/>
        <v>9.8394681910432316E-5</v>
      </c>
      <c r="J3078" s="87">
        <v>1</v>
      </c>
      <c r="K3078" s="88">
        <f t="shared" si="398"/>
        <v>10163.150899865603</v>
      </c>
    </row>
    <row r="3079" spans="1:11" hidden="1" x14ac:dyDescent="0.25">
      <c r="A3079" t="str">
        <f t="shared" si="399"/>
        <v>VEBOØ1,5</v>
      </c>
      <c r="B3079" s="81" t="s">
        <v>329</v>
      </c>
      <c r="D3079" s="86">
        <v>1.5</v>
      </c>
      <c r="E3079" s="85">
        <f t="shared" si="393"/>
        <v>1.5E-3</v>
      </c>
      <c r="F3079" s="85">
        <f t="shared" si="394"/>
        <v>7.5000000000000002E-4</v>
      </c>
      <c r="G3079" s="85">
        <f t="shared" si="395"/>
        <v>1.7671458676442585E-9</v>
      </c>
      <c r="H3079" s="85">
        <v>2230</v>
      </c>
      <c r="I3079" s="85">
        <f t="shared" si="397"/>
        <v>3.9407352848466966E-6</v>
      </c>
      <c r="J3079" s="87">
        <v>1</v>
      </c>
      <c r="K3079" s="88">
        <f t="shared" si="398"/>
        <v>253759.74982265328</v>
      </c>
    </row>
    <row r="3080" spans="1:11" hidden="1" x14ac:dyDescent="0.25">
      <c r="A3080" t="str">
        <f t="shared" si="399"/>
        <v>VEBOØ3</v>
      </c>
      <c r="B3080" s="81" t="s">
        <v>329</v>
      </c>
      <c r="D3080" s="86">
        <v>3</v>
      </c>
      <c r="E3080" s="85">
        <f t="shared" si="393"/>
        <v>3.0000000000000001E-3</v>
      </c>
      <c r="F3080" s="85">
        <f t="shared" si="394"/>
        <v>1.5E-3</v>
      </c>
      <c r="G3080" s="85">
        <f t="shared" si="395"/>
        <v>1.4137166941154068E-8</v>
      </c>
      <c r="H3080" s="85">
        <v>2230</v>
      </c>
      <c r="I3080" s="85">
        <f t="shared" si="397"/>
        <v>3.1525882278773573E-5</v>
      </c>
      <c r="J3080" s="87">
        <v>1</v>
      </c>
      <c r="K3080" s="88">
        <f t="shared" si="398"/>
        <v>31719.96872783166</v>
      </c>
    </row>
    <row r="3081" spans="1:11" hidden="1" x14ac:dyDescent="0.25">
      <c r="A3081" t="str">
        <f t="shared" si="399"/>
        <v>52100Ø26,194</v>
      </c>
      <c r="B3081" s="81">
        <v>52100</v>
      </c>
      <c r="D3081" s="86">
        <v>26.193999999999999</v>
      </c>
      <c r="E3081" s="85">
        <f t="shared" si="393"/>
        <v>2.6193999999999999E-2</v>
      </c>
      <c r="F3081" s="85">
        <f t="shared" si="394"/>
        <v>1.3096999999999999E-2</v>
      </c>
      <c r="G3081" s="85">
        <f t="shared" si="395"/>
        <v>9.410313497147048E-6</v>
      </c>
      <c r="H3081" s="85">
        <v>7800</v>
      </c>
      <c r="I3081" s="85">
        <f t="shared" si="397"/>
        <v>7.3400445277746973E-2</v>
      </c>
      <c r="J3081" s="87">
        <v>1</v>
      </c>
      <c r="K3081" s="88">
        <f t="shared" si="398"/>
        <v>13.623895552894867</v>
      </c>
    </row>
    <row r="3082" spans="1:11" hidden="1" x14ac:dyDescent="0.25">
      <c r="A3082" t="str">
        <f t="shared" si="399"/>
        <v>Vetro NeroØ1</v>
      </c>
      <c r="B3082" s="81" t="s">
        <v>369</v>
      </c>
      <c r="D3082" s="86">
        <v>1</v>
      </c>
      <c r="E3082" s="85">
        <f t="shared" si="393"/>
        <v>1E-3</v>
      </c>
      <c r="F3082" s="85">
        <f t="shared" si="394"/>
        <v>5.0000000000000001E-4</v>
      </c>
      <c r="G3082" s="85">
        <f t="shared" si="395"/>
        <v>5.2359877559829886E-10</v>
      </c>
      <c r="H3082" s="85">
        <v>2550</v>
      </c>
      <c r="I3082" s="85">
        <f t="shared" si="397"/>
        <v>1.3351768777756622E-6</v>
      </c>
      <c r="J3082" s="87">
        <v>1</v>
      </c>
      <c r="K3082" s="88">
        <f t="shared" si="398"/>
        <v>748964.43807950744</v>
      </c>
    </row>
    <row r="3083" spans="1:11" hidden="1" x14ac:dyDescent="0.25">
      <c r="A3083" t="str">
        <f t="shared" si="399"/>
        <v>Vetro NeroØ2</v>
      </c>
      <c r="B3083" s="81" t="s">
        <v>369</v>
      </c>
      <c r="D3083" s="86">
        <v>2</v>
      </c>
      <c r="E3083" s="85">
        <f t="shared" si="393"/>
        <v>2E-3</v>
      </c>
      <c r="F3083" s="85">
        <f t="shared" si="394"/>
        <v>1E-3</v>
      </c>
      <c r="G3083" s="85">
        <f t="shared" si="395"/>
        <v>4.1887902047863909E-9</v>
      </c>
      <c r="H3083" s="85">
        <v>2550</v>
      </c>
      <c r="I3083" s="85">
        <f t="shared" si="397"/>
        <v>1.0681415022205297E-5</v>
      </c>
      <c r="J3083" s="87">
        <v>1</v>
      </c>
      <c r="K3083" s="88">
        <f t="shared" si="398"/>
        <v>93620.55475993843</v>
      </c>
    </row>
    <row r="3084" spans="1:11" hidden="1" x14ac:dyDescent="0.25">
      <c r="A3084" t="str">
        <f t="shared" si="399"/>
        <v>VESCØ10</v>
      </c>
      <c r="B3084" s="81" t="s">
        <v>210</v>
      </c>
      <c r="D3084" s="86">
        <v>10</v>
      </c>
      <c r="E3084" s="85">
        <f t="shared" si="393"/>
        <v>0.01</v>
      </c>
      <c r="F3084" s="85">
        <f t="shared" si="394"/>
        <v>5.0000000000000001E-3</v>
      </c>
      <c r="G3084" s="85">
        <f t="shared" si="395"/>
        <v>5.2359877559829882E-7</v>
      </c>
      <c r="H3084" s="85">
        <v>2500</v>
      </c>
      <c r="I3084" s="85">
        <f t="shared" si="397"/>
        <v>1.308996938995747E-3</v>
      </c>
      <c r="J3084" s="87">
        <v>1</v>
      </c>
      <c r="K3084" s="88">
        <f t="shared" si="398"/>
        <v>763.94372684109771</v>
      </c>
    </row>
    <row r="3085" spans="1:11" hidden="1" x14ac:dyDescent="0.25">
      <c r="A3085" t="str">
        <f t="shared" si="399"/>
        <v>POMØ1</v>
      </c>
      <c r="B3085" s="81" t="s">
        <v>201</v>
      </c>
      <c r="D3085" s="86">
        <v>1</v>
      </c>
      <c r="E3085" s="85">
        <f t="shared" si="393"/>
        <v>1E-3</v>
      </c>
      <c r="F3085" s="85">
        <f t="shared" si="394"/>
        <v>5.0000000000000001E-4</v>
      </c>
      <c r="G3085" s="85">
        <f t="shared" si="395"/>
        <v>5.2359877559829886E-10</v>
      </c>
      <c r="H3085" s="85">
        <v>1370</v>
      </c>
      <c r="I3085" s="85">
        <f t="shared" si="397"/>
        <v>7.1733032256966945E-7</v>
      </c>
      <c r="J3085" s="87">
        <v>1</v>
      </c>
      <c r="K3085" s="88">
        <f t="shared" si="398"/>
        <v>1394057.8956954337</v>
      </c>
    </row>
    <row r="3086" spans="1:11" hidden="1" x14ac:dyDescent="0.25">
      <c r="A3086" t="str">
        <f t="shared" si="399"/>
        <v>POMØ1</v>
      </c>
      <c r="B3086" s="81" t="s">
        <v>201</v>
      </c>
      <c r="D3086" s="86">
        <v>1</v>
      </c>
      <c r="E3086" s="85">
        <f>D3086/1000</f>
        <v>1E-3</v>
      </c>
      <c r="F3086" s="85">
        <f>E3086/2</f>
        <v>5.0000000000000001E-4</v>
      </c>
      <c r="G3086" s="85">
        <f>4/3*PI()*F3086*F3086*F3086</f>
        <v>5.2359877559829886E-10</v>
      </c>
      <c r="H3086" s="85">
        <v>1370</v>
      </c>
      <c r="I3086" s="85">
        <f>H3086*G3086</f>
        <v>7.1733032256966945E-7</v>
      </c>
      <c r="J3086" s="87">
        <v>1</v>
      </c>
      <c r="K3086" s="88">
        <f>J3086/I3086</f>
        <v>1394057.8956954337</v>
      </c>
    </row>
    <row r="3087" spans="1:11" hidden="1" x14ac:dyDescent="0.25">
      <c r="A3087" t="str">
        <f t="shared" si="399"/>
        <v>POMØ1</v>
      </c>
      <c r="B3087" s="81" t="s">
        <v>201</v>
      </c>
      <c r="D3087" s="86">
        <v>1</v>
      </c>
      <c r="E3087" s="85">
        <f t="shared" ref="E3087:E3104" si="400">D3087/1000</f>
        <v>1E-3</v>
      </c>
      <c r="F3087" s="85">
        <f t="shared" ref="F3087:F3104" si="401">E3087/2</f>
        <v>5.0000000000000001E-4</v>
      </c>
      <c r="G3087" s="85">
        <f t="shared" ref="G3087:G3104" si="402">4/3*PI()*F3087*F3087*F3087</f>
        <v>5.2359877559829886E-10</v>
      </c>
      <c r="H3087" s="85">
        <v>1370</v>
      </c>
      <c r="I3087" s="85">
        <f t="shared" ref="I3087:I3104" si="403">H3087*G3087</f>
        <v>7.1733032256966945E-7</v>
      </c>
      <c r="J3087" s="87">
        <v>1</v>
      </c>
      <c r="K3087" s="88">
        <f t="shared" ref="K3087:K3104" si="404">J3087/I3087</f>
        <v>1394057.8956954337</v>
      </c>
    </row>
    <row r="3088" spans="1:11" hidden="1" x14ac:dyDescent="0.25">
      <c r="A3088" t="str">
        <f t="shared" si="399"/>
        <v>PPHØ1</v>
      </c>
      <c r="B3088" s="81" t="s">
        <v>202</v>
      </c>
      <c r="D3088" s="86">
        <v>1</v>
      </c>
      <c r="E3088" s="85">
        <f t="shared" si="400"/>
        <v>1E-3</v>
      </c>
      <c r="F3088" s="85">
        <f t="shared" si="401"/>
        <v>5.0000000000000001E-4</v>
      </c>
      <c r="G3088" s="85">
        <f t="shared" si="402"/>
        <v>5.2359877559829886E-10</v>
      </c>
      <c r="H3088" s="85">
        <v>870</v>
      </c>
      <c r="I3088" s="85">
        <f t="shared" si="403"/>
        <v>4.5553093477051999E-7</v>
      </c>
      <c r="J3088" s="87">
        <v>1</v>
      </c>
      <c r="K3088" s="88">
        <f t="shared" si="404"/>
        <v>2195240.5943709705</v>
      </c>
    </row>
    <row r="3089" spans="1:11" hidden="1" x14ac:dyDescent="0.25">
      <c r="A3089" t="str">
        <f t="shared" si="399"/>
        <v>PPHØ1</v>
      </c>
      <c r="B3089" s="81" t="s">
        <v>202</v>
      </c>
      <c r="D3089" s="86">
        <v>1</v>
      </c>
      <c r="E3089" s="85">
        <f t="shared" si="400"/>
        <v>1E-3</v>
      </c>
      <c r="F3089" s="85">
        <f t="shared" si="401"/>
        <v>5.0000000000000001E-4</v>
      </c>
      <c r="G3089" s="85">
        <f t="shared" si="402"/>
        <v>5.2359877559829886E-10</v>
      </c>
      <c r="H3089" s="85">
        <v>870</v>
      </c>
      <c r="I3089" s="85">
        <f t="shared" si="403"/>
        <v>4.5553093477051999E-7</v>
      </c>
      <c r="J3089" s="87">
        <v>1</v>
      </c>
      <c r="K3089" s="88">
        <f t="shared" si="404"/>
        <v>2195240.5943709705</v>
      </c>
    </row>
    <row r="3090" spans="1:11" hidden="1" x14ac:dyDescent="0.25">
      <c r="A3090" t="str">
        <f t="shared" si="399"/>
        <v>PPHØ1</v>
      </c>
      <c r="B3090" s="81" t="s">
        <v>202</v>
      </c>
      <c r="D3090" s="86">
        <v>1</v>
      </c>
      <c r="E3090" s="85">
        <f t="shared" si="400"/>
        <v>1E-3</v>
      </c>
      <c r="F3090" s="85">
        <f t="shared" si="401"/>
        <v>5.0000000000000001E-4</v>
      </c>
      <c r="G3090" s="85">
        <f t="shared" si="402"/>
        <v>5.2359877559829886E-10</v>
      </c>
      <c r="H3090" s="85">
        <v>870</v>
      </c>
      <c r="I3090" s="85">
        <f t="shared" si="403"/>
        <v>4.5553093477051999E-7</v>
      </c>
      <c r="J3090" s="87">
        <v>1</v>
      </c>
      <c r="K3090" s="88">
        <f t="shared" si="404"/>
        <v>2195240.5943709705</v>
      </c>
    </row>
    <row r="3091" spans="1:11" x14ac:dyDescent="0.25">
      <c r="A3091" t="str">
        <f t="shared" si="399"/>
        <v>1085Ø6</v>
      </c>
      <c r="B3091" s="81">
        <v>1085</v>
      </c>
      <c r="D3091" s="86">
        <v>6</v>
      </c>
      <c r="E3091" s="85">
        <f t="shared" si="400"/>
        <v>6.0000000000000001E-3</v>
      </c>
      <c r="F3091" s="85">
        <f t="shared" si="401"/>
        <v>3.0000000000000001E-3</v>
      </c>
      <c r="G3091" s="85">
        <f t="shared" si="402"/>
        <v>1.1309733552923255E-7</v>
      </c>
      <c r="H3091" s="85">
        <v>7850</v>
      </c>
      <c r="I3091" s="85">
        <f t="shared" si="403"/>
        <v>8.878140839044755E-4</v>
      </c>
      <c r="J3091" s="87">
        <v>1</v>
      </c>
      <c r="K3091" s="88">
        <f t="shared" si="404"/>
        <v>1126.3619468640859</v>
      </c>
    </row>
    <row r="3092" spans="1:11" hidden="1" x14ac:dyDescent="0.25">
      <c r="A3092" t="str">
        <f t="shared" si="399"/>
        <v>VESCØ16</v>
      </c>
      <c r="B3092" s="81" t="s">
        <v>210</v>
      </c>
      <c r="D3092" s="86">
        <v>16</v>
      </c>
      <c r="E3092" s="85">
        <f t="shared" si="400"/>
        <v>1.6E-2</v>
      </c>
      <c r="F3092" s="85">
        <f t="shared" si="401"/>
        <v>8.0000000000000002E-3</v>
      </c>
      <c r="G3092" s="85">
        <f t="shared" si="402"/>
        <v>2.1446605848506321E-6</v>
      </c>
      <c r="H3092" s="85">
        <v>2500</v>
      </c>
      <c r="I3092" s="85">
        <f t="shared" si="403"/>
        <v>5.3616514621265803E-3</v>
      </c>
      <c r="J3092" s="87">
        <v>1</v>
      </c>
      <c r="K3092" s="88">
        <f t="shared" si="404"/>
        <v>186.50969893581484</v>
      </c>
    </row>
    <row r="3093" spans="1:11" hidden="1" x14ac:dyDescent="0.25">
      <c r="A3093" t="str">
        <f t="shared" si="399"/>
        <v>POMØ10</v>
      </c>
      <c r="B3093" s="81" t="s">
        <v>201</v>
      </c>
      <c r="D3093" s="86">
        <v>10</v>
      </c>
      <c r="E3093" s="85">
        <f t="shared" si="400"/>
        <v>0.01</v>
      </c>
      <c r="F3093" s="85">
        <f t="shared" si="401"/>
        <v>5.0000000000000001E-3</v>
      </c>
      <c r="G3093" s="85">
        <f t="shared" si="402"/>
        <v>5.2359877559829882E-7</v>
      </c>
      <c r="H3093" s="85">
        <v>1370</v>
      </c>
      <c r="I3093" s="85">
        <f t="shared" si="403"/>
        <v>7.173303225696694E-4</v>
      </c>
      <c r="J3093" s="87">
        <v>1</v>
      </c>
      <c r="K3093" s="88">
        <f t="shared" si="404"/>
        <v>1394.0578956954337</v>
      </c>
    </row>
    <row r="3094" spans="1:11" hidden="1" x14ac:dyDescent="0.25">
      <c r="A3094" t="str">
        <f t="shared" si="399"/>
        <v>304Ø30</v>
      </c>
      <c r="B3094" s="81">
        <v>304</v>
      </c>
      <c r="D3094" s="86">
        <v>30</v>
      </c>
      <c r="E3094" s="85">
        <f t="shared" si="400"/>
        <v>0.03</v>
      </c>
      <c r="F3094" s="85">
        <f t="shared" si="401"/>
        <v>1.4999999999999999E-2</v>
      </c>
      <c r="G3094" s="85">
        <f t="shared" si="402"/>
        <v>1.4137166941154067E-5</v>
      </c>
      <c r="H3094" s="85">
        <v>7950</v>
      </c>
      <c r="I3094" s="85">
        <f t="shared" si="403"/>
        <v>0.11239047718217483</v>
      </c>
      <c r="J3094" s="87">
        <v>1</v>
      </c>
      <c r="K3094" s="88">
        <f t="shared" si="404"/>
        <v>8.897550976486114</v>
      </c>
    </row>
    <row r="3095" spans="1:11" hidden="1" x14ac:dyDescent="0.25">
      <c r="A3095" t="str">
        <f t="shared" si="399"/>
        <v>304Ø25,4</v>
      </c>
      <c r="B3095" s="81">
        <v>304</v>
      </c>
      <c r="C3095" s="101" t="s">
        <v>255</v>
      </c>
      <c r="D3095" s="86">
        <f>1*25.4</f>
        <v>25.4</v>
      </c>
      <c r="E3095" s="85">
        <f t="shared" si="400"/>
        <v>2.5399999999999999E-2</v>
      </c>
      <c r="F3095" s="85">
        <f t="shared" si="401"/>
        <v>1.2699999999999999E-2</v>
      </c>
      <c r="G3095" s="85">
        <f t="shared" si="402"/>
        <v>8.5802466460509588E-6</v>
      </c>
      <c r="H3095" s="88">
        <v>7950</v>
      </c>
      <c r="I3095" s="85">
        <f t="shared" si="403"/>
        <v>6.8212960836105119E-2</v>
      </c>
      <c r="J3095" s="87">
        <v>1</v>
      </c>
      <c r="K3095" s="88">
        <f t="shared" si="404"/>
        <v>14.65997059419095</v>
      </c>
    </row>
    <row r="3096" spans="1:11" hidden="1" x14ac:dyDescent="0.25">
      <c r="A3096" t="str">
        <f t="shared" si="399"/>
        <v>304Ø25,4</v>
      </c>
      <c r="B3096" s="81">
        <v>304</v>
      </c>
      <c r="C3096" s="101" t="s">
        <v>255</v>
      </c>
      <c r="D3096" s="86">
        <f>1*25.4</f>
        <v>25.4</v>
      </c>
      <c r="E3096" s="85">
        <f t="shared" si="400"/>
        <v>2.5399999999999999E-2</v>
      </c>
      <c r="F3096" s="85">
        <f t="shared" si="401"/>
        <v>1.2699999999999999E-2</v>
      </c>
      <c r="G3096" s="85">
        <f t="shared" si="402"/>
        <v>8.5802466460509588E-6</v>
      </c>
      <c r="H3096" s="88">
        <v>7925.1801032196272</v>
      </c>
      <c r="I3096" s="85">
        <f t="shared" si="403"/>
        <v>6.7999999999999991E-2</v>
      </c>
      <c r="J3096" s="87">
        <v>1</v>
      </c>
      <c r="K3096" s="88">
        <f t="shared" si="404"/>
        <v>14.705882352941179</v>
      </c>
    </row>
    <row r="3097" spans="1:11" hidden="1" x14ac:dyDescent="0.25">
      <c r="A3097" t="str">
        <f t="shared" si="399"/>
        <v>52100Ø3,1</v>
      </c>
      <c r="B3097" s="81">
        <v>52100</v>
      </c>
      <c r="D3097" s="86">
        <v>3.1</v>
      </c>
      <c r="E3097" s="85">
        <f t="shared" si="400"/>
        <v>3.0999999999999999E-3</v>
      </c>
      <c r="F3097" s="85">
        <f t="shared" si="401"/>
        <v>1.5499999999999999E-3</v>
      </c>
      <c r="G3097" s="85">
        <f t="shared" si="402"/>
        <v>1.5598531123848918E-8</v>
      </c>
      <c r="H3097" s="85">
        <v>7800</v>
      </c>
      <c r="I3097" s="85">
        <f t="shared" si="403"/>
        <v>1.2166854276602155E-4</v>
      </c>
      <c r="J3097" s="87">
        <v>1</v>
      </c>
      <c r="K3097" s="88">
        <f t="shared" si="404"/>
        <v>8219.051344463629</v>
      </c>
    </row>
    <row r="3098" spans="1:11" hidden="1" x14ac:dyDescent="0.25">
      <c r="A3098" t="str">
        <f t="shared" si="399"/>
        <v>Monel K500Ø3,175</v>
      </c>
      <c r="B3098" s="81" t="s">
        <v>360</v>
      </c>
      <c r="C3098" s="101" t="s">
        <v>214</v>
      </c>
      <c r="D3098" s="86">
        <f>1/8*25.4</f>
        <v>3.1749999999999998</v>
      </c>
      <c r="E3098" s="85">
        <f t="shared" si="400"/>
        <v>3.1749999999999999E-3</v>
      </c>
      <c r="F3098" s="85">
        <f t="shared" si="401"/>
        <v>1.5874999999999999E-3</v>
      </c>
      <c r="G3098" s="85">
        <f t="shared" si="402"/>
        <v>1.6758294230568279E-8</v>
      </c>
      <c r="H3098" s="88">
        <v>8460.884983232083</v>
      </c>
      <c r="I3098" s="85">
        <f t="shared" si="403"/>
        <v>1.4179000000000001E-4</v>
      </c>
      <c r="J3098" s="87">
        <v>1</v>
      </c>
      <c r="K3098" s="88">
        <f t="shared" si="404"/>
        <v>7052.6835460892862</v>
      </c>
    </row>
    <row r="3099" spans="1:11" hidden="1" x14ac:dyDescent="0.25">
      <c r="A3099" t="str">
        <f t="shared" si="399"/>
        <v>WC-CoØ3</v>
      </c>
      <c r="B3099" s="81" t="s">
        <v>297</v>
      </c>
      <c r="D3099" s="86">
        <v>3</v>
      </c>
      <c r="E3099" s="85">
        <f t="shared" si="400"/>
        <v>3.0000000000000001E-3</v>
      </c>
      <c r="F3099" s="85">
        <f t="shared" si="401"/>
        <v>1.5E-3</v>
      </c>
      <c r="G3099" s="85">
        <f t="shared" si="402"/>
        <v>1.4137166941154068E-8</v>
      </c>
      <c r="H3099" s="85">
        <v>14950</v>
      </c>
      <c r="I3099" s="85">
        <f t="shared" si="403"/>
        <v>2.1135064577025331E-4</v>
      </c>
      <c r="J3099" s="87">
        <v>1</v>
      </c>
      <c r="K3099" s="88">
        <f t="shared" si="404"/>
        <v>4731.4735961916122</v>
      </c>
    </row>
    <row r="3100" spans="1:11" hidden="1" x14ac:dyDescent="0.25">
      <c r="A3100" t="str">
        <f t="shared" si="399"/>
        <v>ZrO2Ø3</v>
      </c>
      <c r="B3100" s="81" t="s">
        <v>205</v>
      </c>
      <c r="D3100" s="86">
        <v>3</v>
      </c>
      <c r="E3100" s="85">
        <f t="shared" si="400"/>
        <v>3.0000000000000001E-3</v>
      </c>
      <c r="F3100" s="85">
        <f t="shared" si="401"/>
        <v>1.5E-3</v>
      </c>
      <c r="G3100" s="85">
        <f t="shared" si="402"/>
        <v>1.4137166941154068E-8</v>
      </c>
      <c r="H3100" s="85">
        <v>6000</v>
      </c>
      <c r="I3100" s="85">
        <f t="shared" si="403"/>
        <v>8.4823001646924416E-5</v>
      </c>
      <c r="J3100" s="87">
        <v>1</v>
      </c>
      <c r="K3100" s="88">
        <f t="shared" si="404"/>
        <v>11789.255043844099</v>
      </c>
    </row>
    <row r="3101" spans="1:11" hidden="1" x14ac:dyDescent="0.25">
      <c r="A3101" t="str">
        <f t="shared" si="399"/>
        <v>ZrO2Ø5</v>
      </c>
      <c r="B3101" s="81" t="s">
        <v>205</v>
      </c>
      <c r="D3101" s="86">
        <v>5</v>
      </c>
      <c r="E3101" s="85">
        <f t="shared" si="400"/>
        <v>5.0000000000000001E-3</v>
      </c>
      <c r="F3101" s="85">
        <f t="shared" si="401"/>
        <v>2.5000000000000001E-3</v>
      </c>
      <c r="G3101" s="85">
        <f t="shared" si="402"/>
        <v>6.5449846949787352E-8</v>
      </c>
      <c r="H3101" s="85">
        <v>6000</v>
      </c>
      <c r="I3101" s="85">
        <f t="shared" si="403"/>
        <v>3.9269908169872411E-4</v>
      </c>
      <c r="J3101" s="87">
        <v>1</v>
      </c>
      <c r="K3101" s="88">
        <f t="shared" si="404"/>
        <v>2546.4790894703256</v>
      </c>
    </row>
    <row r="3102" spans="1:11" hidden="1" x14ac:dyDescent="0.25">
      <c r="A3102" t="str">
        <f t="shared" si="399"/>
        <v>PA6.6Ø13</v>
      </c>
      <c r="B3102" s="81" t="s">
        <v>244</v>
      </c>
      <c r="D3102" s="86">
        <v>13</v>
      </c>
      <c r="E3102" s="85">
        <f t="shared" si="400"/>
        <v>1.2999999999999999E-2</v>
      </c>
      <c r="F3102" s="85">
        <f t="shared" si="401"/>
        <v>6.4999999999999997E-3</v>
      </c>
      <c r="G3102" s="85">
        <f t="shared" si="402"/>
        <v>1.1503465099894625E-6</v>
      </c>
      <c r="H3102" s="85">
        <v>1110</v>
      </c>
      <c r="I3102" s="85">
        <f t="shared" si="403"/>
        <v>1.2768846260883034E-3</v>
      </c>
      <c r="J3102" s="87">
        <v>1</v>
      </c>
      <c r="K3102" s="88">
        <f t="shared" si="404"/>
        <v>783.15611259528521</v>
      </c>
    </row>
    <row r="3103" spans="1:11" hidden="1" x14ac:dyDescent="0.25">
      <c r="A3103" t="str">
        <f t="shared" si="399"/>
        <v>NBRØ2</v>
      </c>
      <c r="B3103" s="81" t="s">
        <v>341</v>
      </c>
      <c r="D3103" s="86">
        <v>2</v>
      </c>
      <c r="E3103" s="85">
        <f t="shared" si="400"/>
        <v>2E-3</v>
      </c>
      <c r="F3103" s="85">
        <f t="shared" si="401"/>
        <v>1E-3</v>
      </c>
      <c r="G3103" s="85">
        <f t="shared" si="402"/>
        <v>4.1887902047863909E-9</v>
      </c>
      <c r="H3103" s="85">
        <v>1400</v>
      </c>
      <c r="I3103" s="85">
        <f t="shared" si="403"/>
        <v>5.8643062867009469E-6</v>
      </c>
      <c r="J3103" s="87">
        <v>1</v>
      </c>
      <c r="K3103" s="88">
        <f t="shared" si="404"/>
        <v>170523.15331274501</v>
      </c>
    </row>
    <row r="3104" spans="1:11" hidden="1" x14ac:dyDescent="0.25">
      <c r="A3104" t="str">
        <f t="shared" si="399"/>
        <v>NBRØ2,38125</v>
      </c>
      <c r="B3104" s="81" t="s">
        <v>341</v>
      </c>
      <c r="C3104" s="101" t="s">
        <v>213</v>
      </c>
      <c r="D3104" s="86">
        <f>3/32*25.4</f>
        <v>2.3812499999999996</v>
      </c>
      <c r="E3104" s="85">
        <f t="shared" si="400"/>
        <v>2.3812499999999997E-3</v>
      </c>
      <c r="F3104" s="85">
        <f t="shared" si="401"/>
        <v>1.1906249999999998E-3</v>
      </c>
      <c r="G3104" s="85">
        <f t="shared" si="402"/>
        <v>7.0699053785209917E-9</v>
      </c>
      <c r="H3104" s="85">
        <v>1400</v>
      </c>
      <c r="I3104" s="85">
        <f t="shared" si="403"/>
        <v>9.8978675299293891E-6</v>
      </c>
      <c r="J3104" s="87">
        <v>1</v>
      </c>
      <c r="K3104" s="88">
        <f t="shared" si="404"/>
        <v>101031.86337624524</v>
      </c>
    </row>
    <row r="3105" spans="1:11" hidden="1" x14ac:dyDescent="0.25">
      <c r="A3105" t="str">
        <f t="shared" si="399"/>
        <v>NBRØ3</v>
      </c>
      <c r="B3105" s="81" t="s">
        <v>341</v>
      </c>
      <c r="D3105" s="86">
        <v>3</v>
      </c>
      <c r="E3105" s="85">
        <f>D3105/1000</f>
        <v>3.0000000000000001E-3</v>
      </c>
      <c r="F3105" s="85">
        <f>E3105/2</f>
        <v>1.5E-3</v>
      </c>
      <c r="G3105" s="85">
        <f>4/3*PI()*F3105*F3105*F3105</f>
        <v>1.4137166941154068E-8</v>
      </c>
      <c r="H3105" s="85">
        <v>1400</v>
      </c>
      <c r="I3105" s="85">
        <f>H3105*G3105</f>
        <v>1.9792033717615694E-5</v>
      </c>
      <c r="J3105" s="87">
        <v>1</v>
      </c>
      <c r="K3105" s="88">
        <f>J3105/I3105</f>
        <v>50525.378759331863</v>
      </c>
    </row>
    <row r="3106" spans="1:11" hidden="1" x14ac:dyDescent="0.25">
      <c r="A3106" t="str">
        <f t="shared" si="399"/>
        <v>Al2O3Ø0,5</v>
      </c>
      <c r="B3106" s="81" t="s">
        <v>217</v>
      </c>
      <c r="D3106" s="86">
        <v>0.5</v>
      </c>
      <c r="E3106" s="85">
        <f>D3106/1000</f>
        <v>5.0000000000000001E-4</v>
      </c>
      <c r="F3106" s="85">
        <f>E3106/2</f>
        <v>2.5000000000000001E-4</v>
      </c>
      <c r="G3106" s="85">
        <f>4/3*PI()*F3106*F3106*F3106</f>
        <v>6.5449846949787358E-11</v>
      </c>
      <c r="H3106" s="85">
        <v>3900</v>
      </c>
      <c r="I3106" s="85">
        <f>H3106*G3106</f>
        <v>2.552544031041707E-7</v>
      </c>
      <c r="J3106" s="87">
        <v>1</v>
      </c>
      <c r="K3106" s="88">
        <f>J3106/I3106</f>
        <v>3917660.1376466546</v>
      </c>
    </row>
    <row r="3107" spans="1:11" hidden="1" x14ac:dyDescent="0.25">
      <c r="A3107" t="str">
        <f t="shared" si="399"/>
        <v>Al2O3Ø0,8</v>
      </c>
      <c r="B3107" s="81" t="s">
        <v>217</v>
      </c>
      <c r="D3107" s="86">
        <v>0.8</v>
      </c>
      <c r="E3107" s="85">
        <f>D3107/1000</f>
        <v>8.0000000000000004E-4</v>
      </c>
      <c r="F3107" s="85">
        <f>E3107/2</f>
        <v>4.0000000000000002E-4</v>
      </c>
      <c r="G3107" s="85">
        <f>4/3*PI()*F3107*F3107*F3107</f>
        <v>2.6808257310632903E-10</v>
      </c>
      <c r="H3107" s="85">
        <v>3900</v>
      </c>
      <c r="I3107" s="85">
        <f>H3107*G3107</f>
        <v>1.0455220351146832E-6</v>
      </c>
      <c r="J3107" s="87">
        <v>1</v>
      </c>
      <c r="K3107" s="88">
        <f>J3107/I3107</f>
        <v>956459.99454264028</v>
      </c>
    </row>
    <row r="3108" spans="1:11" hidden="1" x14ac:dyDescent="0.25">
      <c r="A3108" t="str">
        <f t="shared" si="399"/>
        <v>Al2O3Ø10</v>
      </c>
      <c r="B3108" s="81" t="s">
        <v>217</v>
      </c>
      <c r="D3108" s="86">
        <v>10</v>
      </c>
      <c r="E3108" s="85">
        <f>D3108/1000</f>
        <v>0.01</v>
      </c>
      <c r="F3108" s="85">
        <f>E3108/2</f>
        <v>5.0000000000000001E-3</v>
      </c>
      <c r="G3108" s="85">
        <f>4/3*PI()*F3108*F3108*F3108</f>
        <v>5.2359877559829882E-7</v>
      </c>
      <c r="H3108" s="85">
        <v>3900</v>
      </c>
      <c r="I3108" s="85">
        <f>H3108*G3108</f>
        <v>2.0420352248333652E-3</v>
      </c>
      <c r="J3108" s="87">
        <v>1</v>
      </c>
      <c r="K3108" s="88">
        <f>J3108/I3108</f>
        <v>489.70751720583189</v>
      </c>
    </row>
    <row r="3109" spans="1:11" hidden="1" x14ac:dyDescent="0.25">
      <c r="A3109" t="str">
        <f t="shared" si="399"/>
        <v>Al2O3Ø15</v>
      </c>
      <c r="B3109" s="81" t="s">
        <v>217</v>
      </c>
      <c r="D3109" s="86">
        <v>15</v>
      </c>
      <c r="E3109" s="85">
        <f t="shared" ref="E3109:E3172" si="405">D3109/1000</f>
        <v>1.4999999999999999E-2</v>
      </c>
      <c r="F3109" s="85">
        <f t="shared" ref="F3109:F3172" si="406">E3109/2</f>
        <v>7.4999999999999997E-3</v>
      </c>
      <c r="G3109" s="85">
        <f t="shared" ref="G3109:G3172" si="407">4/3*PI()*F3109*F3109*F3109</f>
        <v>1.7671458676442584E-6</v>
      </c>
      <c r="H3109" s="85">
        <v>3900</v>
      </c>
      <c r="I3109" s="85">
        <f t="shared" ref="I3109:I3115" si="408">H3109*G3109</f>
        <v>6.8918688838126079E-3</v>
      </c>
      <c r="J3109" s="87">
        <v>1</v>
      </c>
      <c r="K3109" s="88">
        <f t="shared" ref="K3109:K3115" si="409">J3109/I3109</f>
        <v>145.09852361654276</v>
      </c>
    </row>
    <row r="3110" spans="1:11" hidden="1" x14ac:dyDescent="0.25">
      <c r="A3110" t="str">
        <f t="shared" si="399"/>
        <v>PTFEØ10</v>
      </c>
      <c r="B3110" s="81" t="s">
        <v>307</v>
      </c>
      <c r="D3110" s="86">
        <v>10</v>
      </c>
      <c r="E3110" s="85">
        <f t="shared" si="405"/>
        <v>0.01</v>
      </c>
      <c r="F3110" s="85">
        <f t="shared" si="406"/>
        <v>5.0000000000000001E-3</v>
      </c>
      <c r="G3110" s="85">
        <f t="shared" si="407"/>
        <v>5.2359877559829882E-7</v>
      </c>
      <c r="H3110" s="85">
        <v>2160</v>
      </c>
      <c r="I3110" s="85">
        <f t="shared" si="408"/>
        <v>1.1309733552923255E-3</v>
      </c>
      <c r="J3110" s="87">
        <v>1</v>
      </c>
      <c r="K3110" s="88">
        <f t="shared" si="409"/>
        <v>884.19412828830752</v>
      </c>
    </row>
    <row r="3111" spans="1:11" hidden="1" x14ac:dyDescent="0.25">
      <c r="A3111" t="str">
        <f t="shared" si="399"/>
        <v>PTFEØ15</v>
      </c>
      <c r="B3111" s="81" t="s">
        <v>307</v>
      </c>
      <c r="D3111" s="86">
        <v>15</v>
      </c>
      <c r="E3111" s="85">
        <f t="shared" si="405"/>
        <v>1.4999999999999999E-2</v>
      </c>
      <c r="F3111" s="85">
        <f t="shared" si="406"/>
        <v>7.4999999999999997E-3</v>
      </c>
      <c r="G3111" s="85">
        <f t="shared" si="407"/>
        <v>1.7671458676442584E-6</v>
      </c>
      <c r="H3111" s="85">
        <v>2160</v>
      </c>
      <c r="I3111" s="85">
        <f t="shared" si="408"/>
        <v>3.8170350741115982E-3</v>
      </c>
      <c r="J3111" s="87">
        <v>1</v>
      </c>
      <c r="K3111" s="88">
        <f t="shared" si="409"/>
        <v>261.98344541875781</v>
      </c>
    </row>
    <row r="3112" spans="1:11" hidden="1" x14ac:dyDescent="0.25">
      <c r="A3112" t="str">
        <f t="shared" si="399"/>
        <v>PA6.6Ø10</v>
      </c>
      <c r="B3112" s="81" t="s">
        <v>244</v>
      </c>
      <c r="D3112" s="86">
        <v>10</v>
      </c>
      <c r="E3112" s="85">
        <f t="shared" si="405"/>
        <v>0.01</v>
      </c>
      <c r="F3112" s="85">
        <f t="shared" si="406"/>
        <v>5.0000000000000001E-3</v>
      </c>
      <c r="G3112" s="85">
        <f t="shared" si="407"/>
        <v>5.2359877559829882E-7</v>
      </c>
      <c r="H3112" s="85">
        <v>1110</v>
      </c>
      <c r="I3112" s="85">
        <f t="shared" si="408"/>
        <v>5.8119464091411165E-4</v>
      </c>
      <c r="J3112" s="87">
        <v>1</v>
      </c>
      <c r="K3112" s="88">
        <f t="shared" si="409"/>
        <v>1720.5939793718417</v>
      </c>
    </row>
    <row r="3113" spans="1:11" hidden="1" x14ac:dyDescent="0.25">
      <c r="A3113" t="str">
        <f t="shared" si="399"/>
        <v>PA6.6Ø15</v>
      </c>
      <c r="B3113" s="81" t="s">
        <v>244</v>
      </c>
      <c r="D3113" s="86">
        <v>15</v>
      </c>
      <c r="E3113" s="85">
        <f t="shared" si="405"/>
        <v>1.4999999999999999E-2</v>
      </c>
      <c r="F3113" s="85">
        <f t="shared" si="406"/>
        <v>7.4999999999999997E-3</v>
      </c>
      <c r="G3113" s="85">
        <f t="shared" si="407"/>
        <v>1.7671458676442584E-6</v>
      </c>
      <c r="H3113" s="85">
        <v>1110</v>
      </c>
      <c r="I3113" s="85">
        <f t="shared" si="408"/>
        <v>1.9615319130851269E-3</v>
      </c>
      <c r="J3113" s="87">
        <v>1</v>
      </c>
      <c r="K3113" s="88">
        <f t="shared" si="409"/>
        <v>509.80562351758272</v>
      </c>
    </row>
    <row r="3114" spans="1:11" hidden="1" x14ac:dyDescent="0.25">
      <c r="A3114" t="str">
        <f t="shared" si="399"/>
        <v>POMØ10</v>
      </c>
      <c r="B3114" s="81" t="s">
        <v>201</v>
      </c>
      <c r="D3114" s="86">
        <v>10</v>
      </c>
      <c r="E3114" s="85">
        <f t="shared" si="405"/>
        <v>0.01</v>
      </c>
      <c r="F3114" s="85">
        <f t="shared" si="406"/>
        <v>5.0000000000000001E-3</v>
      </c>
      <c r="G3114" s="85">
        <f t="shared" si="407"/>
        <v>5.2359877559829882E-7</v>
      </c>
      <c r="H3114" s="85">
        <v>1370</v>
      </c>
      <c r="I3114" s="85">
        <f t="shared" si="408"/>
        <v>7.173303225696694E-4</v>
      </c>
      <c r="J3114" s="87">
        <v>1</v>
      </c>
      <c r="K3114" s="88">
        <f t="shared" si="409"/>
        <v>1394.0578956954337</v>
      </c>
    </row>
    <row r="3115" spans="1:11" hidden="1" x14ac:dyDescent="0.25">
      <c r="A3115" t="str">
        <f t="shared" si="399"/>
        <v>POMØ15</v>
      </c>
      <c r="B3115" s="81" t="s">
        <v>201</v>
      </c>
      <c r="D3115" s="86">
        <v>15</v>
      </c>
      <c r="E3115" s="85">
        <f t="shared" si="405"/>
        <v>1.4999999999999999E-2</v>
      </c>
      <c r="F3115" s="85">
        <f t="shared" si="406"/>
        <v>7.4999999999999997E-3</v>
      </c>
      <c r="G3115" s="85">
        <f t="shared" si="407"/>
        <v>1.7671458676442584E-6</v>
      </c>
      <c r="H3115" s="85">
        <v>1370</v>
      </c>
      <c r="I3115" s="85">
        <f t="shared" si="408"/>
        <v>2.4209898386726341E-3</v>
      </c>
      <c r="J3115" s="87">
        <v>1</v>
      </c>
      <c r="K3115" s="88">
        <f t="shared" si="409"/>
        <v>413.05419131716559</v>
      </c>
    </row>
    <row r="3116" spans="1:11" hidden="1" x14ac:dyDescent="0.25">
      <c r="A3116" t="str">
        <f t="shared" si="399"/>
        <v>POMØ2</v>
      </c>
      <c r="B3116" s="81" t="s">
        <v>201</v>
      </c>
      <c r="D3116" s="86">
        <v>2</v>
      </c>
      <c r="E3116" s="85">
        <f t="shared" si="405"/>
        <v>2E-3</v>
      </c>
      <c r="F3116" s="85">
        <f t="shared" si="406"/>
        <v>1E-3</v>
      </c>
      <c r="G3116" s="85">
        <f t="shared" si="407"/>
        <v>4.1887902047863909E-9</v>
      </c>
      <c r="H3116" s="85">
        <v>1370</v>
      </c>
      <c r="I3116" s="85">
        <f>H3116*G3116</f>
        <v>5.7386425805573556E-6</v>
      </c>
      <c r="J3116" s="87">
        <v>1</v>
      </c>
      <c r="K3116" s="88">
        <f>J3116/I3116</f>
        <v>174257.23696192921</v>
      </c>
    </row>
    <row r="3117" spans="1:11" hidden="1" x14ac:dyDescent="0.25">
      <c r="A3117" t="str">
        <f t="shared" si="399"/>
        <v>POMØ2,38125</v>
      </c>
      <c r="B3117" s="81" t="s">
        <v>201</v>
      </c>
      <c r="C3117" s="101" t="s">
        <v>213</v>
      </c>
      <c r="D3117" s="86">
        <f>3/32*25.4</f>
        <v>2.3812499999999996</v>
      </c>
      <c r="E3117" s="85">
        <f t="shared" si="405"/>
        <v>2.3812499999999997E-3</v>
      </c>
      <c r="F3117" s="85">
        <f t="shared" si="406"/>
        <v>1.1906249999999998E-3</v>
      </c>
      <c r="G3117" s="85">
        <f t="shared" si="407"/>
        <v>7.0699053785209917E-9</v>
      </c>
      <c r="H3117" s="85">
        <v>1370</v>
      </c>
      <c r="I3117" s="85">
        <f>H3117*G3117</f>
        <v>9.6857703685737587E-6</v>
      </c>
      <c r="J3117" s="87">
        <v>1</v>
      </c>
      <c r="K3117" s="88">
        <f>J3117/I3117</f>
        <v>103244.23994652799</v>
      </c>
    </row>
    <row r="3118" spans="1:11" hidden="1" x14ac:dyDescent="0.25">
      <c r="A3118" t="str">
        <f t="shared" si="399"/>
        <v>POMØ3</v>
      </c>
      <c r="B3118" s="81" t="s">
        <v>201</v>
      </c>
      <c r="D3118" s="86">
        <v>3</v>
      </c>
      <c r="E3118" s="85">
        <f t="shared" si="405"/>
        <v>3.0000000000000001E-3</v>
      </c>
      <c r="F3118" s="85">
        <f t="shared" si="406"/>
        <v>1.5E-3</v>
      </c>
      <c r="G3118" s="85">
        <f t="shared" si="407"/>
        <v>1.4137166941154068E-8</v>
      </c>
      <c r="H3118" s="85">
        <v>1370</v>
      </c>
      <c r="I3118" s="85">
        <f>H3118*G3118</f>
        <v>1.9367918709381075E-5</v>
      </c>
      <c r="J3118" s="87">
        <v>1</v>
      </c>
      <c r="K3118" s="88">
        <f>J3118/I3118</f>
        <v>51631.773914645688</v>
      </c>
    </row>
    <row r="3119" spans="1:11" hidden="1" x14ac:dyDescent="0.25">
      <c r="A3119" t="str">
        <f t="shared" si="399"/>
        <v>440CØ2,76</v>
      </c>
      <c r="B3119" s="81" t="s">
        <v>314</v>
      </c>
      <c r="D3119" s="86">
        <v>2.76</v>
      </c>
      <c r="E3119" s="85">
        <f t="shared" si="405"/>
        <v>2.7599999999999999E-3</v>
      </c>
      <c r="F3119" s="85">
        <f t="shared" si="406"/>
        <v>1.3799999999999999E-3</v>
      </c>
      <c r="G3119" s="85">
        <f t="shared" si="407"/>
        <v>1.1008442251073377E-8</v>
      </c>
      <c r="H3119" s="85">
        <v>7700</v>
      </c>
      <c r="I3119" s="85">
        <f>H3119*G3119</f>
        <v>8.4765005333265004E-5</v>
      </c>
      <c r="J3119" s="87">
        <v>1</v>
      </c>
      <c r="K3119" s="88">
        <f>J3119/I3119</f>
        <v>11797.32126563746</v>
      </c>
    </row>
    <row r="3120" spans="1:11" hidden="1" x14ac:dyDescent="0.25">
      <c r="A3120" t="str">
        <f t="shared" si="399"/>
        <v>PPHØ25</v>
      </c>
      <c r="B3120" s="81" t="s">
        <v>202</v>
      </c>
      <c r="D3120" s="86">
        <v>25</v>
      </c>
      <c r="E3120" s="85">
        <f t="shared" si="405"/>
        <v>2.5000000000000001E-2</v>
      </c>
      <c r="F3120" s="85">
        <f t="shared" si="406"/>
        <v>1.2500000000000001E-2</v>
      </c>
      <c r="G3120" s="85">
        <f t="shared" si="407"/>
        <v>8.1812308687234206E-6</v>
      </c>
      <c r="H3120" s="85">
        <v>870</v>
      </c>
      <c r="I3120" s="85">
        <f>H3120*G3120</f>
        <v>7.1176708557893755E-3</v>
      </c>
      <c r="J3120" s="87">
        <v>1</v>
      </c>
      <c r="K3120" s="88">
        <f>J3120/I3120</f>
        <v>140.49539803974207</v>
      </c>
    </row>
    <row r="3121" spans="1:11" hidden="1" x14ac:dyDescent="0.25">
      <c r="A3121" t="str">
        <f t="shared" si="399"/>
        <v>PPHØ25,4</v>
      </c>
      <c r="B3121" s="81" t="s">
        <v>202</v>
      </c>
      <c r="C3121" s="101" t="s">
        <v>255</v>
      </c>
      <c r="D3121" s="86">
        <f>1*25.4</f>
        <v>25.4</v>
      </c>
      <c r="E3121" s="85">
        <f t="shared" si="405"/>
        <v>2.5399999999999999E-2</v>
      </c>
      <c r="F3121" s="85">
        <f t="shared" si="406"/>
        <v>1.2699999999999999E-2</v>
      </c>
      <c r="G3121" s="85">
        <f t="shared" si="407"/>
        <v>8.5802466460509588E-6</v>
      </c>
      <c r="H3121" s="85">
        <v>870</v>
      </c>
      <c r="I3121" s="85">
        <f t="shared" ref="I3121:I3184" si="410">H3121*G3121</f>
        <v>7.4648145820643344E-3</v>
      </c>
      <c r="J3121" s="87">
        <v>1</v>
      </c>
      <c r="K3121" s="88">
        <f t="shared" ref="K3121:K3184" si="411">J3121/I3121</f>
        <v>133.96180025726213</v>
      </c>
    </row>
    <row r="3122" spans="1:11" hidden="1" x14ac:dyDescent="0.25">
      <c r="A3122" t="str">
        <f t="shared" si="399"/>
        <v>420CØ9,525</v>
      </c>
      <c r="B3122" s="81" t="s">
        <v>295</v>
      </c>
      <c r="C3122" s="101" t="s">
        <v>254</v>
      </c>
      <c r="D3122" s="86">
        <f>3/8*25.4</f>
        <v>9.5249999999999986</v>
      </c>
      <c r="E3122" s="85">
        <f t="shared" si="405"/>
        <v>9.5249999999999987E-3</v>
      </c>
      <c r="F3122" s="85">
        <f t="shared" si="406"/>
        <v>4.7624999999999994E-3</v>
      </c>
      <c r="G3122" s="85">
        <f t="shared" si="407"/>
        <v>4.5247394422534347E-7</v>
      </c>
      <c r="H3122" s="85">
        <v>7750</v>
      </c>
      <c r="I3122" s="85">
        <f t="shared" si="410"/>
        <v>3.5066730677464119E-3</v>
      </c>
      <c r="J3122" s="87">
        <v>1</v>
      </c>
      <c r="K3122" s="88">
        <f t="shared" si="411"/>
        <v>285.17058211036965</v>
      </c>
    </row>
    <row r="3123" spans="1:11" hidden="1" x14ac:dyDescent="0.25">
      <c r="A3123" t="str">
        <f t="shared" si="399"/>
        <v>52100Ø9,128</v>
      </c>
      <c r="B3123" s="81">
        <v>52100</v>
      </c>
      <c r="D3123" s="86">
        <v>9.1280000000000001</v>
      </c>
      <c r="E3123" s="85">
        <f t="shared" si="405"/>
        <v>9.1280000000000007E-3</v>
      </c>
      <c r="F3123" s="85">
        <f t="shared" si="406"/>
        <v>4.5640000000000003E-3</v>
      </c>
      <c r="G3123" s="85">
        <f t="shared" si="407"/>
        <v>3.9822224513675275E-7</v>
      </c>
      <c r="H3123" s="85">
        <v>7800</v>
      </c>
      <c r="I3123" s="85">
        <f t="shared" si="410"/>
        <v>3.1061335120666713E-3</v>
      </c>
      <c r="J3123" s="87">
        <v>1</v>
      </c>
      <c r="K3123" s="88">
        <f t="shared" si="411"/>
        <v>321.94366279337692</v>
      </c>
    </row>
    <row r="3124" spans="1:11" hidden="1" x14ac:dyDescent="0.25">
      <c r="A3124" t="str">
        <f t="shared" si="399"/>
        <v>POMØ1</v>
      </c>
      <c r="B3124" s="81" t="s">
        <v>201</v>
      </c>
      <c r="D3124" s="86">
        <v>1</v>
      </c>
      <c r="E3124" s="85">
        <f t="shared" si="405"/>
        <v>1E-3</v>
      </c>
      <c r="F3124" s="85">
        <f t="shared" si="406"/>
        <v>5.0000000000000001E-4</v>
      </c>
      <c r="G3124" s="85">
        <f t="shared" si="407"/>
        <v>5.2359877559829886E-10</v>
      </c>
      <c r="H3124" s="85">
        <v>1370</v>
      </c>
      <c r="I3124" s="85">
        <f t="shared" si="410"/>
        <v>7.1733032256966945E-7</v>
      </c>
      <c r="J3124" s="87">
        <v>1</v>
      </c>
      <c r="K3124" s="88">
        <f t="shared" si="411"/>
        <v>1394057.8956954337</v>
      </c>
    </row>
    <row r="3125" spans="1:11" hidden="1" x14ac:dyDescent="0.25">
      <c r="A3125" t="str">
        <f t="shared" si="399"/>
        <v>POMØ1,5</v>
      </c>
      <c r="B3125" s="81" t="s">
        <v>201</v>
      </c>
      <c r="D3125" s="86">
        <v>1.5</v>
      </c>
      <c r="E3125" s="85">
        <f t="shared" si="405"/>
        <v>1.5E-3</v>
      </c>
      <c r="F3125" s="85">
        <f t="shared" si="406"/>
        <v>7.5000000000000002E-4</v>
      </c>
      <c r="G3125" s="85">
        <f t="shared" si="407"/>
        <v>1.7671458676442585E-9</v>
      </c>
      <c r="H3125" s="85">
        <v>1370</v>
      </c>
      <c r="I3125" s="85">
        <f t="shared" si="410"/>
        <v>2.4209898386726343E-6</v>
      </c>
      <c r="J3125" s="87">
        <v>1</v>
      </c>
      <c r="K3125" s="88">
        <f t="shared" si="411"/>
        <v>413054.1913171655</v>
      </c>
    </row>
    <row r="3126" spans="1:11" hidden="1" x14ac:dyDescent="0.25">
      <c r="A3126" t="str">
        <f t="shared" si="399"/>
        <v>POMØ2</v>
      </c>
      <c r="B3126" s="81" t="s">
        <v>201</v>
      </c>
      <c r="D3126" s="86">
        <v>2</v>
      </c>
      <c r="E3126" s="85">
        <f t="shared" si="405"/>
        <v>2E-3</v>
      </c>
      <c r="F3126" s="85">
        <f t="shared" si="406"/>
        <v>1E-3</v>
      </c>
      <c r="G3126" s="85">
        <f t="shared" si="407"/>
        <v>4.1887902047863909E-9</v>
      </c>
      <c r="H3126" s="85">
        <v>1370</v>
      </c>
      <c r="I3126" s="85">
        <f t="shared" si="410"/>
        <v>5.7386425805573556E-6</v>
      </c>
      <c r="J3126" s="87">
        <v>1</v>
      </c>
      <c r="K3126" s="88">
        <f t="shared" si="411"/>
        <v>174257.23696192921</v>
      </c>
    </row>
    <row r="3127" spans="1:11" hidden="1" x14ac:dyDescent="0.25">
      <c r="A3127" t="str">
        <f t="shared" si="399"/>
        <v>POMØ2,5</v>
      </c>
      <c r="B3127" s="81" t="s">
        <v>201</v>
      </c>
      <c r="D3127" s="86">
        <v>2.5</v>
      </c>
      <c r="E3127" s="85">
        <f t="shared" si="405"/>
        <v>2.5000000000000001E-3</v>
      </c>
      <c r="F3127" s="85">
        <f t="shared" si="406"/>
        <v>1.25E-3</v>
      </c>
      <c r="G3127" s="85">
        <f t="shared" si="407"/>
        <v>8.181230868723419E-9</v>
      </c>
      <c r="H3127" s="85">
        <v>1370</v>
      </c>
      <c r="I3127" s="85">
        <f t="shared" si="410"/>
        <v>1.1208286290151084E-5</v>
      </c>
      <c r="J3127" s="87">
        <v>1</v>
      </c>
      <c r="K3127" s="88">
        <f t="shared" si="411"/>
        <v>89219.705324507755</v>
      </c>
    </row>
    <row r="3128" spans="1:11" hidden="1" x14ac:dyDescent="0.25">
      <c r="A3128" t="str">
        <f t="shared" si="399"/>
        <v>POMØ3</v>
      </c>
      <c r="B3128" s="81" t="s">
        <v>201</v>
      </c>
      <c r="D3128" s="86">
        <v>3</v>
      </c>
      <c r="E3128" s="85">
        <f t="shared" si="405"/>
        <v>3.0000000000000001E-3</v>
      </c>
      <c r="F3128" s="85">
        <f t="shared" si="406"/>
        <v>1.5E-3</v>
      </c>
      <c r="G3128" s="85">
        <f t="shared" si="407"/>
        <v>1.4137166941154068E-8</v>
      </c>
      <c r="H3128" s="85">
        <v>1370</v>
      </c>
      <c r="I3128" s="85">
        <f t="shared" si="410"/>
        <v>1.9367918709381075E-5</v>
      </c>
      <c r="J3128" s="87">
        <v>1</v>
      </c>
      <c r="K3128" s="88">
        <f t="shared" si="411"/>
        <v>51631.773914645688</v>
      </c>
    </row>
    <row r="3129" spans="1:11" hidden="1" x14ac:dyDescent="0.25">
      <c r="A3129" t="str">
        <f t="shared" si="399"/>
        <v>POMØ3,5</v>
      </c>
      <c r="B3129" s="81" t="s">
        <v>201</v>
      </c>
      <c r="D3129" s="86">
        <v>3.5</v>
      </c>
      <c r="E3129" s="85">
        <f t="shared" si="405"/>
        <v>3.5000000000000001E-3</v>
      </c>
      <c r="F3129" s="85">
        <f t="shared" si="406"/>
        <v>1.75E-3</v>
      </c>
      <c r="G3129" s="85">
        <f t="shared" si="407"/>
        <v>2.2449297503777064E-8</v>
      </c>
      <c r="H3129" s="85">
        <v>1370</v>
      </c>
      <c r="I3129" s="85">
        <f t="shared" si="410"/>
        <v>3.0755537580174575E-5</v>
      </c>
      <c r="J3129" s="87">
        <v>1</v>
      </c>
      <c r="K3129" s="88">
        <f t="shared" si="411"/>
        <v>32514.469870447432</v>
      </c>
    </row>
    <row r="3130" spans="1:11" hidden="1" x14ac:dyDescent="0.25">
      <c r="A3130" t="str">
        <f t="shared" si="399"/>
        <v>POMØ4</v>
      </c>
      <c r="B3130" s="81" t="s">
        <v>201</v>
      </c>
      <c r="D3130" s="86">
        <v>4</v>
      </c>
      <c r="E3130" s="85">
        <f t="shared" si="405"/>
        <v>4.0000000000000001E-3</v>
      </c>
      <c r="F3130" s="85">
        <f t="shared" si="406"/>
        <v>2E-3</v>
      </c>
      <c r="G3130" s="85">
        <f t="shared" si="407"/>
        <v>3.3510321638291127E-8</v>
      </c>
      <c r="H3130" s="85">
        <v>1370</v>
      </c>
      <c r="I3130" s="85">
        <f t="shared" si="410"/>
        <v>4.5909140644458845E-5</v>
      </c>
      <c r="J3130" s="87">
        <v>1</v>
      </c>
      <c r="K3130" s="88">
        <f t="shared" si="411"/>
        <v>21782.154620241152</v>
      </c>
    </row>
    <row r="3131" spans="1:11" hidden="1" x14ac:dyDescent="0.25">
      <c r="A3131" t="str">
        <f t="shared" si="399"/>
        <v>Hastelloy C276Ø5</v>
      </c>
      <c r="B3131" s="81" t="s">
        <v>426</v>
      </c>
      <c r="D3131" s="86">
        <v>5</v>
      </c>
      <c r="E3131" s="85">
        <f t="shared" si="405"/>
        <v>5.0000000000000001E-3</v>
      </c>
      <c r="F3131" s="85">
        <f t="shared" si="406"/>
        <v>2.5000000000000001E-3</v>
      </c>
      <c r="G3131" s="85">
        <f t="shared" si="407"/>
        <v>6.5449846949787352E-8</v>
      </c>
      <c r="H3131" s="85">
        <v>8920</v>
      </c>
      <c r="I3131" s="85">
        <f t="shared" si="410"/>
        <v>5.8381263479210317E-4</v>
      </c>
      <c r="J3131" s="87">
        <v>1</v>
      </c>
      <c r="K3131" s="88">
        <f t="shared" si="411"/>
        <v>1712.8783113029097</v>
      </c>
    </row>
    <row r="3132" spans="1:11" hidden="1" x14ac:dyDescent="0.25">
      <c r="A3132" t="str">
        <f t="shared" si="399"/>
        <v>Hastelloy C276Ø4,7625</v>
      </c>
      <c r="B3132" s="81" t="s">
        <v>426</v>
      </c>
      <c r="C3132" s="101" t="s">
        <v>248</v>
      </c>
      <c r="D3132" s="86">
        <f>3/16*25.4</f>
        <v>4.7624999999999993</v>
      </c>
      <c r="E3132" s="85">
        <f t="shared" si="405"/>
        <v>4.7624999999999994E-3</v>
      </c>
      <c r="F3132" s="85">
        <f t="shared" si="406"/>
        <v>2.3812499999999997E-3</v>
      </c>
      <c r="G3132" s="85">
        <f t="shared" si="407"/>
        <v>5.6559243028167934E-8</v>
      </c>
      <c r="H3132" s="85">
        <v>8920</v>
      </c>
      <c r="I3132" s="85">
        <f t="shared" si="410"/>
        <v>5.0450844781125799E-4</v>
      </c>
      <c r="J3132" s="87">
        <v>1</v>
      </c>
      <c r="K3132" s="88">
        <f t="shared" si="411"/>
        <v>1982.1273644442733</v>
      </c>
    </row>
    <row r="3133" spans="1:11" hidden="1" x14ac:dyDescent="0.25">
      <c r="A3133" t="str">
        <f t="shared" si="399"/>
        <v>PTFEØ2</v>
      </c>
      <c r="B3133" s="81" t="s">
        <v>307</v>
      </c>
      <c r="D3133" s="86">
        <v>2</v>
      </c>
      <c r="E3133" s="85">
        <f t="shared" si="405"/>
        <v>2E-3</v>
      </c>
      <c r="F3133" s="85">
        <f t="shared" si="406"/>
        <v>1E-3</v>
      </c>
      <c r="G3133" s="85">
        <f t="shared" si="407"/>
        <v>4.1887902047863909E-9</v>
      </c>
      <c r="H3133" s="85">
        <v>2160</v>
      </c>
      <c r="I3133" s="85">
        <f t="shared" si="410"/>
        <v>9.0477868423386043E-6</v>
      </c>
      <c r="J3133" s="87">
        <v>1</v>
      </c>
      <c r="K3133" s="88">
        <f t="shared" si="411"/>
        <v>110524.26603603843</v>
      </c>
    </row>
    <row r="3134" spans="1:11" hidden="1" x14ac:dyDescent="0.25">
      <c r="A3134" t="str">
        <f t="shared" si="399"/>
        <v>PTFEØ3</v>
      </c>
      <c r="B3134" s="81" t="s">
        <v>307</v>
      </c>
      <c r="D3134" s="86">
        <v>3</v>
      </c>
      <c r="E3134" s="85">
        <f t="shared" si="405"/>
        <v>3.0000000000000001E-3</v>
      </c>
      <c r="F3134" s="85">
        <f t="shared" si="406"/>
        <v>1.5E-3</v>
      </c>
      <c r="G3134" s="85">
        <f t="shared" si="407"/>
        <v>1.4137166941154068E-8</v>
      </c>
      <c r="H3134" s="85">
        <v>2160</v>
      </c>
      <c r="I3134" s="85">
        <f t="shared" si="410"/>
        <v>3.0536280592892786E-5</v>
      </c>
      <c r="J3134" s="87">
        <v>1</v>
      </c>
      <c r="K3134" s="88">
        <f t="shared" si="411"/>
        <v>32747.930677344724</v>
      </c>
    </row>
    <row r="3135" spans="1:11" hidden="1" x14ac:dyDescent="0.25">
      <c r="A3135" t="str">
        <f t="shared" si="399"/>
        <v>Bronzo AlluminioØ2,778125</v>
      </c>
      <c r="B3135" s="81" t="s">
        <v>348</v>
      </c>
      <c r="C3135" s="101" t="s">
        <v>247</v>
      </c>
      <c r="D3135" s="86">
        <f>7/64*25.4</f>
        <v>2.7781249999999997</v>
      </c>
      <c r="E3135" s="85">
        <f t="shared" si="405"/>
        <v>2.7781249999999998E-3</v>
      </c>
      <c r="F3135" s="85">
        <f t="shared" si="406"/>
        <v>1.3890624999999999E-3</v>
      </c>
      <c r="G3135" s="85">
        <f t="shared" si="407"/>
        <v>1.1226747892743984E-8</v>
      </c>
      <c r="H3135" s="85">
        <v>7660</v>
      </c>
      <c r="I3135" s="85">
        <f t="shared" si="410"/>
        <v>8.5996888858418924E-5</v>
      </c>
      <c r="J3135" s="87">
        <v>1</v>
      </c>
      <c r="K3135" s="88">
        <f t="shared" si="411"/>
        <v>11628.327643879666</v>
      </c>
    </row>
    <row r="3136" spans="1:11" hidden="1" x14ac:dyDescent="0.25">
      <c r="A3136" t="str">
        <f t="shared" si="399"/>
        <v>52100Ø9,128</v>
      </c>
      <c r="B3136" s="81">
        <v>52100</v>
      </c>
      <c r="D3136" s="86">
        <v>9.1280000000000001</v>
      </c>
      <c r="E3136" s="85">
        <f t="shared" si="405"/>
        <v>9.1280000000000007E-3</v>
      </c>
      <c r="F3136" s="85">
        <f t="shared" si="406"/>
        <v>4.5640000000000003E-3</v>
      </c>
      <c r="G3136" s="85">
        <f t="shared" si="407"/>
        <v>3.9822224513675275E-7</v>
      </c>
      <c r="H3136" s="85">
        <v>7800</v>
      </c>
      <c r="I3136" s="85">
        <f t="shared" si="410"/>
        <v>3.1061335120666713E-3</v>
      </c>
      <c r="J3136" s="87">
        <v>1</v>
      </c>
      <c r="K3136" s="88">
        <f t="shared" si="411"/>
        <v>321.94366279337692</v>
      </c>
    </row>
    <row r="3137" spans="1:11" hidden="1" x14ac:dyDescent="0.25">
      <c r="A3137" t="str">
        <f t="shared" si="399"/>
        <v>PPHØ5</v>
      </c>
      <c r="B3137" s="81" t="s">
        <v>202</v>
      </c>
      <c r="D3137" s="86">
        <v>5</v>
      </c>
      <c r="E3137" s="85">
        <f t="shared" si="405"/>
        <v>5.0000000000000001E-3</v>
      </c>
      <c r="F3137" s="85">
        <f t="shared" si="406"/>
        <v>2.5000000000000001E-3</v>
      </c>
      <c r="G3137" s="85">
        <f t="shared" si="407"/>
        <v>6.5449846949787352E-8</v>
      </c>
      <c r="H3137" s="85">
        <v>870</v>
      </c>
      <c r="I3137" s="85">
        <f t="shared" si="410"/>
        <v>5.6941366846314999E-5</v>
      </c>
      <c r="J3137" s="87">
        <v>1</v>
      </c>
      <c r="K3137" s="88">
        <f t="shared" si="411"/>
        <v>17561.924754967764</v>
      </c>
    </row>
    <row r="3138" spans="1:11" hidden="1" x14ac:dyDescent="0.25">
      <c r="A3138" t="str">
        <f t="shared" si="399"/>
        <v>Al2O3Ø3</v>
      </c>
      <c r="B3138" s="81" t="s">
        <v>217</v>
      </c>
      <c r="D3138" s="86">
        <v>3</v>
      </c>
      <c r="E3138" s="85">
        <f t="shared" si="405"/>
        <v>3.0000000000000001E-3</v>
      </c>
      <c r="F3138" s="85">
        <f t="shared" si="406"/>
        <v>1.5E-3</v>
      </c>
      <c r="G3138" s="85">
        <f t="shared" si="407"/>
        <v>1.4137166941154068E-8</v>
      </c>
      <c r="H3138" s="85">
        <v>3900</v>
      </c>
      <c r="I3138" s="85">
        <f t="shared" si="410"/>
        <v>5.5134951070500869E-5</v>
      </c>
      <c r="J3138" s="87">
        <v>1</v>
      </c>
      <c r="K3138" s="88">
        <f t="shared" si="411"/>
        <v>18137.315452067844</v>
      </c>
    </row>
    <row r="3139" spans="1:11" hidden="1" x14ac:dyDescent="0.25">
      <c r="A3139" t="str">
        <f t="shared" si="399"/>
        <v>Al2O3Ø3</v>
      </c>
      <c r="B3139" s="81" t="s">
        <v>217</v>
      </c>
      <c r="D3139" s="86">
        <v>3</v>
      </c>
      <c r="E3139" s="85">
        <f t="shared" si="405"/>
        <v>3.0000000000000001E-3</v>
      </c>
      <c r="F3139" s="85">
        <f t="shared" si="406"/>
        <v>1.5E-3</v>
      </c>
      <c r="G3139" s="85">
        <f t="shared" si="407"/>
        <v>1.4137166941154068E-8</v>
      </c>
      <c r="H3139" s="85">
        <v>3900</v>
      </c>
      <c r="I3139" s="85">
        <f t="shared" si="410"/>
        <v>5.5134951070500869E-5</v>
      </c>
      <c r="J3139" s="87">
        <v>1</v>
      </c>
      <c r="K3139" s="88">
        <f t="shared" si="411"/>
        <v>18137.315452067844</v>
      </c>
    </row>
    <row r="3140" spans="1:11" hidden="1" x14ac:dyDescent="0.25">
      <c r="A3140" t="str">
        <f t="shared" ref="A3140:A3203" si="412">CONCATENATE(B3140,"Ø",D3140)</f>
        <v>CP Ti Grado 2Ø2</v>
      </c>
      <c r="B3140" s="81" t="s">
        <v>427</v>
      </c>
      <c r="D3140" s="86">
        <v>2</v>
      </c>
      <c r="E3140" s="85">
        <f t="shared" si="405"/>
        <v>2E-3</v>
      </c>
      <c r="F3140" s="85">
        <f t="shared" si="406"/>
        <v>1E-3</v>
      </c>
      <c r="G3140" s="85">
        <f t="shared" si="407"/>
        <v>4.1887902047863909E-9</v>
      </c>
      <c r="H3140" s="85">
        <v>4510</v>
      </c>
      <c r="I3140" s="85">
        <f t="shared" si="410"/>
        <v>1.8891443823586622E-5</v>
      </c>
      <c r="J3140" s="87">
        <v>1</v>
      </c>
      <c r="K3140" s="88">
        <f t="shared" si="411"/>
        <v>52934.016549410866</v>
      </c>
    </row>
    <row r="3141" spans="1:11" hidden="1" x14ac:dyDescent="0.25">
      <c r="A3141" t="str">
        <f t="shared" si="412"/>
        <v>CP Ti Grado 2Ø3</v>
      </c>
      <c r="B3141" s="81" t="s">
        <v>427</v>
      </c>
      <c r="D3141" s="86">
        <v>3</v>
      </c>
      <c r="E3141" s="85">
        <f t="shared" si="405"/>
        <v>3.0000000000000001E-3</v>
      </c>
      <c r="F3141" s="85">
        <f t="shared" si="406"/>
        <v>1.5E-3</v>
      </c>
      <c r="G3141" s="85">
        <f t="shared" si="407"/>
        <v>1.4137166941154068E-8</v>
      </c>
      <c r="H3141" s="85">
        <v>4510</v>
      </c>
      <c r="I3141" s="85">
        <f t="shared" si="410"/>
        <v>6.3758622904604845E-5</v>
      </c>
      <c r="J3141" s="87">
        <v>1</v>
      </c>
      <c r="K3141" s="88">
        <f t="shared" si="411"/>
        <v>15684.153051677296</v>
      </c>
    </row>
    <row r="3142" spans="1:11" hidden="1" x14ac:dyDescent="0.25">
      <c r="A3142" t="str">
        <f t="shared" si="412"/>
        <v>CP Ti Grado 2Ø6</v>
      </c>
      <c r="B3142" s="81" t="s">
        <v>427</v>
      </c>
      <c r="D3142" s="86">
        <v>6</v>
      </c>
      <c r="E3142" s="85">
        <f t="shared" si="405"/>
        <v>6.0000000000000001E-3</v>
      </c>
      <c r="F3142" s="85">
        <f t="shared" si="406"/>
        <v>3.0000000000000001E-3</v>
      </c>
      <c r="G3142" s="85">
        <f t="shared" si="407"/>
        <v>1.1309733552923255E-7</v>
      </c>
      <c r="H3142" s="85">
        <v>4510</v>
      </c>
      <c r="I3142" s="85">
        <f t="shared" si="410"/>
        <v>5.1006898323683876E-4</v>
      </c>
      <c r="J3142" s="87">
        <v>1</v>
      </c>
      <c r="K3142" s="88">
        <f t="shared" si="411"/>
        <v>1960.519131459662</v>
      </c>
    </row>
    <row r="3143" spans="1:11" hidden="1" x14ac:dyDescent="0.25">
      <c r="A3143" t="str">
        <f t="shared" si="412"/>
        <v>VESCØ11,1</v>
      </c>
      <c r="B3143" s="81" t="s">
        <v>210</v>
      </c>
      <c r="D3143" s="86">
        <v>11.1</v>
      </c>
      <c r="E3143" s="85">
        <f t="shared" si="405"/>
        <v>1.11E-2</v>
      </c>
      <c r="F3143" s="85">
        <f t="shared" si="406"/>
        <v>5.5500000000000002E-3</v>
      </c>
      <c r="G3143" s="85">
        <f t="shared" si="407"/>
        <v>7.1608991707027712E-7</v>
      </c>
      <c r="H3143" s="85">
        <v>2500</v>
      </c>
      <c r="I3143" s="85">
        <f t="shared" si="410"/>
        <v>1.7902247926756929E-3</v>
      </c>
      <c r="J3143" s="87">
        <v>1</v>
      </c>
      <c r="K3143" s="88">
        <f t="shared" si="411"/>
        <v>558.58906886513796</v>
      </c>
    </row>
    <row r="3144" spans="1:11" hidden="1" x14ac:dyDescent="0.25">
      <c r="A3144" t="str">
        <f t="shared" si="412"/>
        <v>VESCØ11,1</v>
      </c>
      <c r="B3144" s="81" t="s">
        <v>210</v>
      </c>
      <c r="D3144" s="86">
        <v>11.1</v>
      </c>
      <c r="E3144" s="85">
        <f t="shared" si="405"/>
        <v>1.11E-2</v>
      </c>
      <c r="F3144" s="85">
        <f t="shared" si="406"/>
        <v>5.5500000000000002E-3</v>
      </c>
      <c r="G3144" s="85">
        <f t="shared" si="407"/>
        <v>7.1608991707027712E-7</v>
      </c>
      <c r="H3144" s="85">
        <v>2500</v>
      </c>
      <c r="I3144" s="85">
        <f t="shared" si="410"/>
        <v>1.7902247926756929E-3</v>
      </c>
      <c r="J3144" s="87">
        <v>1</v>
      </c>
      <c r="K3144" s="88">
        <f t="shared" si="411"/>
        <v>558.58906886513796</v>
      </c>
    </row>
    <row r="3145" spans="1:11" hidden="1" x14ac:dyDescent="0.25">
      <c r="A3145" t="str">
        <f t="shared" si="412"/>
        <v>PTFEØ8</v>
      </c>
      <c r="B3145" s="81" t="s">
        <v>307</v>
      </c>
      <c r="D3145" s="86">
        <v>8</v>
      </c>
      <c r="E3145" s="85">
        <f t="shared" si="405"/>
        <v>8.0000000000000002E-3</v>
      </c>
      <c r="F3145" s="85">
        <f t="shared" si="406"/>
        <v>4.0000000000000001E-3</v>
      </c>
      <c r="G3145" s="85">
        <f t="shared" si="407"/>
        <v>2.6808257310632902E-7</v>
      </c>
      <c r="H3145" s="85">
        <v>2160</v>
      </c>
      <c r="I3145" s="85">
        <f t="shared" si="410"/>
        <v>5.7905835790967068E-4</v>
      </c>
      <c r="J3145" s="87">
        <v>1</v>
      </c>
      <c r="K3145" s="88">
        <f t="shared" si="411"/>
        <v>1726.9416568131005</v>
      </c>
    </row>
    <row r="3146" spans="1:11" hidden="1" x14ac:dyDescent="0.25">
      <c r="A3146" t="str">
        <f t="shared" si="412"/>
        <v>440CØ0,5</v>
      </c>
      <c r="B3146" s="81" t="s">
        <v>314</v>
      </c>
      <c r="D3146" s="86">
        <v>0.5</v>
      </c>
      <c r="E3146" s="85">
        <f t="shared" si="405"/>
        <v>5.0000000000000001E-4</v>
      </c>
      <c r="F3146" s="85">
        <f t="shared" si="406"/>
        <v>2.5000000000000001E-4</v>
      </c>
      <c r="G3146" s="85">
        <f t="shared" si="407"/>
        <v>6.5449846949787358E-11</v>
      </c>
      <c r="H3146" s="85">
        <v>7700</v>
      </c>
      <c r="I3146" s="85">
        <f t="shared" si="410"/>
        <v>5.0396382151336265E-7</v>
      </c>
      <c r="J3146" s="87">
        <v>1</v>
      </c>
      <c r="K3146" s="88">
        <f t="shared" si="411"/>
        <v>1984269.4203664875</v>
      </c>
    </row>
    <row r="3147" spans="1:11" hidden="1" x14ac:dyDescent="0.25">
      <c r="A3147" t="str">
        <f t="shared" si="412"/>
        <v>420CØ0,5</v>
      </c>
      <c r="B3147" s="81" t="s">
        <v>295</v>
      </c>
      <c r="D3147" s="86">
        <v>0.5</v>
      </c>
      <c r="E3147" s="85">
        <f t="shared" si="405"/>
        <v>5.0000000000000001E-4</v>
      </c>
      <c r="F3147" s="85">
        <f t="shared" si="406"/>
        <v>2.5000000000000001E-4</v>
      </c>
      <c r="G3147" s="85">
        <f t="shared" si="407"/>
        <v>6.5449846949787358E-11</v>
      </c>
      <c r="H3147" s="85">
        <v>7750</v>
      </c>
      <c r="I3147" s="85">
        <f t="shared" si="410"/>
        <v>5.0723631386085197E-7</v>
      </c>
      <c r="J3147" s="87">
        <v>1</v>
      </c>
      <c r="K3147" s="88">
        <f t="shared" si="411"/>
        <v>1971467.6821705748</v>
      </c>
    </row>
    <row r="3148" spans="1:11" hidden="1" x14ac:dyDescent="0.25">
      <c r="A3148" t="str">
        <f t="shared" si="412"/>
        <v>52100Ø5,2</v>
      </c>
      <c r="B3148" s="81">
        <v>52100</v>
      </c>
      <c r="D3148" s="86">
        <v>5.2</v>
      </c>
      <c r="E3148" s="85">
        <f t="shared" si="405"/>
        <v>5.1999999999999998E-3</v>
      </c>
      <c r="F3148" s="85">
        <f t="shared" si="406"/>
        <v>2.5999999999999999E-3</v>
      </c>
      <c r="G3148" s="85">
        <f t="shared" si="407"/>
        <v>7.3622176639325592E-8</v>
      </c>
      <c r="H3148" s="85">
        <v>7800</v>
      </c>
      <c r="I3148" s="85">
        <f t="shared" si="410"/>
        <v>5.7425297778673963E-4</v>
      </c>
      <c r="J3148" s="87">
        <v>1</v>
      </c>
      <c r="K3148" s="88">
        <f t="shared" si="411"/>
        <v>1741.3927984390359</v>
      </c>
    </row>
    <row r="3149" spans="1:11" hidden="1" x14ac:dyDescent="0.25">
      <c r="A3149" t="str">
        <f t="shared" si="412"/>
        <v>420CØ9,525</v>
      </c>
      <c r="B3149" s="81" t="s">
        <v>295</v>
      </c>
      <c r="C3149" s="101" t="s">
        <v>254</v>
      </c>
      <c r="D3149" s="86">
        <f>3/8*25.4</f>
        <v>9.5249999999999986</v>
      </c>
      <c r="E3149" s="85">
        <f t="shared" si="405"/>
        <v>9.5249999999999987E-3</v>
      </c>
      <c r="F3149" s="85">
        <f t="shared" si="406"/>
        <v>4.7624999999999994E-3</v>
      </c>
      <c r="G3149" s="85">
        <f t="shared" si="407"/>
        <v>4.5247394422534347E-7</v>
      </c>
      <c r="H3149" s="85">
        <v>7750</v>
      </c>
      <c r="I3149" s="85">
        <f t="shared" si="410"/>
        <v>3.5066730677464119E-3</v>
      </c>
      <c r="J3149" s="87">
        <v>1</v>
      </c>
      <c r="K3149" s="88">
        <f t="shared" si="411"/>
        <v>285.17058211036965</v>
      </c>
    </row>
    <row r="3150" spans="1:11" hidden="1" x14ac:dyDescent="0.25">
      <c r="A3150" t="str">
        <f t="shared" si="412"/>
        <v>52100Ø1,2</v>
      </c>
      <c r="B3150" s="81">
        <v>52100</v>
      </c>
      <c r="D3150" s="86">
        <v>1.2</v>
      </c>
      <c r="E3150" s="85">
        <f t="shared" si="405"/>
        <v>1.1999999999999999E-3</v>
      </c>
      <c r="F3150" s="85">
        <f t="shared" si="406"/>
        <v>5.9999999999999995E-4</v>
      </c>
      <c r="G3150" s="85">
        <f t="shared" si="407"/>
        <v>9.0477868423386013E-10</v>
      </c>
      <c r="H3150" s="85">
        <v>7800</v>
      </c>
      <c r="I3150" s="85">
        <f t="shared" si="410"/>
        <v>7.0572737370241092E-6</v>
      </c>
      <c r="J3150" s="87">
        <v>1</v>
      </c>
      <c r="K3150" s="88">
        <f t="shared" si="411"/>
        <v>141697.77696928009</v>
      </c>
    </row>
    <row r="3151" spans="1:11" hidden="1" x14ac:dyDescent="0.25">
      <c r="A3151" t="str">
        <f t="shared" si="412"/>
        <v>440CØ2,778125</v>
      </c>
      <c r="B3151" s="81" t="s">
        <v>314</v>
      </c>
      <c r="C3151" s="101" t="s">
        <v>247</v>
      </c>
      <c r="D3151" s="86">
        <f>7/64*25.4</f>
        <v>2.7781249999999997</v>
      </c>
      <c r="E3151" s="85">
        <f t="shared" si="405"/>
        <v>2.7781249999999998E-3</v>
      </c>
      <c r="F3151" s="85">
        <f t="shared" si="406"/>
        <v>1.3890624999999999E-3</v>
      </c>
      <c r="G3151" s="85">
        <f t="shared" si="407"/>
        <v>1.1226747892743984E-8</v>
      </c>
      <c r="H3151" s="85">
        <v>7700</v>
      </c>
      <c r="I3151" s="85">
        <f t="shared" si="410"/>
        <v>8.6445958774128683E-5</v>
      </c>
      <c r="J3151" s="87">
        <v>1</v>
      </c>
      <c r="K3151" s="88">
        <f t="shared" si="411"/>
        <v>11567.920747028344</v>
      </c>
    </row>
    <row r="3152" spans="1:11" hidden="1" x14ac:dyDescent="0.25">
      <c r="A3152" t="str">
        <f t="shared" si="412"/>
        <v>420CØ7,9375</v>
      </c>
      <c r="B3152" s="81" t="s">
        <v>295</v>
      </c>
      <c r="C3152" s="101" t="s">
        <v>252</v>
      </c>
      <c r="D3152" s="86">
        <f>5/16*25.4</f>
        <v>7.9375</v>
      </c>
      <c r="E3152" s="85">
        <f t="shared" si="405"/>
        <v>7.9375000000000001E-3</v>
      </c>
      <c r="F3152" s="85">
        <f t="shared" si="406"/>
        <v>3.9687500000000001E-3</v>
      </c>
      <c r="G3152" s="85">
        <f t="shared" si="407"/>
        <v>2.6184834735262947E-7</v>
      </c>
      <c r="H3152" s="85">
        <v>7750</v>
      </c>
      <c r="I3152" s="85">
        <f t="shared" si="410"/>
        <v>2.0293246919828784E-3</v>
      </c>
      <c r="J3152" s="87">
        <v>1</v>
      </c>
      <c r="K3152" s="88">
        <f t="shared" si="411"/>
        <v>492.77476588671846</v>
      </c>
    </row>
    <row r="3153" spans="1:11" hidden="1" x14ac:dyDescent="0.25">
      <c r="A3153" t="str">
        <f t="shared" si="412"/>
        <v>420CØ4,05</v>
      </c>
      <c r="B3153" s="81" t="s">
        <v>295</v>
      </c>
      <c r="D3153" s="86">
        <v>4.05</v>
      </c>
      <c r="E3153" s="85">
        <f t="shared" si="405"/>
        <v>4.0499999999999998E-3</v>
      </c>
      <c r="F3153" s="85">
        <f t="shared" si="406"/>
        <v>2.0249999999999999E-3</v>
      </c>
      <c r="G3153" s="85">
        <f t="shared" si="407"/>
        <v>3.478273211284193E-8</v>
      </c>
      <c r="H3153" s="85">
        <v>7750</v>
      </c>
      <c r="I3153" s="85">
        <f t="shared" si="410"/>
        <v>2.6956617387452497E-4</v>
      </c>
      <c r="J3153" s="87">
        <v>1</v>
      </c>
      <c r="K3153" s="88">
        <f t="shared" si="411"/>
        <v>3709.664256560136</v>
      </c>
    </row>
    <row r="3154" spans="1:11" hidden="1" x14ac:dyDescent="0.25">
      <c r="A3154" t="str">
        <f t="shared" si="412"/>
        <v>PPHØ6,35</v>
      </c>
      <c r="B3154" s="81" t="s">
        <v>202</v>
      </c>
      <c r="C3154" s="101" t="s">
        <v>218</v>
      </c>
      <c r="D3154" s="86">
        <f>1/4*25.4</f>
        <v>6.35</v>
      </c>
      <c r="E3154" s="85">
        <f t="shared" si="405"/>
        <v>6.3499999999999997E-3</v>
      </c>
      <c r="F3154" s="85">
        <f t="shared" si="406"/>
        <v>3.1749999999999999E-3</v>
      </c>
      <c r="G3154" s="85">
        <f t="shared" si="407"/>
        <v>1.3406635384454623E-7</v>
      </c>
      <c r="H3154" s="85">
        <v>870</v>
      </c>
      <c r="I3154" s="85">
        <f t="shared" si="410"/>
        <v>1.1663772784475523E-4</v>
      </c>
      <c r="J3154" s="87">
        <v>1</v>
      </c>
      <c r="K3154" s="88">
        <f t="shared" si="411"/>
        <v>8573.5552164647761</v>
      </c>
    </row>
    <row r="3155" spans="1:11" hidden="1" x14ac:dyDescent="0.25">
      <c r="A3155" t="str">
        <f t="shared" si="412"/>
        <v>1010Ø7,9375</v>
      </c>
      <c r="B3155" s="81">
        <v>1010</v>
      </c>
      <c r="C3155" s="101" t="s">
        <v>252</v>
      </c>
      <c r="D3155" s="86">
        <f>5/16*25.4</f>
        <v>7.9375</v>
      </c>
      <c r="E3155" s="85">
        <f t="shared" si="405"/>
        <v>7.9375000000000001E-3</v>
      </c>
      <c r="F3155" s="85">
        <f t="shared" si="406"/>
        <v>3.9687500000000001E-3</v>
      </c>
      <c r="G3155" s="85">
        <f t="shared" si="407"/>
        <v>2.6184834735262947E-7</v>
      </c>
      <c r="H3155" s="85">
        <v>7820</v>
      </c>
      <c r="I3155" s="85">
        <f t="shared" si="410"/>
        <v>2.0476540762975623E-3</v>
      </c>
      <c r="J3155" s="87">
        <v>1</v>
      </c>
      <c r="K3155" s="88">
        <f t="shared" si="411"/>
        <v>488.36373857059698</v>
      </c>
    </row>
    <row r="3156" spans="1:11" hidden="1" x14ac:dyDescent="0.25">
      <c r="A3156" t="str">
        <f t="shared" si="412"/>
        <v>420CØ1,2</v>
      </c>
      <c r="B3156" s="81" t="s">
        <v>295</v>
      </c>
      <c r="D3156" s="86">
        <v>1.2</v>
      </c>
      <c r="E3156" s="85">
        <f t="shared" si="405"/>
        <v>1.1999999999999999E-3</v>
      </c>
      <c r="F3156" s="85">
        <f t="shared" si="406"/>
        <v>5.9999999999999995E-4</v>
      </c>
      <c r="G3156" s="85">
        <f t="shared" si="407"/>
        <v>9.0477868423386013E-10</v>
      </c>
      <c r="H3156" s="85">
        <v>7750</v>
      </c>
      <c r="I3156" s="85">
        <f t="shared" si="410"/>
        <v>7.0120348028124162E-6</v>
      </c>
      <c r="J3156" s="87">
        <v>1</v>
      </c>
      <c r="K3156" s="88">
        <f t="shared" si="411"/>
        <v>142611.9561755335</v>
      </c>
    </row>
    <row r="3157" spans="1:11" hidden="1" x14ac:dyDescent="0.25">
      <c r="A3157" t="str">
        <f t="shared" si="412"/>
        <v>52100Ø0,78</v>
      </c>
      <c r="B3157" s="81">
        <v>52100</v>
      </c>
      <c r="D3157" s="86">
        <v>0.78</v>
      </c>
      <c r="E3157" s="85">
        <f t="shared" si="405"/>
        <v>7.7999999999999999E-4</v>
      </c>
      <c r="F3157" s="85">
        <f t="shared" si="406"/>
        <v>3.8999999999999999E-4</v>
      </c>
      <c r="G3157" s="85">
        <f t="shared" si="407"/>
        <v>2.4847484615772389E-10</v>
      </c>
      <c r="H3157" s="85">
        <v>7800</v>
      </c>
      <c r="I3157" s="85">
        <f t="shared" si="410"/>
        <v>1.9381038000302462E-6</v>
      </c>
      <c r="J3157" s="87">
        <v>1</v>
      </c>
      <c r="K3157" s="88">
        <f t="shared" si="411"/>
        <v>515968.23657452915</v>
      </c>
    </row>
    <row r="3158" spans="1:11" hidden="1" x14ac:dyDescent="0.25">
      <c r="A3158" t="str">
        <f t="shared" si="412"/>
        <v>PTFEØ6</v>
      </c>
      <c r="B3158" s="81" t="s">
        <v>307</v>
      </c>
      <c r="D3158" s="86">
        <v>6</v>
      </c>
      <c r="E3158" s="85">
        <f t="shared" si="405"/>
        <v>6.0000000000000001E-3</v>
      </c>
      <c r="F3158" s="85">
        <f t="shared" si="406"/>
        <v>3.0000000000000001E-3</v>
      </c>
      <c r="G3158" s="85">
        <f t="shared" si="407"/>
        <v>1.1309733552923255E-7</v>
      </c>
      <c r="H3158" s="85">
        <v>2160</v>
      </c>
      <c r="I3158" s="85">
        <f t="shared" si="410"/>
        <v>2.4429024474314229E-4</v>
      </c>
      <c r="J3158" s="87">
        <v>1</v>
      </c>
      <c r="K3158" s="88">
        <f t="shared" si="411"/>
        <v>4093.4913346680905</v>
      </c>
    </row>
    <row r="3159" spans="1:11" hidden="1" x14ac:dyDescent="0.25">
      <c r="A3159" t="str">
        <f t="shared" si="412"/>
        <v>PTFEØ6</v>
      </c>
      <c r="B3159" s="81" t="s">
        <v>307</v>
      </c>
      <c r="D3159" s="86">
        <v>6</v>
      </c>
      <c r="E3159" s="85">
        <f t="shared" si="405"/>
        <v>6.0000000000000001E-3</v>
      </c>
      <c r="F3159" s="85">
        <f t="shared" si="406"/>
        <v>3.0000000000000001E-3</v>
      </c>
      <c r="G3159" s="85">
        <f t="shared" si="407"/>
        <v>1.1309733552923255E-7</v>
      </c>
      <c r="H3159" s="85">
        <v>2160</v>
      </c>
      <c r="I3159" s="85">
        <f t="shared" si="410"/>
        <v>2.4429024474314229E-4</v>
      </c>
      <c r="J3159" s="87">
        <v>1</v>
      </c>
      <c r="K3159" s="88">
        <f t="shared" si="411"/>
        <v>4093.4913346680905</v>
      </c>
    </row>
    <row r="3160" spans="1:11" hidden="1" x14ac:dyDescent="0.25">
      <c r="A3160" t="str">
        <f t="shared" si="412"/>
        <v>ZrO2Ø5</v>
      </c>
      <c r="B3160" s="81" t="s">
        <v>205</v>
      </c>
      <c r="D3160" s="86">
        <v>5</v>
      </c>
      <c r="E3160" s="85">
        <f t="shared" si="405"/>
        <v>5.0000000000000001E-3</v>
      </c>
      <c r="F3160" s="85">
        <f t="shared" si="406"/>
        <v>2.5000000000000001E-3</v>
      </c>
      <c r="G3160" s="85">
        <f t="shared" si="407"/>
        <v>6.5449846949787352E-8</v>
      </c>
      <c r="H3160" s="85">
        <v>6000</v>
      </c>
      <c r="I3160" s="85">
        <f t="shared" si="410"/>
        <v>3.9269908169872411E-4</v>
      </c>
      <c r="J3160" s="87">
        <v>1</v>
      </c>
      <c r="K3160" s="88">
        <f t="shared" si="411"/>
        <v>2546.4790894703256</v>
      </c>
    </row>
    <row r="3161" spans="1:11" hidden="1" x14ac:dyDescent="0.25">
      <c r="A3161" t="str">
        <f t="shared" si="412"/>
        <v>316Ø4,7625</v>
      </c>
      <c r="B3161" s="81">
        <v>316</v>
      </c>
      <c r="C3161" s="101" t="s">
        <v>248</v>
      </c>
      <c r="D3161" s="86">
        <f>3/16*25.4</f>
        <v>4.7624999999999993</v>
      </c>
      <c r="E3161" s="85">
        <f t="shared" si="405"/>
        <v>4.7624999999999994E-3</v>
      </c>
      <c r="F3161" s="85">
        <f t="shared" si="406"/>
        <v>2.3812499999999997E-3</v>
      </c>
      <c r="G3161" s="85">
        <f t="shared" si="407"/>
        <v>5.6559243028167934E-8</v>
      </c>
      <c r="H3161" s="85">
        <v>7950</v>
      </c>
      <c r="I3161" s="85">
        <f t="shared" si="410"/>
        <v>4.4964598207393507E-4</v>
      </c>
      <c r="J3161" s="87">
        <v>1</v>
      </c>
      <c r="K3161" s="88">
        <f t="shared" si="411"/>
        <v>2223.9718353261533</v>
      </c>
    </row>
    <row r="3162" spans="1:11" hidden="1" x14ac:dyDescent="0.25">
      <c r="A3162" t="str">
        <f t="shared" si="412"/>
        <v>Bronzo AlluminioØ3,175</v>
      </c>
      <c r="B3162" s="81" t="s">
        <v>348</v>
      </c>
      <c r="C3162" s="101" t="s">
        <v>214</v>
      </c>
      <c r="D3162" s="86">
        <f>1/8*25.4</f>
        <v>3.1749999999999998</v>
      </c>
      <c r="E3162" s="85">
        <f t="shared" si="405"/>
        <v>3.1749999999999999E-3</v>
      </c>
      <c r="F3162" s="85">
        <f t="shared" si="406"/>
        <v>1.5874999999999999E-3</v>
      </c>
      <c r="G3162" s="85">
        <f t="shared" si="407"/>
        <v>1.6758294230568279E-8</v>
      </c>
      <c r="H3162" s="85">
        <v>7660</v>
      </c>
      <c r="I3162" s="85">
        <f t="shared" si="410"/>
        <v>1.2836853380615302E-4</v>
      </c>
      <c r="J3162" s="87">
        <v>1</v>
      </c>
      <c r="K3162" s="88">
        <f t="shared" si="411"/>
        <v>7790.0710583021983</v>
      </c>
    </row>
    <row r="3163" spans="1:11" hidden="1" x14ac:dyDescent="0.25">
      <c r="A3163" t="str">
        <f t="shared" si="412"/>
        <v>TiAl6V4 (G5)Ø3,175</v>
      </c>
      <c r="B3163" s="81" t="s">
        <v>305</v>
      </c>
      <c r="C3163" s="101" t="s">
        <v>214</v>
      </c>
      <c r="D3163" s="86">
        <f>1/8*25.4</f>
        <v>3.1749999999999998</v>
      </c>
      <c r="E3163" s="85">
        <f t="shared" si="405"/>
        <v>3.1749999999999999E-3</v>
      </c>
      <c r="F3163" s="85">
        <f t="shared" si="406"/>
        <v>1.5874999999999999E-3</v>
      </c>
      <c r="G3163" s="85">
        <f t="shared" si="407"/>
        <v>1.6758294230568279E-8</v>
      </c>
      <c r="H3163" s="85">
        <v>4450</v>
      </c>
      <c r="I3163" s="85">
        <f t="shared" si="410"/>
        <v>7.4574409326028836E-5</v>
      </c>
      <c r="J3163" s="87">
        <v>1</v>
      </c>
      <c r="K3163" s="88">
        <f t="shared" si="411"/>
        <v>13409.425686875245</v>
      </c>
    </row>
    <row r="3164" spans="1:11" hidden="1" x14ac:dyDescent="0.25">
      <c r="A3164" t="str">
        <f t="shared" si="412"/>
        <v>316LØ0,79375</v>
      </c>
      <c r="B3164" s="81" t="s">
        <v>298</v>
      </c>
      <c r="C3164" s="101" t="s">
        <v>241</v>
      </c>
      <c r="D3164" s="86">
        <f>1/32*25.4</f>
        <v>0.79374999999999996</v>
      </c>
      <c r="E3164" s="85">
        <f t="shared" si="405"/>
        <v>7.9374999999999997E-4</v>
      </c>
      <c r="F3164" s="85">
        <f t="shared" si="406"/>
        <v>3.9687499999999998E-4</v>
      </c>
      <c r="G3164" s="85">
        <f t="shared" si="407"/>
        <v>2.6184834735262936E-10</v>
      </c>
      <c r="H3164" s="85">
        <v>7950</v>
      </c>
      <c r="I3164" s="85">
        <f t="shared" si="410"/>
        <v>2.0816943614534033E-6</v>
      </c>
      <c r="J3164" s="87">
        <v>1</v>
      </c>
      <c r="K3164" s="88">
        <f t="shared" si="411"/>
        <v>480377.91643044906</v>
      </c>
    </row>
    <row r="3165" spans="1:11" hidden="1" x14ac:dyDescent="0.25">
      <c r="A3165" t="str">
        <f t="shared" si="412"/>
        <v>316LØ1</v>
      </c>
      <c r="B3165" s="81" t="s">
        <v>298</v>
      </c>
      <c r="D3165" s="86">
        <v>1</v>
      </c>
      <c r="E3165" s="85">
        <f t="shared" si="405"/>
        <v>1E-3</v>
      </c>
      <c r="F3165" s="85">
        <f t="shared" si="406"/>
        <v>5.0000000000000001E-4</v>
      </c>
      <c r="G3165" s="85">
        <f t="shared" si="407"/>
        <v>5.2359877559829886E-10</v>
      </c>
      <c r="H3165" s="85">
        <v>7950</v>
      </c>
      <c r="I3165" s="85">
        <f t="shared" si="410"/>
        <v>4.1626102660064759E-6</v>
      </c>
      <c r="J3165" s="87">
        <v>1</v>
      </c>
      <c r="K3165" s="88">
        <f t="shared" si="411"/>
        <v>240233.87636512503</v>
      </c>
    </row>
    <row r="3166" spans="1:11" hidden="1" x14ac:dyDescent="0.25">
      <c r="A3166" t="str">
        <f t="shared" si="412"/>
        <v>Al2O3Ø1</v>
      </c>
      <c r="B3166" s="81" t="s">
        <v>217</v>
      </c>
      <c r="D3166" s="86">
        <v>1</v>
      </c>
      <c r="E3166" s="85">
        <f t="shared" si="405"/>
        <v>1E-3</v>
      </c>
      <c r="F3166" s="85">
        <f t="shared" si="406"/>
        <v>5.0000000000000001E-4</v>
      </c>
      <c r="G3166" s="85">
        <f t="shared" si="407"/>
        <v>5.2359877559829886E-10</v>
      </c>
      <c r="H3166" s="85">
        <v>3900</v>
      </c>
      <c r="I3166" s="85">
        <f t="shared" si="410"/>
        <v>2.0420352248333656E-6</v>
      </c>
      <c r="J3166" s="87">
        <v>1</v>
      </c>
      <c r="K3166" s="88">
        <f t="shared" si="411"/>
        <v>489707.51720583183</v>
      </c>
    </row>
    <row r="3167" spans="1:11" hidden="1" x14ac:dyDescent="0.25">
      <c r="A3167" t="str">
        <f t="shared" si="412"/>
        <v>Al2O3Ø1,5</v>
      </c>
      <c r="B3167" s="81" t="s">
        <v>217</v>
      </c>
      <c r="D3167" s="86">
        <v>1.5</v>
      </c>
      <c r="E3167" s="85">
        <f t="shared" si="405"/>
        <v>1.5E-3</v>
      </c>
      <c r="F3167" s="85">
        <f t="shared" si="406"/>
        <v>7.5000000000000002E-4</v>
      </c>
      <c r="G3167" s="85">
        <f t="shared" si="407"/>
        <v>1.7671458676442585E-9</v>
      </c>
      <c r="H3167" s="85">
        <v>3900</v>
      </c>
      <c r="I3167" s="85">
        <f t="shared" si="410"/>
        <v>6.8918688838126086E-6</v>
      </c>
      <c r="J3167" s="87">
        <v>1</v>
      </c>
      <c r="K3167" s="88">
        <f t="shared" si="411"/>
        <v>145098.52361654275</v>
      </c>
    </row>
    <row r="3168" spans="1:11" hidden="1" x14ac:dyDescent="0.25">
      <c r="A3168" t="str">
        <f t="shared" si="412"/>
        <v>WC-CoØ14,2494</v>
      </c>
      <c r="B3168" s="81" t="s">
        <v>297</v>
      </c>
      <c r="D3168" s="86">
        <v>14.2494</v>
      </c>
      <c r="E3168" s="85">
        <f t="shared" si="405"/>
        <v>1.4249399999999999E-2</v>
      </c>
      <c r="F3168" s="85">
        <f t="shared" si="406"/>
        <v>7.1246999999999994E-3</v>
      </c>
      <c r="G3168" s="85">
        <f t="shared" si="407"/>
        <v>1.514915314432102E-6</v>
      </c>
      <c r="H3168" s="85">
        <v>14950</v>
      </c>
      <c r="I3168" s="85">
        <f t="shared" si="410"/>
        <v>2.2647983950759926E-2</v>
      </c>
      <c r="J3168" s="87">
        <v>1</v>
      </c>
      <c r="K3168" s="88">
        <f t="shared" si="411"/>
        <v>44.15404047327781</v>
      </c>
    </row>
    <row r="3169" spans="1:11" hidden="1" x14ac:dyDescent="0.25">
      <c r="A3169" t="str">
        <f t="shared" si="412"/>
        <v>PPHØ6</v>
      </c>
      <c r="B3169" s="81" t="s">
        <v>202</v>
      </c>
      <c r="D3169" s="86">
        <v>6</v>
      </c>
      <c r="E3169" s="85">
        <f t="shared" si="405"/>
        <v>6.0000000000000001E-3</v>
      </c>
      <c r="F3169" s="85">
        <f t="shared" si="406"/>
        <v>3.0000000000000001E-3</v>
      </c>
      <c r="G3169" s="85">
        <f t="shared" si="407"/>
        <v>1.1309733552923255E-7</v>
      </c>
      <c r="H3169" s="85">
        <v>870</v>
      </c>
      <c r="I3169" s="85">
        <f t="shared" si="410"/>
        <v>9.8394681910432316E-5</v>
      </c>
      <c r="J3169" s="87">
        <v>1</v>
      </c>
      <c r="K3169" s="88">
        <f t="shared" si="411"/>
        <v>10163.150899865603</v>
      </c>
    </row>
    <row r="3170" spans="1:11" hidden="1" x14ac:dyDescent="0.25">
      <c r="A3170" t="str">
        <f t="shared" si="412"/>
        <v>PPHØ7</v>
      </c>
      <c r="B3170" s="81" t="s">
        <v>202</v>
      </c>
      <c r="D3170" s="86">
        <v>7</v>
      </c>
      <c r="E3170" s="85">
        <f t="shared" si="405"/>
        <v>7.0000000000000001E-3</v>
      </c>
      <c r="F3170" s="85">
        <f t="shared" si="406"/>
        <v>3.5000000000000001E-3</v>
      </c>
      <c r="G3170" s="85">
        <f t="shared" si="407"/>
        <v>1.7959438003021651E-7</v>
      </c>
      <c r="H3170" s="85">
        <v>870</v>
      </c>
      <c r="I3170" s="85">
        <f t="shared" si="410"/>
        <v>1.5624711062628836E-4</v>
      </c>
      <c r="J3170" s="87">
        <v>1</v>
      </c>
      <c r="K3170" s="88">
        <f t="shared" si="411"/>
        <v>6400.1183509357734</v>
      </c>
    </row>
    <row r="3171" spans="1:11" hidden="1" x14ac:dyDescent="0.25">
      <c r="A3171" t="str">
        <f t="shared" si="412"/>
        <v>PPHØ7,9375</v>
      </c>
      <c r="B3171" s="81" t="s">
        <v>202</v>
      </c>
      <c r="C3171" s="101" t="s">
        <v>252</v>
      </c>
      <c r="D3171" s="86">
        <f>5/16*25.4</f>
        <v>7.9375</v>
      </c>
      <c r="E3171" s="85">
        <f t="shared" si="405"/>
        <v>7.9375000000000001E-3</v>
      </c>
      <c r="F3171" s="85">
        <f t="shared" si="406"/>
        <v>3.9687500000000001E-3</v>
      </c>
      <c r="G3171" s="85">
        <f t="shared" si="407"/>
        <v>2.6184834735262947E-7</v>
      </c>
      <c r="H3171" s="85">
        <v>870</v>
      </c>
      <c r="I3171" s="85">
        <f t="shared" si="410"/>
        <v>2.2780806219678765E-4</v>
      </c>
      <c r="J3171" s="87">
        <v>1</v>
      </c>
      <c r="K3171" s="88">
        <f t="shared" si="411"/>
        <v>4389.6602708299633</v>
      </c>
    </row>
    <row r="3172" spans="1:11" hidden="1" x14ac:dyDescent="0.25">
      <c r="A3172" t="str">
        <f t="shared" si="412"/>
        <v>420CØ5</v>
      </c>
      <c r="B3172" s="81" t="s">
        <v>295</v>
      </c>
      <c r="D3172" s="86">
        <v>5</v>
      </c>
      <c r="E3172" s="85">
        <f t="shared" si="405"/>
        <v>5.0000000000000001E-3</v>
      </c>
      <c r="F3172" s="85">
        <f t="shared" si="406"/>
        <v>2.5000000000000001E-3</v>
      </c>
      <c r="G3172" s="85">
        <f t="shared" si="407"/>
        <v>6.5449846949787352E-8</v>
      </c>
      <c r="H3172" s="85">
        <v>7750</v>
      </c>
      <c r="I3172" s="85">
        <f t="shared" si="410"/>
        <v>5.0723631386085201E-4</v>
      </c>
      <c r="J3172" s="87">
        <v>1</v>
      </c>
      <c r="K3172" s="88">
        <f t="shared" si="411"/>
        <v>1971.4676821705746</v>
      </c>
    </row>
    <row r="3173" spans="1:11" hidden="1" x14ac:dyDescent="0.25">
      <c r="A3173" t="str">
        <f t="shared" si="412"/>
        <v>304Ø5</v>
      </c>
      <c r="B3173" s="81">
        <v>304</v>
      </c>
      <c r="D3173" s="86">
        <v>5</v>
      </c>
      <c r="E3173" s="85">
        <f t="shared" ref="E3173:E3236" si="413">D3173/1000</f>
        <v>5.0000000000000001E-3</v>
      </c>
      <c r="F3173" s="85">
        <f t="shared" ref="F3173:F3236" si="414">E3173/2</f>
        <v>2.5000000000000001E-3</v>
      </c>
      <c r="G3173" s="85">
        <f t="shared" ref="G3173:G3236" si="415">4/3*PI()*F3173*F3173*F3173</f>
        <v>6.5449846949787352E-8</v>
      </c>
      <c r="H3173" s="85">
        <v>7950</v>
      </c>
      <c r="I3173" s="85">
        <f t="shared" si="410"/>
        <v>5.2032628325080941E-4</v>
      </c>
      <c r="J3173" s="87">
        <v>1</v>
      </c>
      <c r="K3173" s="88">
        <f t="shared" si="411"/>
        <v>1921.8710109210006</v>
      </c>
    </row>
    <row r="3174" spans="1:11" hidden="1" x14ac:dyDescent="0.25">
      <c r="A3174" t="str">
        <f t="shared" si="412"/>
        <v>430Ø3,175</v>
      </c>
      <c r="B3174" s="81">
        <v>430</v>
      </c>
      <c r="C3174" s="101" t="s">
        <v>214</v>
      </c>
      <c r="D3174" s="86">
        <f>1/8*25.4</f>
        <v>3.1749999999999998</v>
      </c>
      <c r="E3174" s="85">
        <f t="shared" si="413"/>
        <v>3.1749999999999999E-3</v>
      </c>
      <c r="F3174" s="85">
        <f t="shared" si="414"/>
        <v>1.5874999999999999E-3</v>
      </c>
      <c r="G3174" s="85">
        <f t="shared" si="415"/>
        <v>1.6758294230568279E-8</v>
      </c>
      <c r="H3174" s="85">
        <v>7730</v>
      </c>
      <c r="I3174" s="85">
        <f t="shared" si="410"/>
        <v>1.2954161440229279E-4</v>
      </c>
      <c r="J3174" s="87">
        <v>1</v>
      </c>
      <c r="K3174" s="88">
        <f t="shared" si="411"/>
        <v>7719.527077179152</v>
      </c>
    </row>
    <row r="3175" spans="1:11" hidden="1" x14ac:dyDescent="0.25">
      <c r="A3175" t="str">
        <f t="shared" si="412"/>
        <v>Bronzo FosforosoØ3,175</v>
      </c>
      <c r="B3175" s="81" t="s">
        <v>294</v>
      </c>
      <c r="C3175" s="101" t="s">
        <v>214</v>
      </c>
      <c r="D3175" s="86">
        <f>1/8*25.4</f>
        <v>3.1749999999999998</v>
      </c>
      <c r="E3175" s="85">
        <f t="shared" si="413"/>
        <v>3.1749999999999999E-3</v>
      </c>
      <c r="F3175" s="85">
        <f t="shared" si="414"/>
        <v>1.5874999999999999E-3</v>
      </c>
      <c r="G3175" s="85">
        <f t="shared" si="415"/>
        <v>1.6758294230568279E-8</v>
      </c>
      <c r="H3175" s="85">
        <v>8920</v>
      </c>
      <c r="I3175" s="85">
        <f t="shared" si="410"/>
        <v>1.4948398453666905E-4</v>
      </c>
      <c r="J3175" s="87">
        <v>1</v>
      </c>
      <c r="K3175" s="88">
        <f t="shared" si="411"/>
        <v>6689.6798549994219</v>
      </c>
    </row>
    <row r="3176" spans="1:11" hidden="1" x14ac:dyDescent="0.25">
      <c r="A3176" t="str">
        <f t="shared" si="412"/>
        <v>304Ø34,925</v>
      </c>
      <c r="B3176" s="81">
        <v>304</v>
      </c>
      <c r="C3176" s="101" t="s">
        <v>281</v>
      </c>
      <c r="D3176" s="86">
        <f>25.4+3/8*25.4</f>
        <v>34.924999999999997</v>
      </c>
      <c r="E3176" s="85">
        <f t="shared" si="413"/>
        <v>3.4924999999999998E-2</v>
      </c>
      <c r="F3176" s="85">
        <f t="shared" si="414"/>
        <v>1.7462499999999999E-2</v>
      </c>
      <c r="G3176" s="85">
        <f t="shared" si="415"/>
        <v>2.230528962088638E-5</v>
      </c>
      <c r="H3176" s="85">
        <v>7950</v>
      </c>
      <c r="I3176" s="85">
        <f t="shared" si="410"/>
        <v>0.17732705248604672</v>
      </c>
      <c r="J3176" s="87">
        <v>1</v>
      </c>
      <c r="K3176" s="88">
        <f t="shared" si="411"/>
        <v>5.6392974787571495</v>
      </c>
    </row>
    <row r="3177" spans="1:11" hidden="1" x14ac:dyDescent="0.25">
      <c r="A3177" t="str">
        <f t="shared" si="412"/>
        <v>304Ø39,6875</v>
      </c>
      <c r="B3177" s="81">
        <v>304</v>
      </c>
      <c r="C3177" s="101" t="s">
        <v>284</v>
      </c>
      <c r="D3177" s="86">
        <f>25.4+9/16*25.4</f>
        <v>39.6875</v>
      </c>
      <c r="E3177" s="85">
        <f t="shared" si="413"/>
        <v>3.9687500000000001E-2</v>
      </c>
      <c r="F3177" s="85">
        <f t="shared" si="414"/>
        <v>1.984375E-2</v>
      </c>
      <c r="G3177" s="85">
        <f t="shared" si="415"/>
        <v>3.2731043419078678E-5</v>
      </c>
      <c r="H3177" s="85">
        <v>7950</v>
      </c>
      <c r="I3177" s="85">
        <f t="shared" si="410"/>
        <v>0.26021179518167548</v>
      </c>
      <c r="J3177" s="87">
        <v>1</v>
      </c>
      <c r="K3177" s="88">
        <f t="shared" si="411"/>
        <v>3.8430233314435918</v>
      </c>
    </row>
    <row r="3178" spans="1:11" hidden="1" x14ac:dyDescent="0.25">
      <c r="A3178" t="str">
        <f t="shared" si="412"/>
        <v>HDPEØ20</v>
      </c>
      <c r="B3178" s="81" t="s">
        <v>322</v>
      </c>
      <c r="D3178" s="86">
        <v>20</v>
      </c>
      <c r="E3178" s="85">
        <f t="shared" si="413"/>
        <v>0.02</v>
      </c>
      <c r="F3178" s="85">
        <f t="shared" si="414"/>
        <v>0.01</v>
      </c>
      <c r="G3178" s="85">
        <f t="shared" si="415"/>
        <v>4.1887902047863905E-6</v>
      </c>
      <c r="H3178" s="85">
        <v>970</v>
      </c>
      <c r="I3178" s="85">
        <f t="shared" si="410"/>
        <v>4.0631264986427992E-3</v>
      </c>
      <c r="J3178" s="87">
        <v>1</v>
      </c>
      <c r="K3178" s="88">
        <f t="shared" si="411"/>
        <v>246.11589137921959</v>
      </c>
    </row>
    <row r="3179" spans="1:11" hidden="1" x14ac:dyDescent="0.25">
      <c r="A3179" t="str">
        <f t="shared" si="412"/>
        <v>HDPEØ25,4</v>
      </c>
      <c r="B3179" s="81" t="s">
        <v>322</v>
      </c>
      <c r="C3179" s="101" t="s">
        <v>255</v>
      </c>
      <c r="D3179" s="86">
        <f>1*25.4</f>
        <v>25.4</v>
      </c>
      <c r="E3179" s="85">
        <f t="shared" si="413"/>
        <v>2.5399999999999999E-2</v>
      </c>
      <c r="F3179" s="85">
        <f t="shared" si="414"/>
        <v>1.2699999999999999E-2</v>
      </c>
      <c r="G3179" s="85">
        <f t="shared" si="415"/>
        <v>8.5802466460509588E-6</v>
      </c>
      <c r="H3179" s="85">
        <v>970</v>
      </c>
      <c r="I3179" s="85">
        <f t="shared" si="410"/>
        <v>8.32283924666943E-3</v>
      </c>
      <c r="J3179" s="87">
        <v>1</v>
      </c>
      <c r="K3179" s="88">
        <f t="shared" si="411"/>
        <v>120.15130538537943</v>
      </c>
    </row>
    <row r="3180" spans="1:11" hidden="1" x14ac:dyDescent="0.25">
      <c r="A3180" t="str">
        <f t="shared" si="412"/>
        <v>LDPEØ20</v>
      </c>
      <c r="B3180" s="81" t="s">
        <v>321</v>
      </c>
      <c r="D3180" s="86">
        <v>20</v>
      </c>
      <c r="E3180" s="85">
        <f t="shared" si="413"/>
        <v>0.02</v>
      </c>
      <c r="F3180" s="85">
        <f t="shared" si="414"/>
        <v>0.01</v>
      </c>
      <c r="G3180" s="85">
        <f t="shared" si="415"/>
        <v>4.1887902047863905E-6</v>
      </c>
      <c r="H3180" s="85">
        <v>920</v>
      </c>
      <c r="I3180" s="85">
        <f t="shared" si="410"/>
        <v>3.8536869884034791E-3</v>
      </c>
      <c r="J3180" s="87">
        <v>1</v>
      </c>
      <c r="K3180" s="88">
        <f t="shared" si="411"/>
        <v>259.49175504113373</v>
      </c>
    </row>
    <row r="3181" spans="1:11" hidden="1" x14ac:dyDescent="0.25">
      <c r="A3181" t="str">
        <f t="shared" si="412"/>
        <v>LDPEØ25,4</v>
      </c>
      <c r="B3181" s="81" t="s">
        <v>321</v>
      </c>
      <c r="C3181" s="101" t="s">
        <v>255</v>
      </c>
      <c r="D3181" s="86">
        <f>1*25.4</f>
        <v>25.4</v>
      </c>
      <c r="E3181" s="85">
        <f t="shared" si="413"/>
        <v>2.5399999999999999E-2</v>
      </c>
      <c r="F3181" s="85">
        <f t="shared" si="414"/>
        <v>1.2699999999999999E-2</v>
      </c>
      <c r="G3181" s="85">
        <f t="shared" si="415"/>
        <v>8.5802466460509588E-6</v>
      </c>
      <c r="H3181" s="85">
        <v>920</v>
      </c>
      <c r="I3181" s="85">
        <f t="shared" si="410"/>
        <v>7.8938269143668822E-3</v>
      </c>
      <c r="J3181" s="87">
        <v>1</v>
      </c>
      <c r="K3181" s="88">
        <f t="shared" si="411"/>
        <v>126.68126763458484</v>
      </c>
    </row>
    <row r="3182" spans="1:11" hidden="1" x14ac:dyDescent="0.25">
      <c r="A3182" t="str">
        <f t="shared" si="412"/>
        <v>52100Ø0,79375</v>
      </c>
      <c r="B3182" s="81">
        <v>52100</v>
      </c>
      <c r="C3182" s="101" t="s">
        <v>241</v>
      </c>
      <c r="D3182" s="86">
        <f>1/32*25.4</f>
        <v>0.79374999999999996</v>
      </c>
      <c r="E3182" s="85">
        <f t="shared" si="413"/>
        <v>7.9374999999999997E-4</v>
      </c>
      <c r="F3182" s="85">
        <f t="shared" si="414"/>
        <v>3.9687499999999998E-4</v>
      </c>
      <c r="G3182" s="85">
        <f t="shared" si="415"/>
        <v>2.6184834735262936E-10</v>
      </c>
      <c r="H3182" s="85">
        <v>8020</v>
      </c>
      <c r="I3182" s="85">
        <f t="shared" si="410"/>
        <v>2.1000237457680876E-6</v>
      </c>
      <c r="J3182" s="87">
        <v>1</v>
      </c>
      <c r="K3182" s="88">
        <f t="shared" si="411"/>
        <v>476185.09172345005</v>
      </c>
    </row>
    <row r="3183" spans="1:11" hidden="1" x14ac:dyDescent="0.25">
      <c r="A3183" t="str">
        <f t="shared" si="412"/>
        <v>304Ø1,5875</v>
      </c>
      <c r="B3183" s="81">
        <v>304</v>
      </c>
      <c r="C3183" s="101" t="s">
        <v>246</v>
      </c>
      <c r="D3183" s="86">
        <f>1/16*25.4</f>
        <v>1.5874999999999999</v>
      </c>
      <c r="E3183" s="85">
        <f t="shared" si="413"/>
        <v>1.5874999999999999E-3</v>
      </c>
      <c r="F3183" s="85">
        <f t="shared" si="414"/>
        <v>7.9374999999999997E-4</v>
      </c>
      <c r="G3183" s="85">
        <f t="shared" si="415"/>
        <v>2.0947867788210349E-9</v>
      </c>
      <c r="H3183" s="85">
        <v>7950</v>
      </c>
      <c r="I3183" s="85">
        <f t="shared" si="410"/>
        <v>1.6653554891627226E-5</v>
      </c>
      <c r="J3183" s="87">
        <v>1</v>
      </c>
      <c r="K3183" s="88">
        <f t="shared" si="411"/>
        <v>60047.239553806132</v>
      </c>
    </row>
    <row r="3184" spans="1:11" hidden="1" x14ac:dyDescent="0.25">
      <c r="A3184" t="str">
        <f t="shared" si="412"/>
        <v>52100Ø1,688</v>
      </c>
      <c r="B3184" s="81">
        <v>52100</v>
      </c>
      <c r="D3184" s="86">
        <v>1.6879999999999999</v>
      </c>
      <c r="E3184" s="85">
        <f t="shared" si="413"/>
        <v>1.688E-3</v>
      </c>
      <c r="F3184" s="85">
        <f t="shared" si="414"/>
        <v>8.4400000000000002E-4</v>
      </c>
      <c r="G3184" s="85">
        <f t="shared" si="415"/>
        <v>2.5183491940633105E-9</v>
      </c>
      <c r="H3184" s="85">
        <v>7800</v>
      </c>
      <c r="I3184" s="85">
        <f t="shared" si="410"/>
        <v>1.9643123713693822E-5</v>
      </c>
      <c r="J3184" s="87">
        <v>1</v>
      </c>
      <c r="K3184" s="88">
        <f t="shared" si="411"/>
        <v>50908.400037356048</v>
      </c>
    </row>
    <row r="3185" spans="1:11" hidden="1" x14ac:dyDescent="0.25">
      <c r="A3185" t="str">
        <f t="shared" si="412"/>
        <v>VESCØ1</v>
      </c>
      <c r="B3185" s="81" t="s">
        <v>210</v>
      </c>
      <c r="D3185" s="86">
        <v>1</v>
      </c>
      <c r="E3185" s="85">
        <f t="shared" si="413"/>
        <v>1E-3</v>
      </c>
      <c r="F3185" s="85">
        <f t="shared" si="414"/>
        <v>5.0000000000000001E-4</v>
      </c>
      <c r="G3185" s="85">
        <f t="shared" si="415"/>
        <v>5.2359877559829886E-10</v>
      </c>
      <c r="H3185" s="85">
        <v>2500</v>
      </c>
      <c r="I3185" s="85">
        <f t="shared" ref="I3185:I3186" si="416">H3185*G3185</f>
        <v>1.3089969389957471E-6</v>
      </c>
      <c r="J3185" s="87">
        <v>1</v>
      </c>
      <c r="K3185" s="88">
        <f t="shared" ref="K3185:K3186" si="417">J3185/I3185</f>
        <v>763943.72684109758</v>
      </c>
    </row>
    <row r="3186" spans="1:11" hidden="1" x14ac:dyDescent="0.25">
      <c r="A3186" t="str">
        <f t="shared" si="412"/>
        <v>PTFEØ1,5</v>
      </c>
      <c r="B3186" s="81" t="s">
        <v>307</v>
      </c>
      <c r="D3186" s="86">
        <v>1.5</v>
      </c>
      <c r="E3186" s="85">
        <f t="shared" si="413"/>
        <v>1.5E-3</v>
      </c>
      <c r="F3186" s="85">
        <f t="shared" si="414"/>
        <v>7.5000000000000002E-4</v>
      </c>
      <c r="G3186" s="85">
        <f t="shared" si="415"/>
        <v>1.7671458676442585E-9</v>
      </c>
      <c r="H3186" s="85">
        <v>2160</v>
      </c>
      <c r="I3186" s="85">
        <f t="shared" si="416"/>
        <v>3.8170350741115983E-6</v>
      </c>
      <c r="J3186" s="87">
        <v>1</v>
      </c>
      <c r="K3186" s="88">
        <f t="shared" si="417"/>
        <v>261983.44541875779</v>
      </c>
    </row>
    <row r="3187" spans="1:11" hidden="1" x14ac:dyDescent="0.25">
      <c r="A3187" t="str">
        <f t="shared" si="412"/>
        <v>PTFEØ3</v>
      </c>
      <c r="B3187" s="81" t="s">
        <v>307</v>
      </c>
      <c r="D3187" s="86">
        <v>3</v>
      </c>
      <c r="E3187" s="85">
        <f t="shared" si="413"/>
        <v>3.0000000000000001E-3</v>
      </c>
      <c r="F3187" s="85">
        <f t="shared" si="414"/>
        <v>1.5E-3</v>
      </c>
      <c r="G3187" s="85">
        <f t="shared" si="415"/>
        <v>1.4137166941154068E-8</v>
      </c>
      <c r="H3187" s="85">
        <v>2160</v>
      </c>
      <c r="I3187" s="85">
        <f>H3187*G3187</f>
        <v>3.0536280592892786E-5</v>
      </c>
      <c r="J3187" s="87">
        <v>1</v>
      </c>
      <c r="K3187" s="88">
        <f>J3187/I3187</f>
        <v>32747.930677344724</v>
      </c>
    </row>
    <row r="3188" spans="1:11" hidden="1" x14ac:dyDescent="0.25">
      <c r="A3188" t="str">
        <f t="shared" si="412"/>
        <v>PTFEØ1,5875</v>
      </c>
      <c r="B3188" s="81" t="s">
        <v>307</v>
      </c>
      <c r="C3188" s="101" t="s">
        <v>246</v>
      </c>
      <c r="D3188" s="86">
        <f>1/16*25.4</f>
        <v>1.5874999999999999</v>
      </c>
      <c r="E3188" s="85">
        <f t="shared" si="413"/>
        <v>1.5874999999999999E-3</v>
      </c>
      <c r="F3188" s="85">
        <f t="shared" si="414"/>
        <v>7.9374999999999997E-4</v>
      </c>
      <c r="G3188" s="85">
        <f t="shared" si="415"/>
        <v>2.0947867788210349E-9</v>
      </c>
      <c r="H3188" s="85">
        <v>2160</v>
      </c>
      <c r="I3188" s="85">
        <f>H3188*G3188</f>
        <v>4.5247394422534354E-6</v>
      </c>
      <c r="J3188" s="87">
        <v>1</v>
      </c>
      <c r="K3188" s="88">
        <f>J3188/I3188</f>
        <v>221007.20113553645</v>
      </c>
    </row>
    <row r="3189" spans="1:11" hidden="1" x14ac:dyDescent="0.25">
      <c r="A3189" t="str">
        <f t="shared" si="412"/>
        <v>52100Ø1,688</v>
      </c>
      <c r="B3189" s="81">
        <v>52100</v>
      </c>
      <c r="D3189" s="86">
        <v>1.6879999999999999</v>
      </c>
      <c r="E3189" s="85">
        <f t="shared" si="413"/>
        <v>1.688E-3</v>
      </c>
      <c r="F3189" s="85">
        <f t="shared" si="414"/>
        <v>8.4400000000000002E-4</v>
      </c>
      <c r="G3189" s="85">
        <f t="shared" si="415"/>
        <v>2.5183491940633105E-9</v>
      </c>
      <c r="H3189" s="85">
        <v>7800</v>
      </c>
      <c r="I3189" s="85">
        <f>H3189*G3189</f>
        <v>1.9643123713693822E-5</v>
      </c>
      <c r="J3189" s="87">
        <v>1</v>
      </c>
      <c r="K3189" s="88">
        <f>J3189/I3189</f>
        <v>50908.400037356048</v>
      </c>
    </row>
    <row r="3190" spans="1:11" hidden="1" x14ac:dyDescent="0.25">
      <c r="A3190" t="str">
        <f t="shared" si="412"/>
        <v>52100Ø1,7</v>
      </c>
      <c r="B3190" s="81">
        <v>52100</v>
      </c>
      <c r="D3190" s="86">
        <v>1.7</v>
      </c>
      <c r="E3190" s="85">
        <f t="shared" si="413"/>
        <v>1.6999999999999999E-3</v>
      </c>
      <c r="F3190" s="85">
        <f t="shared" si="414"/>
        <v>8.4999999999999995E-4</v>
      </c>
      <c r="G3190" s="85">
        <f t="shared" si="415"/>
        <v>2.5724407845144416E-9</v>
      </c>
      <c r="H3190" s="85">
        <v>7800</v>
      </c>
      <c r="I3190" s="85">
        <f>H3190*G3190</f>
        <v>2.0065038119212646E-5</v>
      </c>
      <c r="J3190" s="87">
        <v>1</v>
      </c>
      <c r="K3190" s="88">
        <f>J3190/I3190</f>
        <v>49837.931732732737</v>
      </c>
    </row>
    <row r="3191" spans="1:11" hidden="1" x14ac:dyDescent="0.25">
      <c r="A3191" t="str">
        <f t="shared" si="412"/>
        <v>420CØ13,5</v>
      </c>
      <c r="B3191" s="81" t="s">
        <v>295</v>
      </c>
      <c r="D3191" s="86">
        <v>13.5</v>
      </c>
      <c r="E3191" s="85">
        <f t="shared" si="413"/>
        <v>1.35E-2</v>
      </c>
      <c r="F3191" s="85">
        <f t="shared" si="414"/>
        <v>6.7499999999999999E-3</v>
      </c>
      <c r="G3191" s="85">
        <f t="shared" si="415"/>
        <v>1.2882493375126643E-6</v>
      </c>
      <c r="H3191" s="85">
        <v>7750</v>
      </c>
      <c r="I3191" s="85">
        <f>H3191*G3191</f>
        <v>9.9839323657231489E-3</v>
      </c>
      <c r="J3191" s="87">
        <v>1</v>
      </c>
      <c r="K3191" s="88">
        <f>J3191/I3191</f>
        <v>100.16093492712365</v>
      </c>
    </row>
    <row r="3192" spans="1:11" hidden="1" x14ac:dyDescent="0.25">
      <c r="A3192" t="str">
        <f t="shared" si="412"/>
        <v>420CØ13,49375</v>
      </c>
      <c r="B3192" s="81" t="s">
        <v>295</v>
      </c>
      <c r="C3192" s="101" t="s">
        <v>269</v>
      </c>
      <c r="D3192" s="86">
        <f>17/32*25.4</f>
        <v>13.493749999999999</v>
      </c>
      <c r="E3192" s="85">
        <f t="shared" si="413"/>
        <v>1.3493749999999999E-2</v>
      </c>
      <c r="F3192" s="85">
        <f t="shared" si="414"/>
        <v>6.7468749999999994E-3</v>
      </c>
      <c r="G3192" s="85">
        <f t="shared" si="415"/>
        <v>1.2864609305434682E-6</v>
      </c>
      <c r="H3192" s="85">
        <v>7750</v>
      </c>
      <c r="I3192" s="85">
        <f t="shared" ref="I3192:I3226" si="418">H3192*G3192</f>
        <v>9.9700722117118789E-3</v>
      </c>
      <c r="J3192" s="87">
        <v>1</v>
      </c>
      <c r="K3192" s="88">
        <f t="shared" ref="K3192:K3226" si="419">J3192/I3192</f>
        <v>100.30017624398913</v>
      </c>
    </row>
    <row r="3193" spans="1:11" hidden="1" x14ac:dyDescent="0.25">
      <c r="A3193" t="str">
        <f t="shared" si="412"/>
        <v>S2 Tool SteelØ12,7</v>
      </c>
      <c r="B3193" s="81" t="s">
        <v>428</v>
      </c>
      <c r="C3193" s="101" t="s">
        <v>270</v>
      </c>
      <c r="D3193" s="86">
        <f>1/2*25.4</f>
        <v>12.7</v>
      </c>
      <c r="E3193" s="85">
        <f t="shared" si="413"/>
        <v>1.2699999999999999E-2</v>
      </c>
      <c r="F3193" s="85">
        <f t="shared" si="414"/>
        <v>6.3499999999999997E-3</v>
      </c>
      <c r="G3193" s="85">
        <f t="shared" si="415"/>
        <v>1.0725308307563699E-6</v>
      </c>
      <c r="H3193" s="85">
        <v>7720</v>
      </c>
      <c r="I3193" s="85">
        <f t="shared" si="418"/>
        <v>8.2799380134391757E-3</v>
      </c>
      <c r="J3193" s="87">
        <v>1</v>
      </c>
      <c r="K3193" s="88">
        <f t="shared" si="419"/>
        <v>120.77385100913787</v>
      </c>
    </row>
    <row r="3194" spans="1:11" hidden="1" x14ac:dyDescent="0.25">
      <c r="A3194" t="str">
        <f t="shared" si="412"/>
        <v>420CØ0,6</v>
      </c>
      <c r="B3194" s="81" t="s">
        <v>295</v>
      </c>
      <c r="D3194" s="86">
        <v>0.6</v>
      </c>
      <c r="E3194" s="85">
        <f t="shared" si="413"/>
        <v>5.9999999999999995E-4</v>
      </c>
      <c r="F3194" s="85">
        <f t="shared" si="414"/>
        <v>2.9999999999999997E-4</v>
      </c>
      <c r="G3194" s="85">
        <f t="shared" si="415"/>
        <v>1.1309733552923252E-10</v>
      </c>
      <c r="H3194" s="85">
        <v>7750</v>
      </c>
      <c r="I3194" s="85">
        <f t="shared" si="418"/>
        <v>8.7650435035155202E-7</v>
      </c>
      <c r="J3194" s="87">
        <v>1</v>
      </c>
      <c r="K3194" s="88">
        <f t="shared" si="419"/>
        <v>1140895.649404268</v>
      </c>
    </row>
    <row r="3195" spans="1:11" hidden="1" x14ac:dyDescent="0.25">
      <c r="A3195" t="str">
        <f t="shared" si="412"/>
        <v>PA6.6Ø1,5</v>
      </c>
      <c r="B3195" s="81" t="s">
        <v>244</v>
      </c>
      <c r="D3195" s="86">
        <v>1.5</v>
      </c>
      <c r="E3195" s="85">
        <f t="shared" si="413"/>
        <v>1.5E-3</v>
      </c>
      <c r="F3195" s="85">
        <f t="shared" si="414"/>
        <v>7.5000000000000002E-4</v>
      </c>
      <c r="G3195" s="85">
        <f t="shared" si="415"/>
        <v>1.7671458676442585E-9</v>
      </c>
      <c r="H3195" s="85">
        <v>1110</v>
      </c>
      <c r="I3195" s="85">
        <f t="shared" si="418"/>
        <v>1.961531913085127E-6</v>
      </c>
      <c r="J3195" s="87">
        <v>1</v>
      </c>
      <c r="K3195" s="88">
        <f t="shared" si="419"/>
        <v>509805.62351758266</v>
      </c>
    </row>
    <row r="3196" spans="1:11" hidden="1" x14ac:dyDescent="0.25">
      <c r="A3196" t="str">
        <f t="shared" si="412"/>
        <v>PA6.6Ø3</v>
      </c>
      <c r="B3196" s="81" t="s">
        <v>244</v>
      </c>
      <c r="D3196" s="86">
        <v>3</v>
      </c>
      <c r="E3196" s="85">
        <f t="shared" si="413"/>
        <v>3.0000000000000001E-3</v>
      </c>
      <c r="F3196" s="85">
        <f t="shared" si="414"/>
        <v>1.5E-3</v>
      </c>
      <c r="G3196" s="85">
        <f t="shared" si="415"/>
        <v>1.4137166941154068E-8</v>
      </c>
      <c r="H3196" s="85">
        <v>1110</v>
      </c>
      <c r="I3196" s="85">
        <f t="shared" si="418"/>
        <v>1.5692255304681016E-5</v>
      </c>
      <c r="J3196" s="87">
        <v>1</v>
      </c>
      <c r="K3196" s="88">
        <f t="shared" si="419"/>
        <v>63725.702939697832</v>
      </c>
    </row>
    <row r="3197" spans="1:11" hidden="1" x14ac:dyDescent="0.25">
      <c r="A3197" t="str">
        <f t="shared" si="412"/>
        <v>440CØ4,365625</v>
      </c>
      <c r="B3197" s="81" t="s">
        <v>314</v>
      </c>
      <c r="C3197" s="101" t="s">
        <v>331</v>
      </c>
      <c r="D3197" s="86">
        <f>11/64*25.4</f>
        <v>4.3656249999999996</v>
      </c>
      <c r="E3197" s="85">
        <f t="shared" si="413"/>
        <v>4.3656249999999997E-3</v>
      </c>
      <c r="F3197" s="85">
        <f t="shared" si="414"/>
        <v>2.1828124999999999E-3</v>
      </c>
      <c r="G3197" s="85">
        <f t="shared" si="415"/>
        <v>4.3565018790793711E-8</v>
      </c>
      <c r="H3197" s="85">
        <v>7700</v>
      </c>
      <c r="I3197" s="85">
        <f t="shared" si="418"/>
        <v>3.3545064468911155E-4</v>
      </c>
      <c r="J3197" s="87">
        <v>1</v>
      </c>
      <c r="K3197" s="88">
        <f t="shared" si="419"/>
        <v>2981.0644750042993</v>
      </c>
    </row>
    <row r="3198" spans="1:11" hidden="1" x14ac:dyDescent="0.25">
      <c r="A3198" t="str">
        <f t="shared" si="412"/>
        <v>Al2O3Ø1,5</v>
      </c>
      <c r="B3198" s="81" t="s">
        <v>217</v>
      </c>
      <c r="D3198" s="86">
        <v>1.5</v>
      </c>
      <c r="E3198" s="85">
        <f t="shared" si="413"/>
        <v>1.5E-3</v>
      </c>
      <c r="F3198" s="85">
        <f t="shared" si="414"/>
        <v>7.5000000000000002E-4</v>
      </c>
      <c r="G3198" s="85">
        <f t="shared" si="415"/>
        <v>1.7671458676442585E-9</v>
      </c>
      <c r="H3198" s="85">
        <v>3960</v>
      </c>
      <c r="I3198" s="85">
        <f t="shared" si="418"/>
        <v>6.9978976358712635E-6</v>
      </c>
      <c r="J3198" s="87">
        <v>1</v>
      </c>
      <c r="K3198" s="88">
        <f t="shared" si="419"/>
        <v>142900.06113750424</v>
      </c>
    </row>
    <row r="3199" spans="1:11" hidden="1" x14ac:dyDescent="0.25">
      <c r="A3199" t="str">
        <f t="shared" si="412"/>
        <v>Al2O3Ø1,5</v>
      </c>
      <c r="B3199" s="81" t="s">
        <v>217</v>
      </c>
      <c r="D3199" s="86">
        <v>1.5</v>
      </c>
      <c r="E3199" s="85">
        <f t="shared" si="413"/>
        <v>1.5E-3</v>
      </c>
      <c r="F3199" s="85">
        <f t="shared" si="414"/>
        <v>7.5000000000000002E-4</v>
      </c>
      <c r="G3199" s="85">
        <f t="shared" si="415"/>
        <v>1.7671458676442585E-9</v>
      </c>
      <c r="H3199" s="85">
        <v>3950</v>
      </c>
      <c r="I3199" s="85">
        <f t="shared" si="418"/>
        <v>6.9802261771948211E-6</v>
      </c>
      <c r="J3199" s="87">
        <v>1</v>
      </c>
      <c r="K3199" s="88">
        <f t="shared" si="419"/>
        <v>143261.83344418148</v>
      </c>
    </row>
    <row r="3200" spans="1:11" hidden="1" x14ac:dyDescent="0.25">
      <c r="A3200" t="str">
        <f t="shared" si="412"/>
        <v>PTFEØ1</v>
      </c>
      <c r="B3200" s="81" t="s">
        <v>307</v>
      </c>
      <c r="D3200" s="86">
        <v>1</v>
      </c>
      <c r="E3200" s="85">
        <f t="shared" si="413"/>
        <v>1E-3</v>
      </c>
      <c r="F3200" s="85">
        <f t="shared" si="414"/>
        <v>5.0000000000000001E-4</v>
      </c>
      <c r="G3200" s="85">
        <f t="shared" si="415"/>
        <v>5.2359877559829886E-10</v>
      </c>
      <c r="H3200" s="85">
        <v>2160</v>
      </c>
      <c r="I3200" s="85">
        <f t="shared" si="418"/>
        <v>1.1309733552923255E-6</v>
      </c>
      <c r="J3200" s="87">
        <v>1</v>
      </c>
      <c r="K3200" s="88">
        <f t="shared" si="419"/>
        <v>884194.12828830746</v>
      </c>
    </row>
    <row r="3201" spans="1:11" hidden="1" x14ac:dyDescent="0.25">
      <c r="A3201" t="str">
        <f t="shared" si="412"/>
        <v>PTFEØ2</v>
      </c>
      <c r="B3201" s="81" t="s">
        <v>307</v>
      </c>
      <c r="D3201" s="86">
        <v>2</v>
      </c>
      <c r="E3201" s="85">
        <f t="shared" si="413"/>
        <v>2E-3</v>
      </c>
      <c r="F3201" s="85">
        <f t="shared" si="414"/>
        <v>1E-3</v>
      </c>
      <c r="G3201" s="85">
        <f t="shared" si="415"/>
        <v>4.1887902047863909E-9</v>
      </c>
      <c r="H3201" s="85">
        <v>2160</v>
      </c>
      <c r="I3201" s="85">
        <f t="shared" si="418"/>
        <v>9.0477868423386043E-6</v>
      </c>
      <c r="J3201" s="87">
        <v>1</v>
      </c>
      <c r="K3201" s="88">
        <f t="shared" si="419"/>
        <v>110524.26603603843</v>
      </c>
    </row>
    <row r="3202" spans="1:11" hidden="1" x14ac:dyDescent="0.25">
      <c r="A3202" t="str">
        <f t="shared" si="412"/>
        <v>PTFEØ4</v>
      </c>
      <c r="B3202" s="81" t="s">
        <v>307</v>
      </c>
      <c r="D3202" s="86">
        <v>4</v>
      </c>
      <c r="E3202" s="85">
        <f t="shared" si="413"/>
        <v>4.0000000000000001E-3</v>
      </c>
      <c r="F3202" s="85">
        <f t="shared" si="414"/>
        <v>2E-3</v>
      </c>
      <c r="G3202" s="85">
        <f t="shared" si="415"/>
        <v>3.3510321638291127E-8</v>
      </c>
      <c r="H3202" s="85">
        <v>2160</v>
      </c>
      <c r="I3202" s="85">
        <f t="shared" si="418"/>
        <v>7.2382294738708834E-5</v>
      </c>
      <c r="J3202" s="87">
        <v>1</v>
      </c>
      <c r="K3202" s="88">
        <f t="shared" si="419"/>
        <v>13815.533254504804</v>
      </c>
    </row>
    <row r="3203" spans="1:11" hidden="1" x14ac:dyDescent="0.25">
      <c r="A3203" t="str">
        <f t="shared" si="412"/>
        <v>PTFEØ6</v>
      </c>
      <c r="B3203" s="81" t="s">
        <v>307</v>
      </c>
      <c r="D3203" s="86">
        <v>6</v>
      </c>
      <c r="E3203" s="85">
        <f t="shared" si="413"/>
        <v>6.0000000000000001E-3</v>
      </c>
      <c r="F3203" s="85">
        <f t="shared" si="414"/>
        <v>3.0000000000000001E-3</v>
      </c>
      <c r="G3203" s="85">
        <f t="shared" si="415"/>
        <v>1.1309733552923255E-7</v>
      </c>
      <c r="H3203" s="85">
        <v>2160</v>
      </c>
      <c r="I3203" s="85">
        <f t="shared" si="418"/>
        <v>2.4429024474314229E-4</v>
      </c>
      <c r="J3203" s="87">
        <v>1</v>
      </c>
      <c r="K3203" s="88">
        <f t="shared" si="419"/>
        <v>4093.4913346680905</v>
      </c>
    </row>
    <row r="3204" spans="1:11" hidden="1" x14ac:dyDescent="0.25">
      <c r="A3204" t="str">
        <f t="shared" ref="A3204:A3267" si="420">CONCATENATE(B3204,"Ø",D3204)</f>
        <v>PTFEØ8</v>
      </c>
      <c r="B3204" s="81" t="s">
        <v>307</v>
      </c>
      <c r="D3204" s="86">
        <v>8</v>
      </c>
      <c r="E3204" s="85">
        <f t="shared" si="413"/>
        <v>8.0000000000000002E-3</v>
      </c>
      <c r="F3204" s="85">
        <f t="shared" si="414"/>
        <v>4.0000000000000001E-3</v>
      </c>
      <c r="G3204" s="85">
        <f t="shared" si="415"/>
        <v>2.6808257310632902E-7</v>
      </c>
      <c r="H3204" s="85">
        <v>2160</v>
      </c>
      <c r="I3204" s="85">
        <f t="shared" si="418"/>
        <v>5.7905835790967068E-4</v>
      </c>
      <c r="J3204" s="87">
        <v>1</v>
      </c>
      <c r="K3204" s="88">
        <f t="shared" si="419"/>
        <v>1726.9416568131005</v>
      </c>
    </row>
    <row r="3205" spans="1:11" hidden="1" x14ac:dyDescent="0.25">
      <c r="A3205" t="str">
        <f t="shared" si="420"/>
        <v>PTFEØ10</v>
      </c>
      <c r="B3205" s="81" t="s">
        <v>307</v>
      </c>
      <c r="D3205" s="86">
        <v>10</v>
      </c>
      <c r="E3205" s="85">
        <f t="shared" si="413"/>
        <v>0.01</v>
      </c>
      <c r="F3205" s="85">
        <f t="shared" si="414"/>
        <v>5.0000000000000001E-3</v>
      </c>
      <c r="G3205" s="85">
        <f t="shared" si="415"/>
        <v>5.2359877559829882E-7</v>
      </c>
      <c r="H3205" s="85">
        <v>2160</v>
      </c>
      <c r="I3205" s="85">
        <f t="shared" si="418"/>
        <v>1.1309733552923255E-3</v>
      </c>
      <c r="J3205" s="87">
        <v>1</v>
      </c>
      <c r="K3205" s="88">
        <f t="shared" si="419"/>
        <v>884.19412828830752</v>
      </c>
    </row>
    <row r="3206" spans="1:11" hidden="1" x14ac:dyDescent="0.25">
      <c r="A3206" t="str">
        <f t="shared" si="420"/>
        <v>NBRØ2,38125</v>
      </c>
      <c r="B3206" s="81" t="s">
        <v>341</v>
      </c>
      <c r="C3206" s="101" t="s">
        <v>213</v>
      </c>
      <c r="D3206" s="86">
        <f>3/32*25.4</f>
        <v>2.3812499999999996</v>
      </c>
      <c r="E3206" s="85">
        <f t="shared" si="413"/>
        <v>2.3812499999999997E-3</v>
      </c>
      <c r="F3206" s="85">
        <f t="shared" si="414"/>
        <v>1.1906249999999998E-3</v>
      </c>
      <c r="G3206" s="85">
        <f t="shared" si="415"/>
        <v>7.0699053785209917E-9</v>
      </c>
      <c r="H3206" s="85">
        <v>1170</v>
      </c>
      <c r="I3206" s="85">
        <f t="shared" si="418"/>
        <v>8.2717892928695605E-6</v>
      </c>
      <c r="J3206" s="87">
        <v>1</v>
      </c>
      <c r="K3206" s="88">
        <f t="shared" si="419"/>
        <v>120892.82797157551</v>
      </c>
    </row>
    <row r="3207" spans="1:11" hidden="1" x14ac:dyDescent="0.25">
      <c r="A3207" t="str">
        <f t="shared" si="420"/>
        <v>ZrO2Ø9,525</v>
      </c>
      <c r="B3207" s="81" t="s">
        <v>205</v>
      </c>
      <c r="C3207" s="101" t="s">
        <v>254</v>
      </c>
      <c r="D3207" s="86">
        <f>3/8*25.4</f>
        <v>9.5249999999999986</v>
      </c>
      <c r="E3207" s="85">
        <f t="shared" si="413"/>
        <v>9.5249999999999987E-3</v>
      </c>
      <c r="F3207" s="85">
        <f t="shared" si="414"/>
        <v>4.7624999999999994E-3</v>
      </c>
      <c r="G3207" s="85">
        <f t="shared" si="415"/>
        <v>4.5247394422534347E-7</v>
      </c>
      <c r="H3207" s="85">
        <v>6000</v>
      </c>
      <c r="I3207" s="85">
        <f t="shared" si="418"/>
        <v>2.714843665352061E-3</v>
      </c>
      <c r="J3207" s="87">
        <v>1</v>
      </c>
      <c r="K3207" s="88">
        <f t="shared" si="419"/>
        <v>368.34533522589413</v>
      </c>
    </row>
    <row r="3208" spans="1:11" hidden="1" x14ac:dyDescent="0.25">
      <c r="A3208" t="str">
        <f t="shared" si="420"/>
        <v>Alluminio serie 1Ø2,3</v>
      </c>
      <c r="B3208" s="81" t="s">
        <v>330</v>
      </c>
      <c r="D3208" s="86">
        <v>2.2999999999999998</v>
      </c>
      <c r="E3208" s="85">
        <f t="shared" si="413"/>
        <v>2.3E-3</v>
      </c>
      <c r="F3208" s="85">
        <f t="shared" si="414"/>
        <v>1.15E-3</v>
      </c>
      <c r="G3208" s="85">
        <f t="shared" si="415"/>
        <v>6.3706263027045014E-9</v>
      </c>
      <c r="H3208" s="85">
        <v>2710</v>
      </c>
      <c r="I3208" s="85">
        <f t="shared" si="418"/>
        <v>1.7264397280329198E-5</v>
      </c>
      <c r="J3208" s="87">
        <v>1</v>
      </c>
      <c r="K3208" s="88">
        <f t="shared" si="419"/>
        <v>57922.670786740142</v>
      </c>
    </row>
    <row r="3209" spans="1:11" hidden="1" x14ac:dyDescent="0.25">
      <c r="A3209" t="str">
        <f t="shared" si="420"/>
        <v>Alluminio serie 1Ø2,5</v>
      </c>
      <c r="B3209" s="81" t="s">
        <v>330</v>
      </c>
      <c r="D3209" s="86">
        <v>2.5</v>
      </c>
      <c r="E3209" s="85">
        <f t="shared" si="413"/>
        <v>2.5000000000000001E-3</v>
      </c>
      <c r="F3209" s="85">
        <f t="shared" si="414"/>
        <v>1.25E-3</v>
      </c>
      <c r="G3209" s="85">
        <f t="shared" si="415"/>
        <v>8.181230868723419E-9</v>
      </c>
      <c r="H3209" s="85">
        <v>2710</v>
      </c>
      <c r="I3209" s="85">
        <f t="shared" si="418"/>
        <v>2.2171135654240467E-5</v>
      </c>
      <c r="J3209" s="87">
        <v>1</v>
      </c>
      <c r="K3209" s="88">
        <f t="shared" si="419"/>
        <v>45103.688669585099</v>
      </c>
    </row>
    <row r="3210" spans="1:11" x14ac:dyDescent="0.25">
      <c r="A3210" t="str">
        <f t="shared" si="420"/>
        <v>1085Ø12,3</v>
      </c>
      <c r="B3210" s="81">
        <v>1085</v>
      </c>
      <c r="D3210" s="86">
        <v>12.3</v>
      </c>
      <c r="E3210" s="85">
        <f t="shared" si="413"/>
        <v>1.23E-2</v>
      </c>
      <c r="F3210" s="85">
        <f t="shared" si="414"/>
        <v>6.1500000000000001E-3</v>
      </c>
      <c r="G3210" s="85">
        <f t="shared" si="415"/>
        <v>9.7434768275127957E-7</v>
      </c>
      <c r="H3210" s="85">
        <v>7850</v>
      </c>
      <c r="I3210" s="85">
        <f t="shared" si="418"/>
        <v>7.6486293095975443E-3</v>
      </c>
      <c r="J3210" s="87">
        <v>1</v>
      </c>
      <c r="K3210" s="88">
        <f t="shared" si="419"/>
        <v>130.74238004255145</v>
      </c>
    </row>
    <row r="3211" spans="1:11" hidden="1" x14ac:dyDescent="0.25">
      <c r="A3211" t="str">
        <f t="shared" si="420"/>
        <v>POMØ3,175</v>
      </c>
      <c r="B3211" s="81" t="s">
        <v>201</v>
      </c>
      <c r="C3211" s="101" t="s">
        <v>214</v>
      </c>
      <c r="D3211" s="86">
        <f>1/8*25.4</f>
        <v>3.1749999999999998</v>
      </c>
      <c r="E3211" s="85">
        <f t="shared" si="413"/>
        <v>3.1749999999999999E-3</v>
      </c>
      <c r="F3211" s="85">
        <f t="shared" si="414"/>
        <v>1.5874999999999999E-3</v>
      </c>
      <c r="G3211" s="85">
        <f t="shared" si="415"/>
        <v>1.6758294230568279E-8</v>
      </c>
      <c r="H3211" s="85">
        <v>1370</v>
      </c>
      <c r="I3211" s="85">
        <f t="shared" si="418"/>
        <v>2.2958863095878543E-5</v>
      </c>
      <c r="J3211" s="87">
        <v>1</v>
      </c>
      <c r="K3211" s="88">
        <f t="shared" si="419"/>
        <v>43556.16372744149</v>
      </c>
    </row>
    <row r="3212" spans="1:11" hidden="1" x14ac:dyDescent="0.25">
      <c r="A3212" t="str">
        <f t="shared" si="420"/>
        <v>POMØ5,55625</v>
      </c>
      <c r="B3212" s="81" t="s">
        <v>201</v>
      </c>
      <c r="C3212" s="101" t="s">
        <v>249</v>
      </c>
      <c r="D3212" s="86">
        <f>7/32*25.4</f>
        <v>5.5562499999999995</v>
      </c>
      <c r="E3212" s="85">
        <f t="shared" si="413"/>
        <v>5.5562499999999996E-3</v>
      </c>
      <c r="F3212" s="85">
        <f t="shared" si="414"/>
        <v>2.7781249999999998E-3</v>
      </c>
      <c r="G3212" s="85">
        <f t="shared" si="415"/>
        <v>8.9813983141951873E-8</v>
      </c>
      <c r="H3212" s="85">
        <v>1370</v>
      </c>
      <c r="I3212" s="85">
        <f t="shared" si="418"/>
        <v>1.2304515690447407E-4</v>
      </c>
      <c r="J3212" s="87">
        <v>1</v>
      </c>
      <c r="K3212" s="88">
        <f t="shared" si="419"/>
        <v>8127.0976051202779</v>
      </c>
    </row>
    <row r="3213" spans="1:11" hidden="1" x14ac:dyDescent="0.25">
      <c r="A3213" t="str">
        <f t="shared" si="420"/>
        <v>POMØ9,525</v>
      </c>
      <c r="B3213" s="81" t="s">
        <v>201</v>
      </c>
      <c r="C3213" s="101" t="s">
        <v>254</v>
      </c>
      <c r="D3213" s="86">
        <f>3/8*25.4</f>
        <v>9.5249999999999986</v>
      </c>
      <c r="E3213" s="85">
        <f t="shared" si="413"/>
        <v>9.5249999999999987E-3</v>
      </c>
      <c r="F3213" s="85">
        <f t="shared" si="414"/>
        <v>4.7624999999999994E-3</v>
      </c>
      <c r="G3213" s="85">
        <f t="shared" si="415"/>
        <v>4.5247394422534347E-7</v>
      </c>
      <c r="H3213" s="85">
        <v>1370</v>
      </c>
      <c r="I3213" s="85">
        <f t="shared" si="418"/>
        <v>6.1988930358872056E-4</v>
      </c>
      <c r="J3213" s="87">
        <v>1</v>
      </c>
      <c r="K3213" s="88">
        <f t="shared" si="419"/>
        <v>1613.1912491644998</v>
      </c>
    </row>
    <row r="3214" spans="1:11" hidden="1" x14ac:dyDescent="0.25">
      <c r="A3214" t="str">
        <f t="shared" si="420"/>
        <v>POMØ9</v>
      </c>
      <c r="B3214" s="81" t="s">
        <v>201</v>
      </c>
      <c r="D3214" s="86">
        <v>9</v>
      </c>
      <c r="E3214" s="85">
        <f t="shared" si="413"/>
        <v>8.9999999999999993E-3</v>
      </c>
      <c r="F3214" s="85">
        <f t="shared" si="414"/>
        <v>4.4999999999999997E-3</v>
      </c>
      <c r="G3214" s="85">
        <f t="shared" si="415"/>
        <v>3.8170350741115974E-7</v>
      </c>
      <c r="H3214" s="85">
        <v>1370</v>
      </c>
      <c r="I3214" s="85">
        <f t="shared" si="418"/>
        <v>5.2293380515328882E-4</v>
      </c>
      <c r="J3214" s="87">
        <v>1</v>
      </c>
      <c r="K3214" s="88">
        <f t="shared" si="419"/>
        <v>1912.2879227646558</v>
      </c>
    </row>
    <row r="3215" spans="1:11" hidden="1" x14ac:dyDescent="0.25">
      <c r="A3215" t="str">
        <f t="shared" si="420"/>
        <v>SiCØ1</v>
      </c>
      <c r="B3215" s="81" t="s">
        <v>326</v>
      </c>
      <c r="D3215" s="86">
        <v>1</v>
      </c>
      <c r="E3215" s="85">
        <f t="shared" si="413"/>
        <v>1E-3</v>
      </c>
      <c r="F3215" s="85">
        <f t="shared" si="414"/>
        <v>5.0000000000000001E-4</v>
      </c>
      <c r="G3215" s="85">
        <f t="shared" si="415"/>
        <v>5.2359877559829886E-10</v>
      </c>
      <c r="H3215" s="85">
        <v>3150</v>
      </c>
      <c r="I3215" s="85">
        <f t="shared" si="418"/>
        <v>1.6493361431346413E-6</v>
      </c>
      <c r="J3215" s="87">
        <v>1</v>
      </c>
      <c r="K3215" s="88">
        <f t="shared" si="419"/>
        <v>606304.54511198227</v>
      </c>
    </row>
    <row r="3216" spans="1:11" hidden="1" x14ac:dyDescent="0.25">
      <c r="A3216" t="str">
        <f t="shared" si="420"/>
        <v>SiCØ5</v>
      </c>
      <c r="B3216" s="81" t="s">
        <v>326</v>
      </c>
      <c r="D3216" s="86">
        <v>5</v>
      </c>
      <c r="E3216" s="85">
        <f t="shared" si="413"/>
        <v>5.0000000000000001E-3</v>
      </c>
      <c r="F3216" s="85">
        <f t="shared" si="414"/>
        <v>2.5000000000000001E-3</v>
      </c>
      <c r="G3216" s="85">
        <f t="shared" si="415"/>
        <v>6.5449846949787352E-8</v>
      </c>
      <c r="H3216" s="85">
        <v>3150</v>
      </c>
      <c r="I3216" s="85">
        <f t="shared" si="418"/>
        <v>2.0616701789183015E-4</v>
      </c>
      <c r="J3216" s="87">
        <v>1</v>
      </c>
      <c r="K3216" s="88">
        <f t="shared" si="419"/>
        <v>4850.4363608958583</v>
      </c>
    </row>
    <row r="3217" spans="1:11" hidden="1" x14ac:dyDescent="0.25">
      <c r="A3217" t="str">
        <f t="shared" si="420"/>
        <v>TiAl6V4 (G5)Ø1</v>
      </c>
      <c r="B3217" s="81" t="s">
        <v>305</v>
      </c>
      <c r="D3217" s="86">
        <v>1</v>
      </c>
      <c r="E3217" s="85">
        <f t="shared" si="413"/>
        <v>1E-3</v>
      </c>
      <c r="F3217" s="85">
        <f t="shared" si="414"/>
        <v>5.0000000000000001E-4</v>
      </c>
      <c r="G3217" s="85">
        <f t="shared" si="415"/>
        <v>5.2359877559829886E-10</v>
      </c>
      <c r="H3217" s="85">
        <v>4450</v>
      </c>
      <c r="I3217" s="85">
        <f t="shared" si="418"/>
        <v>2.3300145514124297E-6</v>
      </c>
      <c r="J3217" s="87">
        <v>1</v>
      </c>
      <c r="K3217" s="88">
        <f t="shared" si="419"/>
        <v>429181.86901185266</v>
      </c>
    </row>
    <row r="3218" spans="1:11" hidden="1" x14ac:dyDescent="0.25">
      <c r="A3218" t="str">
        <f t="shared" si="420"/>
        <v>PTFEØ5</v>
      </c>
      <c r="B3218" s="81" t="s">
        <v>307</v>
      </c>
      <c r="D3218" s="86">
        <v>5</v>
      </c>
      <c r="E3218" s="85">
        <f t="shared" si="413"/>
        <v>5.0000000000000001E-3</v>
      </c>
      <c r="F3218" s="85">
        <f t="shared" si="414"/>
        <v>2.5000000000000001E-3</v>
      </c>
      <c r="G3218" s="85">
        <f t="shared" si="415"/>
        <v>6.5449846949787352E-8</v>
      </c>
      <c r="H3218" s="85">
        <v>2160</v>
      </c>
      <c r="I3218" s="85">
        <f t="shared" si="418"/>
        <v>1.4137166941154068E-4</v>
      </c>
      <c r="J3218" s="87">
        <v>1</v>
      </c>
      <c r="K3218" s="88">
        <f t="shared" si="419"/>
        <v>7073.5530263064602</v>
      </c>
    </row>
    <row r="3219" spans="1:11" hidden="1" x14ac:dyDescent="0.25">
      <c r="A3219" t="str">
        <f t="shared" si="420"/>
        <v>PTFEØ5</v>
      </c>
      <c r="B3219" s="81" t="s">
        <v>307</v>
      </c>
      <c r="D3219" s="86">
        <v>5</v>
      </c>
      <c r="E3219" s="85">
        <f t="shared" si="413"/>
        <v>5.0000000000000001E-3</v>
      </c>
      <c r="F3219" s="85">
        <f t="shared" si="414"/>
        <v>2.5000000000000001E-3</v>
      </c>
      <c r="G3219" s="85">
        <f t="shared" si="415"/>
        <v>6.5449846949787352E-8</v>
      </c>
      <c r="H3219" s="85">
        <v>2160</v>
      </c>
      <c r="I3219" s="85">
        <f t="shared" si="418"/>
        <v>1.4137166941154068E-4</v>
      </c>
      <c r="J3219" s="87">
        <v>1</v>
      </c>
      <c r="K3219" s="88">
        <f t="shared" si="419"/>
        <v>7073.5530263064602</v>
      </c>
    </row>
    <row r="3220" spans="1:11" hidden="1" x14ac:dyDescent="0.25">
      <c r="A3220" t="str">
        <f t="shared" si="420"/>
        <v>PA6.6Ø5</v>
      </c>
      <c r="B3220" s="81" t="s">
        <v>244</v>
      </c>
      <c r="D3220" s="86">
        <v>5</v>
      </c>
      <c r="E3220" s="85">
        <f t="shared" si="413"/>
        <v>5.0000000000000001E-3</v>
      </c>
      <c r="F3220" s="85">
        <f t="shared" si="414"/>
        <v>2.5000000000000001E-3</v>
      </c>
      <c r="G3220" s="85">
        <f t="shared" si="415"/>
        <v>6.5449846949787352E-8</v>
      </c>
      <c r="H3220" s="85">
        <v>1110</v>
      </c>
      <c r="I3220" s="85">
        <f t="shared" si="418"/>
        <v>7.2649330114263956E-5</v>
      </c>
      <c r="J3220" s="87">
        <v>1</v>
      </c>
      <c r="K3220" s="88">
        <f t="shared" si="419"/>
        <v>13764.751834974733</v>
      </c>
    </row>
    <row r="3221" spans="1:11" hidden="1" x14ac:dyDescent="0.25">
      <c r="A3221" t="str">
        <f t="shared" si="420"/>
        <v>PA6.6Ø5</v>
      </c>
      <c r="B3221" s="81" t="s">
        <v>244</v>
      </c>
      <c r="D3221" s="86">
        <v>5</v>
      </c>
      <c r="E3221" s="85">
        <f t="shared" si="413"/>
        <v>5.0000000000000001E-3</v>
      </c>
      <c r="F3221" s="85">
        <f t="shared" si="414"/>
        <v>2.5000000000000001E-3</v>
      </c>
      <c r="G3221" s="85">
        <f t="shared" si="415"/>
        <v>6.5449846949787352E-8</v>
      </c>
      <c r="H3221" s="85">
        <v>1110</v>
      </c>
      <c r="I3221" s="85">
        <f t="shared" si="418"/>
        <v>7.2649330114263956E-5</v>
      </c>
      <c r="J3221" s="87">
        <v>1</v>
      </c>
      <c r="K3221" s="88">
        <f t="shared" si="419"/>
        <v>13764.751834974733</v>
      </c>
    </row>
    <row r="3222" spans="1:11" hidden="1" x14ac:dyDescent="0.25">
      <c r="A3222" t="str">
        <f t="shared" si="420"/>
        <v>PTFEØ5,55625</v>
      </c>
      <c r="B3222" s="81" t="s">
        <v>307</v>
      </c>
      <c r="C3222" s="101" t="s">
        <v>249</v>
      </c>
      <c r="D3222" s="86">
        <f>7/32*25.4</f>
        <v>5.5562499999999995</v>
      </c>
      <c r="E3222" s="85">
        <f t="shared" si="413"/>
        <v>5.5562499999999996E-3</v>
      </c>
      <c r="F3222" s="85">
        <f t="shared" si="414"/>
        <v>2.7781249999999998E-3</v>
      </c>
      <c r="G3222" s="85">
        <f t="shared" si="415"/>
        <v>8.9813983141951873E-8</v>
      </c>
      <c r="H3222" s="85">
        <v>2160</v>
      </c>
      <c r="I3222" s="85">
        <f t="shared" si="418"/>
        <v>1.9399820358661604E-4</v>
      </c>
      <c r="J3222" s="87">
        <v>1</v>
      </c>
      <c r="K3222" s="88">
        <f t="shared" si="419"/>
        <v>5154.6869069512877</v>
      </c>
    </row>
    <row r="3223" spans="1:11" hidden="1" x14ac:dyDescent="0.25">
      <c r="A3223" t="str">
        <f t="shared" si="420"/>
        <v>PTFEØ5,55625</v>
      </c>
      <c r="B3223" s="81" t="s">
        <v>307</v>
      </c>
      <c r="C3223" s="101" t="s">
        <v>249</v>
      </c>
      <c r="D3223" s="86">
        <f>7/32*25.4</f>
        <v>5.5562499999999995</v>
      </c>
      <c r="E3223" s="85">
        <f t="shared" si="413"/>
        <v>5.5562499999999996E-3</v>
      </c>
      <c r="F3223" s="85">
        <f t="shared" si="414"/>
        <v>2.7781249999999998E-3</v>
      </c>
      <c r="G3223" s="85">
        <f t="shared" si="415"/>
        <v>8.9813983141951873E-8</v>
      </c>
      <c r="H3223" s="85">
        <v>2160</v>
      </c>
      <c r="I3223" s="85">
        <f t="shared" si="418"/>
        <v>1.9399820358661604E-4</v>
      </c>
      <c r="J3223" s="87">
        <v>1</v>
      </c>
      <c r="K3223" s="88">
        <f t="shared" si="419"/>
        <v>5154.6869069512877</v>
      </c>
    </row>
    <row r="3224" spans="1:11" hidden="1" x14ac:dyDescent="0.25">
      <c r="A3224" t="str">
        <f t="shared" si="420"/>
        <v>POMØ5,95</v>
      </c>
      <c r="B3224" s="81" t="s">
        <v>201</v>
      </c>
      <c r="D3224" s="86">
        <v>5.95</v>
      </c>
      <c r="E3224" s="85">
        <f t="shared" si="413"/>
        <v>5.9500000000000004E-3</v>
      </c>
      <c r="F3224" s="85">
        <f t="shared" si="414"/>
        <v>2.9750000000000002E-3</v>
      </c>
      <c r="G3224" s="85">
        <f t="shared" si="415"/>
        <v>1.1029339863605673E-7</v>
      </c>
      <c r="H3224" s="85">
        <v>1370</v>
      </c>
      <c r="I3224" s="85">
        <f t="shared" si="418"/>
        <v>1.5110195613139772E-4</v>
      </c>
      <c r="J3224" s="87">
        <v>1</v>
      </c>
      <c r="K3224" s="88">
        <f t="shared" si="419"/>
        <v>6618.0480094539844</v>
      </c>
    </row>
    <row r="3225" spans="1:11" hidden="1" x14ac:dyDescent="0.25">
      <c r="A3225" t="str">
        <f t="shared" si="420"/>
        <v>TorlonØ5,95</v>
      </c>
      <c r="B3225" s="81" t="s">
        <v>324</v>
      </c>
      <c r="D3225" s="86">
        <v>5.95</v>
      </c>
      <c r="E3225" s="85">
        <f t="shared" si="413"/>
        <v>5.9500000000000004E-3</v>
      </c>
      <c r="F3225" s="85">
        <f t="shared" si="414"/>
        <v>2.9750000000000002E-3</v>
      </c>
      <c r="G3225" s="85">
        <f t="shared" si="415"/>
        <v>1.1029339863605673E-7</v>
      </c>
      <c r="H3225" s="85">
        <v>1420</v>
      </c>
      <c r="I3225" s="85">
        <f t="shared" si="418"/>
        <v>1.5661662606320054E-4</v>
      </c>
      <c r="J3225" s="87">
        <v>1</v>
      </c>
      <c r="K3225" s="88">
        <f t="shared" si="419"/>
        <v>6385.0181499661685</v>
      </c>
    </row>
    <row r="3226" spans="1:11" hidden="1" x14ac:dyDescent="0.25">
      <c r="A3226" t="str">
        <f t="shared" si="420"/>
        <v>PSØ5,95</v>
      </c>
      <c r="B3226" s="81" t="s">
        <v>242</v>
      </c>
      <c r="D3226" s="86">
        <v>5.95</v>
      </c>
      <c r="E3226" s="85">
        <f t="shared" si="413"/>
        <v>5.9500000000000004E-3</v>
      </c>
      <c r="F3226" s="85">
        <f t="shared" si="414"/>
        <v>2.9750000000000002E-3</v>
      </c>
      <c r="G3226" s="85">
        <f t="shared" si="415"/>
        <v>1.1029339863605673E-7</v>
      </c>
      <c r="H3226" s="85">
        <v>1050</v>
      </c>
      <c r="I3226" s="85">
        <f t="shared" si="418"/>
        <v>1.1580806856785956E-4</v>
      </c>
      <c r="J3226" s="87">
        <v>1</v>
      </c>
      <c r="K3226" s="88">
        <f t="shared" si="419"/>
        <v>8634.9769266209132</v>
      </c>
    </row>
    <row r="3227" spans="1:11" hidden="1" x14ac:dyDescent="0.25">
      <c r="A3227" t="str">
        <f t="shared" si="420"/>
        <v>POMØ1</v>
      </c>
      <c r="B3227" s="81" t="s">
        <v>201</v>
      </c>
      <c r="D3227" s="86">
        <v>1</v>
      </c>
      <c r="E3227" s="85">
        <f t="shared" si="413"/>
        <v>1E-3</v>
      </c>
      <c r="F3227" s="85">
        <f t="shared" si="414"/>
        <v>5.0000000000000001E-4</v>
      </c>
      <c r="G3227" s="85">
        <f t="shared" si="415"/>
        <v>5.2359877559829886E-10</v>
      </c>
      <c r="H3227" s="85">
        <v>1370</v>
      </c>
      <c r="I3227" s="85">
        <f>H3227*G3227</f>
        <v>7.1733032256966945E-7</v>
      </c>
      <c r="J3227" s="87">
        <v>1</v>
      </c>
      <c r="K3227" s="88">
        <f>J3227/I3227</f>
        <v>1394057.8956954337</v>
      </c>
    </row>
    <row r="3228" spans="1:11" hidden="1" x14ac:dyDescent="0.25">
      <c r="A3228" t="str">
        <f t="shared" si="420"/>
        <v>POMØ1,5875</v>
      </c>
      <c r="B3228" s="81" t="s">
        <v>201</v>
      </c>
      <c r="C3228" s="101" t="s">
        <v>246</v>
      </c>
      <c r="D3228" s="86">
        <f>1/16*25.4</f>
        <v>1.5874999999999999</v>
      </c>
      <c r="E3228" s="85">
        <f t="shared" si="413"/>
        <v>1.5874999999999999E-3</v>
      </c>
      <c r="F3228" s="85">
        <f t="shared" si="414"/>
        <v>7.9374999999999997E-4</v>
      </c>
      <c r="G3228" s="85">
        <f t="shared" si="415"/>
        <v>2.0947867788210349E-9</v>
      </c>
      <c r="H3228" s="85">
        <v>1370</v>
      </c>
      <c r="I3228" s="85">
        <f t="shared" ref="I3228:I3291" si="421">H3228*G3228</f>
        <v>2.8698578869848178E-6</v>
      </c>
      <c r="J3228" s="87">
        <v>1</v>
      </c>
      <c r="K3228" s="88">
        <f t="shared" ref="K3228:K3291" si="422">J3228/I3228</f>
        <v>348449.30981953192</v>
      </c>
    </row>
    <row r="3229" spans="1:11" hidden="1" x14ac:dyDescent="0.25">
      <c r="A3229" t="str">
        <f t="shared" si="420"/>
        <v>PPHØ1</v>
      </c>
      <c r="B3229" s="81" t="s">
        <v>202</v>
      </c>
      <c r="D3229" s="86">
        <v>1</v>
      </c>
      <c r="E3229" s="85">
        <f t="shared" si="413"/>
        <v>1E-3</v>
      </c>
      <c r="F3229" s="85">
        <f t="shared" si="414"/>
        <v>5.0000000000000001E-4</v>
      </c>
      <c r="G3229" s="85">
        <f t="shared" si="415"/>
        <v>5.2359877559829886E-10</v>
      </c>
      <c r="H3229" s="85">
        <v>870</v>
      </c>
      <c r="I3229" s="85">
        <f t="shared" si="421"/>
        <v>4.5553093477051999E-7</v>
      </c>
      <c r="J3229" s="87">
        <v>1</v>
      </c>
      <c r="K3229" s="88">
        <f t="shared" si="422"/>
        <v>2195240.5943709705</v>
      </c>
    </row>
    <row r="3230" spans="1:11" hidden="1" x14ac:dyDescent="0.25">
      <c r="A3230" t="str">
        <f t="shared" si="420"/>
        <v>HDPEØ1</v>
      </c>
      <c r="B3230" s="81" t="s">
        <v>322</v>
      </c>
      <c r="D3230" s="86">
        <v>1</v>
      </c>
      <c r="E3230" s="85">
        <f t="shared" si="413"/>
        <v>1E-3</v>
      </c>
      <c r="F3230" s="85">
        <f t="shared" si="414"/>
        <v>5.0000000000000001E-4</v>
      </c>
      <c r="G3230" s="85">
        <f t="shared" si="415"/>
        <v>5.2359877559829886E-10</v>
      </c>
      <c r="H3230" s="85">
        <v>970</v>
      </c>
      <c r="I3230" s="85">
        <f t="shared" si="421"/>
        <v>5.078908123303499E-7</v>
      </c>
      <c r="J3230" s="87">
        <v>1</v>
      </c>
      <c r="K3230" s="88">
        <f t="shared" si="422"/>
        <v>1968927.1310337568</v>
      </c>
    </row>
    <row r="3231" spans="1:11" hidden="1" x14ac:dyDescent="0.25">
      <c r="A3231" t="str">
        <f t="shared" si="420"/>
        <v>POMØ1</v>
      </c>
      <c r="B3231" s="81" t="s">
        <v>201</v>
      </c>
      <c r="D3231" s="86">
        <v>1</v>
      </c>
      <c r="E3231" s="85">
        <f t="shared" si="413"/>
        <v>1E-3</v>
      </c>
      <c r="F3231" s="85">
        <f t="shared" si="414"/>
        <v>5.0000000000000001E-4</v>
      </c>
      <c r="G3231" s="85">
        <f t="shared" si="415"/>
        <v>5.2359877559829886E-10</v>
      </c>
      <c r="H3231" s="85">
        <v>1370</v>
      </c>
      <c r="I3231" s="85">
        <f t="shared" si="421"/>
        <v>7.1733032256966945E-7</v>
      </c>
      <c r="J3231" s="87">
        <v>1</v>
      </c>
      <c r="K3231" s="88">
        <f t="shared" si="422"/>
        <v>1394057.8956954337</v>
      </c>
    </row>
    <row r="3232" spans="1:11" hidden="1" x14ac:dyDescent="0.25">
      <c r="A3232" t="str">
        <f t="shared" si="420"/>
        <v>52100Ø3,6</v>
      </c>
      <c r="B3232" s="81">
        <v>52100</v>
      </c>
      <c r="D3232" s="86">
        <v>3.6</v>
      </c>
      <c r="E3232" s="85">
        <f t="shared" si="413"/>
        <v>3.5999999999999999E-3</v>
      </c>
      <c r="F3232" s="85">
        <f t="shared" si="414"/>
        <v>1.8E-3</v>
      </c>
      <c r="G3232" s="85">
        <f t="shared" si="415"/>
        <v>2.4429024474314225E-8</v>
      </c>
      <c r="H3232" s="85">
        <v>7800</v>
      </c>
      <c r="I3232" s="85">
        <f t="shared" si="421"/>
        <v>1.9054639089965096E-4</v>
      </c>
      <c r="J3232" s="87">
        <v>1</v>
      </c>
      <c r="K3232" s="88">
        <f t="shared" si="422"/>
        <v>5248.0658136770398</v>
      </c>
    </row>
    <row r="3233" spans="1:11" hidden="1" x14ac:dyDescent="0.25">
      <c r="A3233" t="str">
        <f t="shared" si="420"/>
        <v>PTFEØ4,7625</v>
      </c>
      <c r="B3233" s="81" t="s">
        <v>307</v>
      </c>
      <c r="C3233" s="101" t="s">
        <v>248</v>
      </c>
      <c r="D3233" s="86">
        <f>3/16*25.4</f>
        <v>4.7624999999999993</v>
      </c>
      <c r="E3233" s="85">
        <f t="shared" si="413"/>
        <v>4.7624999999999994E-3</v>
      </c>
      <c r="F3233" s="85">
        <f t="shared" si="414"/>
        <v>2.3812499999999997E-3</v>
      </c>
      <c r="G3233" s="85">
        <f t="shared" si="415"/>
        <v>5.6559243028167934E-8</v>
      </c>
      <c r="H3233" s="85">
        <v>2100</v>
      </c>
      <c r="I3233" s="85">
        <f t="shared" si="421"/>
        <v>1.1877441035915266E-4</v>
      </c>
      <c r="J3233" s="87">
        <v>1</v>
      </c>
      <c r="K3233" s="88">
        <f t="shared" si="422"/>
        <v>8419.321948020437</v>
      </c>
    </row>
    <row r="3234" spans="1:11" hidden="1" x14ac:dyDescent="0.25">
      <c r="A3234" t="str">
        <f t="shared" si="420"/>
        <v>EPDMØ13</v>
      </c>
      <c r="B3234" s="81" t="s">
        <v>368</v>
      </c>
      <c r="D3234" s="86">
        <v>13</v>
      </c>
      <c r="E3234" s="85">
        <f t="shared" si="413"/>
        <v>1.2999999999999999E-2</v>
      </c>
      <c r="F3234" s="85">
        <f t="shared" si="414"/>
        <v>6.4999999999999997E-3</v>
      </c>
      <c r="G3234" s="85">
        <f t="shared" si="415"/>
        <v>1.1503465099894625E-6</v>
      </c>
      <c r="H3234" s="85">
        <v>1200</v>
      </c>
      <c r="I3234" s="85">
        <f t="shared" si="421"/>
        <v>1.380415811987355E-3</v>
      </c>
      <c r="J3234" s="87">
        <v>1</v>
      </c>
      <c r="K3234" s="88">
        <f t="shared" si="422"/>
        <v>724.4194041506388</v>
      </c>
    </row>
    <row r="3235" spans="1:11" hidden="1" x14ac:dyDescent="0.25">
      <c r="A3235" t="str">
        <f t="shared" si="420"/>
        <v>TiAl6V4 (G5)Ø1</v>
      </c>
      <c r="B3235" s="81" t="s">
        <v>305</v>
      </c>
      <c r="D3235" s="86">
        <v>1</v>
      </c>
      <c r="E3235" s="85">
        <f t="shared" si="413"/>
        <v>1E-3</v>
      </c>
      <c r="F3235" s="85">
        <f t="shared" si="414"/>
        <v>5.0000000000000001E-4</v>
      </c>
      <c r="G3235" s="85">
        <f t="shared" si="415"/>
        <v>5.2359877559829886E-10</v>
      </c>
      <c r="H3235" s="85">
        <v>4450</v>
      </c>
      <c r="I3235" s="85">
        <f t="shared" si="421"/>
        <v>2.3300145514124297E-6</v>
      </c>
      <c r="J3235" s="87">
        <v>1</v>
      </c>
      <c r="K3235" s="88">
        <f t="shared" si="422"/>
        <v>429181.86901185266</v>
      </c>
    </row>
    <row r="3236" spans="1:11" hidden="1" x14ac:dyDescent="0.25">
      <c r="A3236" t="str">
        <f t="shared" si="420"/>
        <v>52100Ø49,95</v>
      </c>
      <c r="B3236" s="81">
        <v>52100</v>
      </c>
      <c r="D3236" s="86">
        <v>49.95</v>
      </c>
      <c r="E3236" s="85">
        <f t="shared" si="413"/>
        <v>4.9950000000000001E-2</v>
      </c>
      <c r="F3236" s="85">
        <f t="shared" si="414"/>
        <v>2.4975000000000001E-2</v>
      </c>
      <c r="G3236" s="85">
        <f t="shared" si="415"/>
        <v>6.5253693693028997E-5</v>
      </c>
      <c r="H3236" s="85">
        <v>7800</v>
      </c>
      <c r="I3236" s="85">
        <f t="shared" si="421"/>
        <v>0.50897881080562613</v>
      </c>
      <c r="J3236" s="87">
        <v>1</v>
      </c>
      <c r="K3236" s="88">
        <f t="shared" si="422"/>
        <v>1.9647183316279346</v>
      </c>
    </row>
    <row r="3237" spans="1:11" hidden="1" x14ac:dyDescent="0.25">
      <c r="A3237" t="str">
        <f t="shared" si="420"/>
        <v>52100Ø69,95</v>
      </c>
      <c r="B3237" s="81">
        <v>52100</v>
      </c>
      <c r="D3237" s="86">
        <v>69.95</v>
      </c>
      <c r="E3237" s="85">
        <f t="shared" ref="E3237:E3267" si="423">D3237/1000</f>
        <v>6.9949999999999998E-2</v>
      </c>
      <c r="F3237" s="85">
        <f t="shared" ref="F3237:F3267" si="424">E3237/2</f>
        <v>3.4974999999999999E-2</v>
      </c>
      <c r="G3237" s="85">
        <f t="shared" ref="G3237:G3267" si="425">4/3*PI()*F3237*F3237*F3237</f>
        <v>1.7920980975405905E-4</v>
      </c>
      <c r="H3237" s="85">
        <v>7800</v>
      </c>
      <c r="I3237" s="85">
        <f t="shared" si="421"/>
        <v>1.3978365160816606</v>
      </c>
      <c r="J3237" s="87">
        <v>1</v>
      </c>
      <c r="K3237" s="88">
        <f t="shared" si="422"/>
        <v>0.71539124103235308</v>
      </c>
    </row>
    <row r="3238" spans="1:11" hidden="1" x14ac:dyDescent="0.25">
      <c r="A3238" t="str">
        <f t="shared" si="420"/>
        <v>PTFEØ4,7625</v>
      </c>
      <c r="B3238" s="81" t="s">
        <v>307</v>
      </c>
      <c r="C3238" s="101" t="s">
        <v>248</v>
      </c>
      <c r="D3238" s="86">
        <f>3/16*25.4</f>
        <v>4.7624999999999993</v>
      </c>
      <c r="E3238" s="85">
        <f t="shared" si="423"/>
        <v>4.7624999999999994E-3</v>
      </c>
      <c r="F3238" s="85">
        <f t="shared" si="424"/>
        <v>2.3812499999999997E-3</v>
      </c>
      <c r="G3238" s="85">
        <f t="shared" si="425"/>
        <v>5.6559243028167934E-8</v>
      </c>
      <c r="H3238" s="85">
        <v>2100</v>
      </c>
      <c r="I3238" s="85">
        <f t="shared" si="421"/>
        <v>1.1877441035915266E-4</v>
      </c>
      <c r="J3238" s="87">
        <v>1</v>
      </c>
      <c r="K3238" s="88">
        <f t="shared" si="422"/>
        <v>8419.321948020437</v>
      </c>
    </row>
    <row r="3239" spans="1:11" hidden="1" x14ac:dyDescent="0.25">
      <c r="A3239" t="str">
        <f t="shared" si="420"/>
        <v>440CØ0,6</v>
      </c>
      <c r="B3239" s="81" t="s">
        <v>314</v>
      </c>
      <c r="D3239" s="86">
        <v>0.6</v>
      </c>
      <c r="E3239" s="85">
        <f t="shared" si="423"/>
        <v>5.9999999999999995E-4</v>
      </c>
      <c r="F3239" s="85">
        <f t="shared" si="424"/>
        <v>2.9999999999999997E-4</v>
      </c>
      <c r="G3239" s="85">
        <f t="shared" si="425"/>
        <v>1.1309733552923252E-10</v>
      </c>
      <c r="H3239" s="85">
        <v>7700</v>
      </c>
      <c r="I3239" s="85">
        <f t="shared" si="421"/>
        <v>8.708494835750904E-7</v>
      </c>
      <c r="J3239" s="87">
        <v>1</v>
      </c>
      <c r="K3239" s="88">
        <f t="shared" si="422"/>
        <v>1148304.062712088</v>
      </c>
    </row>
    <row r="3240" spans="1:11" hidden="1" x14ac:dyDescent="0.25">
      <c r="A3240" t="str">
        <f t="shared" si="420"/>
        <v>440CØ0,6</v>
      </c>
      <c r="B3240" s="81" t="s">
        <v>314</v>
      </c>
      <c r="D3240" s="86">
        <v>0.6</v>
      </c>
      <c r="E3240" s="85">
        <f t="shared" si="423"/>
        <v>5.9999999999999995E-4</v>
      </c>
      <c r="F3240" s="85">
        <f t="shared" si="424"/>
        <v>2.9999999999999997E-4</v>
      </c>
      <c r="G3240" s="85">
        <f t="shared" si="425"/>
        <v>1.1309733552923252E-10</v>
      </c>
      <c r="H3240" s="85">
        <v>7600</v>
      </c>
      <c r="I3240" s="85">
        <f t="shared" si="421"/>
        <v>8.5953975002216714E-7</v>
      </c>
      <c r="J3240" s="87">
        <v>1</v>
      </c>
      <c r="K3240" s="88">
        <f t="shared" si="422"/>
        <v>1163413.3266951418</v>
      </c>
    </row>
    <row r="3241" spans="1:11" hidden="1" x14ac:dyDescent="0.25">
      <c r="A3241" t="str">
        <f t="shared" si="420"/>
        <v>316LØ9,525</v>
      </c>
      <c r="B3241" s="81" t="s">
        <v>298</v>
      </c>
      <c r="C3241" s="101" t="s">
        <v>254</v>
      </c>
      <c r="D3241" s="86">
        <f>3/8*25.4</f>
        <v>9.5249999999999986</v>
      </c>
      <c r="E3241" s="85">
        <f t="shared" si="423"/>
        <v>9.5249999999999987E-3</v>
      </c>
      <c r="F3241" s="85">
        <f t="shared" si="424"/>
        <v>4.7624999999999994E-3</v>
      </c>
      <c r="G3241" s="85">
        <f t="shared" si="425"/>
        <v>4.5247394422534347E-7</v>
      </c>
      <c r="H3241" s="85">
        <v>7950</v>
      </c>
      <c r="I3241" s="85">
        <f t="shared" si="421"/>
        <v>3.5971678565914805E-3</v>
      </c>
      <c r="J3241" s="87">
        <v>1</v>
      </c>
      <c r="K3241" s="88">
        <f t="shared" si="422"/>
        <v>277.99647941576916</v>
      </c>
    </row>
    <row r="3242" spans="1:11" hidden="1" x14ac:dyDescent="0.25">
      <c r="A3242" t="str">
        <f t="shared" si="420"/>
        <v>316LØ11,1125</v>
      </c>
      <c r="B3242" s="81" t="s">
        <v>298</v>
      </c>
      <c r="C3242" s="101" t="s">
        <v>274</v>
      </c>
      <c r="D3242" s="86">
        <f>7/16*25.4</f>
        <v>11.112499999999999</v>
      </c>
      <c r="E3242" s="85">
        <f t="shared" si="423"/>
        <v>1.1112499999999999E-2</v>
      </c>
      <c r="F3242" s="85">
        <f t="shared" si="424"/>
        <v>5.5562499999999996E-3</v>
      </c>
      <c r="G3242" s="85">
        <f t="shared" si="425"/>
        <v>7.1851186513561499E-7</v>
      </c>
      <c r="H3242" s="85">
        <v>7950</v>
      </c>
      <c r="I3242" s="85">
        <f t="shared" si="421"/>
        <v>5.7121693278281392E-3</v>
      </c>
      <c r="J3242" s="87">
        <v>1</v>
      </c>
      <c r="K3242" s="88">
        <f t="shared" si="422"/>
        <v>175.064838349289</v>
      </c>
    </row>
    <row r="3243" spans="1:11" hidden="1" x14ac:dyDescent="0.25">
      <c r="A3243" t="str">
        <f t="shared" si="420"/>
        <v>316LØ10</v>
      </c>
      <c r="B3243" s="81" t="s">
        <v>298</v>
      </c>
      <c r="D3243" s="86">
        <v>10</v>
      </c>
      <c r="E3243" s="85">
        <f t="shared" si="423"/>
        <v>0.01</v>
      </c>
      <c r="F3243" s="85">
        <f t="shared" si="424"/>
        <v>5.0000000000000001E-3</v>
      </c>
      <c r="G3243" s="85">
        <f t="shared" si="425"/>
        <v>5.2359877559829882E-7</v>
      </c>
      <c r="H3243" s="85">
        <v>7950</v>
      </c>
      <c r="I3243" s="85">
        <f t="shared" si="421"/>
        <v>4.1626102660064753E-3</v>
      </c>
      <c r="J3243" s="87">
        <v>1</v>
      </c>
      <c r="K3243" s="88">
        <f t="shared" si="422"/>
        <v>240.23387636512507</v>
      </c>
    </row>
    <row r="3244" spans="1:11" hidden="1" x14ac:dyDescent="0.25">
      <c r="A3244" t="str">
        <f t="shared" si="420"/>
        <v>316LØ12,7</v>
      </c>
      <c r="B3244" s="81" t="s">
        <v>298</v>
      </c>
      <c r="C3244" s="101" t="s">
        <v>270</v>
      </c>
      <c r="D3244" s="86">
        <f>1/2*25.4</f>
        <v>12.7</v>
      </c>
      <c r="E3244" s="85">
        <f t="shared" si="423"/>
        <v>1.2699999999999999E-2</v>
      </c>
      <c r="F3244" s="85">
        <f t="shared" si="424"/>
        <v>6.3499999999999997E-3</v>
      </c>
      <c r="G3244" s="85">
        <f t="shared" si="425"/>
        <v>1.0725308307563699E-6</v>
      </c>
      <c r="H3244" s="85">
        <v>7950</v>
      </c>
      <c r="I3244" s="85">
        <f t="shared" si="421"/>
        <v>8.5266201045131398E-3</v>
      </c>
      <c r="J3244" s="87">
        <v>1</v>
      </c>
      <c r="K3244" s="88">
        <f t="shared" si="422"/>
        <v>117.2797647535276</v>
      </c>
    </row>
    <row r="3245" spans="1:11" hidden="1" x14ac:dyDescent="0.25">
      <c r="A3245" t="str">
        <f t="shared" si="420"/>
        <v>POMØ1</v>
      </c>
      <c r="B3245" s="81" t="s">
        <v>201</v>
      </c>
      <c r="D3245" s="86">
        <v>1</v>
      </c>
      <c r="E3245" s="85">
        <f t="shared" si="423"/>
        <v>1E-3</v>
      </c>
      <c r="F3245" s="85">
        <f t="shared" si="424"/>
        <v>5.0000000000000001E-4</v>
      </c>
      <c r="G3245" s="85">
        <f t="shared" si="425"/>
        <v>5.2359877559829886E-10</v>
      </c>
      <c r="H3245" s="85">
        <v>1370</v>
      </c>
      <c r="I3245" s="85">
        <f t="shared" si="421"/>
        <v>7.1733032256966945E-7</v>
      </c>
      <c r="J3245" s="87">
        <v>1</v>
      </c>
      <c r="K3245" s="88">
        <f t="shared" si="422"/>
        <v>1394057.8956954337</v>
      </c>
    </row>
    <row r="3246" spans="1:11" hidden="1" x14ac:dyDescent="0.25">
      <c r="A3246" t="str">
        <f t="shared" si="420"/>
        <v>304LØ3,175</v>
      </c>
      <c r="B3246" s="81" t="s">
        <v>362</v>
      </c>
      <c r="C3246" s="101" t="s">
        <v>214</v>
      </c>
      <c r="D3246" s="86">
        <f>1/8*25.4</f>
        <v>3.1749999999999998</v>
      </c>
      <c r="E3246" s="85">
        <f t="shared" si="423"/>
        <v>3.1749999999999999E-3</v>
      </c>
      <c r="F3246" s="85">
        <f t="shared" si="424"/>
        <v>1.5874999999999999E-3</v>
      </c>
      <c r="G3246" s="85">
        <f t="shared" si="425"/>
        <v>1.6758294230568279E-8</v>
      </c>
      <c r="H3246" s="85">
        <v>7950</v>
      </c>
      <c r="I3246" s="85">
        <f t="shared" si="421"/>
        <v>1.3322843913301781E-4</v>
      </c>
      <c r="J3246" s="87">
        <v>1</v>
      </c>
      <c r="K3246" s="88">
        <f t="shared" si="422"/>
        <v>7505.9049442257665</v>
      </c>
    </row>
    <row r="3247" spans="1:11" hidden="1" x14ac:dyDescent="0.25">
      <c r="A3247" t="str">
        <f t="shared" si="420"/>
        <v>420CØ0,5</v>
      </c>
      <c r="B3247" s="81" t="s">
        <v>295</v>
      </c>
      <c r="D3247" s="86">
        <v>0.5</v>
      </c>
      <c r="E3247" s="85">
        <f t="shared" si="423"/>
        <v>5.0000000000000001E-4</v>
      </c>
      <c r="F3247" s="85">
        <f t="shared" si="424"/>
        <v>2.5000000000000001E-4</v>
      </c>
      <c r="G3247" s="85">
        <f t="shared" si="425"/>
        <v>6.5449846949787358E-11</v>
      </c>
      <c r="H3247" s="85">
        <v>7750</v>
      </c>
      <c r="I3247" s="85">
        <f t="shared" si="421"/>
        <v>5.0723631386085197E-7</v>
      </c>
      <c r="J3247" s="87">
        <v>1</v>
      </c>
      <c r="K3247" s="88">
        <f t="shared" si="422"/>
        <v>1971467.6821705748</v>
      </c>
    </row>
    <row r="3248" spans="1:11" hidden="1" x14ac:dyDescent="0.25">
      <c r="A3248" t="str">
        <f t="shared" si="420"/>
        <v>440CØ0,5</v>
      </c>
      <c r="B3248" s="81" t="s">
        <v>314</v>
      </c>
      <c r="D3248" s="86">
        <v>0.5</v>
      </c>
      <c r="E3248" s="85">
        <f t="shared" si="423"/>
        <v>5.0000000000000001E-4</v>
      </c>
      <c r="F3248" s="85">
        <f t="shared" si="424"/>
        <v>2.5000000000000001E-4</v>
      </c>
      <c r="G3248" s="85">
        <f t="shared" si="425"/>
        <v>6.5449846949787358E-11</v>
      </c>
      <c r="H3248" s="85">
        <v>7700</v>
      </c>
      <c r="I3248" s="85">
        <f t="shared" si="421"/>
        <v>5.0396382151336265E-7</v>
      </c>
      <c r="J3248" s="87">
        <v>1</v>
      </c>
      <c r="K3248" s="88">
        <f t="shared" si="422"/>
        <v>1984269.4203664875</v>
      </c>
    </row>
    <row r="3249" spans="1:11" hidden="1" x14ac:dyDescent="0.25">
      <c r="A3249" t="str">
        <f t="shared" si="420"/>
        <v>304Ø0,5</v>
      </c>
      <c r="B3249" s="81">
        <v>304</v>
      </c>
      <c r="D3249" s="86">
        <v>0.5</v>
      </c>
      <c r="E3249" s="85">
        <f t="shared" si="423"/>
        <v>5.0000000000000001E-4</v>
      </c>
      <c r="F3249" s="85">
        <f t="shared" si="424"/>
        <v>2.5000000000000001E-4</v>
      </c>
      <c r="G3249" s="85">
        <f t="shared" si="425"/>
        <v>6.5449846949787358E-11</v>
      </c>
      <c r="H3249" s="85">
        <v>7950</v>
      </c>
      <c r="I3249" s="85">
        <f t="shared" si="421"/>
        <v>5.2032628325080949E-7</v>
      </c>
      <c r="J3249" s="87">
        <v>1</v>
      </c>
      <c r="K3249" s="88">
        <f t="shared" si="422"/>
        <v>1921871.0109210003</v>
      </c>
    </row>
    <row r="3250" spans="1:11" hidden="1" x14ac:dyDescent="0.25">
      <c r="A3250" t="str">
        <f t="shared" si="420"/>
        <v>S2 Tool SteelØ14,2875</v>
      </c>
      <c r="B3250" s="81" t="s">
        <v>428</v>
      </c>
      <c r="C3250" s="101" t="s">
        <v>268</v>
      </c>
      <c r="D3250" s="86">
        <f>9/16*25.4</f>
        <v>14.2875</v>
      </c>
      <c r="E3250" s="85">
        <f t="shared" si="423"/>
        <v>1.42875E-2</v>
      </c>
      <c r="F3250" s="85">
        <f t="shared" si="424"/>
        <v>7.1437499999999999E-3</v>
      </c>
      <c r="G3250" s="85">
        <f t="shared" si="425"/>
        <v>1.5270995617605347E-6</v>
      </c>
      <c r="H3250" s="85">
        <v>7720</v>
      </c>
      <c r="I3250" s="85">
        <f t="shared" si="421"/>
        <v>1.1789208616791329E-2</v>
      </c>
      <c r="J3250" s="87">
        <v>1</v>
      </c>
      <c r="K3250" s="88">
        <f t="shared" si="422"/>
        <v>84.823335688173628</v>
      </c>
    </row>
    <row r="3251" spans="1:11" hidden="1" x14ac:dyDescent="0.25">
      <c r="A3251" t="str">
        <f t="shared" si="420"/>
        <v>S2 Tool SteelØ20,6375</v>
      </c>
      <c r="B3251" s="81" t="s">
        <v>428</v>
      </c>
      <c r="C3251" s="101" t="s">
        <v>260</v>
      </c>
      <c r="D3251" s="86">
        <f>13/16*25.4</f>
        <v>20.637499999999999</v>
      </c>
      <c r="E3251" s="85">
        <f t="shared" si="423"/>
        <v>2.06375E-2</v>
      </c>
      <c r="F3251" s="85">
        <f t="shared" si="424"/>
        <v>1.031875E-2</v>
      </c>
      <c r="G3251" s="85">
        <f t="shared" si="425"/>
        <v>4.6022465530698137E-6</v>
      </c>
      <c r="H3251" s="85">
        <v>7720</v>
      </c>
      <c r="I3251" s="85">
        <f t="shared" si="421"/>
        <v>3.5529343389698959E-2</v>
      </c>
      <c r="J3251" s="87">
        <v>1</v>
      </c>
      <c r="K3251" s="88">
        <f t="shared" si="422"/>
        <v>28.145749529667089</v>
      </c>
    </row>
    <row r="3252" spans="1:11" hidden="1" x14ac:dyDescent="0.25">
      <c r="A3252" t="str">
        <f t="shared" si="420"/>
        <v>S2 Tool SteelØ25,4</v>
      </c>
      <c r="B3252" s="81" t="s">
        <v>428</v>
      </c>
      <c r="C3252" s="101" t="s">
        <v>255</v>
      </c>
      <c r="D3252" s="86">
        <f>1*25.4</f>
        <v>25.4</v>
      </c>
      <c r="E3252" s="85">
        <f t="shared" si="423"/>
        <v>2.5399999999999999E-2</v>
      </c>
      <c r="F3252" s="85">
        <f t="shared" si="424"/>
        <v>1.2699999999999999E-2</v>
      </c>
      <c r="G3252" s="85">
        <f t="shared" si="425"/>
        <v>8.5802466460509588E-6</v>
      </c>
      <c r="H3252" s="85">
        <v>7720</v>
      </c>
      <c r="I3252" s="85">
        <f t="shared" si="421"/>
        <v>6.6239504107513406E-2</v>
      </c>
      <c r="J3252" s="87">
        <v>1</v>
      </c>
      <c r="K3252" s="88">
        <f t="shared" si="422"/>
        <v>15.096731376142234</v>
      </c>
    </row>
    <row r="3253" spans="1:11" hidden="1" x14ac:dyDescent="0.25">
      <c r="A3253" t="str">
        <f t="shared" si="420"/>
        <v>TiAl6V4 (G5)Ø1</v>
      </c>
      <c r="B3253" s="81" t="s">
        <v>305</v>
      </c>
      <c r="D3253" s="86">
        <v>1</v>
      </c>
      <c r="E3253" s="85">
        <f t="shared" si="423"/>
        <v>1E-3</v>
      </c>
      <c r="F3253" s="85">
        <f t="shared" si="424"/>
        <v>5.0000000000000001E-4</v>
      </c>
      <c r="G3253" s="85">
        <f t="shared" si="425"/>
        <v>5.2359877559829886E-10</v>
      </c>
      <c r="H3253" s="85">
        <v>4450</v>
      </c>
      <c r="I3253" s="85">
        <f t="shared" si="421"/>
        <v>2.3300145514124297E-6</v>
      </c>
      <c r="J3253" s="87">
        <v>1</v>
      </c>
      <c r="K3253" s="88">
        <f t="shared" si="422"/>
        <v>429181.86901185266</v>
      </c>
    </row>
    <row r="3254" spans="1:11" hidden="1" x14ac:dyDescent="0.25">
      <c r="A3254" t="str">
        <f t="shared" si="420"/>
        <v>TiAl6V4 (G5)Ø2</v>
      </c>
      <c r="B3254" s="81" t="s">
        <v>305</v>
      </c>
      <c r="D3254" s="86">
        <v>2</v>
      </c>
      <c r="E3254" s="85">
        <f t="shared" si="423"/>
        <v>2E-3</v>
      </c>
      <c r="F3254" s="85">
        <f t="shared" si="424"/>
        <v>1E-3</v>
      </c>
      <c r="G3254" s="85">
        <f t="shared" si="425"/>
        <v>4.1887902047863909E-9</v>
      </c>
      <c r="H3254" s="85">
        <v>4450</v>
      </c>
      <c r="I3254" s="85">
        <f t="shared" si="421"/>
        <v>1.8640116411299438E-5</v>
      </c>
      <c r="J3254" s="87">
        <v>1</v>
      </c>
      <c r="K3254" s="88">
        <f t="shared" si="422"/>
        <v>53647.733626481582</v>
      </c>
    </row>
    <row r="3255" spans="1:11" hidden="1" x14ac:dyDescent="0.25">
      <c r="A3255" t="str">
        <f t="shared" si="420"/>
        <v>PPHØ6,5</v>
      </c>
      <c r="B3255" s="81" t="s">
        <v>202</v>
      </c>
      <c r="D3255" s="86">
        <v>6.5</v>
      </c>
      <c r="E3255" s="85">
        <f t="shared" si="423"/>
        <v>6.4999999999999997E-3</v>
      </c>
      <c r="F3255" s="85">
        <f t="shared" si="424"/>
        <v>3.2499999999999999E-3</v>
      </c>
      <c r="G3255" s="85">
        <f t="shared" si="425"/>
        <v>1.4379331374868281E-7</v>
      </c>
      <c r="H3255" s="85">
        <v>870</v>
      </c>
      <c r="I3255" s="85">
        <f t="shared" si="421"/>
        <v>1.2510018296135405E-4</v>
      </c>
      <c r="J3255" s="87">
        <v>1</v>
      </c>
      <c r="K3255" s="88">
        <f t="shared" si="422"/>
        <v>7993.5934251104973</v>
      </c>
    </row>
    <row r="3256" spans="1:11" hidden="1" x14ac:dyDescent="0.25">
      <c r="A3256" t="str">
        <f t="shared" si="420"/>
        <v>PPHØ9</v>
      </c>
      <c r="B3256" s="81" t="s">
        <v>202</v>
      </c>
      <c r="D3256" s="86">
        <v>9</v>
      </c>
      <c r="E3256" s="85">
        <f t="shared" si="423"/>
        <v>8.9999999999999993E-3</v>
      </c>
      <c r="F3256" s="85">
        <f t="shared" si="424"/>
        <v>4.4999999999999997E-3</v>
      </c>
      <c r="G3256" s="85">
        <f t="shared" si="425"/>
        <v>3.8170350741115974E-7</v>
      </c>
      <c r="H3256" s="85">
        <v>870</v>
      </c>
      <c r="I3256" s="85">
        <f t="shared" si="421"/>
        <v>3.3208205144770898E-4</v>
      </c>
      <c r="J3256" s="87">
        <v>1</v>
      </c>
      <c r="K3256" s="88">
        <f t="shared" si="422"/>
        <v>3011.3039703305499</v>
      </c>
    </row>
    <row r="3257" spans="1:11" hidden="1" x14ac:dyDescent="0.25">
      <c r="A3257" t="str">
        <f t="shared" si="420"/>
        <v>PPHØ12</v>
      </c>
      <c r="B3257" s="81" t="s">
        <v>202</v>
      </c>
      <c r="D3257" s="86">
        <v>12</v>
      </c>
      <c r="E3257" s="85">
        <f t="shared" si="423"/>
        <v>1.2E-2</v>
      </c>
      <c r="F3257" s="85">
        <f t="shared" si="424"/>
        <v>6.0000000000000001E-3</v>
      </c>
      <c r="G3257" s="85">
        <f t="shared" si="425"/>
        <v>9.0477868423386037E-7</v>
      </c>
      <c r="H3257" s="85">
        <v>870</v>
      </c>
      <c r="I3257" s="85">
        <f t="shared" si="421"/>
        <v>7.8715745528345853E-4</v>
      </c>
      <c r="J3257" s="87">
        <v>1</v>
      </c>
      <c r="K3257" s="88">
        <f t="shared" si="422"/>
        <v>1270.3938624832003</v>
      </c>
    </row>
    <row r="3258" spans="1:11" hidden="1" x14ac:dyDescent="0.25">
      <c r="A3258" t="str">
        <f t="shared" si="420"/>
        <v>Inconel 625Ø4,7625</v>
      </c>
      <c r="B3258" s="81" t="s">
        <v>394</v>
      </c>
      <c r="C3258" s="101" t="s">
        <v>248</v>
      </c>
      <c r="D3258" s="86">
        <f>3/16*25.4</f>
        <v>4.7624999999999993</v>
      </c>
      <c r="E3258" s="85">
        <f t="shared" si="423"/>
        <v>4.7624999999999994E-3</v>
      </c>
      <c r="F3258" s="85">
        <f t="shared" si="424"/>
        <v>2.3812499999999997E-3</v>
      </c>
      <c r="G3258" s="85">
        <f t="shared" si="425"/>
        <v>5.6559243028167934E-8</v>
      </c>
      <c r="H3258" s="85">
        <v>8420</v>
      </c>
      <c r="I3258" s="85">
        <f t="shared" si="421"/>
        <v>4.76228826297174E-4</v>
      </c>
      <c r="J3258" s="87">
        <v>1</v>
      </c>
      <c r="K3258" s="88">
        <f t="shared" si="422"/>
        <v>2099.8308896488029</v>
      </c>
    </row>
    <row r="3259" spans="1:11" hidden="1" x14ac:dyDescent="0.25">
      <c r="A3259" t="str">
        <f t="shared" si="420"/>
        <v>Alluminio serie 2Ø0,8</v>
      </c>
      <c r="B3259" s="81" t="s">
        <v>323</v>
      </c>
      <c r="D3259" s="86">
        <v>0.8</v>
      </c>
      <c r="E3259" s="85">
        <f t="shared" si="423"/>
        <v>8.0000000000000004E-4</v>
      </c>
      <c r="F3259" s="85">
        <f t="shared" si="424"/>
        <v>4.0000000000000002E-4</v>
      </c>
      <c r="G3259" s="85">
        <f t="shared" si="425"/>
        <v>2.6808257310632903E-10</v>
      </c>
      <c r="H3259" s="85">
        <v>2780</v>
      </c>
      <c r="I3259" s="85">
        <f t="shared" si="421"/>
        <v>7.4526955323559467E-7</v>
      </c>
      <c r="J3259" s="87">
        <v>1</v>
      </c>
      <c r="K3259" s="88">
        <f t="shared" si="422"/>
        <v>1341796.3952216895</v>
      </c>
    </row>
    <row r="3260" spans="1:11" hidden="1" x14ac:dyDescent="0.25">
      <c r="A3260" t="str">
        <f t="shared" si="420"/>
        <v>WC-CoØ0,6</v>
      </c>
      <c r="B3260" s="81" t="s">
        <v>297</v>
      </c>
      <c r="D3260" s="86">
        <v>0.6</v>
      </c>
      <c r="E3260" s="85">
        <f t="shared" si="423"/>
        <v>5.9999999999999995E-4</v>
      </c>
      <c r="F3260" s="85">
        <f t="shared" si="424"/>
        <v>2.9999999999999997E-4</v>
      </c>
      <c r="G3260" s="85">
        <f t="shared" si="425"/>
        <v>1.1309733552923252E-10</v>
      </c>
      <c r="H3260" s="85">
        <v>14950</v>
      </c>
      <c r="I3260" s="85">
        <f t="shared" si="421"/>
        <v>1.690805166162026E-6</v>
      </c>
      <c r="J3260" s="87">
        <v>1</v>
      </c>
      <c r="K3260" s="88">
        <f t="shared" si="422"/>
        <v>591434.19952395174</v>
      </c>
    </row>
    <row r="3261" spans="1:11" hidden="1" x14ac:dyDescent="0.25">
      <c r="A3261" t="str">
        <f t="shared" si="420"/>
        <v>WC-CoØ1,6</v>
      </c>
      <c r="B3261" s="81" t="s">
        <v>297</v>
      </c>
      <c r="D3261" s="86">
        <v>1.6</v>
      </c>
      <c r="E3261" s="85">
        <f t="shared" si="423"/>
        <v>1.6000000000000001E-3</v>
      </c>
      <c r="F3261" s="85">
        <f t="shared" si="424"/>
        <v>8.0000000000000004E-4</v>
      </c>
      <c r="G3261" s="85">
        <f t="shared" si="425"/>
        <v>2.1446605848506322E-9</v>
      </c>
      <c r="H3261" s="85">
        <v>14950</v>
      </c>
      <c r="I3261" s="85">
        <f t="shared" si="421"/>
        <v>3.2062675743516955E-5</v>
      </c>
      <c r="J3261" s="87">
        <v>1</v>
      </c>
      <c r="K3261" s="88">
        <f t="shared" si="422"/>
        <v>31188.912865520873</v>
      </c>
    </row>
    <row r="3262" spans="1:11" hidden="1" x14ac:dyDescent="0.25">
      <c r="A3262" t="str">
        <f t="shared" si="420"/>
        <v>PPHØ4,7625</v>
      </c>
      <c r="B3262" s="81" t="s">
        <v>202</v>
      </c>
      <c r="C3262" s="101" t="s">
        <v>248</v>
      </c>
      <c r="D3262" s="86">
        <f>3/16*25.4</f>
        <v>4.7624999999999993</v>
      </c>
      <c r="E3262" s="85">
        <f t="shared" si="423"/>
        <v>4.7624999999999994E-3</v>
      </c>
      <c r="F3262" s="85">
        <f t="shared" si="424"/>
        <v>2.3812499999999997E-3</v>
      </c>
      <c r="G3262" s="85">
        <f t="shared" si="425"/>
        <v>5.6559243028167934E-8</v>
      </c>
      <c r="H3262" s="85">
        <v>870</v>
      </c>
      <c r="I3262" s="85">
        <f t="shared" si="421"/>
        <v>4.9206541434506105E-5</v>
      </c>
      <c r="J3262" s="87">
        <v>1</v>
      </c>
      <c r="K3262" s="88">
        <f t="shared" si="422"/>
        <v>20322.501253842434</v>
      </c>
    </row>
    <row r="3263" spans="1:11" hidden="1" x14ac:dyDescent="0.25">
      <c r="A3263" t="str">
        <f t="shared" si="420"/>
        <v>PTFEØ4,7625</v>
      </c>
      <c r="B3263" s="81" t="s">
        <v>307</v>
      </c>
      <c r="C3263" s="101" t="s">
        <v>248</v>
      </c>
      <c r="D3263" s="86">
        <f>3/16*25.4</f>
        <v>4.7624999999999993</v>
      </c>
      <c r="E3263" s="85">
        <f t="shared" si="423"/>
        <v>4.7624999999999994E-3</v>
      </c>
      <c r="F3263" s="85">
        <f t="shared" si="424"/>
        <v>2.3812499999999997E-3</v>
      </c>
      <c r="G3263" s="85">
        <f t="shared" si="425"/>
        <v>5.6559243028167934E-8</v>
      </c>
      <c r="H3263" s="85">
        <v>2100</v>
      </c>
      <c r="I3263" s="85">
        <f t="shared" si="421"/>
        <v>1.1877441035915266E-4</v>
      </c>
      <c r="J3263" s="87">
        <v>1</v>
      </c>
      <c r="K3263" s="88">
        <f t="shared" si="422"/>
        <v>8419.321948020437</v>
      </c>
    </row>
    <row r="3264" spans="1:11" hidden="1" x14ac:dyDescent="0.25">
      <c r="A3264" t="str">
        <f t="shared" si="420"/>
        <v>VESCØ4</v>
      </c>
      <c r="B3264" s="81" t="s">
        <v>210</v>
      </c>
      <c r="D3264" s="86">
        <v>4</v>
      </c>
      <c r="E3264" s="85">
        <f t="shared" si="423"/>
        <v>4.0000000000000001E-3</v>
      </c>
      <c r="F3264" s="85">
        <f t="shared" si="424"/>
        <v>2E-3</v>
      </c>
      <c r="G3264" s="85">
        <f t="shared" si="425"/>
        <v>3.3510321638291127E-8</v>
      </c>
      <c r="H3264" s="85">
        <v>2500</v>
      </c>
      <c r="I3264" s="85">
        <f t="shared" si="421"/>
        <v>8.3775804095727818E-5</v>
      </c>
      <c r="J3264" s="87">
        <v>1</v>
      </c>
      <c r="K3264" s="88">
        <f t="shared" si="422"/>
        <v>11936.62073189215</v>
      </c>
    </row>
    <row r="3265" spans="1:11" hidden="1" x14ac:dyDescent="0.25">
      <c r="A3265" t="str">
        <f t="shared" si="420"/>
        <v>WC-CoØ1,5875</v>
      </c>
      <c r="B3265" s="81" t="s">
        <v>297</v>
      </c>
      <c r="C3265" s="101" t="s">
        <v>246</v>
      </c>
      <c r="D3265" s="86">
        <f>1/16*25.4</f>
        <v>1.5874999999999999</v>
      </c>
      <c r="E3265" s="85">
        <f t="shared" si="423"/>
        <v>1.5874999999999999E-3</v>
      </c>
      <c r="F3265" s="85">
        <f t="shared" si="424"/>
        <v>7.9374999999999997E-4</v>
      </c>
      <c r="G3265" s="85">
        <f t="shared" si="425"/>
        <v>2.0947867788210349E-9</v>
      </c>
      <c r="H3265" s="85">
        <v>14950</v>
      </c>
      <c r="I3265" s="85">
        <f t="shared" si="421"/>
        <v>3.1317062343374473E-5</v>
      </c>
      <c r="J3265" s="87">
        <v>1</v>
      </c>
      <c r="K3265" s="88">
        <f t="shared" si="422"/>
        <v>31931.475214231352</v>
      </c>
    </row>
    <row r="3266" spans="1:11" hidden="1" x14ac:dyDescent="0.25">
      <c r="A3266" t="str">
        <f t="shared" si="420"/>
        <v>420CØ9,525</v>
      </c>
      <c r="B3266" s="81" t="s">
        <v>295</v>
      </c>
      <c r="C3266" s="101" t="s">
        <v>254</v>
      </c>
      <c r="D3266" s="86">
        <f>3/8*25.4</f>
        <v>9.5249999999999986</v>
      </c>
      <c r="E3266" s="85">
        <f t="shared" si="423"/>
        <v>9.5249999999999987E-3</v>
      </c>
      <c r="F3266" s="85">
        <f t="shared" si="424"/>
        <v>4.7624999999999994E-3</v>
      </c>
      <c r="G3266" s="85">
        <f t="shared" si="425"/>
        <v>4.5247394422534347E-7</v>
      </c>
      <c r="H3266" s="85">
        <v>7750</v>
      </c>
      <c r="I3266" s="85">
        <f t="shared" si="421"/>
        <v>3.5066730677464119E-3</v>
      </c>
      <c r="J3266" s="87">
        <v>1</v>
      </c>
      <c r="K3266" s="88">
        <f t="shared" si="422"/>
        <v>285.17058211036965</v>
      </c>
    </row>
    <row r="3267" spans="1:11" hidden="1" x14ac:dyDescent="0.25">
      <c r="A3267" t="str">
        <f t="shared" si="420"/>
        <v>52100Ø40</v>
      </c>
      <c r="B3267" s="81">
        <v>52100</v>
      </c>
      <c r="D3267" s="86">
        <v>40</v>
      </c>
      <c r="E3267" s="85">
        <f t="shared" si="423"/>
        <v>0.04</v>
      </c>
      <c r="F3267" s="85">
        <f t="shared" si="424"/>
        <v>0.02</v>
      </c>
      <c r="G3267" s="85">
        <f t="shared" si="425"/>
        <v>3.3510321638291124E-5</v>
      </c>
      <c r="H3267" s="85">
        <v>7800</v>
      </c>
      <c r="I3267" s="85">
        <f t="shared" si="421"/>
        <v>0.26138050877867075</v>
      </c>
      <c r="J3267" s="87">
        <v>1</v>
      </c>
      <c r="K3267" s="88">
        <f t="shared" si="422"/>
        <v>3.8258399781705617</v>
      </c>
    </row>
    <row r="3268" spans="1:11" hidden="1" x14ac:dyDescent="0.25">
      <c r="A3268" t="str">
        <f t="shared" ref="A3268:A3331" si="426">CONCATENATE(B3268,"Ø",D3268)</f>
        <v>52100Ø40</v>
      </c>
      <c r="B3268" s="81">
        <v>52100</v>
      </c>
      <c r="D3268" s="86">
        <v>40</v>
      </c>
      <c r="E3268" s="85">
        <f>D3268/1000</f>
        <v>0.04</v>
      </c>
      <c r="F3268" s="85">
        <f>E3268/2</f>
        <v>0.02</v>
      </c>
      <c r="G3268" s="85">
        <f>4/3*PI()*F3268*F3268*F3268</f>
        <v>3.3510321638291124E-5</v>
      </c>
      <c r="H3268" s="85">
        <v>7800</v>
      </c>
      <c r="I3268" s="85">
        <f t="shared" si="421"/>
        <v>0.26138050877867075</v>
      </c>
      <c r="J3268" s="87">
        <v>1</v>
      </c>
      <c r="K3268" s="88">
        <f t="shared" si="422"/>
        <v>3.8258399781705617</v>
      </c>
    </row>
    <row r="3269" spans="1:11" hidden="1" x14ac:dyDescent="0.25">
      <c r="A3269" t="str">
        <f t="shared" si="426"/>
        <v>52100Ø40</v>
      </c>
      <c r="B3269" s="81">
        <v>52100</v>
      </c>
      <c r="D3269" s="86">
        <v>40</v>
      </c>
      <c r="E3269" s="85">
        <f>D3269/1000</f>
        <v>0.04</v>
      </c>
      <c r="F3269" s="85">
        <f>E3269/2</f>
        <v>0.02</v>
      </c>
      <c r="G3269" s="85">
        <f>4/3*PI()*F3269*F3269*F3269</f>
        <v>3.3510321638291124E-5</v>
      </c>
      <c r="H3269" s="88">
        <v>7818.4865793893596</v>
      </c>
      <c r="I3269" s="85">
        <f t="shared" si="421"/>
        <v>0.26200000000000001</v>
      </c>
      <c r="J3269" s="87">
        <v>1</v>
      </c>
      <c r="K3269" s="88">
        <f t="shared" si="422"/>
        <v>3.8167938931297707</v>
      </c>
    </row>
    <row r="3270" spans="1:11" hidden="1" x14ac:dyDescent="0.25">
      <c r="A3270" t="str">
        <f t="shared" si="426"/>
        <v>SiCØ3</v>
      </c>
      <c r="B3270" s="81" t="s">
        <v>326</v>
      </c>
      <c r="D3270" s="86">
        <v>3</v>
      </c>
      <c r="E3270" s="85">
        <f>D3270/1000</f>
        <v>3.0000000000000001E-3</v>
      </c>
      <c r="F3270" s="85">
        <f>E3270/2</f>
        <v>1.5E-3</v>
      </c>
      <c r="G3270" s="85">
        <f>4/3*PI()*F3270*F3270*F3270</f>
        <v>1.4137166941154068E-8</v>
      </c>
      <c r="H3270" s="85">
        <v>3150</v>
      </c>
      <c r="I3270" s="85">
        <f t="shared" si="421"/>
        <v>4.4532075864635313E-5</v>
      </c>
      <c r="J3270" s="87">
        <v>1</v>
      </c>
      <c r="K3270" s="88">
        <f t="shared" si="422"/>
        <v>22455.723893036382</v>
      </c>
    </row>
    <row r="3271" spans="1:11" hidden="1" x14ac:dyDescent="0.25">
      <c r="A3271" t="str">
        <f t="shared" si="426"/>
        <v>SiCØ5</v>
      </c>
      <c r="B3271" s="81" t="s">
        <v>326</v>
      </c>
      <c r="D3271" s="86">
        <v>5</v>
      </c>
      <c r="E3271" s="85">
        <f>D3271/1000</f>
        <v>5.0000000000000001E-3</v>
      </c>
      <c r="F3271" s="85">
        <f>E3271/2</f>
        <v>2.5000000000000001E-3</v>
      </c>
      <c r="G3271" s="85">
        <f>4/3*PI()*F3271*F3271*F3271</f>
        <v>6.5449846949787352E-8</v>
      </c>
      <c r="H3271" s="85">
        <v>3150</v>
      </c>
      <c r="I3271" s="85">
        <f t="shared" si="421"/>
        <v>2.0616701789183015E-4</v>
      </c>
      <c r="J3271" s="87">
        <v>1</v>
      </c>
      <c r="K3271" s="88">
        <f t="shared" si="422"/>
        <v>4850.4363608958583</v>
      </c>
    </row>
    <row r="3272" spans="1:11" hidden="1" x14ac:dyDescent="0.25">
      <c r="A3272" t="str">
        <f t="shared" si="426"/>
        <v>SiCØ7</v>
      </c>
      <c r="B3272" s="81" t="s">
        <v>326</v>
      </c>
      <c r="D3272" s="86">
        <v>7</v>
      </c>
      <c r="E3272" s="85">
        <f>D3272/1000</f>
        <v>7.0000000000000001E-3</v>
      </c>
      <c r="F3272" s="85">
        <f>E3272/2</f>
        <v>3.5000000000000001E-3</v>
      </c>
      <c r="G3272" s="85">
        <f>4/3*PI()*F3272*F3272*F3272</f>
        <v>1.7959438003021651E-7</v>
      </c>
      <c r="H3272" s="85">
        <v>3150</v>
      </c>
      <c r="I3272" s="85">
        <f t="shared" si="421"/>
        <v>5.6572229709518206E-4</v>
      </c>
      <c r="J3272" s="87">
        <v>1</v>
      </c>
      <c r="K3272" s="88">
        <f t="shared" si="422"/>
        <v>1767.6517350203562</v>
      </c>
    </row>
    <row r="3273" spans="1:11" hidden="1" x14ac:dyDescent="0.25">
      <c r="A3273" t="str">
        <f t="shared" si="426"/>
        <v>SiCØ10</v>
      </c>
      <c r="B3273" s="81" t="s">
        <v>326</v>
      </c>
      <c r="D3273" s="86">
        <v>10</v>
      </c>
      <c r="E3273" s="85">
        <f t="shared" ref="E3273:E3287" si="427">D3273/1000</f>
        <v>0.01</v>
      </c>
      <c r="F3273" s="85">
        <f t="shared" ref="F3273:F3287" si="428">E3273/2</f>
        <v>5.0000000000000001E-3</v>
      </c>
      <c r="G3273" s="85">
        <f t="shared" ref="G3273:G3287" si="429">4/3*PI()*F3273*F3273*F3273</f>
        <v>5.2359877559829882E-7</v>
      </c>
      <c r="H3273" s="85">
        <v>3150</v>
      </c>
      <c r="I3273" s="85">
        <f t="shared" si="421"/>
        <v>1.6493361431346412E-3</v>
      </c>
      <c r="J3273" s="87">
        <v>1</v>
      </c>
      <c r="K3273" s="88">
        <f t="shared" si="422"/>
        <v>606.30454511198229</v>
      </c>
    </row>
    <row r="3274" spans="1:11" hidden="1" x14ac:dyDescent="0.25">
      <c r="A3274" t="str">
        <f t="shared" si="426"/>
        <v>VESCØ1</v>
      </c>
      <c r="B3274" s="81" t="s">
        <v>210</v>
      </c>
      <c r="D3274" s="86">
        <v>1</v>
      </c>
      <c r="E3274" s="85">
        <f t="shared" si="427"/>
        <v>1E-3</v>
      </c>
      <c r="F3274" s="85">
        <f t="shared" si="428"/>
        <v>5.0000000000000001E-4</v>
      </c>
      <c r="G3274" s="85">
        <f t="shared" si="429"/>
        <v>5.2359877559829886E-10</v>
      </c>
      <c r="H3274" s="85">
        <v>2500</v>
      </c>
      <c r="I3274" s="85">
        <f t="shared" si="421"/>
        <v>1.3089969389957471E-6</v>
      </c>
      <c r="J3274" s="87">
        <v>1</v>
      </c>
      <c r="K3274" s="88">
        <f t="shared" si="422"/>
        <v>763943.72684109758</v>
      </c>
    </row>
    <row r="3275" spans="1:11" hidden="1" x14ac:dyDescent="0.25">
      <c r="A3275" t="str">
        <f t="shared" si="426"/>
        <v>420CØ1</v>
      </c>
      <c r="B3275" s="81" t="s">
        <v>295</v>
      </c>
      <c r="D3275" s="86">
        <v>1</v>
      </c>
      <c r="E3275" s="85">
        <f t="shared" si="427"/>
        <v>1E-3</v>
      </c>
      <c r="F3275" s="85">
        <f t="shared" si="428"/>
        <v>5.0000000000000001E-4</v>
      </c>
      <c r="G3275" s="85">
        <f t="shared" si="429"/>
        <v>5.2359877559829886E-10</v>
      </c>
      <c r="H3275" s="88">
        <v>7753.9480571448794</v>
      </c>
      <c r="I3275" s="85">
        <f t="shared" si="421"/>
        <v>4.0599577087738675E-6</v>
      </c>
      <c r="J3275" s="87">
        <v>1</v>
      </c>
      <c r="K3275" s="88">
        <f t="shared" si="422"/>
        <v>246307.98440065677</v>
      </c>
    </row>
    <row r="3276" spans="1:11" hidden="1" x14ac:dyDescent="0.25">
      <c r="A3276" t="str">
        <f t="shared" si="426"/>
        <v>420CØ3,175</v>
      </c>
      <c r="B3276" s="81" t="s">
        <v>295</v>
      </c>
      <c r="C3276" s="101" t="s">
        <v>214</v>
      </c>
      <c r="D3276" s="86">
        <f>1/8*25.4</f>
        <v>3.1749999999999998</v>
      </c>
      <c r="E3276" s="85">
        <f t="shared" si="427"/>
        <v>3.1749999999999999E-3</v>
      </c>
      <c r="F3276" s="85">
        <f t="shared" si="428"/>
        <v>1.5874999999999999E-3</v>
      </c>
      <c r="G3276" s="85">
        <f t="shared" si="429"/>
        <v>1.6758294230568279E-8</v>
      </c>
      <c r="H3276" s="88">
        <v>7717.5714636529337</v>
      </c>
      <c r="I3276" s="85">
        <f t="shared" si="421"/>
        <v>1.2933333333333335E-4</v>
      </c>
      <c r="J3276" s="87">
        <v>1</v>
      </c>
      <c r="K3276" s="88">
        <f t="shared" si="422"/>
        <v>7731.9587628865966</v>
      </c>
    </row>
    <row r="3277" spans="1:11" hidden="1" x14ac:dyDescent="0.25">
      <c r="A3277" t="str">
        <f t="shared" si="426"/>
        <v>52100Ø0,68</v>
      </c>
      <c r="B3277" s="81">
        <v>52100</v>
      </c>
      <c r="D3277" s="86">
        <v>0.68</v>
      </c>
      <c r="E3277" s="85">
        <f t="shared" si="427"/>
        <v>6.8000000000000005E-4</v>
      </c>
      <c r="F3277" s="85">
        <f t="shared" si="428"/>
        <v>3.4000000000000002E-4</v>
      </c>
      <c r="G3277" s="85">
        <f t="shared" si="429"/>
        <v>1.6463621020892433E-10</v>
      </c>
      <c r="H3277" s="88">
        <v>7800</v>
      </c>
      <c r="I3277" s="85">
        <f t="shared" si="421"/>
        <v>1.2841624396296097E-6</v>
      </c>
      <c r="J3277" s="87">
        <v>1</v>
      </c>
      <c r="K3277" s="88">
        <f t="shared" si="422"/>
        <v>778717.68332394888</v>
      </c>
    </row>
    <row r="3278" spans="1:11" hidden="1" x14ac:dyDescent="0.25">
      <c r="A3278" t="str">
        <f t="shared" si="426"/>
        <v>52100Ø0,5</v>
      </c>
      <c r="B3278" s="81">
        <v>52100</v>
      </c>
      <c r="D3278" s="86">
        <v>0.5</v>
      </c>
      <c r="E3278" s="85">
        <f t="shared" si="427"/>
        <v>5.0000000000000001E-4</v>
      </c>
      <c r="F3278" s="85">
        <f t="shared" si="428"/>
        <v>2.5000000000000001E-4</v>
      </c>
      <c r="G3278" s="85">
        <f t="shared" si="429"/>
        <v>6.5449846949787358E-11</v>
      </c>
      <c r="H3278" s="85">
        <v>8000</v>
      </c>
      <c r="I3278" s="85">
        <f t="shared" si="421"/>
        <v>5.2359877559829882E-7</v>
      </c>
      <c r="J3278" s="87">
        <v>1</v>
      </c>
      <c r="K3278" s="88">
        <f t="shared" si="422"/>
        <v>1909859.3171027442</v>
      </c>
    </row>
    <row r="3279" spans="1:11" hidden="1" x14ac:dyDescent="0.25">
      <c r="A3279" t="str">
        <f t="shared" si="426"/>
        <v>QuarzoØ6</v>
      </c>
      <c r="B3279" s="81" t="s">
        <v>424</v>
      </c>
      <c r="D3279" s="86">
        <v>6</v>
      </c>
      <c r="E3279" s="85">
        <f t="shared" si="427"/>
        <v>6.0000000000000001E-3</v>
      </c>
      <c r="F3279" s="85">
        <f t="shared" si="428"/>
        <v>3.0000000000000001E-3</v>
      </c>
      <c r="G3279" s="85">
        <f t="shared" si="429"/>
        <v>1.1309733552923255E-7</v>
      </c>
      <c r="H3279" s="85">
        <v>2200</v>
      </c>
      <c r="I3279" s="85">
        <f t="shared" si="421"/>
        <v>2.4881413816431162E-4</v>
      </c>
      <c r="J3279" s="87">
        <v>1</v>
      </c>
      <c r="K3279" s="88">
        <f t="shared" si="422"/>
        <v>4019.0642194923066</v>
      </c>
    </row>
    <row r="3280" spans="1:11" hidden="1" x14ac:dyDescent="0.25">
      <c r="A3280" t="str">
        <f t="shared" si="426"/>
        <v>QuarzoØ7</v>
      </c>
      <c r="B3280" s="81" t="s">
        <v>424</v>
      </c>
      <c r="D3280" s="86">
        <v>7</v>
      </c>
      <c r="E3280" s="85">
        <f t="shared" si="427"/>
        <v>7.0000000000000001E-3</v>
      </c>
      <c r="F3280" s="85">
        <f t="shared" si="428"/>
        <v>3.5000000000000001E-3</v>
      </c>
      <c r="G3280" s="85">
        <f t="shared" si="429"/>
        <v>1.7959438003021651E-7</v>
      </c>
      <c r="H3280" s="85">
        <v>2200</v>
      </c>
      <c r="I3280" s="85">
        <f t="shared" si="421"/>
        <v>3.951076360664763E-4</v>
      </c>
      <c r="J3280" s="87">
        <v>1</v>
      </c>
      <c r="K3280" s="88">
        <f t="shared" si="422"/>
        <v>2530.9558933246012</v>
      </c>
    </row>
    <row r="3281" spans="1:11" hidden="1" x14ac:dyDescent="0.25">
      <c r="A3281" t="str">
        <f t="shared" si="426"/>
        <v>QuarzoØ8</v>
      </c>
      <c r="B3281" s="81" t="s">
        <v>424</v>
      </c>
      <c r="D3281" s="86">
        <v>8</v>
      </c>
      <c r="E3281" s="85">
        <f t="shared" si="427"/>
        <v>8.0000000000000002E-3</v>
      </c>
      <c r="F3281" s="85">
        <f t="shared" si="428"/>
        <v>4.0000000000000001E-3</v>
      </c>
      <c r="G3281" s="85">
        <f t="shared" si="429"/>
        <v>2.6808257310632902E-7</v>
      </c>
      <c r="H3281" s="85">
        <v>2200</v>
      </c>
      <c r="I3281" s="85">
        <f t="shared" si="421"/>
        <v>5.8978166083392387E-4</v>
      </c>
      <c r="J3281" s="87">
        <v>1</v>
      </c>
      <c r="K3281" s="88">
        <f t="shared" si="422"/>
        <v>1695.5427175983168</v>
      </c>
    </row>
    <row r="3282" spans="1:11" hidden="1" x14ac:dyDescent="0.25">
      <c r="A3282" t="str">
        <f t="shared" si="426"/>
        <v>52100Ø0,5</v>
      </c>
      <c r="B3282" s="81">
        <v>52100</v>
      </c>
      <c r="D3282" s="86">
        <v>0.5</v>
      </c>
      <c r="E3282" s="85">
        <f t="shared" si="427"/>
        <v>5.0000000000000001E-4</v>
      </c>
      <c r="F3282" s="85">
        <f t="shared" si="428"/>
        <v>2.5000000000000001E-4</v>
      </c>
      <c r="G3282" s="85">
        <f t="shared" si="429"/>
        <v>6.5449846949787358E-11</v>
      </c>
      <c r="H3282" s="85">
        <v>7800</v>
      </c>
      <c r="I3282" s="85">
        <f t="shared" si="421"/>
        <v>5.1050880620834141E-7</v>
      </c>
      <c r="J3282" s="87">
        <v>1</v>
      </c>
      <c r="K3282" s="88">
        <f t="shared" si="422"/>
        <v>1958830.0688233273</v>
      </c>
    </row>
    <row r="3283" spans="1:11" hidden="1" x14ac:dyDescent="0.25">
      <c r="A3283" t="str">
        <f t="shared" si="426"/>
        <v>Wc-CoØ0,4</v>
      </c>
      <c r="B3283" s="81" t="s">
        <v>206</v>
      </c>
      <c r="D3283" s="86">
        <v>0.4</v>
      </c>
      <c r="E3283" s="85">
        <f t="shared" si="427"/>
        <v>4.0000000000000002E-4</v>
      </c>
      <c r="F3283" s="85">
        <f t="shared" si="428"/>
        <v>2.0000000000000001E-4</v>
      </c>
      <c r="G3283" s="85">
        <f t="shared" si="429"/>
        <v>3.3510321638291128E-11</v>
      </c>
      <c r="H3283" s="88">
        <v>14134.153184538922</v>
      </c>
      <c r="I3283" s="85">
        <f t="shared" si="421"/>
        <v>4.7364001929877606E-7</v>
      </c>
      <c r="J3283" s="87">
        <v>1</v>
      </c>
      <c r="K3283" s="88">
        <f t="shared" si="422"/>
        <v>2111308.0805133395</v>
      </c>
    </row>
    <row r="3284" spans="1:11" hidden="1" x14ac:dyDescent="0.25">
      <c r="A3284" t="str">
        <f t="shared" si="426"/>
        <v>440CØ1</v>
      </c>
      <c r="B3284" s="81" t="s">
        <v>314</v>
      </c>
      <c r="D3284" s="86">
        <v>1</v>
      </c>
      <c r="E3284" s="85">
        <f t="shared" si="427"/>
        <v>1E-3</v>
      </c>
      <c r="F3284" s="85">
        <f t="shared" si="428"/>
        <v>5.0000000000000001E-4</v>
      </c>
      <c r="G3284" s="85">
        <f t="shared" si="429"/>
        <v>5.2359877559829886E-10</v>
      </c>
      <c r="H3284" s="88">
        <v>7545.231902027962</v>
      </c>
      <c r="I3284" s="85">
        <f t="shared" si="421"/>
        <v>3.9506741855070644E-6</v>
      </c>
      <c r="J3284" s="87">
        <v>1</v>
      </c>
      <c r="K3284" s="88">
        <f t="shared" si="422"/>
        <v>253121.35424087147</v>
      </c>
    </row>
    <row r="3285" spans="1:11" hidden="1" x14ac:dyDescent="0.25">
      <c r="A3285" t="str">
        <f t="shared" si="426"/>
        <v>Al2O3Ø1,5</v>
      </c>
      <c r="B3285" s="81" t="s">
        <v>217</v>
      </c>
      <c r="D3285" s="86">
        <v>1.5</v>
      </c>
      <c r="E3285" s="85">
        <f t="shared" si="427"/>
        <v>1.5E-3</v>
      </c>
      <c r="F3285" s="85">
        <f t="shared" si="428"/>
        <v>7.5000000000000002E-4</v>
      </c>
      <c r="G3285" s="85">
        <f t="shared" si="429"/>
        <v>1.7671458676442585E-9</v>
      </c>
      <c r="H3285" s="85">
        <v>3950</v>
      </c>
      <c r="I3285" s="85">
        <f t="shared" si="421"/>
        <v>6.9802261771948211E-6</v>
      </c>
      <c r="J3285" s="87">
        <v>1</v>
      </c>
      <c r="K3285" s="88">
        <f t="shared" si="422"/>
        <v>143261.83344418148</v>
      </c>
    </row>
    <row r="3286" spans="1:11" hidden="1" x14ac:dyDescent="0.25">
      <c r="A3286" t="str">
        <f t="shared" si="426"/>
        <v>52100Ø4,7625</v>
      </c>
      <c r="B3286" s="81">
        <v>52100</v>
      </c>
      <c r="C3286" s="101" t="s">
        <v>248</v>
      </c>
      <c r="D3286" s="86">
        <f>3/16*25.4</f>
        <v>4.7624999999999993</v>
      </c>
      <c r="E3286" s="85">
        <f t="shared" si="427"/>
        <v>4.7624999999999994E-3</v>
      </c>
      <c r="F3286" s="85">
        <f t="shared" si="428"/>
        <v>2.3812499999999997E-3</v>
      </c>
      <c r="G3286" s="85">
        <f t="shared" si="429"/>
        <v>5.6559243028167934E-8</v>
      </c>
      <c r="H3286" s="85">
        <v>7800</v>
      </c>
      <c r="I3286" s="85">
        <f t="shared" si="421"/>
        <v>4.4116209561970989E-4</v>
      </c>
      <c r="J3286" s="87">
        <v>1</v>
      </c>
      <c r="K3286" s="88">
        <f t="shared" si="422"/>
        <v>2266.7405244670408</v>
      </c>
    </row>
    <row r="3287" spans="1:11" hidden="1" x14ac:dyDescent="0.25">
      <c r="A3287" t="str">
        <f t="shared" si="426"/>
        <v>Si3N4Ø10</v>
      </c>
      <c r="B3287" s="81" t="s">
        <v>207</v>
      </c>
      <c r="D3287" s="86">
        <v>10</v>
      </c>
      <c r="E3287" s="85">
        <f t="shared" si="427"/>
        <v>0.01</v>
      </c>
      <c r="F3287" s="85">
        <f t="shared" si="428"/>
        <v>5.0000000000000001E-3</v>
      </c>
      <c r="G3287" s="85">
        <f t="shared" si="429"/>
        <v>5.2359877559829882E-7</v>
      </c>
      <c r="H3287" s="85">
        <v>3260</v>
      </c>
      <c r="I3287" s="85">
        <f t="shared" si="421"/>
        <v>1.7069320084504541E-3</v>
      </c>
      <c r="J3287" s="87">
        <v>1</v>
      </c>
      <c r="K3287" s="88">
        <f t="shared" si="422"/>
        <v>585.84641628918541</v>
      </c>
    </row>
    <row r="3288" spans="1:11" hidden="1" x14ac:dyDescent="0.25">
      <c r="A3288" t="str">
        <f t="shared" si="426"/>
        <v>Si3N4Ø10</v>
      </c>
      <c r="B3288" s="81" t="s">
        <v>207</v>
      </c>
      <c r="D3288" s="86">
        <v>10</v>
      </c>
      <c r="E3288" s="85">
        <f>D3288/1000</f>
        <v>0.01</v>
      </c>
      <c r="F3288" s="85">
        <f>E3288/2</f>
        <v>5.0000000000000001E-3</v>
      </c>
      <c r="G3288" s="85">
        <f>4/3*PI()*F3288*F3288*F3288</f>
        <v>5.2359877559829882E-7</v>
      </c>
      <c r="H3288" s="85">
        <v>3260</v>
      </c>
      <c r="I3288" s="85">
        <f t="shared" si="421"/>
        <v>1.7069320084504541E-3</v>
      </c>
      <c r="J3288" s="87">
        <v>1</v>
      </c>
      <c r="K3288" s="88">
        <f t="shared" si="422"/>
        <v>585.84641628918541</v>
      </c>
    </row>
    <row r="3289" spans="1:11" hidden="1" x14ac:dyDescent="0.25">
      <c r="A3289" t="str">
        <f t="shared" si="426"/>
        <v>POMØ2</v>
      </c>
      <c r="B3289" s="81" t="s">
        <v>201</v>
      </c>
      <c r="D3289" s="86">
        <v>2</v>
      </c>
      <c r="E3289" s="85">
        <f>D3289/1000</f>
        <v>2E-3</v>
      </c>
      <c r="F3289" s="85">
        <f>E3289/2</f>
        <v>1E-3</v>
      </c>
      <c r="G3289" s="85">
        <f>4/3*PI()*F3289*F3289*F3289</f>
        <v>4.1887902047863909E-9</v>
      </c>
      <c r="H3289" s="85">
        <v>1380</v>
      </c>
      <c r="I3289" s="85">
        <f t="shared" si="421"/>
        <v>5.7805304826052197E-6</v>
      </c>
      <c r="J3289" s="87">
        <v>1</v>
      </c>
      <c r="K3289" s="88">
        <f t="shared" si="422"/>
        <v>172994.5033607558</v>
      </c>
    </row>
    <row r="3290" spans="1:11" hidden="1" x14ac:dyDescent="0.25">
      <c r="A3290" t="str">
        <f t="shared" si="426"/>
        <v>440CØ1,2</v>
      </c>
      <c r="B3290" s="81" t="s">
        <v>314</v>
      </c>
      <c r="D3290" s="89">
        <v>1.2</v>
      </c>
      <c r="E3290" s="85">
        <v>1.1999999999999999E-3</v>
      </c>
      <c r="F3290" s="85">
        <v>5.9999999999999995E-4</v>
      </c>
      <c r="G3290" s="85">
        <v>9.0477868423386013E-10</v>
      </c>
      <c r="H3290" s="88">
        <v>7664.2594623691621</v>
      </c>
      <c r="I3290" s="85">
        <f t="shared" si="421"/>
        <v>6.9344585919892825E-6</v>
      </c>
      <c r="J3290" s="87">
        <v>1</v>
      </c>
      <c r="K3290" s="88">
        <f t="shared" si="422"/>
        <v>144207.36481939693</v>
      </c>
    </row>
    <row r="3291" spans="1:11" hidden="1" x14ac:dyDescent="0.25">
      <c r="A3291" t="str">
        <f t="shared" si="426"/>
        <v>420CØ1,5875</v>
      </c>
      <c r="B3291" s="81" t="s">
        <v>295</v>
      </c>
      <c r="C3291" s="101" t="s">
        <v>246</v>
      </c>
      <c r="D3291" s="86">
        <f>1/16*25.4</f>
        <v>1.5874999999999999</v>
      </c>
      <c r="E3291" s="85">
        <f>D3291/1000</f>
        <v>1.5874999999999999E-3</v>
      </c>
      <c r="F3291" s="85">
        <f>E3291/2</f>
        <v>7.9374999999999997E-4</v>
      </c>
      <c r="G3291" s="85">
        <f>4/3*PI()*F3291*F3291*F3291</f>
        <v>2.0947867788210349E-9</v>
      </c>
      <c r="H3291" s="85">
        <v>7770</v>
      </c>
      <c r="I3291" s="85">
        <f t="shared" si="421"/>
        <v>1.627649327143944E-5</v>
      </c>
      <c r="J3291" s="87">
        <v>1</v>
      </c>
      <c r="K3291" s="88">
        <f t="shared" si="422"/>
        <v>61438.295296365352</v>
      </c>
    </row>
    <row r="3292" spans="1:11" hidden="1" x14ac:dyDescent="0.25">
      <c r="A3292" t="str">
        <f t="shared" si="426"/>
        <v>420CØ1</v>
      </c>
      <c r="B3292" s="81" t="s">
        <v>295</v>
      </c>
      <c r="D3292" s="86">
        <v>1</v>
      </c>
      <c r="E3292" s="85">
        <f t="shared" ref="E3292:E3300" si="430">D3292/1000</f>
        <v>1E-3</v>
      </c>
      <c r="F3292" s="85">
        <f t="shared" ref="F3292:F3300" si="431">E3292/2</f>
        <v>5.0000000000000001E-4</v>
      </c>
      <c r="G3292" s="85">
        <f t="shared" ref="G3292:G3300" si="432">4/3*PI()*F3292*F3292*F3292</f>
        <v>5.2359877559829886E-10</v>
      </c>
      <c r="H3292" s="85">
        <v>7700</v>
      </c>
      <c r="I3292" s="85">
        <f t="shared" ref="I3292:I3304" si="433">H3292*G3292</f>
        <v>4.0317105721069012E-6</v>
      </c>
      <c r="J3292" s="87">
        <v>1</v>
      </c>
      <c r="K3292" s="88">
        <f t="shared" ref="K3292:K3304" si="434">J3292/I3292</f>
        <v>248033.67754581093</v>
      </c>
    </row>
    <row r="3293" spans="1:11" hidden="1" x14ac:dyDescent="0.25">
      <c r="A3293" t="str">
        <f t="shared" si="426"/>
        <v>Alluminio serie 6Ø26,9875</v>
      </c>
      <c r="B3293" s="81" t="s">
        <v>395</v>
      </c>
      <c r="C3293" s="101" t="s">
        <v>276</v>
      </c>
      <c r="D3293" s="86">
        <f>25.4+1/16*25.4</f>
        <v>26.987499999999997</v>
      </c>
      <c r="E3293" s="85">
        <f t="shared" si="430"/>
        <v>2.6987499999999998E-2</v>
      </c>
      <c r="F3293" s="85">
        <f t="shared" si="431"/>
        <v>1.3493749999999999E-2</v>
      </c>
      <c r="G3293" s="85">
        <f t="shared" si="432"/>
        <v>1.0291687444347746E-5</v>
      </c>
      <c r="H3293" s="85">
        <v>2700</v>
      </c>
      <c r="I3293" s="85">
        <f t="shared" si="433"/>
        <v>2.7787556099738913E-2</v>
      </c>
      <c r="J3293" s="87">
        <v>1</v>
      </c>
      <c r="K3293" s="88">
        <f t="shared" si="434"/>
        <v>35.987331754209066</v>
      </c>
    </row>
    <row r="3294" spans="1:11" hidden="1" x14ac:dyDescent="0.25">
      <c r="A3294" t="str">
        <f t="shared" si="426"/>
        <v>Alluminio serie 6Ø26,9875</v>
      </c>
      <c r="B3294" s="81" t="s">
        <v>395</v>
      </c>
      <c r="C3294" s="101" t="s">
        <v>276</v>
      </c>
      <c r="D3294" s="86">
        <f>25.4+1/16*25.4</f>
        <v>26.987499999999997</v>
      </c>
      <c r="E3294" s="85">
        <f t="shared" si="430"/>
        <v>2.6987499999999998E-2</v>
      </c>
      <c r="F3294" s="85">
        <f t="shared" si="431"/>
        <v>1.3493749999999999E-2</v>
      </c>
      <c r="G3294" s="85">
        <f t="shared" si="432"/>
        <v>1.0291687444347746E-5</v>
      </c>
      <c r="H3294" s="85">
        <v>2700</v>
      </c>
      <c r="I3294" s="85">
        <f t="shared" si="433"/>
        <v>2.7787556099738913E-2</v>
      </c>
      <c r="J3294" s="87">
        <v>1</v>
      </c>
      <c r="K3294" s="88">
        <f t="shared" si="434"/>
        <v>35.987331754209066</v>
      </c>
    </row>
    <row r="3295" spans="1:11" hidden="1" x14ac:dyDescent="0.25">
      <c r="A3295" t="str">
        <f t="shared" si="426"/>
        <v>52100Ø11,509375</v>
      </c>
      <c r="B3295" s="81">
        <v>52100</v>
      </c>
      <c r="C3295" s="101" t="s">
        <v>273</v>
      </c>
      <c r="D3295" s="86">
        <f>29/64*25.4</f>
        <v>11.509374999999999</v>
      </c>
      <c r="E3295" s="85">
        <f t="shared" si="430"/>
        <v>1.1509374999999999E-2</v>
      </c>
      <c r="F3295" s="85">
        <f t="shared" si="431"/>
        <v>5.7546874999999994E-3</v>
      </c>
      <c r="G3295" s="85">
        <f t="shared" si="432"/>
        <v>7.9827741794790967E-7</v>
      </c>
      <c r="H3295" s="85">
        <v>7800</v>
      </c>
      <c r="I3295" s="85">
        <f t="shared" si="433"/>
        <v>6.2265638599936952E-3</v>
      </c>
      <c r="J3295" s="87">
        <v>1</v>
      </c>
      <c r="K3295" s="88">
        <f t="shared" si="434"/>
        <v>160.60222339083381</v>
      </c>
    </row>
    <row r="3296" spans="1:11" hidden="1" x14ac:dyDescent="0.25">
      <c r="A3296" t="str">
        <f t="shared" si="426"/>
        <v>52100Ø11,509375</v>
      </c>
      <c r="B3296" s="81">
        <v>52100</v>
      </c>
      <c r="C3296" s="101" t="s">
        <v>273</v>
      </c>
      <c r="D3296" s="86">
        <f>29/64*25.4</f>
        <v>11.509374999999999</v>
      </c>
      <c r="E3296" s="85">
        <f t="shared" si="430"/>
        <v>1.1509374999999999E-2</v>
      </c>
      <c r="F3296" s="85">
        <f t="shared" si="431"/>
        <v>5.7546874999999994E-3</v>
      </c>
      <c r="G3296" s="85">
        <f t="shared" si="432"/>
        <v>7.9827741794790967E-7</v>
      </c>
      <c r="H3296" s="85">
        <v>7800</v>
      </c>
      <c r="I3296" s="85">
        <f t="shared" si="433"/>
        <v>6.2265638599936952E-3</v>
      </c>
      <c r="J3296" s="87">
        <v>1</v>
      </c>
      <c r="K3296" s="88">
        <f t="shared" si="434"/>
        <v>160.60222339083381</v>
      </c>
    </row>
    <row r="3297" spans="1:11" hidden="1" x14ac:dyDescent="0.25">
      <c r="A3297" t="str">
        <f t="shared" si="426"/>
        <v>SiliconeØ1</v>
      </c>
      <c r="B3297" s="81" t="s">
        <v>315</v>
      </c>
      <c r="D3297" s="86">
        <v>1</v>
      </c>
      <c r="E3297" s="85">
        <f t="shared" si="430"/>
        <v>1E-3</v>
      </c>
      <c r="F3297" s="85">
        <f t="shared" si="431"/>
        <v>5.0000000000000001E-4</v>
      </c>
      <c r="G3297" s="85">
        <f t="shared" si="432"/>
        <v>5.2359877559829886E-10</v>
      </c>
      <c r="H3297" s="88">
        <v>1222.0881012632274</v>
      </c>
      <c r="I3297" s="85">
        <f t="shared" si="433"/>
        <v>6.3988383349467573E-7</v>
      </c>
      <c r="J3297" s="87">
        <v>1</v>
      </c>
      <c r="K3297" s="88">
        <f t="shared" si="434"/>
        <v>1562783.6611195158</v>
      </c>
    </row>
    <row r="3298" spans="1:11" hidden="1" x14ac:dyDescent="0.25">
      <c r="A3298" t="str">
        <f t="shared" si="426"/>
        <v>PPHØ6</v>
      </c>
      <c r="B3298" s="81" t="s">
        <v>202</v>
      </c>
      <c r="D3298" s="86">
        <v>6</v>
      </c>
      <c r="E3298" s="85">
        <f t="shared" si="430"/>
        <v>6.0000000000000001E-3</v>
      </c>
      <c r="F3298" s="85">
        <f t="shared" si="431"/>
        <v>3.0000000000000001E-3</v>
      </c>
      <c r="G3298" s="85">
        <f t="shared" si="432"/>
        <v>1.1309733552923255E-7</v>
      </c>
      <c r="H3298" s="85">
        <v>870</v>
      </c>
      <c r="I3298" s="85">
        <f t="shared" si="433"/>
        <v>9.8394681910432316E-5</v>
      </c>
      <c r="J3298" s="87">
        <v>1</v>
      </c>
      <c r="K3298" s="88">
        <f t="shared" si="434"/>
        <v>10163.150899865603</v>
      </c>
    </row>
    <row r="3299" spans="1:11" hidden="1" x14ac:dyDescent="0.25">
      <c r="A3299" t="str">
        <f t="shared" si="426"/>
        <v>PSØ6</v>
      </c>
      <c r="B3299" s="81" t="s">
        <v>242</v>
      </c>
      <c r="D3299" s="86">
        <v>6</v>
      </c>
      <c r="E3299" s="85">
        <f t="shared" si="430"/>
        <v>6.0000000000000001E-3</v>
      </c>
      <c r="F3299" s="85">
        <f t="shared" si="431"/>
        <v>3.0000000000000001E-3</v>
      </c>
      <c r="G3299" s="85">
        <f t="shared" si="432"/>
        <v>1.1309733552923255E-7</v>
      </c>
      <c r="H3299" s="85">
        <v>1050</v>
      </c>
      <c r="I3299" s="85">
        <f t="shared" si="433"/>
        <v>1.1875220230569417E-4</v>
      </c>
      <c r="J3299" s="87">
        <v>1</v>
      </c>
      <c r="K3299" s="88">
        <f t="shared" si="434"/>
        <v>8420.8964598886432</v>
      </c>
    </row>
    <row r="3300" spans="1:11" hidden="1" x14ac:dyDescent="0.25">
      <c r="A3300" t="str">
        <f t="shared" si="426"/>
        <v>PA6.6Ø6</v>
      </c>
      <c r="B3300" s="81" t="s">
        <v>244</v>
      </c>
      <c r="D3300" s="86">
        <v>6</v>
      </c>
      <c r="E3300" s="85">
        <f t="shared" si="430"/>
        <v>6.0000000000000001E-3</v>
      </c>
      <c r="F3300" s="85">
        <f t="shared" si="431"/>
        <v>3.0000000000000001E-3</v>
      </c>
      <c r="G3300" s="85">
        <f t="shared" si="432"/>
        <v>1.1309733552923255E-7</v>
      </c>
      <c r="H3300" s="85">
        <v>1110</v>
      </c>
      <c r="I3300" s="85">
        <f t="shared" si="433"/>
        <v>1.2553804243744813E-4</v>
      </c>
      <c r="J3300" s="87">
        <v>1</v>
      </c>
      <c r="K3300" s="88">
        <f t="shared" si="434"/>
        <v>7965.712867462229</v>
      </c>
    </row>
    <row r="3301" spans="1:11" hidden="1" x14ac:dyDescent="0.25">
      <c r="A3301" t="str">
        <f t="shared" si="426"/>
        <v>Wc-CoØ0,4</v>
      </c>
      <c r="B3301" s="81" t="s">
        <v>206</v>
      </c>
      <c r="D3301" s="89">
        <v>0.4</v>
      </c>
      <c r="E3301" s="85">
        <v>4.0000000000000002E-4</v>
      </c>
      <c r="F3301" s="85">
        <v>2.0000000000000001E-4</v>
      </c>
      <c r="G3301" s="85">
        <v>3.3510321638291128E-11</v>
      </c>
      <c r="H3301" s="88">
        <v>14154.501334690351</v>
      </c>
      <c r="I3301" s="85">
        <f t="shared" si="433"/>
        <v>4.743218923550947E-7</v>
      </c>
      <c r="J3301" s="87">
        <v>1</v>
      </c>
      <c r="K3301" s="88">
        <f t="shared" si="434"/>
        <v>2108272.9178592572</v>
      </c>
    </row>
    <row r="3302" spans="1:11" hidden="1" x14ac:dyDescent="0.25">
      <c r="A3302" t="str">
        <f t="shared" si="426"/>
        <v>Super Duplex F53Ø3,175</v>
      </c>
      <c r="B3302" s="81" t="s">
        <v>429</v>
      </c>
      <c r="C3302" s="101" t="s">
        <v>214</v>
      </c>
      <c r="D3302" s="86">
        <f>1/8*25.4</f>
        <v>3.1749999999999998</v>
      </c>
      <c r="E3302" s="85">
        <f t="shared" ref="E3302:E3304" si="435">D3302/1000</f>
        <v>3.1749999999999999E-3</v>
      </c>
      <c r="F3302" s="85">
        <f t="shared" ref="F3302:F3304" si="436">E3302/2</f>
        <v>1.5874999999999999E-3</v>
      </c>
      <c r="G3302" s="85">
        <f t="shared" ref="G3302:G3304" si="437">4/3*PI()*F3302*F3302*F3302</f>
        <v>1.6758294230568279E-8</v>
      </c>
      <c r="H3302" s="85">
        <v>7790</v>
      </c>
      <c r="I3302" s="85">
        <f t="shared" si="433"/>
        <v>1.3054711205612689E-4</v>
      </c>
      <c r="J3302" s="87">
        <v>1</v>
      </c>
      <c r="K3302" s="88">
        <f t="shared" si="434"/>
        <v>7660.0698724768736</v>
      </c>
    </row>
    <row r="3303" spans="1:11" hidden="1" x14ac:dyDescent="0.25">
      <c r="A3303" t="str">
        <f t="shared" si="426"/>
        <v>Si3N4Ø9,525</v>
      </c>
      <c r="B3303" s="81" t="s">
        <v>207</v>
      </c>
      <c r="C3303" s="101" t="s">
        <v>254</v>
      </c>
      <c r="D3303" s="86">
        <f>3/8*25.4</f>
        <v>9.5249999999999986</v>
      </c>
      <c r="E3303" s="85">
        <f t="shared" si="435"/>
        <v>9.5249999999999987E-3</v>
      </c>
      <c r="F3303" s="85">
        <f t="shared" si="436"/>
        <v>4.7624999999999994E-3</v>
      </c>
      <c r="G3303" s="85">
        <f t="shared" si="437"/>
        <v>4.5247394422534347E-7</v>
      </c>
      <c r="H3303" s="85">
        <v>3260</v>
      </c>
      <c r="I3303" s="85">
        <f t="shared" si="433"/>
        <v>1.4750650581746196E-3</v>
      </c>
      <c r="J3303" s="87">
        <v>1</v>
      </c>
      <c r="K3303" s="88">
        <f t="shared" si="434"/>
        <v>677.93619980225913</v>
      </c>
    </row>
    <row r="3304" spans="1:11" hidden="1" x14ac:dyDescent="0.25">
      <c r="A3304" t="str">
        <f t="shared" si="426"/>
        <v>Si3N4Ø9,525</v>
      </c>
      <c r="B3304" s="81" t="s">
        <v>207</v>
      </c>
      <c r="C3304" s="101" t="s">
        <v>254</v>
      </c>
      <c r="D3304" s="86">
        <f>3/8*25.4</f>
        <v>9.5249999999999986</v>
      </c>
      <c r="E3304" s="85">
        <f t="shared" si="435"/>
        <v>9.5249999999999987E-3</v>
      </c>
      <c r="F3304" s="85">
        <f t="shared" si="436"/>
        <v>4.7624999999999994E-3</v>
      </c>
      <c r="G3304" s="85">
        <f t="shared" si="437"/>
        <v>4.5247394422534347E-7</v>
      </c>
      <c r="H3304" s="85">
        <v>3260</v>
      </c>
      <c r="I3304" s="85">
        <f t="shared" si="433"/>
        <v>1.4750650581746196E-3</v>
      </c>
      <c r="J3304" s="87">
        <v>1</v>
      </c>
      <c r="K3304" s="88">
        <f t="shared" si="434"/>
        <v>677.93619980225913</v>
      </c>
    </row>
    <row r="3305" spans="1:11" hidden="1" x14ac:dyDescent="0.25">
      <c r="A3305" t="str">
        <f t="shared" si="426"/>
        <v>Si3N4Ø11,1125</v>
      </c>
      <c r="B3305" s="81" t="s">
        <v>207</v>
      </c>
      <c r="C3305" s="101" t="s">
        <v>274</v>
      </c>
      <c r="D3305" s="86">
        <f>7/16*25.4</f>
        <v>11.112499999999999</v>
      </c>
      <c r="E3305" s="85">
        <f>D3305/1000</f>
        <v>1.1112499999999999E-2</v>
      </c>
      <c r="F3305" s="85">
        <f>E3305/2</f>
        <v>5.5562499999999996E-3</v>
      </c>
      <c r="G3305" s="85">
        <f>4/3*PI()*F3305*F3305*F3305</f>
        <v>7.1851186513561499E-7</v>
      </c>
      <c r="H3305" s="85">
        <v>3260</v>
      </c>
      <c r="I3305" s="85">
        <f>H3305*G3305</f>
        <v>2.3423486803421049E-3</v>
      </c>
      <c r="J3305" s="87">
        <v>1</v>
      </c>
      <c r="K3305" s="88">
        <f>J3305/I3305</f>
        <v>426.92192174136426</v>
      </c>
    </row>
    <row r="3306" spans="1:11" hidden="1" x14ac:dyDescent="0.25">
      <c r="A3306" t="str">
        <f t="shared" si="426"/>
        <v>Si3N4Ø11,1125</v>
      </c>
      <c r="B3306" s="81" t="s">
        <v>207</v>
      </c>
      <c r="C3306" s="101" t="s">
        <v>274</v>
      </c>
      <c r="D3306" s="86">
        <f>7/16*25.4</f>
        <v>11.112499999999999</v>
      </c>
      <c r="E3306" s="85">
        <f>D3306/1000</f>
        <v>1.1112499999999999E-2</v>
      </c>
      <c r="F3306" s="85">
        <f>E3306/2</f>
        <v>5.5562499999999996E-3</v>
      </c>
      <c r="G3306" s="85">
        <f>4/3*PI()*F3306*F3306*F3306</f>
        <v>7.1851186513561499E-7</v>
      </c>
      <c r="H3306" s="85">
        <v>3260</v>
      </c>
      <c r="I3306" s="85">
        <f>H3306*G3306</f>
        <v>2.3423486803421049E-3</v>
      </c>
      <c r="J3306" s="87">
        <v>1</v>
      </c>
      <c r="K3306" s="88">
        <f>J3306/I3306</f>
        <v>426.92192174136426</v>
      </c>
    </row>
    <row r="3307" spans="1:11" hidden="1" x14ac:dyDescent="0.25">
      <c r="A3307" t="str">
        <f t="shared" si="426"/>
        <v>304Ø3</v>
      </c>
      <c r="B3307" s="81">
        <v>304</v>
      </c>
      <c r="D3307" s="86">
        <v>3</v>
      </c>
      <c r="E3307" s="85">
        <f t="shared" ref="E3307:E3328" si="438">D3307/1000</f>
        <v>3.0000000000000001E-3</v>
      </c>
      <c r="F3307" s="85">
        <f t="shared" ref="F3307:F3328" si="439">E3307/2</f>
        <v>1.5E-3</v>
      </c>
      <c r="G3307" s="85">
        <f t="shared" ref="G3307:G3328" si="440">4/3*PI()*F3307*F3307*F3307</f>
        <v>1.4137166941154068E-8</v>
      </c>
      <c r="H3307" s="85">
        <v>7950</v>
      </c>
      <c r="I3307" s="85">
        <f t="shared" ref="I3307:I3348" si="441">H3307*G3307</f>
        <v>1.1239047718217484E-4</v>
      </c>
      <c r="J3307" s="87">
        <v>1</v>
      </c>
      <c r="K3307" s="88">
        <f t="shared" ref="K3307:K3348" si="442">J3307/I3307</f>
        <v>8897.5509764861145</v>
      </c>
    </row>
    <row r="3308" spans="1:11" hidden="1" x14ac:dyDescent="0.25">
      <c r="A3308" t="str">
        <f t="shared" si="426"/>
        <v>304Ø4</v>
      </c>
      <c r="B3308" s="81">
        <v>304</v>
      </c>
      <c r="D3308" s="86">
        <v>4</v>
      </c>
      <c r="E3308" s="85">
        <f t="shared" si="438"/>
        <v>4.0000000000000001E-3</v>
      </c>
      <c r="F3308" s="85">
        <f t="shared" si="439"/>
        <v>2E-3</v>
      </c>
      <c r="G3308" s="85">
        <f t="shared" si="440"/>
        <v>3.3510321638291127E-8</v>
      </c>
      <c r="H3308" s="85">
        <v>7950</v>
      </c>
      <c r="I3308" s="85">
        <f t="shared" si="441"/>
        <v>2.6640705702441446E-4</v>
      </c>
      <c r="J3308" s="87">
        <v>1</v>
      </c>
      <c r="K3308" s="88">
        <f t="shared" si="442"/>
        <v>3753.6543182050787</v>
      </c>
    </row>
    <row r="3309" spans="1:11" hidden="1" x14ac:dyDescent="0.25">
      <c r="A3309" t="str">
        <f t="shared" si="426"/>
        <v>52100Ø23,1</v>
      </c>
      <c r="B3309" s="81">
        <v>52100</v>
      </c>
      <c r="D3309" s="86">
        <v>23.1</v>
      </c>
      <c r="E3309" s="85">
        <f t="shared" si="438"/>
        <v>2.3100000000000002E-2</v>
      </c>
      <c r="F3309" s="85">
        <f t="shared" si="439"/>
        <v>1.1550000000000001E-2</v>
      </c>
      <c r="G3309" s="85">
        <f t="shared" si="440"/>
        <v>6.4540832351458921E-6</v>
      </c>
      <c r="H3309" s="85">
        <v>7800</v>
      </c>
      <c r="I3309" s="85">
        <f t="shared" si="441"/>
        <v>5.034184923413796E-2</v>
      </c>
      <c r="J3309" s="87">
        <v>1</v>
      </c>
      <c r="K3309" s="88">
        <f t="shared" si="442"/>
        <v>19.864188845130407</v>
      </c>
    </row>
    <row r="3310" spans="1:11" hidden="1" x14ac:dyDescent="0.25">
      <c r="A3310" t="str">
        <f t="shared" si="426"/>
        <v>304LØ10</v>
      </c>
      <c r="B3310" s="81" t="s">
        <v>362</v>
      </c>
      <c r="D3310" s="86">
        <v>10</v>
      </c>
      <c r="E3310" s="85">
        <f t="shared" si="438"/>
        <v>0.01</v>
      </c>
      <c r="F3310" s="85">
        <f t="shared" si="439"/>
        <v>5.0000000000000001E-3</v>
      </c>
      <c r="G3310" s="85">
        <f t="shared" si="440"/>
        <v>5.2359877559829882E-7</v>
      </c>
      <c r="H3310" s="85">
        <v>7950</v>
      </c>
      <c r="I3310" s="85">
        <f t="shared" si="441"/>
        <v>4.1626102660064753E-3</v>
      </c>
      <c r="J3310" s="87">
        <v>1</v>
      </c>
      <c r="K3310" s="88">
        <f t="shared" si="442"/>
        <v>240.23387636512507</v>
      </c>
    </row>
    <row r="3311" spans="1:11" hidden="1" x14ac:dyDescent="0.25">
      <c r="A3311" t="str">
        <f t="shared" si="426"/>
        <v>PPHØ1,5875</v>
      </c>
      <c r="B3311" s="81" t="s">
        <v>202</v>
      </c>
      <c r="C3311" s="101" t="s">
        <v>246</v>
      </c>
      <c r="D3311" s="86">
        <f>1/16*25.4</f>
        <v>1.5874999999999999</v>
      </c>
      <c r="E3311" s="85">
        <f t="shared" si="438"/>
        <v>1.5874999999999999E-3</v>
      </c>
      <c r="F3311" s="85">
        <f t="shared" si="439"/>
        <v>7.9374999999999997E-4</v>
      </c>
      <c r="G3311" s="85">
        <f t="shared" si="440"/>
        <v>2.0947867788210349E-9</v>
      </c>
      <c r="H3311" s="85">
        <v>870</v>
      </c>
      <c r="I3311" s="85">
        <f t="shared" si="441"/>
        <v>1.8224644975743004E-6</v>
      </c>
      <c r="J3311" s="87">
        <v>1</v>
      </c>
      <c r="K3311" s="88">
        <f t="shared" si="442"/>
        <v>548707.53385374567</v>
      </c>
    </row>
    <row r="3312" spans="1:11" hidden="1" x14ac:dyDescent="0.25">
      <c r="A3312" t="str">
        <f t="shared" si="426"/>
        <v>PPHØ2</v>
      </c>
      <c r="B3312" s="81" t="s">
        <v>202</v>
      </c>
      <c r="D3312" s="86">
        <v>2</v>
      </c>
      <c r="E3312" s="85">
        <f t="shared" si="438"/>
        <v>2E-3</v>
      </c>
      <c r="F3312" s="85">
        <f t="shared" si="439"/>
        <v>1E-3</v>
      </c>
      <c r="G3312" s="85">
        <f t="shared" si="440"/>
        <v>4.1887902047863909E-9</v>
      </c>
      <c r="H3312" s="85">
        <v>870</v>
      </c>
      <c r="I3312" s="85">
        <f t="shared" si="441"/>
        <v>3.6442474781641599E-6</v>
      </c>
      <c r="J3312" s="87">
        <v>1</v>
      </c>
      <c r="K3312" s="88">
        <f t="shared" si="442"/>
        <v>274405.07429637131</v>
      </c>
    </row>
    <row r="3313" spans="1:11" hidden="1" x14ac:dyDescent="0.25">
      <c r="A3313" t="str">
        <f t="shared" si="426"/>
        <v>POMØ2</v>
      </c>
      <c r="B3313" s="81" t="s">
        <v>201</v>
      </c>
      <c r="D3313" s="86">
        <v>2</v>
      </c>
      <c r="E3313" s="85">
        <f t="shared" si="438"/>
        <v>2E-3</v>
      </c>
      <c r="F3313" s="85">
        <f t="shared" si="439"/>
        <v>1E-3</v>
      </c>
      <c r="G3313" s="85">
        <f t="shared" si="440"/>
        <v>4.1887902047863909E-9</v>
      </c>
      <c r="H3313" s="85">
        <v>1370</v>
      </c>
      <c r="I3313" s="85">
        <f t="shared" si="441"/>
        <v>5.7386425805573556E-6</v>
      </c>
      <c r="J3313" s="87">
        <v>1</v>
      </c>
      <c r="K3313" s="88">
        <f t="shared" si="442"/>
        <v>174257.23696192921</v>
      </c>
    </row>
    <row r="3314" spans="1:11" hidden="1" x14ac:dyDescent="0.25">
      <c r="A3314" t="str">
        <f t="shared" si="426"/>
        <v>VESCØ11,1</v>
      </c>
      <c r="B3314" s="81" t="s">
        <v>210</v>
      </c>
      <c r="D3314" s="86">
        <v>11.1</v>
      </c>
      <c r="E3314" s="85">
        <f t="shared" si="438"/>
        <v>1.11E-2</v>
      </c>
      <c r="F3314" s="85">
        <f t="shared" si="439"/>
        <v>5.5500000000000002E-3</v>
      </c>
      <c r="G3314" s="85">
        <f t="shared" si="440"/>
        <v>7.1608991707027712E-7</v>
      </c>
      <c r="H3314" s="85">
        <v>2500</v>
      </c>
      <c r="I3314" s="85">
        <f t="shared" si="441"/>
        <v>1.7902247926756929E-3</v>
      </c>
      <c r="J3314" s="87">
        <v>1</v>
      </c>
      <c r="K3314" s="88">
        <f t="shared" si="442"/>
        <v>558.58906886513796</v>
      </c>
    </row>
    <row r="3315" spans="1:11" hidden="1" x14ac:dyDescent="0.25">
      <c r="A3315" t="str">
        <f t="shared" si="426"/>
        <v>316LØ2,5</v>
      </c>
      <c r="B3315" s="81" t="s">
        <v>298</v>
      </c>
      <c r="D3315" s="86">
        <v>2.5</v>
      </c>
      <c r="E3315" s="85">
        <f t="shared" si="438"/>
        <v>2.5000000000000001E-3</v>
      </c>
      <c r="F3315" s="85">
        <f t="shared" si="439"/>
        <v>1.25E-3</v>
      </c>
      <c r="G3315" s="85">
        <f t="shared" si="440"/>
        <v>8.181230868723419E-9</v>
      </c>
      <c r="H3315" s="85">
        <v>7950</v>
      </c>
      <c r="I3315" s="85">
        <f t="shared" si="441"/>
        <v>6.5040785406351176E-5</v>
      </c>
      <c r="J3315" s="87">
        <v>1</v>
      </c>
      <c r="K3315" s="88">
        <f t="shared" si="442"/>
        <v>15374.968087368004</v>
      </c>
    </row>
    <row r="3316" spans="1:11" hidden="1" x14ac:dyDescent="0.25">
      <c r="A3316" t="str">
        <f t="shared" si="426"/>
        <v>316LØ2,38125</v>
      </c>
      <c r="B3316" s="81" t="s">
        <v>298</v>
      </c>
      <c r="C3316" s="101" t="s">
        <v>213</v>
      </c>
      <c r="D3316" s="86">
        <f>3/32*25.4</f>
        <v>2.3812499999999996</v>
      </c>
      <c r="E3316" s="85">
        <f t="shared" si="438"/>
        <v>2.3812499999999997E-3</v>
      </c>
      <c r="F3316" s="85">
        <f t="shared" si="439"/>
        <v>1.1906249999999998E-3</v>
      </c>
      <c r="G3316" s="85">
        <f t="shared" si="440"/>
        <v>7.0699053785209917E-9</v>
      </c>
      <c r="H3316" s="85">
        <v>7950</v>
      </c>
      <c r="I3316" s="85">
        <f t="shared" si="441"/>
        <v>5.6205747759241884E-5</v>
      </c>
      <c r="J3316" s="87">
        <v>1</v>
      </c>
      <c r="K3316" s="88">
        <f t="shared" si="442"/>
        <v>17791.774682609226</v>
      </c>
    </row>
    <row r="3317" spans="1:11" hidden="1" x14ac:dyDescent="0.25">
      <c r="A3317" t="str">
        <f t="shared" si="426"/>
        <v>VEBOØ4</v>
      </c>
      <c r="B3317" s="81" t="s">
        <v>329</v>
      </c>
      <c r="D3317" s="86">
        <v>4</v>
      </c>
      <c r="E3317" s="85">
        <f t="shared" si="438"/>
        <v>4.0000000000000001E-3</v>
      </c>
      <c r="F3317" s="85">
        <f t="shared" si="439"/>
        <v>2E-3</v>
      </c>
      <c r="G3317" s="85">
        <f t="shared" si="440"/>
        <v>3.3510321638291127E-8</v>
      </c>
      <c r="H3317" s="85">
        <v>2230</v>
      </c>
      <c r="I3317" s="85">
        <f t="shared" si="441"/>
        <v>7.4728017253389208E-5</v>
      </c>
      <c r="J3317" s="87">
        <v>1</v>
      </c>
      <c r="K3317" s="88">
        <f t="shared" si="442"/>
        <v>13381.861807053981</v>
      </c>
    </row>
    <row r="3318" spans="1:11" hidden="1" x14ac:dyDescent="0.25">
      <c r="A3318" t="str">
        <f t="shared" si="426"/>
        <v>PA6.6Ø6</v>
      </c>
      <c r="B3318" s="81" t="s">
        <v>244</v>
      </c>
      <c r="D3318" s="86">
        <v>6</v>
      </c>
      <c r="E3318" s="85">
        <f t="shared" si="438"/>
        <v>6.0000000000000001E-3</v>
      </c>
      <c r="F3318" s="85">
        <f t="shared" si="439"/>
        <v>3.0000000000000001E-3</v>
      </c>
      <c r="G3318" s="85">
        <f t="shared" si="440"/>
        <v>1.1309733552923255E-7</v>
      </c>
      <c r="H3318" s="85">
        <v>1110</v>
      </c>
      <c r="I3318" s="85">
        <f t="shared" si="441"/>
        <v>1.2553804243744813E-4</v>
      </c>
      <c r="J3318" s="87">
        <v>1</v>
      </c>
      <c r="K3318" s="88">
        <f t="shared" si="442"/>
        <v>7965.712867462229</v>
      </c>
    </row>
    <row r="3319" spans="1:11" hidden="1" x14ac:dyDescent="0.25">
      <c r="A3319" t="str">
        <f t="shared" si="426"/>
        <v>420CØ1</v>
      </c>
      <c r="B3319" s="81" t="s">
        <v>295</v>
      </c>
      <c r="D3319" s="86">
        <v>1</v>
      </c>
      <c r="E3319" s="85">
        <f t="shared" si="438"/>
        <v>1E-3</v>
      </c>
      <c r="F3319" s="85">
        <f t="shared" si="439"/>
        <v>5.0000000000000001E-4</v>
      </c>
      <c r="G3319" s="85">
        <f t="shared" si="440"/>
        <v>5.2359877559829886E-10</v>
      </c>
      <c r="H3319" s="85">
        <v>7750</v>
      </c>
      <c r="I3319" s="85">
        <f t="shared" si="441"/>
        <v>4.0578905108868158E-6</v>
      </c>
      <c r="J3319" s="87">
        <v>1</v>
      </c>
      <c r="K3319" s="88">
        <f t="shared" si="442"/>
        <v>246433.46027132185</v>
      </c>
    </row>
    <row r="3320" spans="1:11" hidden="1" x14ac:dyDescent="0.25">
      <c r="A3320" t="str">
        <f t="shared" si="426"/>
        <v>420CØ1</v>
      </c>
      <c r="B3320" s="81" t="s">
        <v>295</v>
      </c>
      <c r="D3320" s="86">
        <v>1</v>
      </c>
      <c r="E3320" s="85">
        <f t="shared" si="438"/>
        <v>1E-3</v>
      </c>
      <c r="F3320" s="85">
        <f t="shared" si="439"/>
        <v>5.0000000000000001E-4</v>
      </c>
      <c r="G3320" s="85">
        <f t="shared" si="440"/>
        <v>5.2359877559829886E-10</v>
      </c>
      <c r="H3320" s="85">
        <v>7780</v>
      </c>
      <c r="I3320" s="85">
        <f t="shared" si="441"/>
        <v>4.0735984741547652E-6</v>
      </c>
      <c r="J3320" s="87">
        <v>1</v>
      </c>
      <c r="K3320" s="88">
        <f t="shared" si="442"/>
        <v>245483.20271243496</v>
      </c>
    </row>
    <row r="3321" spans="1:11" hidden="1" x14ac:dyDescent="0.25">
      <c r="A3321" t="str">
        <f t="shared" si="426"/>
        <v>VESCØ10</v>
      </c>
      <c r="B3321" s="81" t="s">
        <v>210</v>
      </c>
      <c r="D3321" s="86">
        <v>10</v>
      </c>
      <c r="E3321" s="85">
        <f t="shared" si="438"/>
        <v>0.01</v>
      </c>
      <c r="F3321" s="85">
        <f t="shared" si="439"/>
        <v>5.0000000000000001E-3</v>
      </c>
      <c r="G3321" s="85">
        <f t="shared" si="440"/>
        <v>5.2359877559829882E-7</v>
      </c>
      <c r="H3321" s="85">
        <v>2500</v>
      </c>
      <c r="I3321" s="85">
        <f t="shared" si="441"/>
        <v>1.308996938995747E-3</v>
      </c>
      <c r="J3321" s="87">
        <v>1</v>
      </c>
      <c r="K3321" s="88">
        <f t="shared" si="442"/>
        <v>763.94372684109771</v>
      </c>
    </row>
    <row r="3322" spans="1:11" hidden="1" x14ac:dyDescent="0.25">
      <c r="A3322" t="str">
        <f t="shared" si="426"/>
        <v>1010Ø3,96875</v>
      </c>
      <c r="B3322" s="81">
        <v>1010</v>
      </c>
      <c r="C3322" s="101" t="s">
        <v>215</v>
      </c>
      <c r="D3322" s="86">
        <f>5/32*25.4</f>
        <v>3.96875</v>
      </c>
      <c r="E3322" s="85">
        <f t="shared" si="438"/>
        <v>3.9687500000000001E-3</v>
      </c>
      <c r="F3322" s="85">
        <f t="shared" si="439"/>
        <v>1.984375E-3</v>
      </c>
      <c r="G3322" s="85">
        <f t="shared" si="440"/>
        <v>3.2731043419078684E-8</v>
      </c>
      <c r="H3322" s="85">
        <v>7820</v>
      </c>
      <c r="I3322" s="85">
        <f t="shared" si="441"/>
        <v>2.5595675953719529E-4</v>
      </c>
      <c r="J3322" s="87">
        <v>1</v>
      </c>
      <c r="K3322" s="88">
        <f t="shared" si="442"/>
        <v>3906.9099085647758</v>
      </c>
    </row>
    <row r="3323" spans="1:11" hidden="1" x14ac:dyDescent="0.25">
      <c r="A3323" t="str">
        <f t="shared" si="426"/>
        <v>52100Ø11,509375</v>
      </c>
      <c r="B3323" s="81">
        <v>52100</v>
      </c>
      <c r="C3323" s="101" t="s">
        <v>273</v>
      </c>
      <c r="D3323" s="86">
        <f>29/64*25.4</f>
        <v>11.509374999999999</v>
      </c>
      <c r="E3323" s="85">
        <f t="shared" si="438"/>
        <v>1.1509374999999999E-2</v>
      </c>
      <c r="F3323" s="85">
        <f t="shared" si="439"/>
        <v>5.7546874999999994E-3</v>
      </c>
      <c r="G3323" s="85">
        <f t="shared" si="440"/>
        <v>7.9827741794790967E-7</v>
      </c>
      <c r="H3323" s="85">
        <v>7800</v>
      </c>
      <c r="I3323" s="85">
        <f t="shared" si="441"/>
        <v>6.2265638599936952E-3</v>
      </c>
      <c r="J3323" s="87">
        <v>1</v>
      </c>
      <c r="K3323" s="88">
        <f t="shared" si="442"/>
        <v>160.60222339083381</v>
      </c>
    </row>
    <row r="3324" spans="1:11" hidden="1" x14ac:dyDescent="0.25">
      <c r="A3324" t="str">
        <f t="shared" si="426"/>
        <v>430Ø3,175</v>
      </c>
      <c r="B3324" s="81">
        <v>430</v>
      </c>
      <c r="C3324" s="101" t="s">
        <v>214</v>
      </c>
      <c r="D3324" s="86">
        <f>1/8*25.4</f>
        <v>3.1749999999999998</v>
      </c>
      <c r="E3324" s="85">
        <f t="shared" si="438"/>
        <v>3.1749999999999999E-3</v>
      </c>
      <c r="F3324" s="85">
        <f t="shared" si="439"/>
        <v>1.5874999999999999E-3</v>
      </c>
      <c r="G3324" s="85">
        <f t="shared" si="440"/>
        <v>1.6758294230568279E-8</v>
      </c>
      <c r="H3324" s="85">
        <v>7730</v>
      </c>
      <c r="I3324" s="85">
        <f t="shared" si="441"/>
        <v>1.2954161440229279E-4</v>
      </c>
      <c r="J3324" s="87">
        <v>1</v>
      </c>
      <c r="K3324" s="88">
        <f t="shared" si="442"/>
        <v>7719.527077179152</v>
      </c>
    </row>
    <row r="3325" spans="1:11" hidden="1" x14ac:dyDescent="0.25">
      <c r="A3325" t="str">
        <f t="shared" si="426"/>
        <v>PA6.6Ø7,9375</v>
      </c>
      <c r="B3325" s="81" t="s">
        <v>244</v>
      </c>
      <c r="C3325" s="101" t="s">
        <v>252</v>
      </c>
      <c r="D3325" s="86">
        <f>5/16*25.4</f>
        <v>7.9375</v>
      </c>
      <c r="E3325" s="85">
        <f t="shared" si="438"/>
        <v>7.9375000000000001E-3</v>
      </c>
      <c r="F3325" s="85">
        <f t="shared" si="439"/>
        <v>3.9687500000000001E-3</v>
      </c>
      <c r="G3325" s="85">
        <f t="shared" si="440"/>
        <v>2.6184834735262947E-7</v>
      </c>
      <c r="H3325" s="85">
        <v>1110</v>
      </c>
      <c r="I3325" s="85">
        <f t="shared" si="441"/>
        <v>2.906516655614187E-4</v>
      </c>
      <c r="J3325" s="87">
        <v>1</v>
      </c>
      <c r="K3325" s="88">
        <f t="shared" si="442"/>
        <v>3440.5445365964579</v>
      </c>
    </row>
    <row r="3326" spans="1:11" hidden="1" x14ac:dyDescent="0.25">
      <c r="A3326" t="str">
        <f t="shared" si="426"/>
        <v>PA6.6Ø7,9375</v>
      </c>
      <c r="B3326" s="81" t="s">
        <v>244</v>
      </c>
      <c r="C3326" s="101" t="s">
        <v>252</v>
      </c>
      <c r="D3326" s="86">
        <f>5/16*25.4</f>
        <v>7.9375</v>
      </c>
      <c r="E3326" s="85">
        <f t="shared" si="438"/>
        <v>7.9375000000000001E-3</v>
      </c>
      <c r="F3326" s="85">
        <f t="shared" si="439"/>
        <v>3.9687500000000001E-3</v>
      </c>
      <c r="G3326" s="85">
        <f t="shared" si="440"/>
        <v>2.6184834735262947E-7</v>
      </c>
      <c r="H3326" s="85">
        <v>1110</v>
      </c>
      <c r="I3326" s="85">
        <f t="shared" si="441"/>
        <v>2.906516655614187E-4</v>
      </c>
      <c r="J3326" s="87">
        <v>1</v>
      </c>
      <c r="K3326" s="88">
        <f t="shared" si="442"/>
        <v>3440.5445365964579</v>
      </c>
    </row>
    <row r="3327" spans="1:11" hidden="1" x14ac:dyDescent="0.25">
      <c r="A3327" t="str">
        <f t="shared" si="426"/>
        <v>PA6.6Ø8</v>
      </c>
      <c r="B3327" s="81" t="s">
        <v>244</v>
      </c>
      <c r="D3327" s="86">
        <v>8</v>
      </c>
      <c r="E3327" s="85">
        <f t="shared" si="438"/>
        <v>8.0000000000000002E-3</v>
      </c>
      <c r="F3327" s="85">
        <f t="shared" si="439"/>
        <v>4.0000000000000001E-3</v>
      </c>
      <c r="G3327" s="85">
        <f t="shared" si="440"/>
        <v>2.6808257310632902E-7</v>
      </c>
      <c r="H3327" s="85">
        <v>1110</v>
      </c>
      <c r="I3327" s="85">
        <f t="shared" si="441"/>
        <v>2.9757165614802518E-4</v>
      </c>
      <c r="J3327" s="87">
        <v>1</v>
      </c>
      <c r="K3327" s="88">
        <f t="shared" si="442"/>
        <v>3360.5351159606284</v>
      </c>
    </row>
    <row r="3328" spans="1:11" hidden="1" x14ac:dyDescent="0.25">
      <c r="A3328" t="str">
        <f t="shared" si="426"/>
        <v>PA6.6Ø8</v>
      </c>
      <c r="B3328" s="81" t="s">
        <v>244</v>
      </c>
      <c r="D3328" s="86">
        <v>8</v>
      </c>
      <c r="E3328" s="85">
        <f t="shared" si="438"/>
        <v>8.0000000000000002E-3</v>
      </c>
      <c r="F3328" s="85">
        <f t="shared" si="439"/>
        <v>4.0000000000000001E-3</v>
      </c>
      <c r="G3328" s="85">
        <f t="shared" si="440"/>
        <v>2.6808257310632902E-7</v>
      </c>
      <c r="H3328" s="85">
        <v>1110</v>
      </c>
      <c r="I3328" s="85">
        <f t="shared" si="441"/>
        <v>2.9757165614802518E-4</v>
      </c>
      <c r="J3328" s="87">
        <v>1</v>
      </c>
      <c r="K3328" s="88">
        <f t="shared" si="442"/>
        <v>3360.5351159606284</v>
      </c>
    </row>
    <row r="3329" spans="1:11" hidden="1" x14ac:dyDescent="0.25">
      <c r="A3329" t="str">
        <f t="shared" si="426"/>
        <v>440CØ1,2</v>
      </c>
      <c r="B3329" s="81" t="s">
        <v>314</v>
      </c>
      <c r="D3329" s="86">
        <v>1.2</v>
      </c>
      <c r="E3329" s="85">
        <v>1.1999999999999999E-3</v>
      </c>
      <c r="F3329" s="85">
        <v>5.9999999999999995E-4</v>
      </c>
      <c r="G3329" s="85">
        <v>9.0477868423386013E-10</v>
      </c>
      <c r="H3329" s="88">
        <v>7700</v>
      </c>
      <c r="I3329" s="85">
        <f t="shared" si="441"/>
        <v>6.9667958686007232E-6</v>
      </c>
      <c r="J3329" s="87">
        <v>1</v>
      </c>
      <c r="K3329" s="88">
        <f t="shared" si="442"/>
        <v>143538.007839011</v>
      </c>
    </row>
    <row r="3330" spans="1:11" hidden="1" x14ac:dyDescent="0.25">
      <c r="A3330" t="str">
        <f t="shared" si="426"/>
        <v>420CØ7,9375</v>
      </c>
      <c r="B3330" s="81" t="s">
        <v>295</v>
      </c>
      <c r="C3330" s="101" t="s">
        <v>252</v>
      </c>
      <c r="D3330" s="86">
        <f>5/16*25.4</f>
        <v>7.9375</v>
      </c>
      <c r="E3330" s="85">
        <f t="shared" ref="E3330:E3348" si="443">D3330/1000</f>
        <v>7.9375000000000001E-3</v>
      </c>
      <c r="F3330" s="85">
        <f t="shared" ref="F3330:F3348" si="444">E3330/2</f>
        <v>3.9687500000000001E-3</v>
      </c>
      <c r="G3330" s="85">
        <f t="shared" ref="G3330:G3348" si="445">4/3*PI()*F3330*F3330*F3330</f>
        <v>2.6184834735262947E-7</v>
      </c>
      <c r="H3330" s="85">
        <v>7750</v>
      </c>
      <c r="I3330" s="85">
        <f t="shared" si="441"/>
        <v>2.0293246919828784E-3</v>
      </c>
      <c r="J3330" s="87">
        <v>1</v>
      </c>
      <c r="K3330" s="88">
        <f t="shared" si="442"/>
        <v>492.77476588671846</v>
      </c>
    </row>
    <row r="3331" spans="1:11" hidden="1" x14ac:dyDescent="0.25">
      <c r="A3331" t="str">
        <f t="shared" si="426"/>
        <v>420CØ15</v>
      </c>
      <c r="B3331" s="81" t="s">
        <v>295</v>
      </c>
      <c r="D3331" s="86">
        <v>15</v>
      </c>
      <c r="E3331" s="85">
        <f t="shared" si="443"/>
        <v>1.4999999999999999E-2</v>
      </c>
      <c r="F3331" s="85">
        <f t="shared" si="444"/>
        <v>7.4999999999999997E-3</v>
      </c>
      <c r="G3331" s="85">
        <f t="shared" si="445"/>
        <v>1.7671458676442584E-6</v>
      </c>
      <c r="H3331" s="85">
        <v>7750</v>
      </c>
      <c r="I3331" s="85">
        <f t="shared" si="441"/>
        <v>1.3695380474243003E-2</v>
      </c>
      <c r="J3331" s="87">
        <v>1</v>
      </c>
      <c r="K3331" s="88">
        <f t="shared" si="442"/>
        <v>73.017321561873146</v>
      </c>
    </row>
    <row r="3332" spans="1:11" hidden="1" x14ac:dyDescent="0.25">
      <c r="A3332" t="str">
        <f t="shared" ref="A3332:A3395" si="446">CONCATENATE(B3332,"Ø",D3332)</f>
        <v>304Ø7,9375</v>
      </c>
      <c r="B3332" s="81">
        <v>304</v>
      </c>
      <c r="C3332" s="101" t="s">
        <v>252</v>
      </c>
      <c r="D3332" s="86">
        <f>5/16*25.4</f>
        <v>7.9375</v>
      </c>
      <c r="E3332" s="85">
        <f t="shared" si="443"/>
        <v>7.9375000000000001E-3</v>
      </c>
      <c r="F3332" s="85">
        <f t="shared" si="444"/>
        <v>3.9687500000000001E-3</v>
      </c>
      <c r="G3332" s="85">
        <f t="shared" si="445"/>
        <v>2.6184834735262947E-7</v>
      </c>
      <c r="H3332" s="85">
        <v>7950</v>
      </c>
      <c r="I3332" s="85">
        <f t="shared" si="441"/>
        <v>2.0816943614534044E-3</v>
      </c>
      <c r="J3332" s="87">
        <v>1</v>
      </c>
      <c r="K3332" s="88">
        <f t="shared" si="442"/>
        <v>480.37791643044881</v>
      </c>
    </row>
    <row r="3333" spans="1:11" hidden="1" x14ac:dyDescent="0.25">
      <c r="A3333" t="str">
        <f t="shared" si="446"/>
        <v>304Ø15</v>
      </c>
      <c r="B3333" s="81">
        <v>304</v>
      </c>
      <c r="D3333" s="86">
        <v>15</v>
      </c>
      <c r="E3333" s="85">
        <f t="shared" si="443"/>
        <v>1.4999999999999999E-2</v>
      </c>
      <c r="F3333" s="85">
        <f t="shared" si="444"/>
        <v>7.4999999999999997E-3</v>
      </c>
      <c r="G3333" s="85">
        <f t="shared" si="445"/>
        <v>1.7671458676442584E-6</v>
      </c>
      <c r="H3333" s="85">
        <v>7950</v>
      </c>
      <c r="I3333" s="85">
        <f t="shared" si="441"/>
        <v>1.4048809647771854E-2</v>
      </c>
      <c r="J3333" s="87">
        <v>1</v>
      </c>
      <c r="K3333" s="88">
        <f t="shared" si="442"/>
        <v>71.180407811888912</v>
      </c>
    </row>
    <row r="3334" spans="1:11" hidden="1" x14ac:dyDescent="0.25">
      <c r="A3334" t="str">
        <f t="shared" si="446"/>
        <v>52100Ø0,68</v>
      </c>
      <c r="B3334" s="81">
        <v>52100</v>
      </c>
      <c r="D3334" s="86">
        <v>0.68</v>
      </c>
      <c r="E3334" s="85">
        <f t="shared" si="443"/>
        <v>6.8000000000000005E-4</v>
      </c>
      <c r="F3334" s="85">
        <f t="shared" si="444"/>
        <v>3.4000000000000002E-4</v>
      </c>
      <c r="G3334" s="85">
        <f t="shared" si="445"/>
        <v>1.6463621020892433E-10</v>
      </c>
      <c r="H3334" s="85">
        <v>7800</v>
      </c>
      <c r="I3334" s="85">
        <f t="shared" si="441"/>
        <v>1.2841624396296097E-6</v>
      </c>
      <c r="J3334" s="87">
        <v>1</v>
      </c>
      <c r="K3334" s="88">
        <f t="shared" si="442"/>
        <v>778717.68332394888</v>
      </c>
    </row>
    <row r="3335" spans="1:11" hidden="1" x14ac:dyDescent="0.25">
      <c r="A3335" t="str">
        <f t="shared" si="446"/>
        <v>52100Ø1,2</v>
      </c>
      <c r="B3335" s="81">
        <v>52100</v>
      </c>
      <c r="D3335" s="86">
        <v>1.2</v>
      </c>
      <c r="E3335" s="85">
        <f t="shared" si="443"/>
        <v>1.1999999999999999E-3</v>
      </c>
      <c r="F3335" s="85">
        <f t="shared" si="444"/>
        <v>5.9999999999999995E-4</v>
      </c>
      <c r="G3335" s="85">
        <f t="shared" si="445"/>
        <v>9.0477868423386013E-10</v>
      </c>
      <c r="H3335" s="85">
        <v>7800</v>
      </c>
      <c r="I3335" s="85">
        <f t="shared" si="441"/>
        <v>7.0572737370241092E-6</v>
      </c>
      <c r="J3335" s="87">
        <v>1</v>
      </c>
      <c r="K3335" s="88">
        <f t="shared" si="442"/>
        <v>141697.77696928009</v>
      </c>
    </row>
    <row r="3336" spans="1:11" hidden="1" x14ac:dyDescent="0.25">
      <c r="A3336" t="str">
        <f t="shared" si="446"/>
        <v>52100Ø19,9</v>
      </c>
      <c r="B3336" s="81">
        <v>52100</v>
      </c>
      <c r="D3336" s="86">
        <v>19.899999999999999</v>
      </c>
      <c r="E3336" s="85">
        <f t="shared" si="443"/>
        <v>1.9899999999999998E-2</v>
      </c>
      <c r="F3336" s="85">
        <f t="shared" si="444"/>
        <v>9.9499999999999988E-3</v>
      </c>
      <c r="G3336" s="85">
        <f t="shared" si="445"/>
        <v>4.1262719873811766E-6</v>
      </c>
      <c r="H3336" s="85">
        <v>7800</v>
      </c>
      <c r="I3336" s="85">
        <f t="shared" si="441"/>
        <v>3.2184921501573177E-2</v>
      </c>
      <c r="J3336" s="87">
        <v>1</v>
      </c>
      <c r="K3336" s="88">
        <f t="shared" si="442"/>
        <v>31.070450178078598</v>
      </c>
    </row>
    <row r="3337" spans="1:11" hidden="1" x14ac:dyDescent="0.25">
      <c r="A3337" t="str">
        <f t="shared" si="446"/>
        <v>PTFEØ3,175</v>
      </c>
      <c r="B3337" s="81" t="s">
        <v>307</v>
      </c>
      <c r="C3337" s="101" t="s">
        <v>214</v>
      </c>
      <c r="D3337" s="86">
        <f>1/8*25.4</f>
        <v>3.1749999999999998</v>
      </c>
      <c r="E3337" s="85">
        <f t="shared" si="443"/>
        <v>3.1749999999999999E-3</v>
      </c>
      <c r="F3337" s="85">
        <f t="shared" si="444"/>
        <v>1.5874999999999999E-3</v>
      </c>
      <c r="G3337" s="85">
        <f t="shared" si="445"/>
        <v>1.6758294230568279E-8</v>
      </c>
      <c r="H3337" s="85">
        <v>2160</v>
      </c>
      <c r="I3337" s="85">
        <f t="shared" si="441"/>
        <v>3.6197915538027483E-5</v>
      </c>
      <c r="J3337" s="87">
        <v>1</v>
      </c>
      <c r="K3337" s="88">
        <f t="shared" si="442"/>
        <v>27625.900141942057</v>
      </c>
    </row>
    <row r="3338" spans="1:11" hidden="1" x14ac:dyDescent="0.25">
      <c r="A3338" t="str">
        <f t="shared" si="446"/>
        <v>Wc-CoØ0,5</v>
      </c>
      <c r="B3338" s="81" t="s">
        <v>206</v>
      </c>
      <c r="D3338" s="86">
        <v>0.5</v>
      </c>
      <c r="E3338" s="85">
        <f t="shared" si="443"/>
        <v>5.0000000000000001E-4</v>
      </c>
      <c r="F3338" s="85">
        <f t="shared" si="444"/>
        <v>2.5000000000000001E-4</v>
      </c>
      <c r="G3338" s="85">
        <f t="shared" si="445"/>
        <v>6.5449846949787358E-11</v>
      </c>
      <c r="H3338" s="85">
        <v>14950</v>
      </c>
      <c r="I3338" s="85">
        <f t="shared" si="441"/>
        <v>9.7847521189932093E-7</v>
      </c>
      <c r="J3338" s="87">
        <v>1</v>
      </c>
      <c r="K3338" s="88">
        <f t="shared" si="442"/>
        <v>1021998.2967773882</v>
      </c>
    </row>
    <row r="3339" spans="1:11" hidden="1" x14ac:dyDescent="0.25">
      <c r="A3339" t="str">
        <f t="shared" si="446"/>
        <v>Wc-CoØ0,6</v>
      </c>
      <c r="B3339" s="81" t="s">
        <v>206</v>
      </c>
      <c r="D3339" s="86">
        <v>0.6</v>
      </c>
      <c r="E3339" s="85">
        <f t="shared" si="443"/>
        <v>5.9999999999999995E-4</v>
      </c>
      <c r="F3339" s="85">
        <f t="shared" si="444"/>
        <v>2.9999999999999997E-4</v>
      </c>
      <c r="G3339" s="85">
        <f t="shared" si="445"/>
        <v>1.1309733552923252E-10</v>
      </c>
      <c r="H3339" s="85">
        <v>14950</v>
      </c>
      <c r="I3339" s="85">
        <f t="shared" si="441"/>
        <v>1.690805166162026E-6</v>
      </c>
      <c r="J3339" s="87">
        <v>1</v>
      </c>
      <c r="K3339" s="88">
        <f t="shared" si="442"/>
        <v>591434.19952395174</v>
      </c>
    </row>
    <row r="3340" spans="1:11" hidden="1" x14ac:dyDescent="0.25">
      <c r="A3340" t="str">
        <f t="shared" si="446"/>
        <v>Wc-CoØ0,7</v>
      </c>
      <c r="B3340" s="81" t="s">
        <v>206</v>
      </c>
      <c r="D3340" s="86">
        <v>0.7</v>
      </c>
      <c r="E3340" s="85">
        <f t="shared" si="443"/>
        <v>6.9999999999999999E-4</v>
      </c>
      <c r="F3340" s="85">
        <f t="shared" si="444"/>
        <v>3.5E-4</v>
      </c>
      <c r="G3340" s="85">
        <f t="shared" si="445"/>
        <v>1.7959438003021649E-10</v>
      </c>
      <c r="H3340" s="85">
        <v>14950</v>
      </c>
      <c r="I3340" s="85">
        <f t="shared" si="441"/>
        <v>2.6849359814517365E-6</v>
      </c>
      <c r="J3340" s="87">
        <v>1</v>
      </c>
      <c r="K3340" s="88">
        <f t="shared" si="442"/>
        <v>372448.35888388782</v>
      </c>
    </row>
    <row r="3341" spans="1:11" hidden="1" x14ac:dyDescent="0.25">
      <c r="A3341" t="str">
        <f t="shared" si="446"/>
        <v>Wc-CoØ0,8</v>
      </c>
      <c r="B3341" s="81" t="s">
        <v>206</v>
      </c>
      <c r="D3341" s="86">
        <v>0.8</v>
      </c>
      <c r="E3341" s="85">
        <f t="shared" si="443"/>
        <v>8.0000000000000004E-4</v>
      </c>
      <c r="F3341" s="85">
        <f t="shared" si="444"/>
        <v>4.0000000000000002E-4</v>
      </c>
      <c r="G3341" s="85">
        <f t="shared" si="445"/>
        <v>2.6808257310632903E-10</v>
      </c>
      <c r="H3341" s="85">
        <v>14950</v>
      </c>
      <c r="I3341" s="85">
        <f t="shared" si="441"/>
        <v>4.0078344679396193E-6</v>
      </c>
      <c r="J3341" s="87">
        <v>1</v>
      </c>
      <c r="K3341" s="88">
        <f t="shared" si="442"/>
        <v>249511.30292416699</v>
      </c>
    </row>
    <row r="3342" spans="1:11" hidden="1" x14ac:dyDescent="0.25">
      <c r="A3342" t="str">
        <f t="shared" si="446"/>
        <v>Wc-CoØ0,9</v>
      </c>
      <c r="B3342" s="81" t="s">
        <v>206</v>
      </c>
      <c r="D3342" s="86">
        <v>0.9</v>
      </c>
      <c r="E3342" s="85">
        <f t="shared" si="443"/>
        <v>8.9999999999999998E-4</v>
      </c>
      <c r="F3342" s="85">
        <f t="shared" si="444"/>
        <v>4.4999999999999999E-4</v>
      </c>
      <c r="G3342" s="85">
        <f t="shared" si="445"/>
        <v>3.8170350741115976E-10</v>
      </c>
      <c r="H3342" s="85">
        <v>14950</v>
      </c>
      <c r="I3342" s="85">
        <f t="shared" si="441"/>
        <v>5.7064674357968387E-6</v>
      </c>
      <c r="J3342" s="87">
        <v>1</v>
      </c>
      <c r="K3342" s="88">
        <f t="shared" si="442"/>
        <v>175239.7628219116</v>
      </c>
    </row>
    <row r="3343" spans="1:11" hidden="1" x14ac:dyDescent="0.25">
      <c r="A3343" t="str">
        <f t="shared" si="446"/>
        <v>304Ø3,96875</v>
      </c>
      <c r="B3343" s="81">
        <v>304</v>
      </c>
      <c r="C3343" s="101" t="s">
        <v>215</v>
      </c>
      <c r="D3343" s="86">
        <f>5/32*25.4</f>
        <v>3.96875</v>
      </c>
      <c r="E3343" s="85">
        <f t="shared" si="443"/>
        <v>3.9687500000000001E-3</v>
      </c>
      <c r="F3343" s="85">
        <f t="shared" si="444"/>
        <v>1.984375E-3</v>
      </c>
      <c r="G3343" s="85">
        <f t="shared" si="445"/>
        <v>3.2731043419078684E-8</v>
      </c>
      <c r="H3343" s="85">
        <v>7950</v>
      </c>
      <c r="I3343" s="85">
        <f t="shared" si="441"/>
        <v>2.6021179518167554E-4</v>
      </c>
      <c r="J3343" s="87">
        <v>1</v>
      </c>
      <c r="K3343" s="88">
        <f t="shared" si="442"/>
        <v>3843.0233314435905</v>
      </c>
    </row>
    <row r="3344" spans="1:11" hidden="1" x14ac:dyDescent="0.25">
      <c r="A3344" t="str">
        <f t="shared" si="446"/>
        <v>PPHØ4</v>
      </c>
      <c r="B3344" s="81" t="s">
        <v>202</v>
      </c>
      <c r="D3344" s="86">
        <v>4</v>
      </c>
      <c r="E3344" s="85">
        <f t="shared" si="443"/>
        <v>4.0000000000000001E-3</v>
      </c>
      <c r="F3344" s="85">
        <f t="shared" si="444"/>
        <v>2E-3</v>
      </c>
      <c r="G3344" s="85">
        <f t="shared" si="445"/>
        <v>3.3510321638291127E-8</v>
      </c>
      <c r="H3344" s="85">
        <v>870</v>
      </c>
      <c r="I3344" s="85">
        <f t="shared" si="441"/>
        <v>2.9153979825313279E-5</v>
      </c>
      <c r="J3344" s="87">
        <v>1</v>
      </c>
      <c r="K3344" s="88">
        <f t="shared" si="442"/>
        <v>34300.634287046414</v>
      </c>
    </row>
    <row r="3345" spans="1:11" hidden="1" x14ac:dyDescent="0.25">
      <c r="A3345" t="str">
        <f t="shared" si="446"/>
        <v>PPHØ5</v>
      </c>
      <c r="B3345" s="81" t="s">
        <v>202</v>
      </c>
      <c r="D3345" s="86">
        <v>5</v>
      </c>
      <c r="E3345" s="85">
        <f t="shared" si="443"/>
        <v>5.0000000000000001E-3</v>
      </c>
      <c r="F3345" s="85">
        <f t="shared" si="444"/>
        <v>2.5000000000000001E-3</v>
      </c>
      <c r="G3345" s="85">
        <f t="shared" si="445"/>
        <v>6.5449846949787352E-8</v>
      </c>
      <c r="H3345" s="85">
        <v>870</v>
      </c>
      <c r="I3345" s="85">
        <f t="shared" si="441"/>
        <v>5.6941366846314999E-5</v>
      </c>
      <c r="J3345" s="87">
        <v>1</v>
      </c>
      <c r="K3345" s="88">
        <f t="shared" si="442"/>
        <v>17561.924754967764</v>
      </c>
    </row>
    <row r="3346" spans="1:11" hidden="1" x14ac:dyDescent="0.25">
      <c r="A3346" t="str">
        <f t="shared" si="446"/>
        <v>POMØ1</v>
      </c>
      <c r="B3346" s="81" t="s">
        <v>201</v>
      </c>
      <c r="D3346" s="86">
        <v>1</v>
      </c>
      <c r="E3346" s="85">
        <f t="shared" si="443"/>
        <v>1E-3</v>
      </c>
      <c r="F3346" s="85">
        <f t="shared" si="444"/>
        <v>5.0000000000000001E-4</v>
      </c>
      <c r="G3346" s="85">
        <f t="shared" si="445"/>
        <v>5.2359877559829886E-10</v>
      </c>
      <c r="H3346" s="85">
        <v>1370</v>
      </c>
      <c r="I3346" s="85">
        <f t="shared" si="441"/>
        <v>7.1733032256966945E-7</v>
      </c>
      <c r="J3346" s="87">
        <v>1</v>
      </c>
      <c r="K3346" s="88">
        <f t="shared" si="442"/>
        <v>1394057.8956954337</v>
      </c>
    </row>
    <row r="3347" spans="1:11" hidden="1" x14ac:dyDescent="0.25">
      <c r="A3347" t="str">
        <f t="shared" si="446"/>
        <v>POMØ1,5</v>
      </c>
      <c r="B3347" s="81" t="s">
        <v>201</v>
      </c>
      <c r="D3347" s="86">
        <v>1.5</v>
      </c>
      <c r="E3347" s="85">
        <f t="shared" si="443"/>
        <v>1.5E-3</v>
      </c>
      <c r="F3347" s="85">
        <f t="shared" si="444"/>
        <v>7.5000000000000002E-4</v>
      </c>
      <c r="G3347" s="85">
        <f t="shared" si="445"/>
        <v>1.7671458676442585E-9</v>
      </c>
      <c r="H3347" s="85">
        <v>1370</v>
      </c>
      <c r="I3347" s="85">
        <f t="shared" si="441"/>
        <v>2.4209898386726343E-6</v>
      </c>
      <c r="J3347" s="87">
        <v>1</v>
      </c>
      <c r="K3347" s="88">
        <f t="shared" si="442"/>
        <v>413054.1913171655</v>
      </c>
    </row>
    <row r="3348" spans="1:11" hidden="1" x14ac:dyDescent="0.25">
      <c r="A3348" t="str">
        <f t="shared" si="446"/>
        <v>POMØ2</v>
      </c>
      <c r="B3348" s="81" t="s">
        <v>201</v>
      </c>
      <c r="D3348" s="86">
        <v>2</v>
      </c>
      <c r="E3348" s="85">
        <f t="shared" si="443"/>
        <v>2E-3</v>
      </c>
      <c r="F3348" s="85">
        <f t="shared" si="444"/>
        <v>1E-3</v>
      </c>
      <c r="G3348" s="85">
        <f t="shared" si="445"/>
        <v>4.1887902047863909E-9</v>
      </c>
      <c r="H3348" s="85">
        <v>1370</v>
      </c>
      <c r="I3348" s="85">
        <f t="shared" si="441"/>
        <v>5.7386425805573556E-6</v>
      </c>
      <c r="J3348" s="87">
        <v>1</v>
      </c>
      <c r="K3348" s="88">
        <f t="shared" si="442"/>
        <v>174257.23696192921</v>
      </c>
    </row>
    <row r="3349" spans="1:11" hidden="1" x14ac:dyDescent="0.25">
      <c r="A3349" t="str">
        <f t="shared" si="446"/>
        <v>NBRØ10</v>
      </c>
      <c r="B3349" s="81" t="s">
        <v>341</v>
      </c>
      <c r="D3349" s="86">
        <v>10</v>
      </c>
      <c r="E3349" s="85">
        <f>D3349/1000</f>
        <v>0.01</v>
      </c>
      <c r="F3349" s="85">
        <f>E3349/2</f>
        <v>5.0000000000000001E-3</v>
      </c>
      <c r="G3349" s="85">
        <f>4/3*PI()*F3349*F3349*F3349</f>
        <v>5.2359877559829882E-7</v>
      </c>
      <c r="H3349" s="85">
        <v>1400</v>
      </c>
      <c r="I3349" s="85">
        <f>H3349*G3349</f>
        <v>7.3303828583761832E-4</v>
      </c>
      <c r="J3349" s="87">
        <v>1</v>
      </c>
      <c r="K3349" s="88">
        <f>J3349/I3349</f>
        <v>1364.1852265019602</v>
      </c>
    </row>
    <row r="3350" spans="1:11" hidden="1" x14ac:dyDescent="0.25">
      <c r="A3350" t="str">
        <f t="shared" si="446"/>
        <v>NBRØ15</v>
      </c>
      <c r="B3350" s="81" t="s">
        <v>341</v>
      </c>
      <c r="D3350" s="86">
        <v>15</v>
      </c>
      <c r="E3350" s="85">
        <f>D3350/1000</f>
        <v>1.4999999999999999E-2</v>
      </c>
      <c r="F3350" s="85">
        <f>E3350/2</f>
        <v>7.4999999999999997E-3</v>
      </c>
      <c r="G3350" s="85">
        <f>4/3*PI()*F3350*F3350*F3350</f>
        <v>1.7671458676442584E-6</v>
      </c>
      <c r="H3350" s="85">
        <v>1400</v>
      </c>
      <c r="I3350" s="85">
        <f>H3350*G3350</f>
        <v>2.4740042147019616E-3</v>
      </c>
      <c r="J3350" s="87">
        <v>1</v>
      </c>
      <c r="K3350" s="88">
        <f>J3350/I3350</f>
        <v>404.20303007465492</v>
      </c>
    </row>
    <row r="3351" spans="1:11" hidden="1" x14ac:dyDescent="0.25">
      <c r="A3351" t="str">
        <f t="shared" si="446"/>
        <v>NBRØ20</v>
      </c>
      <c r="B3351" s="81" t="s">
        <v>341</v>
      </c>
      <c r="D3351" s="86">
        <v>20</v>
      </c>
      <c r="E3351" s="85">
        <f>D3351/1000</f>
        <v>0.02</v>
      </c>
      <c r="F3351" s="85">
        <f>E3351/2</f>
        <v>0.01</v>
      </c>
      <c r="G3351" s="85">
        <f>4/3*PI()*F3351*F3351*F3351</f>
        <v>4.1887902047863905E-6</v>
      </c>
      <c r="H3351" s="85">
        <v>1400</v>
      </c>
      <c r="I3351" s="85">
        <f>H3351*G3351</f>
        <v>5.8643062867009465E-3</v>
      </c>
      <c r="J3351" s="87">
        <v>1</v>
      </c>
      <c r="K3351" s="88">
        <f>J3351/I3351</f>
        <v>170.52315331274502</v>
      </c>
    </row>
    <row r="3352" spans="1:11" hidden="1" x14ac:dyDescent="0.25">
      <c r="A3352" t="str">
        <f t="shared" si="446"/>
        <v>NBRØ15</v>
      </c>
      <c r="B3352" s="81" t="s">
        <v>341</v>
      </c>
      <c r="D3352" s="86">
        <v>15</v>
      </c>
      <c r="E3352" s="85">
        <f>D3352/1000</f>
        <v>1.4999999999999999E-2</v>
      </c>
      <c r="F3352" s="85">
        <f>E3352/2</f>
        <v>7.4999999999999997E-3</v>
      </c>
      <c r="G3352" s="85">
        <f>4/3*PI()*F3352*F3352*F3352</f>
        <v>1.7671458676442584E-6</v>
      </c>
      <c r="H3352" s="85">
        <v>1400</v>
      </c>
      <c r="I3352" s="85">
        <f>H3352*G3352</f>
        <v>2.4740042147019616E-3</v>
      </c>
      <c r="J3352" s="87">
        <v>1</v>
      </c>
      <c r="K3352" s="88">
        <f>J3352/I3352</f>
        <v>404.20303007465492</v>
      </c>
    </row>
    <row r="3353" spans="1:11" hidden="1" x14ac:dyDescent="0.25">
      <c r="A3353" t="str">
        <f t="shared" si="446"/>
        <v>NBRØ30</v>
      </c>
      <c r="B3353" s="81" t="s">
        <v>341</v>
      </c>
      <c r="D3353" s="86">
        <v>30</v>
      </c>
      <c r="E3353" s="85">
        <f>D3353/1000</f>
        <v>0.03</v>
      </c>
      <c r="F3353" s="85">
        <f>E3353/2</f>
        <v>1.4999999999999999E-2</v>
      </c>
      <c r="G3353" s="85">
        <f>4/3*PI()*F3353*F3353*F3353</f>
        <v>1.4137166941154067E-5</v>
      </c>
      <c r="H3353" s="85">
        <v>1400</v>
      </c>
      <c r="I3353" s="85">
        <f>H3353*G3353</f>
        <v>1.9792033717615693E-2</v>
      </c>
      <c r="J3353" s="87">
        <v>1</v>
      </c>
      <c r="K3353" s="88">
        <f>J3353/I3353</f>
        <v>50.525378759331865</v>
      </c>
    </row>
    <row r="3354" spans="1:11" hidden="1" x14ac:dyDescent="0.25">
      <c r="A3354" t="str">
        <f t="shared" si="446"/>
        <v>52100Ø6</v>
      </c>
      <c r="B3354" s="81">
        <v>52100</v>
      </c>
      <c r="D3354" s="86">
        <v>6</v>
      </c>
      <c r="E3354" s="85">
        <f t="shared" ref="E3354" si="447">D3354/1000</f>
        <v>6.0000000000000001E-3</v>
      </c>
      <c r="F3354" s="85">
        <f t="shared" ref="F3354" si="448">E3354/2</f>
        <v>3.0000000000000001E-3</v>
      </c>
      <c r="G3354" s="85">
        <f t="shared" ref="G3354" si="449">4/3*PI()*F3354*F3354*F3354</f>
        <v>1.1309733552923255E-7</v>
      </c>
      <c r="H3354" s="85">
        <v>7800</v>
      </c>
      <c r="I3354" s="85">
        <f t="shared" ref="I3354" si="450">H3354*G3354</f>
        <v>8.821592171280139E-4</v>
      </c>
      <c r="J3354" s="87">
        <v>1</v>
      </c>
      <c r="K3354" s="88">
        <f t="shared" ref="K3354" si="451">J3354/I3354</f>
        <v>1133.5822157542402</v>
      </c>
    </row>
    <row r="3355" spans="1:11" hidden="1" x14ac:dyDescent="0.25">
      <c r="A3355" t="str">
        <f t="shared" si="446"/>
        <v>NBRØ12</v>
      </c>
      <c r="B3355" s="81" t="s">
        <v>341</v>
      </c>
      <c r="D3355" s="86">
        <v>12</v>
      </c>
      <c r="E3355" s="85">
        <f>D3355/1000</f>
        <v>1.2E-2</v>
      </c>
      <c r="F3355" s="85">
        <f>E3355/2</f>
        <v>6.0000000000000001E-3</v>
      </c>
      <c r="G3355" s="85">
        <f>4/3*PI()*F3355*F3355*F3355</f>
        <v>9.0477868423386037E-7</v>
      </c>
      <c r="H3355" s="85">
        <v>1400</v>
      </c>
      <c r="I3355" s="85">
        <f>H3355*G3355</f>
        <v>1.2666901579274044E-3</v>
      </c>
      <c r="J3355" s="87">
        <v>1</v>
      </c>
      <c r="K3355" s="88">
        <f>J3355/I3355</f>
        <v>789.45904311456036</v>
      </c>
    </row>
    <row r="3356" spans="1:11" hidden="1" x14ac:dyDescent="0.25">
      <c r="A3356" t="str">
        <f t="shared" si="446"/>
        <v>420CØ2,758125</v>
      </c>
      <c r="B3356" s="81" t="s">
        <v>295</v>
      </c>
      <c r="C3356" s="101" t="s">
        <v>430</v>
      </c>
      <c r="D3356" s="86">
        <f>7/64*25.4-0.02</f>
        <v>2.7581249999999997</v>
      </c>
      <c r="E3356" s="85">
        <f t="shared" ref="E3356:E3419" si="452">D3356/1000</f>
        <v>2.7581249999999997E-3</v>
      </c>
      <c r="F3356" s="85">
        <f t="shared" ref="F3356:F3419" si="453">E3356/2</f>
        <v>1.3790624999999999E-3</v>
      </c>
      <c r="G3356" s="85">
        <f t="shared" ref="G3356:G3419" si="454">4/3*PI()*F3356*F3356*F3356</f>
        <v>1.0986021805319415E-8</v>
      </c>
      <c r="H3356" s="85">
        <v>7750</v>
      </c>
      <c r="I3356" s="85">
        <f t="shared" ref="I3356:I3419" si="455">H3356*G3356</f>
        <v>8.5141668991225471E-5</v>
      </c>
      <c r="J3356" s="87">
        <v>1</v>
      </c>
      <c r="K3356" s="88">
        <f t="shared" ref="K3356:K3419" si="456">J3356/I3356</f>
        <v>11745.130343910196</v>
      </c>
    </row>
    <row r="3357" spans="1:11" hidden="1" x14ac:dyDescent="0.25">
      <c r="A3357" t="str">
        <f t="shared" si="446"/>
        <v>Vetro NeroØ10</v>
      </c>
      <c r="B3357" s="81" t="s">
        <v>369</v>
      </c>
      <c r="D3357" s="86">
        <v>10</v>
      </c>
      <c r="E3357" s="85">
        <f t="shared" si="452"/>
        <v>0.01</v>
      </c>
      <c r="F3357" s="85">
        <f t="shared" si="453"/>
        <v>5.0000000000000001E-3</v>
      </c>
      <c r="G3357" s="85">
        <f t="shared" si="454"/>
        <v>5.2359877559829882E-7</v>
      </c>
      <c r="H3357" s="85">
        <v>2570</v>
      </c>
      <c r="I3357" s="85">
        <f t="shared" si="455"/>
        <v>1.3456488532876279E-3</v>
      </c>
      <c r="J3357" s="87">
        <v>1</v>
      </c>
      <c r="K3357" s="88">
        <f t="shared" si="456"/>
        <v>743.13592105165151</v>
      </c>
    </row>
    <row r="3358" spans="1:11" hidden="1" x14ac:dyDescent="0.25">
      <c r="A3358" t="str">
        <f t="shared" si="446"/>
        <v>PMMAØ3</v>
      </c>
      <c r="B3358" s="81" t="s">
        <v>299</v>
      </c>
      <c r="D3358" s="86">
        <v>3</v>
      </c>
      <c r="E3358" s="85">
        <f t="shared" si="452"/>
        <v>3.0000000000000001E-3</v>
      </c>
      <c r="F3358" s="85">
        <f t="shared" si="453"/>
        <v>1.5E-3</v>
      </c>
      <c r="G3358" s="85">
        <f t="shared" si="454"/>
        <v>1.4137166941154068E-8</v>
      </c>
      <c r="H3358" s="85">
        <v>1180</v>
      </c>
      <c r="I3358" s="85">
        <f t="shared" si="455"/>
        <v>1.6681856990561799E-5</v>
      </c>
      <c r="J3358" s="87">
        <v>1</v>
      </c>
      <c r="K3358" s="88">
        <f t="shared" si="456"/>
        <v>59945.364629715768</v>
      </c>
    </row>
    <row r="3359" spans="1:11" hidden="1" x14ac:dyDescent="0.25">
      <c r="A3359" t="str">
        <f t="shared" si="446"/>
        <v>PMMAØ4</v>
      </c>
      <c r="B3359" s="81" t="s">
        <v>299</v>
      </c>
      <c r="D3359" s="86">
        <v>4</v>
      </c>
      <c r="E3359" s="85">
        <f t="shared" si="452"/>
        <v>4.0000000000000001E-3</v>
      </c>
      <c r="F3359" s="85">
        <f t="shared" si="453"/>
        <v>2E-3</v>
      </c>
      <c r="G3359" s="85">
        <f t="shared" si="454"/>
        <v>3.3510321638291127E-8</v>
      </c>
      <c r="H3359" s="85">
        <v>1180</v>
      </c>
      <c r="I3359" s="85">
        <f t="shared" si="455"/>
        <v>3.9542179533183528E-5</v>
      </c>
      <c r="J3359" s="87">
        <v>1</v>
      </c>
      <c r="K3359" s="88">
        <f t="shared" si="456"/>
        <v>25289.450703161336</v>
      </c>
    </row>
    <row r="3360" spans="1:11" hidden="1" x14ac:dyDescent="0.25">
      <c r="A3360" t="str">
        <f t="shared" si="446"/>
        <v>PMMAØ5</v>
      </c>
      <c r="B3360" s="81" t="s">
        <v>299</v>
      </c>
      <c r="D3360" s="86">
        <v>5</v>
      </c>
      <c r="E3360" s="85">
        <f t="shared" si="452"/>
        <v>5.0000000000000001E-3</v>
      </c>
      <c r="F3360" s="85">
        <f t="shared" si="453"/>
        <v>2.5000000000000001E-3</v>
      </c>
      <c r="G3360" s="85">
        <f t="shared" si="454"/>
        <v>6.5449846949787352E-8</v>
      </c>
      <c r="H3360" s="85">
        <v>1180</v>
      </c>
      <c r="I3360" s="85">
        <f t="shared" si="455"/>
        <v>7.723081940074908E-5</v>
      </c>
      <c r="J3360" s="87">
        <v>1</v>
      </c>
      <c r="K3360" s="88">
        <f t="shared" si="456"/>
        <v>12948.198760018604</v>
      </c>
    </row>
    <row r="3361" spans="1:11" hidden="1" x14ac:dyDescent="0.25">
      <c r="A3361" t="str">
        <f t="shared" si="446"/>
        <v>POMØ10</v>
      </c>
      <c r="B3361" s="81" t="s">
        <v>201</v>
      </c>
      <c r="D3361" s="86">
        <v>10</v>
      </c>
      <c r="E3361" s="85">
        <f t="shared" si="452"/>
        <v>0.01</v>
      </c>
      <c r="F3361" s="85">
        <f t="shared" si="453"/>
        <v>5.0000000000000001E-3</v>
      </c>
      <c r="G3361" s="85">
        <f t="shared" si="454"/>
        <v>5.2359877559829882E-7</v>
      </c>
      <c r="H3361" s="85">
        <v>1370</v>
      </c>
      <c r="I3361" s="85">
        <f t="shared" si="455"/>
        <v>7.173303225696694E-4</v>
      </c>
      <c r="J3361" s="87">
        <v>1</v>
      </c>
      <c r="K3361" s="88">
        <f t="shared" si="456"/>
        <v>1394.0578956954337</v>
      </c>
    </row>
    <row r="3362" spans="1:11" hidden="1" x14ac:dyDescent="0.25">
      <c r="A3362" t="str">
        <f t="shared" si="446"/>
        <v>POMØ15</v>
      </c>
      <c r="B3362" s="81" t="s">
        <v>201</v>
      </c>
      <c r="D3362" s="86">
        <v>15</v>
      </c>
      <c r="E3362" s="85">
        <f t="shared" si="452"/>
        <v>1.4999999999999999E-2</v>
      </c>
      <c r="F3362" s="85">
        <f t="shared" si="453"/>
        <v>7.4999999999999997E-3</v>
      </c>
      <c r="G3362" s="85">
        <f t="shared" si="454"/>
        <v>1.7671458676442584E-6</v>
      </c>
      <c r="H3362" s="85">
        <v>1370</v>
      </c>
      <c r="I3362" s="85">
        <f t="shared" si="455"/>
        <v>2.4209898386726341E-3</v>
      </c>
      <c r="J3362" s="87">
        <v>1</v>
      </c>
      <c r="K3362" s="88">
        <f t="shared" si="456"/>
        <v>413.05419131716559</v>
      </c>
    </row>
    <row r="3363" spans="1:11" hidden="1" x14ac:dyDescent="0.25">
      <c r="A3363" t="str">
        <f t="shared" si="446"/>
        <v>POMØ25</v>
      </c>
      <c r="B3363" s="81" t="s">
        <v>201</v>
      </c>
      <c r="D3363" s="86">
        <v>25</v>
      </c>
      <c r="E3363" s="85">
        <f t="shared" si="452"/>
        <v>2.5000000000000001E-2</v>
      </c>
      <c r="F3363" s="85">
        <f t="shared" si="453"/>
        <v>1.2500000000000001E-2</v>
      </c>
      <c r="G3363" s="85">
        <f t="shared" si="454"/>
        <v>8.1812308687234206E-6</v>
      </c>
      <c r="H3363" s="85">
        <v>1370</v>
      </c>
      <c r="I3363" s="85">
        <f t="shared" si="455"/>
        <v>1.1208286290151087E-2</v>
      </c>
      <c r="J3363" s="87">
        <v>1</v>
      </c>
      <c r="K3363" s="88">
        <f t="shared" si="456"/>
        <v>89.219705324507743</v>
      </c>
    </row>
    <row r="3364" spans="1:11" hidden="1" x14ac:dyDescent="0.25">
      <c r="A3364" t="str">
        <f t="shared" si="446"/>
        <v>PPHØ9,525</v>
      </c>
      <c r="B3364" s="81" t="s">
        <v>202</v>
      </c>
      <c r="C3364" s="101" t="s">
        <v>254</v>
      </c>
      <c r="D3364" s="86">
        <f>3/8*25.4</f>
        <v>9.5249999999999986</v>
      </c>
      <c r="E3364" s="85">
        <f t="shared" si="452"/>
        <v>9.5249999999999987E-3</v>
      </c>
      <c r="F3364" s="85">
        <f t="shared" si="453"/>
        <v>4.7624999999999994E-3</v>
      </c>
      <c r="G3364" s="85">
        <f t="shared" si="454"/>
        <v>4.5247394422534347E-7</v>
      </c>
      <c r="H3364" s="85">
        <v>870</v>
      </c>
      <c r="I3364" s="85">
        <f t="shared" si="455"/>
        <v>3.9365233147604884E-4</v>
      </c>
      <c r="J3364" s="87">
        <v>1</v>
      </c>
      <c r="K3364" s="88">
        <f t="shared" si="456"/>
        <v>2540.3126567303043</v>
      </c>
    </row>
    <row r="3365" spans="1:11" hidden="1" x14ac:dyDescent="0.25">
      <c r="A3365" t="str">
        <f t="shared" si="446"/>
        <v>420CØ10</v>
      </c>
      <c r="B3365" s="81" t="s">
        <v>295</v>
      </c>
      <c r="D3365" s="86">
        <v>10</v>
      </c>
      <c r="E3365" s="85">
        <f t="shared" si="452"/>
        <v>0.01</v>
      </c>
      <c r="F3365" s="85">
        <f t="shared" si="453"/>
        <v>5.0000000000000001E-3</v>
      </c>
      <c r="G3365" s="85">
        <f t="shared" si="454"/>
        <v>5.2359877559829882E-7</v>
      </c>
      <c r="H3365" s="85">
        <v>7750</v>
      </c>
      <c r="I3365" s="85">
        <f t="shared" si="455"/>
        <v>4.0578905108868161E-3</v>
      </c>
      <c r="J3365" s="87">
        <v>1</v>
      </c>
      <c r="K3365" s="88">
        <f t="shared" si="456"/>
        <v>246.43346027132182</v>
      </c>
    </row>
    <row r="3366" spans="1:11" hidden="1" x14ac:dyDescent="0.25">
      <c r="A3366" t="str">
        <f t="shared" si="446"/>
        <v>Al2O3Ø9,09</v>
      </c>
      <c r="B3366" s="81" t="s">
        <v>217</v>
      </c>
      <c r="D3366" s="86">
        <v>9.09</v>
      </c>
      <c r="E3366" s="85">
        <f t="shared" si="452"/>
        <v>9.0899999999999991E-3</v>
      </c>
      <c r="F3366" s="85">
        <f t="shared" si="453"/>
        <v>4.5449999999999996E-3</v>
      </c>
      <c r="G3366" s="85">
        <f t="shared" si="454"/>
        <v>3.9326950538922522E-7</v>
      </c>
      <c r="H3366" s="85">
        <v>3900</v>
      </c>
      <c r="I3366" s="85">
        <f t="shared" si="455"/>
        <v>1.5337510710179785E-3</v>
      </c>
      <c r="J3366" s="87">
        <v>1</v>
      </c>
      <c r="K3366" s="88">
        <f t="shared" si="456"/>
        <v>651.99628472714403</v>
      </c>
    </row>
    <row r="3367" spans="1:11" hidden="1" x14ac:dyDescent="0.25">
      <c r="A3367" t="str">
        <f t="shared" si="446"/>
        <v>Al2O3Ø8</v>
      </c>
      <c r="B3367" s="81" t="s">
        <v>217</v>
      </c>
      <c r="D3367" s="86">
        <v>8</v>
      </c>
      <c r="E3367" s="85">
        <f t="shared" si="452"/>
        <v>8.0000000000000002E-3</v>
      </c>
      <c r="F3367" s="85">
        <f t="shared" si="453"/>
        <v>4.0000000000000001E-3</v>
      </c>
      <c r="G3367" s="85">
        <f t="shared" si="454"/>
        <v>2.6808257310632902E-7</v>
      </c>
      <c r="H3367" s="85">
        <v>3900</v>
      </c>
      <c r="I3367" s="85">
        <f t="shared" si="455"/>
        <v>1.0455220351146832E-3</v>
      </c>
      <c r="J3367" s="87">
        <v>1</v>
      </c>
      <c r="K3367" s="88">
        <f t="shared" si="456"/>
        <v>956.45999454264029</v>
      </c>
    </row>
    <row r="3368" spans="1:11" hidden="1" x14ac:dyDescent="0.25">
      <c r="A3368" t="str">
        <f t="shared" si="446"/>
        <v>PMMAØ1</v>
      </c>
      <c r="B3368" s="81" t="s">
        <v>299</v>
      </c>
      <c r="D3368" s="86">
        <v>1</v>
      </c>
      <c r="E3368" s="85">
        <f t="shared" si="452"/>
        <v>1E-3</v>
      </c>
      <c r="F3368" s="85">
        <f t="shared" si="453"/>
        <v>5.0000000000000001E-4</v>
      </c>
      <c r="G3368" s="85">
        <f t="shared" si="454"/>
        <v>5.2359877559829886E-10</v>
      </c>
      <c r="H3368" s="85">
        <v>1180</v>
      </c>
      <c r="I3368" s="85">
        <f t="shared" si="455"/>
        <v>6.1784655520599263E-7</v>
      </c>
      <c r="J3368" s="87">
        <v>1</v>
      </c>
      <c r="K3368" s="88">
        <f t="shared" si="456"/>
        <v>1618524.8450023255</v>
      </c>
    </row>
    <row r="3369" spans="1:11" hidden="1" x14ac:dyDescent="0.25">
      <c r="A3369" t="str">
        <f t="shared" si="446"/>
        <v>PMMAØ2</v>
      </c>
      <c r="B3369" s="81" t="s">
        <v>299</v>
      </c>
      <c r="D3369" s="86">
        <v>2</v>
      </c>
      <c r="E3369" s="85">
        <f t="shared" si="452"/>
        <v>2E-3</v>
      </c>
      <c r="F3369" s="85">
        <f t="shared" si="453"/>
        <v>1E-3</v>
      </c>
      <c r="G3369" s="85">
        <f t="shared" si="454"/>
        <v>4.1887902047863909E-9</v>
      </c>
      <c r="H3369" s="85">
        <v>1180</v>
      </c>
      <c r="I3369" s="85">
        <f t="shared" si="455"/>
        <v>4.942772441647941E-6</v>
      </c>
      <c r="J3369" s="87">
        <v>1</v>
      </c>
      <c r="K3369" s="88">
        <f t="shared" si="456"/>
        <v>202315.60562529069</v>
      </c>
    </row>
    <row r="3370" spans="1:11" hidden="1" x14ac:dyDescent="0.25">
      <c r="A3370" t="str">
        <f t="shared" si="446"/>
        <v>52100Ø27,78125</v>
      </c>
      <c r="B3370" s="81">
        <v>52100</v>
      </c>
      <c r="C3370" s="101" t="s">
        <v>420</v>
      </c>
      <c r="D3370" s="86">
        <f>25.4+3/32*25.4</f>
        <v>27.78125</v>
      </c>
      <c r="E3370" s="85">
        <f t="shared" si="452"/>
        <v>2.778125E-2</v>
      </c>
      <c r="F3370" s="85">
        <f t="shared" si="453"/>
        <v>1.3890625E-2</v>
      </c>
      <c r="G3370" s="85">
        <f t="shared" si="454"/>
        <v>1.1226747892743987E-5</v>
      </c>
      <c r="H3370" s="85">
        <v>7800</v>
      </c>
      <c r="I3370" s="85">
        <f t="shared" si="455"/>
        <v>8.7568633563403095E-2</v>
      </c>
      <c r="J3370" s="87">
        <v>1</v>
      </c>
      <c r="K3370" s="88">
        <f t="shared" si="456"/>
        <v>11.419614070784387</v>
      </c>
    </row>
    <row r="3371" spans="1:11" hidden="1" x14ac:dyDescent="0.25">
      <c r="A3371" t="str">
        <f t="shared" si="446"/>
        <v>POMØ2</v>
      </c>
      <c r="B3371" s="81" t="s">
        <v>201</v>
      </c>
      <c r="D3371" s="86">
        <v>2</v>
      </c>
      <c r="E3371" s="85">
        <f t="shared" si="452"/>
        <v>2E-3</v>
      </c>
      <c r="F3371" s="85">
        <f t="shared" si="453"/>
        <v>1E-3</v>
      </c>
      <c r="G3371" s="85">
        <f t="shared" si="454"/>
        <v>4.1887902047863909E-9</v>
      </c>
      <c r="H3371" s="85">
        <v>1370</v>
      </c>
      <c r="I3371" s="85">
        <f t="shared" si="455"/>
        <v>5.7386425805573556E-6</v>
      </c>
      <c r="J3371" s="87">
        <v>1</v>
      </c>
      <c r="K3371" s="88">
        <f t="shared" si="456"/>
        <v>174257.23696192921</v>
      </c>
    </row>
    <row r="3372" spans="1:11" hidden="1" x14ac:dyDescent="0.25">
      <c r="A3372" t="str">
        <f t="shared" si="446"/>
        <v>PPHØ25</v>
      </c>
      <c r="B3372" s="81" t="s">
        <v>202</v>
      </c>
      <c r="D3372" s="86">
        <v>25</v>
      </c>
      <c r="E3372" s="85">
        <f t="shared" si="452"/>
        <v>2.5000000000000001E-2</v>
      </c>
      <c r="F3372" s="85">
        <f t="shared" si="453"/>
        <v>1.2500000000000001E-2</v>
      </c>
      <c r="G3372" s="85">
        <f t="shared" si="454"/>
        <v>8.1812308687234206E-6</v>
      </c>
      <c r="H3372" s="85">
        <v>870</v>
      </c>
      <c r="I3372" s="85">
        <f t="shared" si="455"/>
        <v>7.1176708557893755E-3</v>
      </c>
      <c r="J3372" s="87">
        <v>1</v>
      </c>
      <c r="K3372" s="88">
        <f t="shared" si="456"/>
        <v>140.49539803974207</v>
      </c>
    </row>
    <row r="3373" spans="1:11" hidden="1" x14ac:dyDescent="0.25">
      <c r="A3373" t="str">
        <f t="shared" si="446"/>
        <v>VESCØ5</v>
      </c>
      <c r="B3373" s="81" t="s">
        <v>210</v>
      </c>
      <c r="D3373" s="86">
        <v>5</v>
      </c>
      <c r="E3373" s="85">
        <f t="shared" si="452"/>
        <v>5.0000000000000001E-3</v>
      </c>
      <c r="F3373" s="85">
        <f t="shared" si="453"/>
        <v>2.5000000000000001E-3</v>
      </c>
      <c r="G3373" s="85">
        <f t="shared" si="454"/>
        <v>6.5449846949787352E-8</v>
      </c>
      <c r="H3373" s="85">
        <v>2500</v>
      </c>
      <c r="I3373" s="85">
        <f t="shared" si="455"/>
        <v>1.6362461737446838E-4</v>
      </c>
      <c r="J3373" s="87">
        <v>1</v>
      </c>
      <c r="K3373" s="88">
        <f t="shared" si="456"/>
        <v>6111.5498147287817</v>
      </c>
    </row>
    <row r="3374" spans="1:11" hidden="1" x14ac:dyDescent="0.25">
      <c r="A3374" t="str">
        <f t="shared" si="446"/>
        <v>POMØ2</v>
      </c>
      <c r="B3374" s="81" t="s">
        <v>201</v>
      </c>
      <c r="D3374" s="86">
        <v>2</v>
      </c>
      <c r="E3374" s="85">
        <f t="shared" si="452"/>
        <v>2E-3</v>
      </c>
      <c r="F3374" s="85">
        <f t="shared" si="453"/>
        <v>1E-3</v>
      </c>
      <c r="G3374" s="85">
        <f t="shared" si="454"/>
        <v>4.1887902047863909E-9</v>
      </c>
      <c r="H3374" s="85">
        <v>1370</v>
      </c>
      <c r="I3374" s="85">
        <f t="shared" si="455"/>
        <v>5.7386425805573556E-6</v>
      </c>
      <c r="J3374" s="87">
        <v>1</v>
      </c>
      <c r="K3374" s="88">
        <f t="shared" si="456"/>
        <v>174257.23696192921</v>
      </c>
    </row>
    <row r="3375" spans="1:11" hidden="1" x14ac:dyDescent="0.25">
      <c r="A3375" t="str">
        <f t="shared" si="446"/>
        <v>PEEKØ2</v>
      </c>
      <c r="B3375" s="81" t="s">
        <v>416</v>
      </c>
      <c r="D3375" s="86">
        <v>2</v>
      </c>
      <c r="E3375" s="85">
        <f t="shared" si="452"/>
        <v>2E-3</v>
      </c>
      <c r="F3375" s="85">
        <f t="shared" si="453"/>
        <v>1E-3</v>
      </c>
      <c r="G3375" s="85">
        <f t="shared" si="454"/>
        <v>4.1887902047863909E-9</v>
      </c>
      <c r="H3375" s="85">
        <v>1290</v>
      </c>
      <c r="I3375" s="85">
        <f t="shared" si="455"/>
        <v>5.403539364174444E-6</v>
      </c>
      <c r="J3375" s="87">
        <v>1</v>
      </c>
      <c r="K3375" s="88">
        <f t="shared" si="456"/>
        <v>185063.88731615737</v>
      </c>
    </row>
    <row r="3376" spans="1:11" hidden="1" x14ac:dyDescent="0.25">
      <c r="A3376" t="str">
        <f t="shared" si="446"/>
        <v>52100Ø5,159</v>
      </c>
      <c r="B3376" s="81">
        <v>52100</v>
      </c>
      <c r="D3376" s="86">
        <v>5.1589999999999998</v>
      </c>
      <c r="E3376" s="85">
        <f t="shared" si="452"/>
        <v>5.1589999999999995E-3</v>
      </c>
      <c r="F3376" s="85">
        <f t="shared" si="453"/>
        <v>2.5794999999999998E-3</v>
      </c>
      <c r="G3376" s="85">
        <f t="shared" si="454"/>
        <v>7.1894423557488255E-8</v>
      </c>
      <c r="H3376" s="85">
        <v>7800</v>
      </c>
      <c r="I3376" s="85">
        <f t="shared" si="455"/>
        <v>5.6077650374840836E-4</v>
      </c>
      <c r="J3376" s="87">
        <v>1</v>
      </c>
      <c r="K3376" s="88">
        <f t="shared" si="456"/>
        <v>1783.2416182127499</v>
      </c>
    </row>
    <row r="3377" spans="1:11" x14ac:dyDescent="0.25">
      <c r="A3377" t="str">
        <f t="shared" si="446"/>
        <v>1085Ø3,8</v>
      </c>
      <c r="B3377" s="81">
        <v>1085</v>
      </c>
      <c r="D3377" s="86">
        <v>3.8</v>
      </c>
      <c r="E3377" s="85">
        <f t="shared" si="452"/>
        <v>3.8E-3</v>
      </c>
      <c r="F3377" s="85">
        <f t="shared" si="453"/>
        <v>1.9E-3</v>
      </c>
      <c r="G3377" s="85">
        <f t="shared" si="454"/>
        <v>2.8730912014629853E-8</v>
      </c>
      <c r="H3377" s="85">
        <v>7850</v>
      </c>
      <c r="I3377" s="85">
        <f t="shared" si="455"/>
        <v>2.2553765931484436E-4</v>
      </c>
      <c r="J3377" s="87">
        <v>1</v>
      </c>
      <c r="K3377" s="88">
        <f t="shared" si="456"/>
        <v>4433.8493315833675</v>
      </c>
    </row>
    <row r="3378" spans="1:11" hidden="1" x14ac:dyDescent="0.25">
      <c r="A3378" t="str">
        <f t="shared" si="446"/>
        <v>PA6.6Ø2</v>
      </c>
      <c r="B3378" s="81" t="s">
        <v>244</v>
      </c>
      <c r="D3378" s="86">
        <v>2</v>
      </c>
      <c r="E3378" s="85">
        <f t="shared" si="452"/>
        <v>2E-3</v>
      </c>
      <c r="F3378" s="85">
        <f t="shared" si="453"/>
        <v>1E-3</v>
      </c>
      <c r="G3378" s="85">
        <f t="shared" si="454"/>
        <v>4.1887902047863909E-9</v>
      </c>
      <c r="H3378" s="85">
        <v>1110</v>
      </c>
      <c r="I3378" s="85">
        <f t="shared" si="455"/>
        <v>4.6495571273128935E-6</v>
      </c>
      <c r="J3378" s="87">
        <v>1</v>
      </c>
      <c r="K3378" s="88">
        <f t="shared" si="456"/>
        <v>215074.24742148022</v>
      </c>
    </row>
    <row r="3379" spans="1:11" hidden="1" x14ac:dyDescent="0.25">
      <c r="A3379" t="str">
        <f t="shared" si="446"/>
        <v>PA6.6Ø4</v>
      </c>
      <c r="B3379" s="81" t="s">
        <v>244</v>
      </c>
      <c r="D3379" s="86">
        <v>4</v>
      </c>
      <c r="E3379" s="85">
        <f t="shared" si="452"/>
        <v>4.0000000000000001E-3</v>
      </c>
      <c r="F3379" s="85">
        <f t="shared" si="453"/>
        <v>2E-3</v>
      </c>
      <c r="G3379" s="85">
        <f t="shared" si="454"/>
        <v>3.3510321638291127E-8</v>
      </c>
      <c r="H3379" s="85">
        <v>1110</v>
      </c>
      <c r="I3379" s="85">
        <f t="shared" si="455"/>
        <v>3.7196457018503148E-5</v>
      </c>
      <c r="J3379" s="87">
        <v>1</v>
      </c>
      <c r="K3379" s="88">
        <f t="shared" si="456"/>
        <v>26884.280927685028</v>
      </c>
    </row>
    <row r="3380" spans="1:11" hidden="1" x14ac:dyDescent="0.25">
      <c r="A3380" t="str">
        <f t="shared" si="446"/>
        <v>WC-CoØ1,5</v>
      </c>
      <c r="B3380" s="81" t="s">
        <v>297</v>
      </c>
      <c r="D3380" s="86">
        <v>1.5</v>
      </c>
      <c r="E3380" s="85">
        <f t="shared" si="452"/>
        <v>1.5E-3</v>
      </c>
      <c r="F3380" s="85">
        <f t="shared" si="453"/>
        <v>7.5000000000000002E-4</v>
      </c>
      <c r="G3380" s="85">
        <f t="shared" si="454"/>
        <v>1.7671458676442585E-9</v>
      </c>
      <c r="H3380" s="85">
        <v>14950</v>
      </c>
      <c r="I3380" s="85">
        <f t="shared" si="455"/>
        <v>2.6418830721281664E-5</v>
      </c>
      <c r="J3380" s="87">
        <v>1</v>
      </c>
      <c r="K3380" s="88">
        <f t="shared" si="456"/>
        <v>37851.788769532897</v>
      </c>
    </row>
    <row r="3381" spans="1:11" hidden="1" x14ac:dyDescent="0.25">
      <c r="A3381" t="str">
        <f t="shared" si="446"/>
        <v>Al2O3Ø13</v>
      </c>
      <c r="B3381" s="81" t="s">
        <v>217</v>
      </c>
      <c r="D3381" s="86">
        <v>13</v>
      </c>
      <c r="E3381" s="85">
        <f t="shared" si="452"/>
        <v>1.2999999999999999E-2</v>
      </c>
      <c r="F3381" s="85">
        <f t="shared" si="453"/>
        <v>6.4999999999999997E-3</v>
      </c>
      <c r="G3381" s="85">
        <f t="shared" si="454"/>
        <v>1.1503465099894625E-6</v>
      </c>
      <c r="H3381" s="85">
        <v>3600</v>
      </c>
      <c r="I3381" s="85">
        <f t="shared" si="455"/>
        <v>4.1412474359620649E-3</v>
      </c>
      <c r="J3381" s="87">
        <v>1</v>
      </c>
      <c r="K3381" s="88">
        <f t="shared" si="456"/>
        <v>241.47313471687963</v>
      </c>
    </row>
    <row r="3382" spans="1:11" hidden="1" x14ac:dyDescent="0.25">
      <c r="A3382" t="str">
        <f t="shared" si="446"/>
        <v>Al2O3Ø8</v>
      </c>
      <c r="B3382" s="81" t="s">
        <v>217</v>
      </c>
      <c r="D3382" s="86">
        <v>8</v>
      </c>
      <c r="E3382" s="85">
        <f t="shared" si="452"/>
        <v>8.0000000000000002E-3</v>
      </c>
      <c r="F3382" s="85">
        <f t="shared" si="453"/>
        <v>4.0000000000000001E-3</v>
      </c>
      <c r="G3382" s="85">
        <f t="shared" si="454"/>
        <v>2.6808257310632902E-7</v>
      </c>
      <c r="H3382" s="85">
        <v>3600</v>
      </c>
      <c r="I3382" s="85">
        <f t="shared" si="455"/>
        <v>9.6509726318278442E-4</v>
      </c>
      <c r="J3382" s="87">
        <v>1</v>
      </c>
      <c r="K3382" s="88">
        <f t="shared" si="456"/>
        <v>1036.1649940878604</v>
      </c>
    </row>
    <row r="3383" spans="1:11" hidden="1" x14ac:dyDescent="0.25">
      <c r="A3383" t="str">
        <f t="shared" si="446"/>
        <v>WC-CoØ1,5</v>
      </c>
      <c r="B3383" s="81" t="s">
        <v>297</v>
      </c>
      <c r="D3383" s="86">
        <v>1.5</v>
      </c>
      <c r="E3383" s="85">
        <f t="shared" si="452"/>
        <v>1.5E-3</v>
      </c>
      <c r="F3383" s="85">
        <f t="shared" si="453"/>
        <v>7.5000000000000002E-4</v>
      </c>
      <c r="G3383" s="85">
        <f t="shared" si="454"/>
        <v>1.7671458676442585E-9</v>
      </c>
      <c r="H3383" s="88">
        <v>14261.343019033024</v>
      </c>
      <c r="I3383" s="85">
        <f t="shared" si="455"/>
        <v>2.5201873383141503E-5</v>
      </c>
      <c r="J3383" s="87">
        <v>1</v>
      </c>
      <c r="K3383" s="88">
        <f t="shared" si="456"/>
        <v>39679.589877986538</v>
      </c>
    </row>
    <row r="3384" spans="1:11" hidden="1" x14ac:dyDescent="0.25">
      <c r="A3384" t="str">
        <f t="shared" si="446"/>
        <v>Al2O3Ø1,5</v>
      </c>
      <c r="B3384" s="81" t="s">
        <v>217</v>
      </c>
      <c r="D3384" s="86">
        <v>1.5</v>
      </c>
      <c r="E3384" s="85">
        <f t="shared" si="452"/>
        <v>1.5E-3</v>
      </c>
      <c r="F3384" s="85">
        <f t="shared" si="453"/>
        <v>7.5000000000000002E-4</v>
      </c>
      <c r="G3384" s="85">
        <f t="shared" si="454"/>
        <v>1.7671458676442585E-9</v>
      </c>
      <c r="H3384" s="85">
        <v>3940</v>
      </c>
      <c r="I3384" s="85">
        <f t="shared" si="455"/>
        <v>6.9625547185183786E-6</v>
      </c>
      <c r="J3384" s="87">
        <v>1</v>
      </c>
      <c r="K3384" s="88">
        <f t="shared" si="456"/>
        <v>143625.4421585068</v>
      </c>
    </row>
    <row r="3385" spans="1:11" x14ac:dyDescent="0.25">
      <c r="A3385" t="str">
        <f t="shared" si="446"/>
        <v>1085Ø3,8</v>
      </c>
      <c r="B3385" s="81">
        <v>1085</v>
      </c>
      <c r="D3385" s="86">
        <v>3.8</v>
      </c>
      <c r="E3385" s="85">
        <f t="shared" si="452"/>
        <v>3.8E-3</v>
      </c>
      <c r="F3385" s="85">
        <f t="shared" si="453"/>
        <v>1.9E-3</v>
      </c>
      <c r="G3385" s="85">
        <f t="shared" si="454"/>
        <v>2.8730912014629853E-8</v>
      </c>
      <c r="H3385" s="85">
        <v>7850</v>
      </c>
      <c r="I3385" s="85">
        <f t="shared" si="455"/>
        <v>2.2553765931484436E-4</v>
      </c>
      <c r="J3385" s="87">
        <v>1</v>
      </c>
      <c r="K3385" s="88">
        <f t="shared" si="456"/>
        <v>4433.8493315833675</v>
      </c>
    </row>
    <row r="3386" spans="1:11" hidden="1" x14ac:dyDescent="0.25">
      <c r="A3386" t="str">
        <f t="shared" si="446"/>
        <v>1010Ø7,9375</v>
      </c>
      <c r="B3386" s="81">
        <v>1010</v>
      </c>
      <c r="C3386" s="101" t="s">
        <v>252</v>
      </c>
      <c r="D3386" s="86">
        <f>5/16*25.4</f>
        <v>7.9375</v>
      </c>
      <c r="E3386" s="85">
        <f t="shared" si="452"/>
        <v>7.9375000000000001E-3</v>
      </c>
      <c r="F3386" s="85">
        <f t="shared" si="453"/>
        <v>3.9687500000000001E-3</v>
      </c>
      <c r="G3386" s="85">
        <f t="shared" si="454"/>
        <v>2.6184834735262947E-7</v>
      </c>
      <c r="H3386" s="85">
        <v>7820</v>
      </c>
      <c r="I3386" s="85">
        <f t="shared" si="455"/>
        <v>2.0476540762975623E-3</v>
      </c>
      <c r="J3386" s="87">
        <v>1</v>
      </c>
      <c r="K3386" s="88">
        <f t="shared" si="456"/>
        <v>488.36373857059698</v>
      </c>
    </row>
    <row r="3387" spans="1:11" hidden="1" x14ac:dyDescent="0.25">
      <c r="A3387" t="str">
        <f t="shared" si="446"/>
        <v>420CØ4,7625</v>
      </c>
      <c r="B3387" s="81" t="s">
        <v>295</v>
      </c>
      <c r="C3387" s="101" t="s">
        <v>248</v>
      </c>
      <c r="D3387" s="86">
        <f>3/16*25.4</f>
        <v>4.7624999999999993</v>
      </c>
      <c r="E3387" s="85">
        <f t="shared" si="452"/>
        <v>4.7624999999999994E-3</v>
      </c>
      <c r="F3387" s="85">
        <f t="shared" si="453"/>
        <v>2.3812499999999997E-3</v>
      </c>
      <c r="G3387" s="85">
        <f t="shared" si="454"/>
        <v>5.6559243028167934E-8</v>
      </c>
      <c r="H3387" s="85">
        <v>7750</v>
      </c>
      <c r="I3387" s="85">
        <f t="shared" si="455"/>
        <v>4.3833413346830148E-4</v>
      </c>
      <c r="J3387" s="87">
        <v>1</v>
      </c>
      <c r="K3387" s="88">
        <f t="shared" si="456"/>
        <v>2281.3646568829572</v>
      </c>
    </row>
    <row r="3388" spans="1:11" hidden="1" x14ac:dyDescent="0.25">
      <c r="A3388" t="str">
        <f t="shared" si="446"/>
        <v>304Ø6</v>
      </c>
      <c r="B3388" s="81">
        <v>304</v>
      </c>
      <c r="D3388" s="86">
        <v>6</v>
      </c>
      <c r="E3388" s="85">
        <f t="shared" si="452"/>
        <v>6.0000000000000001E-3</v>
      </c>
      <c r="F3388" s="85">
        <f t="shared" si="453"/>
        <v>3.0000000000000001E-3</v>
      </c>
      <c r="G3388" s="85">
        <f t="shared" si="454"/>
        <v>1.1309733552923255E-7</v>
      </c>
      <c r="H3388" s="85">
        <v>7950</v>
      </c>
      <c r="I3388" s="85">
        <f t="shared" si="455"/>
        <v>8.9912381745739869E-4</v>
      </c>
      <c r="J3388" s="87">
        <v>1</v>
      </c>
      <c r="K3388" s="88">
        <f t="shared" si="456"/>
        <v>1112.1938720607643</v>
      </c>
    </row>
    <row r="3389" spans="1:11" hidden="1" x14ac:dyDescent="0.25">
      <c r="A3389" t="str">
        <f t="shared" si="446"/>
        <v>WNiFeØ3</v>
      </c>
      <c r="B3389" s="81" t="s">
        <v>431</v>
      </c>
      <c r="D3389" s="86">
        <v>3</v>
      </c>
      <c r="E3389" s="85">
        <f t="shared" si="452"/>
        <v>3.0000000000000001E-3</v>
      </c>
      <c r="F3389" s="85">
        <f t="shared" si="453"/>
        <v>1.5E-3</v>
      </c>
      <c r="G3389" s="85">
        <f t="shared" si="454"/>
        <v>1.4137166941154068E-8</v>
      </c>
      <c r="H3389" s="85">
        <v>17700</v>
      </c>
      <c r="I3389" s="85">
        <f t="shared" si="455"/>
        <v>2.5022785485842699E-4</v>
      </c>
      <c r="J3389" s="87">
        <v>1</v>
      </c>
      <c r="K3389" s="88">
        <f t="shared" si="456"/>
        <v>3996.3576419810511</v>
      </c>
    </row>
    <row r="3390" spans="1:11" hidden="1" x14ac:dyDescent="0.25">
      <c r="A3390" t="str">
        <f t="shared" si="446"/>
        <v>POMØ2</v>
      </c>
      <c r="B3390" s="81" t="s">
        <v>201</v>
      </c>
      <c r="D3390" s="86">
        <v>2</v>
      </c>
      <c r="E3390" s="85">
        <f t="shared" si="452"/>
        <v>2E-3</v>
      </c>
      <c r="F3390" s="85">
        <f t="shared" si="453"/>
        <v>1E-3</v>
      </c>
      <c r="G3390" s="85">
        <f t="shared" si="454"/>
        <v>4.1887902047863909E-9</v>
      </c>
      <c r="H3390" s="85">
        <v>1380</v>
      </c>
      <c r="I3390" s="85">
        <f t="shared" si="455"/>
        <v>5.7805304826052197E-6</v>
      </c>
      <c r="J3390" s="87">
        <v>1</v>
      </c>
      <c r="K3390" s="88">
        <f t="shared" si="456"/>
        <v>172994.5033607558</v>
      </c>
    </row>
    <row r="3391" spans="1:11" hidden="1" x14ac:dyDescent="0.25">
      <c r="A3391" t="str">
        <f t="shared" si="446"/>
        <v>Si3N4Ø1,4</v>
      </c>
      <c r="B3391" s="81" t="s">
        <v>207</v>
      </c>
      <c r="D3391" s="86">
        <v>1.4</v>
      </c>
      <c r="E3391" s="85">
        <f t="shared" si="452"/>
        <v>1.4E-3</v>
      </c>
      <c r="F3391" s="85">
        <f t="shared" si="453"/>
        <v>6.9999999999999999E-4</v>
      </c>
      <c r="G3391" s="85">
        <f t="shared" si="454"/>
        <v>1.4367550402417319E-9</v>
      </c>
      <c r="H3391" s="85">
        <v>3260</v>
      </c>
      <c r="I3391" s="85">
        <f t="shared" si="455"/>
        <v>4.6838214311880458E-6</v>
      </c>
      <c r="J3391" s="87">
        <v>1</v>
      </c>
      <c r="K3391" s="88">
        <f t="shared" si="456"/>
        <v>213500.88057186056</v>
      </c>
    </row>
    <row r="3392" spans="1:11" hidden="1" x14ac:dyDescent="0.25">
      <c r="A3392" t="str">
        <f t="shared" si="446"/>
        <v>SiliconeØ4</v>
      </c>
      <c r="B3392" s="81" t="s">
        <v>315</v>
      </c>
      <c r="D3392" s="86">
        <v>4</v>
      </c>
      <c r="E3392" s="85">
        <f t="shared" si="452"/>
        <v>4.0000000000000001E-3</v>
      </c>
      <c r="F3392" s="85">
        <f t="shared" si="453"/>
        <v>2E-3</v>
      </c>
      <c r="G3392" s="85">
        <f t="shared" si="454"/>
        <v>3.3510321638291127E-8</v>
      </c>
      <c r="H3392" s="88">
        <v>1200</v>
      </c>
      <c r="I3392" s="85">
        <f t="shared" si="455"/>
        <v>4.0212385965949353E-5</v>
      </c>
      <c r="J3392" s="87">
        <v>1</v>
      </c>
      <c r="K3392" s="88">
        <f t="shared" si="456"/>
        <v>24867.959858108647</v>
      </c>
    </row>
    <row r="3393" spans="1:11" hidden="1" x14ac:dyDescent="0.25">
      <c r="A3393" t="str">
        <f t="shared" si="446"/>
        <v>PMMAØ5</v>
      </c>
      <c r="B3393" s="81" t="s">
        <v>299</v>
      </c>
      <c r="D3393" s="86">
        <v>5</v>
      </c>
      <c r="E3393" s="85">
        <f t="shared" si="452"/>
        <v>5.0000000000000001E-3</v>
      </c>
      <c r="F3393" s="85">
        <f t="shared" si="453"/>
        <v>2.5000000000000001E-3</v>
      </c>
      <c r="G3393" s="85">
        <f t="shared" si="454"/>
        <v>6.5449846949787352E-8</v>
      </c>
      <c r="H3393" s="85">
        <v>1180</v>
      </c>
      <c r="I3393" s="85">
        <f t="shared" si="455"/>
        <v>7.723081940074908E-5</v>
      </c>
      <c r="J3393" s="87">
        <v>1</v>
      </c>
      <c r="K3393" s="88">
        <f t="shared" si="456"/>
        <v>12948.198760018604</v>
      </c>
    </row>
    <row r="3394" spans="1:11" hidden="1" x14ac:dyDescent="0.25">
      <c r="A3394" t="str">
        <f t="shared" si="446"/>
        <v>52100Ø6</v>
      </c>
      <c r="B3394" s="81">
        <v>52100</v>
      </c>
      <c r="D3394" s="86">
        <v>6</v>
      </c>
      <c r="E3394" s="85">
        <f t="shared" si="452"/>
        <v>6.0000000000000001E-3</v>
      </c>
      <c r="F3394" s="85">
        <f t="shared" si="453"/>
        <v>3.0000000000000001E-3</v>
      </c>
      <c r="G3394" s="85">
        <f t="shared" si="454"/>
        <v>1.1309733552923255E-7</v>
      </c>
      <c r="H3394" s="85">
        <v>7800</v>
      </c>
      <c r="I3394" s="85">
        <f t="shared" si="455"/>
        <v>8.821592171280139E-4</v>
      </c>
      <c r="J3394" s="87">
        <v>1</v>
      </c>
      <c r="K3394" s="88">
        <f t="shared" si="456"/>
        <v>1133.5822157542402</v>
      </c>
    </row>
    <row r="3395" spans="1:11" hidden="1" x14ac:dyDescent="0.25">
      <c r="A3395" t="str">
        <f t="shared" si="446"/>
        <v>52100Ø19,86</v>
      </c>
      <c r="B3395" s="81">
        <v>52100</v>
      </c>
      <c r="D3395" s="86">
        <v>19.86</v>
      </c>
      <c r="E3395" s="85">
        <f t="shared" si="452"/>
        <v>1.9859999999999999E-2</v>
      </c>
      <c r="F3395" s="85">
        <f t="shared" si="453"/>
        <v>9.9299999999999996E-3</v>
      </c>
      <c r="G3395" s="85">
        <f t="shared" si="454"/>
        <v>4.101439925890939E-6</v>
      </c>
      <c r="H3395" s="85">
        <v>7800</v>
      </c>
      <c r="I3395" s="85">
        <f t="shared" si="455"/>
        <v>3.1991231421949325E-2</v>
      </c>
      <c r="J3395" s="87">
        <v>1</v>
      </c>
      <c r="K3395" s="88">
        <f t="shared" si="456"/>
        <v>31.258565411580111</v>
      </c>
    </row>
    <row r="3396" spans="1:11" hidden="1" x14ac:dyDescent="0.25">
      <c r="A3396" t="str">
        <f t="shared" ref="A3396:A3459" si="457">CONCATENATE(B3396,"Ø",D3396)</f>
        <v>PMMAØ4,7625</v>
      </c>
      <c r="B3396" s="81" t="s">
        <v>299</v>
      </c>
      <c r="C3396" s="101" t="s">
        <v>248</v>
      </c>
      <c r="D3396" s="86">
        <f>3/16*25.4</f>
        <v>4.7624999999999993</v>
      </c>
      <c r="E3396" s="85">
        <f t="shared" si="452"/>
        <v>4.7624999999999994E-3</v>
      </c>
      <c r="F3396" s="85">
        <f t="shared" si="453"/>
        <v>2.3812499999999997E-3</v>
      </c>
      <c r="G3396" s="85">
        <f t="shared" si="454"/>
        <v>5.6559243028167934E-8</v>
      </c>
      <c r="H3396" s="85">
        <v>1180</v>
      </c>
      <c r="I3396" s="85">
        <f t="shared" si="455"/>
        <v>6.673990677323816E-5</v>
      </c>
      <c r="J3396" s="87">
        <v>1</v>
      </c>
      <c r="K3396" s="88">
        <f t="shared" si="456"/>
        <v>14983.539060036372</v>
      </c>
    </row>
    <row r="3397" spans="1:11" hidden="1" x14ac:dyDescent="0.25">
      <c r="A3397" t="str">
        <f t="shared" si="457"/>
        <v>PTFEØ18</v>
      </c>
      <c r="B3397" s="81" t="s">
        <v>307</v>
      </c>
      <c r="D3397" s="86">
        <v>18</v>
      </c>
      <c r="E3397" s="85">
        <f t="shared" si="452"/>
        <v>1.7999999999999999E-2</v>
      </c>
      <c r="F3397" s="85">
        <f t="shared" si="453"/>
        <v>8.9999999999999993E-3</v>
      </c>
      <c r="G3397" s="85">
        <f t="shared" si="454"/>
        <v>3.053628059289278E-6</v>
      </c>
      <c r="H3397" s="85">
        <v>2160</v>
      </c>
      <c r="I3397" s="85">
        <f t="shared" si="455"/>
        <v>6.5958366080648406E-3</v>
      </c>
      <c r="J3397" s="87">
        <v>1</v>
      </c>
      <c r="K3397" s="88">
        <f t="shared" si="456"/>
        <v>151.61079017289228</v>
      </c>
    </row>
    <row r="3398" spans="1:11" hidden="1" x14ac:dyDescent="0.25">
      <c r="A3398" t="str">
        <f t="shared" si="457"/>
        <v>1010Ø4,7625</v>
      </c>
      <c r="B3398" s="81">
        <v>1010</v>
      </c>
      <c r="C3398" s="101" t="s">
        <v>248</v>
      </c>
      <c r="D3398" s="86">
        <f>3/16*25.4</f>
        <v>4.7624999999999993</v>
      </c>
      <c r="E3398" s="85">
        <f t="shared" si="452"/>
        <v>4.7624999999999994E-3</v>
      </c>
      <c r="F3398" s="85">
        <f t="shared" si="453"/>
        <v>2.3812499999999997E-3</v>
      </c>
      <c r="G3398" s="85">
        <f t="shared" si="454"/>
        <v>5.6559243028167934E-8</v>
      </c>
      <c r="H3398" s="85">
        <v>7820</v>
      </c>
      <c r="I3398" s="85">
        <f t="shared" si="455"/>
        <v>4.4229328048027325E-4</v>
      </c>
      <c r="J3398" s="87">
        <v>1</v>
      </c>
      <c r="K3398" s="88">
        <f t="shared" si="456"/>
        <v>2260.9432341231354</v>
      </c>
    </row>
    <row r="3399" spans="1:11" x14ac:dyDescent="0.25">
      <c r="A3399" t="str">
        <f t="shared" si="457"/>
        <v>1085Ø4,7625</v>
      </c>
      <c r="B3399" s="81">
        <v>1085</v>
      </c>
      <c r="C3399" s="101" t="s">
        <v>248</v>
      </c>
      <c r="D3399" s="86">
        <f>3/16*25.4</f>
        <v>4.7624999999999993</v>
      </c>
      <c r="E3399" s="85">
        <f t="shared" si="452"/>
        <v>4.7624999999999994E-3</v>
      </c>
      <c r="F3399" s="85">
        <f t="shared" si="453"/>
        <v>2.3812499999999997E-3</v>
      </c>
      <c r="G3399" s="85">
        <f t="shared" si="454"/>
        <v>5.6559243028167934E-8</v>
      </c>
      <c r="H3399" s="85">
        <v>7850</v>
      </c>
      <c r="I3399" s="85">
        <f t="shared" si="455"/>
        <v>4.439900577711183E-4</v>
      </c>
      <c r="J3399" s="87">
        <v>1</v>
      </c>
      <c r="K3399" s="88">
        <f t="shared" si="456"/>
        <v>2252.3026867315821</v>
      </c>
    </row>
    <row r="3400" spans="1:11" hidden="1" x14ac:dyDescent="0.25">
      <c r="A3400" t="str">
        <f t="shared" si="457"/>
        <v>VESCØ1,5</v>
      </c>
      <c r="B3400" s="81" t="s">
        <v>210</v>
      </c>
      <c r="D3400" s="86">
        <v>1.5</v>
      </c>
      <c r="E3400" s="85">
        <f t="shared" si="452"/>
        <v>1.5E-3</v>
      </c>
      <c r="F3400" s="85">
        <f t="shared" si="453"/>
        <v>7.5000000000000002E-4</v>
      </c>
      <c r="G3400" s="85">
        <f t="shared" si="454"/>
        <v>1.7671458676442585E-9</v>
      </c>
      <c r="H3400" s="85">
        <v>2500</v>
      </c>
      <c r="I3400" s="85">
        <f t="shared" si="455"/>
        <v>4.4178646691106464E-6</v>
      </c>
      <c r="J3400" s="87">
        <v>1</v>
      </c>
      <c r="K3400" s="88">
        <f t="shared" si="456"/>
        <v>226353.69684180673</v>
      </c>
    </row>
    <row r="3401" spans="1:11" hidden="1" x14ac:dyDescent="0.25">
      <c r="A3401" t="str">
        <f t="shared" si="457"/>
        <v>VESCØ2</v>
      </c>
      <c r="B3401" s="81" t="s">
        <v>210</v>
      </c>
      <c r="D3401" s="86">
        <v>2</v>
      </c>
      <c r="E3401" s="85">
        <f t="shared" si="452"/>
        <v>2E-3</v>
      </c>
      <c r="F3401" s="85">
        <f t="shared" si="453"/>
        <v>1E-3</v>
      </c>
      <c r="G3401" s="85">
        <f t="shared" si="454"/>
        <v>4.1887902047863909E-9</v>
      </c>
      <c r="H3401" s="85">
        <v>2500</v>
      </c>
      <c r="I3401" s="85">
        <f t="shared" si="455"/>
        <v>1.0471975511965977E-5</v>
      </c>
      <c r="J3401" s="87">
        <v>1</v>
      </c>
      <c r="K3401" s="88">
        <f t="shared" si="456"/>
        <v>95492.965855137198</v>
      </c>
    </row>
    <row r="3402" spans="1:11" hidden="1" x14ac:dyDescent="0.25">
      <c r="A3402" t="str">
        <f t="shared" si="457"/>
        <v>1010Ø10,5</v>
      </c>
      <c r="B3402" s="81">
        <v>1010</v>
      </c>
      <c r="D3402" s="86">
        <v>10.5</v>
      </c>
      <c r="E3402" s="85">
        <f t="shared" si="452"/>
        <v>1.0500000000000001E-2</v>
      </c>
      <c r="F3402" s="85">
        <f t="shared" si="453"/>
        <v>5.2500000000000003E-3</v>
      </c>
      <c r="G3402" s="85">
        <f t="shared" si="454"/>
        <v>6.0613103260198073E-7</v>
      </c>
      <c r="H3402" s="85">
        <v>7820</v>
      </c>
      <c r="I3402" s="85">
        <f t="shared" si="455"/>
        <v>4.7399446749474897E-3</v>
      </c>
      <c r="J3402" s="87">
        <v>1</v>
      </c>
      <c r="K3402" s="88">
        <f t="shared" si="456"/>
        <v>210.97292660089502</v>
      </c>
    </row>
    <row r="3403" spans="1:11" hidden="1" x14ac:dyDescent="0.25">
      <c r="A3403" t="str">
        <f t="shared" si="457"/>
        <v>52100Ø4</v>
      </c>
      <c r="B3403" s="81">
        <v>52100</v>
      </c>
      <c r="D3403" s="86">
        <v>4</v>
      </c>
      <c r="E3403" s="85">
        <f t="shared" si="452"/>
        <v>4.0000000000000001E-3</v>
      </c>
      <c r="F3403" s="85">
        <f t="shared" si="453"/>
        <v>2E-3</v>
      </c>
      <c r="G3403" s="85">
        <f t="shared" si="454"/>
        <v>3.3510321638291127E-8</v>
      </c>
      <c r="H3403" s="85">
        <v>7800</v>
      </c>
      <c r="I3403" s="85">
        <f t="shared" si="455"/>
        <v>2.613805087786708E-4</v>
      </c>
      <c r="J3403" s="87">
        <v>1</v>
      </c>
      <c r="K3403" s="88">
        <f t="shared" si="456"/>
        <v>3825.8399781705612</v>
      </c>
    </row>
    <row r="3404" spans="1:11" hidden="1" x14ac:dyDescent="0.25">
      <c r="A3404" t="str">
        <f t="shared" si="457"/>
        <v>52100Ø4</v>
      </c>
      <c r="B3404" s="81">
        <v>52100</v>
      </c>
      <c r="D3404" s="86">
        <v>4</v>
      </c>
      <c r="E3404" s="85">
        <f t="shared" si="452"/>
        <v>4.0000000000000001E-3</v>
      </c>
      <c r="F3404" s="85">
        <f t="shared" si="453"/>
        <v>2E-3</v>
      </c>
      <c r="G3404" s="85">
        <f t="shared" si="454"/>
        <v>3.3510321638291127E-8</v>
      </c>
      <c r="H3404" s="85">
        <v>7800</v>
      </c>
      <c r="I3404" s="85">
        <f t="shared" si="455"/>
        <v>2.613805087786708E-4</v>
      </c>
      <c r="J3404" s="87">
        <v>1</v>
      </c>
      <c r="K3404" s="88">
        <f t="shared" si="456"/>
        <v>3825.8399781705612</v>
      </c>
    </row>
    <row r="3405" spans="1:11" hidden="1" x14ac:dyDescent="0.25">
      <c r="A3405" t="str">
        <f t="shared" si="457"/>
        <v>52100Ø19</v>
      </c>
      <c r="B3405" s="81">
        <v>52100</v>
      </c>
      <c r="D3405" s="86">
        <v>19</v>
      </c>
      <c r="E3405" s="85">
        <f t="shared" si="452"/>
        <v>1.9E-2</v>
      </c>
      <c r="F3405" s="85">
        <f t="shared" si="453"/>
        <v>9.4999999999999998E-3</v>
      </c>
      <c r="G3405" s="85">
        <f t="shared" si="454"/>
        <v>3.5913640018287313E-6</v>
      </c>
      <c r="H3405" s="85">
        <v>7800</v>
      </c>
      <c r="I3405" s="85">
        <f t="shared" si="455"/>
        <v>2.8012639214264105E-2</v>
      </c>
      <c r="J3405" s="87">
        <v>1</v>
      </c>
      <c r="K3405" s="88">
        <f t="shared" si="456"/>
        <v>35.698171541466095</v>
      </c>
    </row>
    <row r="3406" spans="1:11" hidden="1" x14ac:dyDescent="0.25">
      <c r="A3406" t="str">
        <f t="shared" si="457"/>
        <v>304LØ9,8</v>
      </c>
      <c r="B3406" s="81" t="s">
        <v>362</v>
      </c>
      <c r="D3406" s="86">
        <v>9.8000000000000007</v>
      </c>
      <c r="E3406" s="85">
        <f t="shared" si="452"/>
        <v>9.8000000000000014E-3</v>
      </c>
      <c r="F3406" s="85">
        <f t="shared" si="453"/>
        <v>4.9000000000000007E-3</v>
      </c>
      <c r="G3406" s="85">
        <f t="shared" si="454"/>
        <v>4.9280697880291426E-7</v>
      </c>
      <c r="H3406" s="85">
        <v>7950</v>
      </c>
      <c r="I3406" s="85">
        <f t="shared" si="455"/>
        <v>3.9178154814831683E-3</v>
      </c>
      <c r="J3406" s="87">
        <v>1</v>
      </c>
      <c r="K3406" s="88">
        <f t="shared" si="456"/>
        <v>255.2442821072905</v>
      </c>
    </row>
    <row r="3407" spans="1:11" hidden="1" x14ac:dyDescent="0.25">
      <c r="A3407" t="str">
        <f t="shared" si="457"/>
        <v>52100Ø12</v>
      </c>
      <c r="B3407" s="81">
        <v>52100</v>
      </c>
      <c r="D3407" s="86">
        <v>12</v>
      </c>
      <c r="E3407" s="85">
        <f t="shared" si="452"/>
        <v>1.2E-2</v>
      </c>
      <c r="F3407" s="85">
        <f t="shared" si="453"/>
        <v>6.0000000000000001E-3</v>
      </c>
      <c r="G3407" s="85">
        <f t="shared" si="454"/>
        <v>9.0477868423386037E-7</v>
      </c>
      <c r="H3407" s="85">
        <v>7800</v>
      </c>
      <c r="I3407" s="85">
        <f t="shared" si="455"/>
        <v>7.0572737370241112E-3</v>
      </c>
      <c r="J3407" s="87">
        <v>1</v>
      </c>
      <c r="K3407" s="88">
        <f t="shared" si="456"/>
        <v>141.69777696928003</v>
      </c>
    </row>
    <row r="3408" spans="1:11" hidden="1" x14ac:dyDescent="0.25">
      <c r="A3408" t="str">
        <f t="shared" si="457"/>
        <v>52100Ø12</v>
      </c>
      <c r="B3408" s="81">
        <v>52100</v>
      </c>
      <c r="D3408" s="86">
        <v>12</v>
      </c>
      <c r="E3408" s="85">
        <f t="shared" si="452"/>
        <v>1.2E-2</v>
      </c>
      <c r="F3408" s="85">
        <f t="shared" si="453"/>
        <v>6.0000000000000001E-3</v>
      </c>
      <c r="G3408" s="85">
        <f t="shared" si="454"/>
        <v>9.0477868423386037E-7</v>
      </c>
      <c r="H3408" s="85">
        <v>7800</v>
      </c>
      <c r="I3408" s="85">
        <f t="shared" si="455"/>
        <v>7.0572737370241112E-3</v>
      </c>
      <c r="J3408" s="87">
        <v>1</v>
      </c>
      <c r="K3408" s="88">
        <f t="shared" si="456"/>
        <v>141.69777696928003</v>
      </c>
    </row>
    <row r="3409" spans="1:11" hidden="1" x14ac:dyDescent="0.25">
      <c r="A3409" t="str">
        <f t="shared" si="457"/>
        <v>52100Ø12</v>
      </c>
      <c r="B3409" s="81">
        <v>52100</v>
      </c>
      <c r="D3409" s="86">
        <v>12</v>
      </c>
      <c r="E3409" s="85">
        <f t="shared" si="452"/>
        <v>1.2E-2</v>
      </c>
      <c r="F3409" s="85">
        <f t="shared" si="453"/>
        <v>6.0000000000000001E-3</v>
      </c>
      <c r="G3409" s="85">
        <f t="shared" si="454"/>
        <v>9.0477868423386037E-7</v>
      </c>
      <c r="H3409" s="85">
        <v>7800</v>
      </c>
      <c r="I3409" s="85">
        <f t="shared" si="455"/>
        <v>7.0572737370241112E-3</v>
      </c>
      <c r="J3409" s="87">
        <v>1</v>
      </c>
      <c r="K3409" s="88">
        <f t="shared" si="456"/>
        <v>141.69777696928003</v>
      </c>
    </row>
    <row r="3410" spans="1:11" hidden="1" x14ac:dyDescent="0.25">
      <c r="A3410" t="str">
        <f t="shared" si="457"/>
        <v>52100Ø12</v>
      </c>
      <c r="B3410" s="81">
        <v>52100</v>
      </c>
      <c r="D3410" s="86">
        <v>12</v>
      </c>
      <c r="E3410" s="85">
        <f t="shared" si="452"/>
        <v>1.2E-2</v>
      </c>
      <c r="F3410" s="85">
        <f t="shared" si="453"/>
        <v>6.0000000000000001E-3</v>
      </c>
      <c r="G3410" s="85">
        <f t="shared" si="454"/>
        <v>9.0477868423386037E-7</v>
      </c>
      <c r="H3410" s="85">
        <v>7800</v>
      </c>
      <c r="I3410" s="85">
        <f t="shared" si="455"/>
        <v>7.0572737370241112E-3</v>
      </c>
      <c r="J3410" s="87">
        <v>1</v>
      </c>
      <c r="K3410" s="88">
        <f t="shared" si="456"/>
        <v>141.69777696928003</v>
      </c>
    </row>
    <row r="3411" spans="1:11" hidden="1" x14ac:dyDescent="0.25">
      <c r="A3411" t="str">
        <f t="shared" si="457"/>
        <v>52100Ø0,5</v>
      </c>
      <c r="B3411" s="81">
        <v>52100</v>
      </c>
      <c r="D3411" s="86">
        <v>0.5</v>
      </c>
      <c r="E3411" s="85">
        <f t="shared" si="452"/>
        <v>5.0000000000000001E-4</v>
      </c>
      <c r="F3411" s="85">
        <f t="shared" si="453"/>
        <v>2.5000000000000001E-4</v>
      </c>
      <c r="G3411" s="85">
        <f t="shared" si="454"/>
        <v>6.5449846949787358E-11</v>
      </c>
      <c r="H3411" s="85">
        <v>7800</v>
      </c>
      <c r="I3411" s="85">
        <f t="shared" si="455"/>
        <v>5.1050880620834141E-7</v>
      </c>
      <c r="J3411" s="87">
        <v>1</v>
      </c>
      <c r="K3411" s="88">
        <f t="shared" si="456"/>
        <v>1958830.0688233273</v>
      </c>
    </row>
    <row r="3412" spans="1:11" hidden="1" x14ac:dyDescent="0.25">
      <c r="A3412" t="str">
        <f t="shared" si="457"/>
        <v>316Ø8</v>
      </c>
      <c r="B3412" s="81">
        <v>316</v>
      </c>
      <c r="D3412" s="86">
        <v>8</v>
      </c>
      <c r="E3412" s="85">
        <f t="shared" si="452"/>
        <v>8.0000000000000002E-3</v>
      </c>
      <c r="F3412" s="85">
        <f t="shared" si="453"/>
        <v>4.0000000000000001E-3</v>
      </c>
      <c r="G3412" s="85">
        <f t="shared" si="454"/>
        <v>2.6808257310632902E-7</v>
      </c>
      <c r="H3412" s="85">
        <v>7950</v>
      </c>
      <c r="I3412" s="85">
        <f t="shared" si="455"/>
        <v>2.1312564561953157E-3</v>
      </c>
      <c r="J3412" s="87">
        <v>1</v>
      </c>
      <c r="K3412" s="88">
        <f t="shared" si="456"/>
        <v>469.20678977563483</v>
      </c>
    </row>
    <row r="3413" spans="1:11" hidden="1" x14ac:dyDescent="0.25">
      <c r="A3413" t="str">
        <f t="shared" si="457"/>
        <v>52100Ø0,5</v>
      </c>
      <c r="B3413" s="81">
        <v>52100</v>
      </c>
      <c r="D3413" s="86">
        <v>0.5</v>
      </c>
      <c r="E3413" s="85">
        <f t="shared" si="452"/>
        <v>5.0000000000000001E-4</v>
      </c>
      <c r="F3413" s="85">
        <f t="shared" si="453"/>
        <v>2.5000000000000001E-4</v>
      </c>
      <c r="G3413" s="85">
        <f t="shared" si="454"/>
        <v>6.5449846949787358E-11</v>
      </c>
      <c r="H3413" s="85">
        <v>7800</v>
      </c>
      <c r="I3413" s="85">
        <f t="shared" si="455"/>
        <v>5.1050880620834141E-7</v>
      </c>
      <c r="J3413" s="87">
        <v>1</v>
      </c>
      <c r="K3413" s="88">
        <f t="shared" si="456"/>
        <v>1958830.0688233273</v>
      </c>
    </row>
    <row r="3414" spans="1:11" hidden="1" x14ac:dyDescent="0.25">
      <c r="A3414" t="str">
        <f t="shared" si="457"/>
        <v>52100Ø0,5</v>
      </c>
      <c r="B3414" s="81">
        <v>52100</v>
      </c>
      <c r="D3414" s="86">
        <v>0.5</v>
      </c>
      <c r="E3414" s="85">
        <f t="shared" si="452"/>
        <v>5.0000000000000001E-4</v>
      </c>
      <c r="F3414" s="85">
        <f t="shared" si="453"/>
        <v>2.5000000000000001E-4</v>
      </c>
      <c r="G3414" s="85">
        <f t="shared" si="454"/>
        <v>6.5449846949787358E-11</v>
      </c>
      <c r="H3414" s="85">
        <v>7800</v>
      </c>
      <c r="I3414" s="85">
        <f t="shared" si="455"/>
        <v>5.1050880620834141E-7</v>
      </c>
      <c r="J3414" s="87">
        <v>1</v>
      </c>
      <c r="K3414" s="88">
        <f t="shared" si="456"/>
        <v>1958830.0688233273</v>
      </c>
    </row>
    <row r="3415" spans="1:11" hidden="1" x14ac:dyDescent="0.25">
      <c r="A3415" t="str">
        <f t="shared" si="457"/>
        <v>52100Ø0,5</v>
      </c>
      <c r="B3415" s="81">
        <v>52100</v>
      </c>
      <c r="D3415" s="86">
        <v>0.5</v>
      </c>
      <c r="E3415" s="85">
        <f t="shared" si="452"/>
        <v>5.0000000000000001E-4</v>
      </c>
      <c r="F3415" s="85">
        <f t="shared" si="453"/>
        <v>2.5000000000000001E-4</v>
      </c>
      <c r="G3415" s="85">
        <f t="shared" si="454"/>
        <v>6.5449846949787358E-11</v>
      </c>
      <c r="H3415" s="85">
        <v>7800</v>
      </c>
      <c r="I3415" s="85">
        <f t="shared" si="455"/>
        <v>5.1050880620834141E-7</v>
      </c>
      <c r="J3415" s="87">
        <v>1</v>
      </c>
      <c r="K3415" s="88">
        <f t="shared" si="456"/>
        <v>1958830.0688233273</v>
      </c>
    </row>
    <row r="3416" spans="1:11" hidden="1" x14ac:dyDescent="0.25">
      <c r="A3416" t="str">
        <f t="shared" si="457"/>
        <v>52100Ø0,5</v>
      </c>
      <c r="B3416" s="81">
        <v>52100</v>
      </c>
      <c r="D3416" s="86">
        <v>0.5</v>
      </c>
      <c r="E3416" s="85">
        <f t="shared" si="452"/>
        <v>5.0000000000000001E-4</v>
      </c>
      <c r="F3416" s="85">
        <f t="shared" si="453"/>
        <v>2.5000000000000001E-4</v>
      </c>
      <c r="G3416" s="85">
        <f t="shared" si="454"/>
        <v>6.5449846949787358E-11</v>
      </c>
      <c r="H3416" s="85">
        <v>7800</v>
      </c>
      <c r="I3416" s="85">
        <f t="shared" si="455"/>
        <v>5.1050880620834141E-7</v>
      </c>
      <c r="J3416" s="87">
        <v>1</v>
      </c>
      <c r="K3416" s="88">
        <f t="shared" si="456"/>
        <v>1958830.0688233273</v>
      </c>
    </row>
    <row r="3417" spans="1:11" hidden="1" x14ac:dyDescent="0.25">
      <c r="A3417" t="str">
        <f t="shared" si="457"/>
        <v>LDPEØ3</v>
      </c>
      <c r="B3417" s="81" t="s">
        <v>321</v>
      </c>
      <c r="D3417" s="86">
        <v>3</v>
      </c>
      <c r="E3417" s="85">
        <f t="shared" si="452"/>
        <v>3.0000000000000001E-3</v>
      </c>
      <c r="F3417" s="85">
        <f t="shared" si="453"/>
        <v>1.5E-3</v>
      </c>
      <c r="G3417" s="85">
        <f t="shared" si="454"/>
        <v>1.4137166941154068E-8</v>
      </c>
      <c r="H3417" s="85">
        <v>920</v>
      </c>
      <c r="I3417" s="85">
        <f t="shared" si="455"/>
        <v>1.3006193585861743E-5</v>
      </c>
      <c r="J3417" s="87">
        <v>1</v>
      </c>
      <c r="K3417" s="88">
        <f t="shared" si="456"/>
        <v>76886.445938113699</v>
      </c>
    </row>
    <row r="3418" spans="1:11" hidden="1" x14ac:dyDescent="0.25">
      <c r="A3418" t="str">
        <f t="shared" si="457"/>
        <v>440CØ9,5</v>
      </c>
      <c r="B3418" s="81" t="s">
        <v>314</v>
      </c>
      <c r="D3418" s="86">
        <v>9.5</v>
      </c>
      <c r="E3418" s="85">
        <f t="shared" si="452"/>
        <v>9.4999999999999998E-3</v>
      </c>
      <c r="F3418" s="85">
        <f t="shared" si="453"/>
        <v>4.7499999999999999E-3</v>
      </c>
      <c r="G3418" s="85">
        <f t="shared" si="454"/>
        <v>4.4892050022859141E-7</v>
      </c>
      <c r="H3418" s="85">
        <v>7700</v>
      </c>
      <c r="I3418" s="85">
        <f t="shared" si="455"/>
        <v>3.4566878517601537E-3</v>
      </c>
      <c r="J3418" s="87">
        <v>1</v>
      </c>
      <c r="K3418" s="88">
        <f t="shared" si="456"/>
        <v>289.29427327110187</v>
      </c>
    </row>
    <row r="3419" spans="1:11" hidden="1" x14ac:dyDescent="0.25">
      <c r="A3419" t="str">
        <f t="shared" si="457"/>
        <v>440CØ9,525</v>
      </c>
      <c r="B3419" s="81" t="s">
        <v>314</v>
      </c>
      <c r="C3419" s="101" t="s">
        <v>254</v>
      </c>
      <c r="D3419" s="86">
        <f>3/8*25.4</f>
        <v>9.5249999999999986</v>
      </c>
      <c r="E3419" s="85">
        <f t="shared" si="452"/>
        <v>9.5249999999999987E-3</v>
      </c>
      <c r="F3419" s="85">
        <f t="shared" si="453"/>
        <v>4.7624999999999994E-3</v>
      </c>
      <c r="G3419" s="85">
        <f t="shared" si="454"/>
        <v>4.5247394422534347E-7</v>
      </c>
      <c r="H3419" s="85">
        <v>7700</v>
      </c>
      <c r="I3419" s="85">
        <f t="shared" si="455"/>
        <v>3.4840493705351446E-3</v>
      </c>
      <c r="J3419" s="87">
        <v>1</v>
      </c>
      <c r="K3419" s="88">
        <f t="shared" si="456"/>
        <v>287.02233913706038</v>
      </c>
    </row>
    <row r="3420" spans="1:11" hidden="1" x14ac:dyDescent="0.25">
      <c r="A3420" t="str">
        <f t="shared" si="457"/>
        <v>Al2O3Ø6</v>
      </c>
      <c r="B3420" s="81" t="s">
        <v>217</v>
      </c>
      <c r="D3420" s="86">
        <v>6</v>
      </c>
      <c r="E3420" s="85">
        <f t="shared" ref="E3420:E3483" si="458">D3420/1000</f>
        <v>6.0000000000000001E-3</v>
      </c>
      <c r="F3420" s="85">
        <f t="shared" ref="F3420:F3483" si="459">E3420/2</f>
        <v>3.0000000000000001E-3</v>
      </c>
      <c r="G3420" s="85">
        <f t="shared" ref="G3420:G3483" si="460">4/3*PI()*F3420*F3420*F3420</f>
        <v>1.1309733552923255E-7</v>
      </c>
      <c r="H3420" s="85">
        <v>3900</v>
      </c>
      <c r="I3420" s="85">
        <f t="shared" ref="I3420:I3483" si="461">H3420*G3420</f>
        <v>4.4107960856400695E-4</v>
      </c>
      <c r="J3420" s="87">
        <v>1</v>
      </c>
      <c r="K3420" s="88">
        <f t="shared" ref="K3420:K3483" si="462">J3420/I3420</f>
        <v>2267.1644315084804</v>
      </c>
    </row>
    <row r="3421" spans="1:11" hidden="1" x14ac:dyDescent="0.25">
      <c r="A3421" t="str">
        <f t="shared" si="457"/>
        <v>Al2O3Ø8</v>
      </c>
      <c r="B3421" s="81" t="s">
        <v>217</v>
      </c>
      <c r="D3421" s="86">
        <v>8</v>
      </c>
      <c r="E3421" s="85">
        <f t="shared" si="458"/>
        <v>8.0000000000000002E-3</v>
      </c>
      <c r="F3421" s="85">
        <f t="shared" si="459"/>
        <v>4.0000000000000001E-3</v>
      </c>
      <c r="G3421" s="85">
        <f t="shared" si="460"/>
        <v>2.6808257310632902E-7</v>
      </c>
      <c r="H3421" s="85">
        <v>3900</v>
      </c>
      <c r="I3421" s="85">
        <f t="shared" si="461"/>
        <v>1.0455220351146832E-3</v>
      </c>
      <c r="J3421" s="87">
        <v>1</v>
      </c>
      <c r="K3421" s="88">
        <f t="shared" si="462"/>
        <v>956.45999454264029</v>
      </c>
    </row>
    <row r="3422" spans="1:11" hidden="1" x14ac:dyDescent="0.25">
      <c r="A3422" t="str">
        <f t="shared" si="457"/>
        <v>Si3N4Ø1</v>
      </c>
      <c r="B3422" s="81" t="s">
        <v>207</v>
      </c>
      <c r="D3422" s="86">
        <v>1</v>
      </c>
      <c r="E3422" s="85">
        <f t="shared" si="458"/>
        <v>1E-3</v>
      </c>
      <c r="F3422" s="85">
        <f t="shared" si="459"/>
        <v>5.0000000000000001E-4</v>
      </c>
      <c r="G3422" s="85">
        <f t="shared" si="460"/>
        <v>5.2359877559829886E-10</v>
      </c>
      <c r="H3422" s="85">
        <v>3260</v>
      </c>
      <c r="I3422" s="85">
        <f t="shared" si="461"/>
        <v>1.7069320084504542E-6</v>
      </c>
      <c r="J3422" s="87">
        <v>1</v>
      </c>
      <c r="K3422" s="88">
        <f t="shared" si="462"/>
        <v>585846.41628918529</v>
      </c>
    </row>
    <row r="3423" spans="1:11" hidden="1" x14ac:dyDescent="0.25">
      <c r="A3423" t="str">
        <f t="shared" si="457"/>
        <v>PMMAØ10</v>
      </c>
      <c r="B3423" s="81" t="s">
        <v>299</v>
      </c>
      <c r="D3423" s="86">
        <v>10</v>
      </c>
      <c r="E3423" s="85">
        <f t="shared" si="458"/>
        <v>0.01</v>
      </c>
      <c r="F3423" s="85">
        <f t="shared" si="459"/>
        <v>5.0000000000000001E-3</v>
      </c>
      <c r="G3423" s="85">
        <f t="shared" si="460"/>
        <v>5.2359877559829882E-7</v>
      </c>
      <c r="H3423" s="85">
        <v>1180</v>
      </c>
      <c r="I3423" s="85">
        <f t="shared" si="461"/>
        <v>6.1784655520599264E-4</v>
      </c>
      <c r="J3423" s="87">
        <v>1</v>
      </c>
      <c r="K3423" s="88">
        <f t="shared" si="462"/>
        <v>1618.5248450023255</v>
      </c>
    </row>
    <row r="3424" spans="1:11" hidden="1" x14ac:dyDescent="0.25">
      <c r="A3424" t="str">
        <f t="shared" si="457"/>
        <v>PPHØ5</v>
      </c>
      <c r="B3424" s="81" t="s">
        <v>202</v>
      </c>
      <c r="D3424" s="86">
        <v>5</v>
      </c>
      <c r="E3424" s="85">
        <f t="shared" si="458"/>
        <v>5.0000000000000001E-3</v>
      </c>
      <c r="F3424" s="85">
        <f t="shared" si="459"/>
        <v>2.5000000000000001E-3</v>
      </c>
      <c r="G3424" s="85">
        <f t="shared" si="460"/>
        <v>6.5449846949787352E-8</v>
      </c>
      <c r="H3424" s="85">
        <v>870</v>
      </c>
      <c r="I3424" s="85">
        <f t="shared" si="461"/>
        <v>5.6941366846314999E-5</v>
      </c>
      <c r="J3424" s="87">
        <v>1</v>
      </c>
      <c r="K3424" s="88">
        <f t="shared" si="462"/>
        <v>17561.924754967764</v>
      </c>
    </row>
    <row r="3425" spans="1:11" hidden="1" x14ac:dyDescent="0.25">
      <c r="A3425" t="str">
        <f t="shared" si="457"/>
        <v>TiAl6V4 (G5)Ø4</v>
      </c>
      <c r="B3425" s="81" t="s">
        <v>305</v>
      </c>
      <c r="D3425" s="86">
        <v>4</v>
      </c>
      <c r="E3425" s="85">
        <f t="shared" si="458"/>
        <v>4.0000000000000001E-3</v>
      </c>
      <c r="F3425" s="85">
        <f t="shared" si="459"/>
        <v>2E-3</v>
      </c>
      <c r="G3425" s="85">
        <f t="shared" si="460"/>
        <v>3.3510321638291127E-8</v>
      </c>
      <c r="H3425" s="85">
        <v>4450</v>
      </c>
      <c r="I3425" s="85">
        <f t="shared" si="461"/>
        <v>1.491209312903955E-4</v>
      </c>
      <c r="J3425" s="87">
        <v>1</v>
      </c>
      <c r="K3425" s="88">
        <f t="shared" si="462"/>
        <v>6705.9667033101978</v>
      </c>
    </row>
    <row r="3426" spans="1:11" hidden="1" x14ac:dyDescent="0.25">
      <c r="A3426" t="str">
        <f t="shared" si="457"/>
        <v>52100Ø22,7</v>
      </c>
      <c r="B3426" s="81">
        <v>52100</v>
      </c>
      <c r="D3426" s="86">
        <v>22.7</v>
      </c>
      <c r="E3426" s="85">
        <f t="shared" si="458"/>
        <v>2.2699999999999998E-2</v>
      </c>
      <c r="F3426" s="85">
        <f t="shared" si="459"/>
        <v>1.1349999999999999E-2</v>
      </c>
      <c r="G3426" s="85">
        <f t="shared" si="460"/>
        <v>6.1245783368716748E-6</v>
      </c>
      <c r="H3426" s="85">
        <v>7800</v>
      </c>
      <c r="I3426" s="85">
        <f t="shared" si="461"/>
        <v>4.7771711027599063E-2</v>
      </c>
      <c r="J3426" s="87">
        <v>1</v>
      </c>
      <c r="K3426" s="88">
        <f t="shared" si="462"/>
        <v>20.932890585021578</v>
      </c>
    </row>
    <row r="3427" spans="1:11" hidden="1" x14ac:dyDescent="0.25">
      <c r="A3427" t="str">
        <f t="shared" si="457"/>
        <v>304LØ0,6</v>
      </c>
      <c r="B3427" s="81" t="s">
        <v>362</v>
      </c>
      <c r="D3427" s="86">
        <v>0.6</v>
      </c>
      <c r="E3427" s="85">
        <f t="shared" si="458"/>
        <v>5.9999999999999995E-4</v>
      </c>
      <c r="F3427" s="85">
        <f t="shared" si="459"/>
        <v>2.9999999999999997E-4</v>
      </c>
      <c r="G3427" s="85">
        <f t="shared" si="460"/>
        <v>1.1309733552923252E-10</v>
      </c>
      <c r="H3427" s="85">
        <v>7950</v>
      </c>
      <c r="I3427" s="85">
        <f t="shared" si="461"/>
        <v>8.9912381745739853E-7</v>
      </c>
      <c r="J3427" s="87">
        <v>1</v>
      </c>
      <c r="K3427" s="88">
        <f t="shared" si="462"/>
        <v>1112193.8720607643</v>
      </c>
    </row>
    <row r="3428" spans="1:11" hidden="1" x14ac:dyDescent="0.25">
      <c r="A3428" t="str">
        <f t="shared" si="457"/>
        <v>PTFEØ3</v>
      </c>
      <c r="B3428" s="81" t="s">
        <v>307</v>
      </c>
      <c r="D3428" s="86">
        <v>3</v>
      </c>
      <c r="E3428" s="85">
        <f t="shared" si="458"/>
        <v>3.0000000000000001E-3</v>
      </c>
      <c r="F3428" s="85">
        <f t="shared" si="459"/>
        <v>1.5E-3</v>
      </c>
      <c r="G3428" s="85">
        <f t="shared" si="460"/>
        <v>1.4137166941154068E-8</v>
      </c>
      <c r="H3428" s="85">
        <v>2160</v>
      </c>
      <c r="I3428" s="85">
        <f t="shared" si="461"/>
        <v>3.0536280592892786E-5</v>
      </c>
      <c r="J3428" s="87">
        <v>1</v>
      </c>
      <c r="K3428" s="88">
        <f t="shared" si="462"/>
        <v>32747.930677344724</v>
      </c>
    </row>
    <row r="3429" spans="1:11" hidden="1" x14ac:dyDescent="0.25">
      <c r="A3429" t="str">
        <f t="shared" si="457"/>
        <v>PTFEØ3,175</v>
      </c>
      <c r="B3429" s="81" t="s">
        <v>307</v>
      </c>
      <c r="C3429" s="101" t="s">
        <v>214</v>
      </c>
      <c r="D3429" s="86">
        <f>1/8*25.4</f>
        <v>3.1749999999999998</v>
      </c>
      <c r="E3429" s="85">
        <f t="shared" si="458"/>
        <v>3.1749999999999999E-3</v>
      </c>
      <c r="F3429" s="85">
        <f t="shared" si="459"/>
        <v>1.5874999999999999E-3</v>
      </c>
      <c r="G3429" s="85">
        <f t="shared" si="460"/>
        <v>1.6758294230568279E-8</v>
      </c>
      <c r="H3429" s="85">
        <v>2160</v>
      </c>
      <c r="I3429" s="85">
        <f t="shared" si="461"/>
        <v>3.6197915538027483E-5</v>
      </c>
      <c r="J3429" s="87">
        <v>1</v>
      </c>
      <c r="K3429" s="88">
        <f t="shared" si="462"/>
        <v>27625.900141942057</v>
      </c>
    </row>
    <row r="3430" spans="1:11" hidden="1" x14ac:dyDescent="0.25">
      <c r="A3430" t="str">
        <f t="shared" si="457"/>
        <v>Al2O3Ø9,2</v>
      </c>
      <c r="B3430" s="81" t="s">
        <v>217</v>
      </c>
      <c r="D3430" s="86">
        <v>9.1999999999999993</v>
      </c>
      <c r="E3430" s="85">
        <f t="shared" si="458"/>
        <v>9.1999999999999998E-3</v>
      </c>
      <c r="F3430" s="85">
        <f t="shared" si="459"/>
        <v>4.5999999999999999E-3</v>
      </c>
      <c r="G3430" s="85">
        <f t="shared" si="460"/>
        <v>4.0772008337308809E-7</v>
      </c>
      <c r="H3430" s="85">
        <v>3900</v>
      </c>
      <c r="I3430" s="85">
        <f t="shared" si="461"/>
        <v>1.5901083251550435E-3</v>
      </c>
      <c r="J3430" s="87">
        <v>1</v>
      </c>
      <c r="K3430" s="88">
        <f t="shared" si="462"/>
        <v>628.88797208359688</v>
      </c>
    </row>
    <row r="3431" spans="1:11" hidden="1" x14ac:dyDescent="0.25">
      <c r="A3431" t="str">
        <f t="shared" si="457"/>
        <v>420CØ1,5</v>
      </c>
      <c r="B3431" s="81" t="s">
        <v>295</v>
      </c>
      <c r="D3431" s="86">
        <v>1.5</v>
      </c>
      <c r="E3431" s="85">
        <f t="shared" si="458"/>
        <v>1.5E-3</v>
      </c>
      <c r="F3431" s="85">
        <f t="shared" si="459"/>
        <v>7.5000000000000002E-4</v>
      </c>
      <c r="G3431" s="85">
        <f t="shared" si="460"/>
        <v>1.7671458676442585E-9</v>
      </c>
      <c r="H3431" s="85">
        <v>7750</v>
      </c>
      <c r="I3431" s="85">
        <f t="shared" si="461"/>
        <v>1.3695380474243003E-5</v>
      </c>
      <c r="J3431" s="87">
        <v>1</v>
      </c>
      <c r="K3431" s="88">
        <f t="shared" si="462"/>
        <v>73017.321561873134</v>
      </c>
    </row>
    <row r="3432" spans="1:11" hidden="1" x14ac:dyDescent="0.25">
      <c r="A3432" t="str">
        <f t="shared" si="457"/>
        <v>440CØ0,6</v>
      </c>
      <c r="B3432" s="81" t="s">
        <v>314</v>
      </c>
      <c r="D3432" s="86">
        <v>0.6</v>
      </c>
      <c r="E3432" s="85">
        <f t="shared" si="458"/>
        <v>5.9999999999999995E-4</v>
      </c>
      <c r="F3432" s="85">
        <f t="shared" si="459"/>
        <v>2.9999999999999997E-4</v>
      </c>
      <c r="G3432" s="85">
        <f t="shared" si="460"/>
        <v>1.1309733552923252E-10</v>
      </c>
      <c r="H3432" s="85">
        <v>7600</v>
      </c>
      <c r="I3432" s="85">
        <f t="shared" si="461"/>
        <v>8.5953975002216714E-7</v>
      </c>
      <c r="J3432" s="87">
        <v>1</v>
      </c>
      <c r="K3432" s="88">
        <f t="shared" si="462"/>
        <v>1163413.3266951418</v>
      </c>
    </row>
    <row r="3433" spans="1:11" hidden="1" x14ac:dyDescent="0.25">
      <c r="A3433" t="str">
        <f t="shared" si="457"/>
        <v>440CØ0,6</v>
      </c>
      <c r="B3433" s="81" t="s">
        <v>314</v>
      </c>
      <c r="D3433" s="86">
        <v>0.6</v>
      </c>
      <c r="E3433" s="85">
        <f t="shared" si="458"/>
        <v>5.9999999999999995E-4</v>
      </c>
      <c r="F3433" s="85">
        <f t="shared" si="459"/>
        <v>2.9999999999999997E-4</v>
      </c>
      <c r="G3433" s="85">
        <f t="shared" si="460"/>
        <v>1.1309733552923252E-10</v>
      </c>
      <c r="H3433" s="85">
        <v>7700</v>
      </c>
      <c r="I3433" s="85">
        <f t="shared" si="461"/>
        <v>8.708494835750904E-7</v>
      </c>
      <c r="J3433" s="87">
        <v>1</v>
      </c>
      <c r="K3433" s="88">
        <f t="shared" si="462"/>
        <v>1148304.062712088</v>
      </c>
    </row>
    <row r="3434" spans="1:11" hidden="1" x14ac:dyDescent="0.25">
      <c r="A3434" t="str">
        <f t="shared" si="457"/>
        <v>52100Ø9,922</v>
      </c>
      <c r="B3434" s="81">
        <v>52100</v>
      </c>
      <c r="D3434" s="86">
        <v>9.9220000000000006</v>
      </c>
      <c r="E3434" s="85">
        <f t="shared" si="458"/>
        <v>9.9220000000000003E-3</v>
      </c>
      <c r="F3434" s="85">
        <f t="shared" si="459"/>
        <v>4.9610000000000001E-3</v>
      </c>
      <c r="G3434" s="85">
        <f t="shared" si="460"/>
        <v>5.1144188302297469E-7</v>
      </c>
      <c r="H3434" s="85">
        <v>7800</v>
      </c>
      <c r="I3434" s="85">
        <f t="shared" si="461"/>
        <v>3.9892466875792029E-3</v>
      </c>
      <c r="J3434" s="87">
        <v>1</v>
      </c>
      <c r="K3434" s="88">
        <f t="shared" si="462"/>
        <v>250.67389367360249</v>
      </c>
    </row>
    <row r="3435" spans="1:11" hidden="1" x14ac:dyDescent="0.25">
      <c r="A3435" t="str">
        <f t="shared" si="457"/>
        <v>52100Ø26,194</v>
      </c>
      <c r="B3435" s="81">
        <v>52100</v>
      </c>
      <c r="D3435" s="86">
        <v>26.193999999999999</v>
      </c>
      <c r="E3435" s="85">
        <f t="shared" si="458"/>
        <v>2.6193999999999999E-2</v>
      </c>
      <c r="F3435" s="85">
        <f t="shared" si="459"/>
        <v>1.3096999999999999E-2</v>
      </c>
      <c r="G3435" s="85">
        <f t="shared" si="460"/>
        <v>9.410313497147048E-6</v>
      </c>
      <c r="H3435" s="85">
        <v>7800</v>
      </c>
      <c r="I3435" s="85">
        <f t="shared" si="461"/>
        <v>7.3400445277746973E-2</v>
      </c>
      <c r="J3435" s="87">
        <v>1</v>
      </c>
      <c r="K3435" s="88">
        <f t="shared" si="462"/>
        <v>13.623895552894867</v>
      </c>
    </row>
    <row r="3436" spans="1:11" hidden="1" x14ac:dyDescent="0.25">
      <c r="A3436" t="str">
        <f t="shared" si="457"/>
        <v>52100Ø27,781</v>
      </c>
      <c r="B3436" s="81">
        <v>52100</v>
      </c>
      <c r="D3436" s="86">
        <v>27.780999999999999</v>
      </c>
      <c r="E3436" s="85">
        <f t="shared" si="458"/>
        <v>2.7781E-2</v>
      </c>
      <c r="F3436" s="85">
        <f t="shared" si="459"/>
        <v>1.38905E-2</v>
      </c>
      <c r="G3436" s="85">
        <f t="shared" si="460"/>
        <v>1.1226444811163831E-5</v>
      </c>
      <c r="H3436" s="85">
        <v>7800</v>
      </c>
      <c r="I3436" s="85">
        <f t="shared" si="461"/>
        <v>8.7566269527077883E-2</v>
      </c>
      <c r="J3436" s="87">
        <v>1</v>
      </c>
      <c r="K3436" s="88">
        <f t="shared" si="462"/>
        <v>11.419922367376547</v>
      </c>
    </row>
    <row r="3437" spans="1:11" hidden="1" x14ac:dyDescent="0.25">
      <c r="A3437" t="str">
        <f t="shared" si="457"/>
        <v>52100Ø35,719</v>
      </c>
      <c r="B3437" s="81">
        <v>52100</v>
      </c>
      <c r="D3437" s="86">
        <v>35.719000000000001</v>
      </c>
      <c r="E3437" s="85">
        <f t="shared" si="458"/>
        <v>3.5719000000000001E-2</v>
      </c>
      <c r="F3437" s="85">
        <f t="shared" si="459"/>
        <v>1.78595E-2</v>
      </c>
      <c r="G3437" s="85">
        <f t="shared" si="460"/>
        <v>2.3861431672931633E-5</v>
      </c>
      <c r="H3437" s="85">
        <v>7800</v>
      </c>
      <c r="I3437" s="85">
        <f t="shared" si="461"/>
        <v>0.18611916704886675</v>
      </c>
      <c r="J3437" s="87">
        <v>1</v>
      </c>
      <c r="K3437" s="88">
        <f t="shared" si="462"/>
        <v>5.3729017588900119</v>
      </c>
    </row>
    <row r="3438" spans="1:11" hidden="1" x14ac:dyDescent="0.25">
      <c r="A3438" t="str">
        <f t="shared" si="457"/>
        <v>316LØ35,719</v>
      </c>
      <c r="B3438" s="81" t="s">
        <v>298</v>
      </c>
      <c r="D3438" s="86">
        <v>35.719000000000001</v>
      </c>
      <c r="E3438" s="85">
        <f t="shared" si="458"/>
        <v>3.5719000000000001E-2</v>
      </c>
      <c r="F3438" s="85">
        <f t="shared" si="459"/>
        <v>1.78595E-2</v>
      </c>
      <c r="G3438" s="85">
        <f t="shared" si="460"/>
        <v>2.3861431672931633E-5</v>
      </c>
      <c r="H3438" s="85">
        <v>7950</v>
      </c>
      <c r="I3438" s="85">
        <f t="shared" si="461"/>
        <v>0.1896983817998065</v>
      </c>
      <c r="J3438" s="87">
        <v>1</v>
      </c>
      <c r="K3438" s="88">
        <f t="shared" si="462"/>
        <v>5.2715262540052938</v>
      </c>
    </row>
    <row r="3439" spans="1:11" hidden="1" x14ac:dyDescent="0.25">
      <c r="A3439" t="str">
        <f t="shared" si="457"/>
        <v>VESCØ16</v>
      </c>
      <c r="B3439" s="81" t="s">
        <v>210</v>
      </c>
      <c r="D3439" s="86">
        <v>16</v>
      </c>
      <c r="E3439" s="85">
        <f t="shared" si="458"/>
        <v>1.6E-2</v>
      </c>
      <c r="F3439" s="85">
        <f t="shared" si="459"/>
        <v>8.0000000000000002E-3</v>
      </c>
      <c r="G3439" s="85">
        <f t="shared" si="460"/>
        <v>2.1446605848506321E-6</v>
      </c>
      <c r="H3439" s="85">
        <v>2500</v>
      </c>
      <c r="I3439" s="85">
        <f t="shared" si="461"/>
        <v>5.3616514621265803E-3</v>
      </c>
      <c r="J3439" s="87">
        <v>1</v>
      </c>
      <c r="K3439" s="88">
        <f t="shared" si="462"/>
        <v>186.50969893581484</v>
      </c>
    </row>
    <row r="3440" spans="1:11" hidden="1" x14ac:dyDescent="0.25">
      <c r="A3440" t="str">
        <f t="shared" si="457"/>
        <v>VESCØ16</v>
      </c>
      <c r="B3440" s="81" t="s">
        <v>210</v>
      </c>
      <c r="D3440" s="86">
        <v>16</v>
      </c>
      <c r="E3440" s="85">
        <f t="shared" si="458"/>
        <v>1.6E-2</v>
      </c>
      <c r="F3440" s="85">
        <f t="shared" si="459"/>
        <v>8.0000000000000002E-3</v>
      </c>
      <c r="G3440" s="85">
        <f t="shared" si="460"/>
        <v>2.1446605848506321E-6</v>
      </c>
      <c r="H3440" s="85">
        <v>2500</v>
      </c>
      <c r="I3440" s="85">
        <f t="shared" si="461"/>
        <v>5.3616514621265803E-3</v>
      </c>
      <c r="J3440" s="87">
        <v>1</v>
      </c>
      <c r="K3440" s="88">
        <f t="shared" si="462"/>
        <v>186.50969893581484</v>
      </c>
    </row>
    <row r="3441" spans="1:11" hidden="1" x14ac:dyDescent="0.25">
      <c r="A3441" t="str">
        <f t="shared" si="457"/>
        <v>52100Ø9,525</v>
      </c>
      <c r="B3441" s="81">
        <v>52100</v>
      </c>
      <c r="C3441" s="101" t="s">
        <v>254</v>
      </c>
      <c r="D3441" s="86">
        <f>3/8*25.4</f>
        <v>9.5249999999999986</v>
      </c>
      <c r="E3441" s="85">
        <f t="shared" si="458"/>
        <v>9.5249999999999987E-3</v>
      </c>
      <c r="F3441" s="85">
        <f t="shared" si="459"/>
        <v>4.7624999999999994E-3</v>
      </c>
      <c r="G3441" s="85">
        <f t="shared" si="460"/>
        <v>4.5247394422534347E-7</v>
      </c>
      <c r="H3441" s="85">
        <v>7800</v>
      </c>
      <c r="I3441" s="85">
        <f t="shared" si="461"/>
        <v>3.5292967649576791E-3</v>
      </c>
      <c r="J3441" s="87">
        <v>1</v>
      </c>
      <c r="K3441" s="88">
        <f t="shared" si="462"/>
        <v>283.3425655583801</v>
      </c>
    </row>
    <row r="3442" spans="1:11" hidden="1" x14ac:dyDescent="0.25">
      <c r="A3442" t="str">
        <f t="shared" si="457"/>
        <v>52100Ø9,525</v>
      </c>
      <c r="B3442" s="81">
        <v>52100</v>
      </c>
      <c r="C3442" s="101" t="s">
        <v>254</v>
      </c>
      <c r="D3442" s="86">
        <f>3/8*25.4</f>
        <v>9.5249999999999986</v>
      </c>
      <c r="E3442" s="85">
        <f t="shared" si="458"/>
        <v>9.5249999999999987E-3</v>
      </c>
      <c r="F3442" s="85">
        <f t="shared" si="459"/>
        <v>4.7624999999999994E-3</v>
      </c>
      <c r="G3442" s="85">
        <f t="shared" si="460"/>
        <v>4.5247394422534347E-7</v>
      </c>
      <c r="H3442" s="85">
        <v>7800</v>
      </c>
      <c r="I3442" s="85">
        <f t="shared" si="461"/>
        <v>3.5292967649576791E-3</v>
      </c>
      <c r="J3442" s="87">
        <v>1</v>
      </c>
      <c r="K3442" s="88">
        <f t="shared" si="462"/>
        <v>283.3425655583801</v>
      </c>
    </row>
    <row r="3443" spans="1:11" hidden="1" x14ac:dyDescent="0.25">
      <c r="A3443" t="str">
        <f t="shared" si="457"/>
        <v>52100Ø9,525</v>
      </c>
      <c r="B3443" s="81">
        <v>52100</v>
      </c>
      <c r="C3443" s="101" t="s">
        <v>254</v>
      </c>
      <c r="D3443" s="86">
        <f>3/8*25.4</f>
        <v>9.5249999999999986</v>
      </c>
      <c r="E3443" s="85">
        <f t="shared" si="458"/>
        <v>9.5249999999999987E-3</v>
      </c>
      <c r="F3443" s="85">
        <f t="shared" si="459"/>
        <v>4.7624999999999994E-3</v>
      </c>
      <c r="G3443" s="85">
        <f t="shared" si="460"/>
        <v>4.5247394422534347E-7</v>
      </c>
      <c r="H3443" s="85">
        <v>7800</v>
      </c>
      <c r="I3443" s="85">
        <f t="shared" si="461"/>
        <v>3.5292967649576791E-3</v>
      </c>
      <c r="J3443" s="87">
        <v>1</v>
      </c>
      <c r="K3443" s="88">
        <f t="shared" si="462"/>
        <v>283.3425655583801</v>
      </c>
    </row>
    <row r="3444" spans="1:11" hidden="1" x14ac:dyDescent="0.25">
      <c r="A3444" t="str">
        <f t="shared" si="457"/>
        <v>52100Ø9,525</v>
      </c>
      <c r="B3444" s="81">
        <v>52100</v>
      </c>
      <c r="C3444" s="101" t="s">
        <v>254</v>
      </c>
      <c r="D3444" s="86">
        <f>3/8*25.4</f>
        <v>9.5249999999999986</v>
      </c>
      <c r="E3444" s="85">
        <f t="shared" si="458"/>
        <v>9.5249999999999987E-3</v>
      </c>
      <c r="F3444" s="85">
        <f t="shared" si="459"/>
        <v>4.7624999999999994E-3</v>
      </c>
      <c r="G3444" s="85">
        <f t="shared" si="460"/>
        <v>4.5247394422534347E-7</v>
      </c>
      <c r="H3444" s="85">
        <v>7800</v>
      </c>
      <c r="I3444" s="85">
        <f t="shared" si="461"/>
        <v>3.5292967649576791E-3</v>
      </c>
      <c r="J3444" s="87">
        <v>1</v>
      </c>
      <c r="K3444" s="88">
        <f t="shared" si="462"/>
        <v>283.3425655583801</v>
      </c>
    </row>
    <row r="3445" spans="1:11" hidden="1" x14ac:dyDescent="0.25">
      <c r="A3445" t="str">
        <f t="shared" si="457"/>
        <v>440CØ17,4625</v>
      </c>
      <c r="B3445" s="81" t="s">
        <v>314</v>
      </c>
      <c r="C3445" s="101" t="s">
        <v>264</v>
      </c>
      <c r="D3445" s="86">
        <f>11/16*25.4</f>
        <v>17.462499999999999</v>
      </c>
      <c r="E3445" s="85">
        <f t="shared" si="458"/>
        <v>1.7462499999999999E-2</v>
      </c>
      <c r="F3445" s="85">
        <f t="shared" si="459"/>
        <v>8.7312499999999994E-3</v>
      </c>
      <c r="G3445" s="85">
        <f t="shared" si="460"/>
        <v>2.7881612026107975E-6</v>
      </c>
      <c r="H3445" s="85">
        <v>7700</v>
      </c>
      <c r="I3445" s="85">
        <f t="shared" si="461"/>
        <v>2.1468841260103139E-2</v>
      </c>
      <c r="J3445" s="87">
        <v>1</v>
      </c>
      <c r="K3445" s="88">
        <f t="shared" si="462"/>
        <v>46.579132421942177</v>
      </c>
    </row>
    <row r="3446" spans="1:11" hidden="1" x14ac:dyDescent="0.25">
      <c r="A3446" t="str">
        <f t="shared" si="457"/>
        <v>52100Ø0,5</v>
      </c>
      <c r="B3446" s="81">
        <v>52100</v>
      </c>
      <c r="D3446" s="86">
        <v>0.5</v>
      </c>
      <c r="E3446" s="85">
        <f t="shared" si="458"/>
        <v>5.0000000000000001E-4</v>
      </c>
      <c r="F3446" s="85">
        <f t="shared" si="459"/>
        <v>2.5000000000000001E-4</v>
      </c>
      <c r="G3446" s="85">
        <f t="shared" si="460"/>
        <v>6.5449846949787358E-11</v>
      </c>
      <c r="H3446" s="85">
        <v>7800</v>
      </c>
      <c r="I3446" s="85">
        <f t="shared" si="461"/>
        <v>5.1050880620834141E-7</v>
      </c>
      <c r="J3446" s="87">
        <v>1</v>
      </c>
      <c r="K3446" s="88">
        <f t="shared" si="462"/>
        <v>1958830.0688233273</v>
      </c>
    </row>
    <row r="3447" spans="1:11" hidden="1" x14ac:dyDescent="0.25">
      <c r="A3447" t="str">
        <f t="shared" si="457"/>
        <v>52100Ø0,5</v>
      </c>
      <c r="B3447" s="81">
        <v>52100</v>
      </c>
      <c r="D3447" s="86">
        <v>0.5</v>
      </c>
      <c r="E3447" s="85">
        <f t="shared" si="458"/>
        <v>5.0000000000000001E-4</v>
      </c>
      <c r="F3447" s="85">
        <f t="shared" si="459"/>
        <v>2.5000000000000001E-4</v>
      </c>
      <c r="G3447" s="85">
        <f t="shared" si="460"/>
        <v>6.5449846949787358E-11</v>
      </c>
      <c r="H3447" s="85">
        <v>7800</v>
      </c>
      <c r="I3447" s="85">
        <f t="shared" si="461"/>
        <v>5.1050880620834141E-7</v>
      </c>
      <c r="J3447" s="87">
        <v>1</v>
      </c>
      <c r="K3447" s="88">
        <f t="shared" si="462"/>
        <v>1958830.0688233273</v>
      </c>
    </row>
    <row r="3448" spans="1:11" hidden="1" x14ac:dyDescent="0.25">
      <c r="A3448" t="str">
        <f t="shared" si="457"/>
        <v>52100Ø0,5</v>
      </c>
      <c r="B3448" s="81">
        <v>52100</v>
      </c>
      <c r="D3448" s="86">
        <v>0.5</v>
      </c>
      <c r="E3448" s="85">
        <f t="shared" si="458"/>
        <v>5.0000000000000001E-4</v>
      </c>
      <c r="F3448" s="85">
        <f t="shared" si="459"/>
        <v>2.5000000000000001E-4</v>
      </c>
      <c r="G3448" s="85">
        <f t="shared" si="460"/>
        <v>6.5449846949787358E-11</v>
      </c>
      <c r="H3448" s="85">
        <v>7800</v>
      </c>
      <c r="I3448" s="85">
        <f t="shared" si="461"/>
        <v>5.1050880620834141E-7</v>
      </c>
      <c r="J3448" s="87">
        <v>1</v>
      </c>
      <c r="K3448" s="88">
        <f t="shared" si="462"/>
        <v>1958830.0688233273</v>
      </c>
    </row>
    <row r="3449" spans="1:11" hidden="1" x14ac:dyDescent="0.25">
      <c r="A3449" t="str">
        <f t="shared" si="457"/>
        <v>304LØ3,96875</v>
      </c>
      <c r="B3449" s="81" t="s">
        <v>362</v>
      </c>
      <c r="C3449" s="101" t="s">
        <v>215</v>
      </c>
      <c r="D3449" s="86">
        <f>5/32*25.4</f>
        <v>3.96875</v>
      </c>
      <c r="E3449" s="85">
        <f t="shared" si="458"/>
        <v>3.9687500000000001E-3</v>
      </c>
      <c r="F3449" s="85">
        <f t="shared" si="459"/>
        <v>1.984375E-3</v>
      </c>
      <c r="G3449" s="85">
        <f t="shared" si="460"/>
        <v>3.2731043419078684E-8</v>
      </c>
      <c r="H3449" s="85">
        <v>7950</v>
      </c>
      <c r="I3449" s="85">
        <f t="shared" si="461"/>
        <v>2.6021179518167554E-4</v>
      </c>
      <c r="J3449" s="87">
        <v>1</v>
      </c>
      <c r="K3449" s="88">
        <f t="shared" si="462"/>
        <v>3843.0233314435905</v>
      </c>
    </row>
    <row r="3450" spans="1:11" hidden="1" x14ac:dyDescent="0.25">
      <c r="A3450" t="str">
        <f t="shared" si="457"/>
        <v>PURØ7</v>
      </c>
      <c r="B3450" s="81" t="s">
        <v>300</v>
      </c>
      <c r="D3450" s="86">
        <v>7</v>
      </c>
      <c r="E3450" s="85">
        <f t="shared" si="458"/>
        <v>7.0000000000000001E-3</v>
      </c>
      <c r="F3450" s="85">
        <f t="shared" si="459"/>
        <v>3.5000000000000001E-3</v>
      </c>
      <c r="G3450" s="85">
        <f t="shared" si="460"/>
        <v>1.7959438003021651E-7</v>
      </c>
      <c r="H3450" s="85">
        <v>1140</v>
      </c>
      <c r="I3450" s="85">
        <f t="shared" si="461"/>
        <v>2.0473759323444684E-4</v>
      </c>
      <c r="J3450" s="87">
        <v>1</v>
      </c>
      <c r="K3450" s="88">
        <f t="shared" si="462"/>
        <v>4884.3008467667742</v>
      </c>
    </row>
    <row r="3451" spans="1:11" hidden="1" x14ac:dyDescent="0.25">
      <c r="A3451" t="str">
        <f t="shared" si="457"/>
        <v>52100Ø8,73125</v>
      </c>
      <c r="B3451" s="81">
        <v>52100</v>
      </c>
      <c r="C3451" s="101" t="s">
        <v>253</v>
      </c>
      <c r="D3451" s="86">
        <f t="shared" ref="D3451:D3457" si="463">11/32*25.4</f>
        <v>8.7312499999999993</v>
      </c>
      <c r="E3451" s="85">
        <f t="shared" si="458"/>
        <v>8.7312499999999994E-3</v>
      </c>
      <c r="F3451" s="85">
        <f t="shared" si="459"/>
        <v>4.3656249999999997E-3</v>
      </c>
      <c r="G3451" s="85">
        <f t="shared" si="460"/>
        <v>3.4852015032634969E-7</v>
      </c>
      <c r="H3451" s="85">
        <v>7800</v>
      </c>
      <c r="I3451" s="85">
        <f t="shared" si="461"/>
        <v>2.7184571725455274E-3</v>
      </c>
      <c r="J3451" s="87">
        <v>1</v>
      </c>
      <c r="K3451" s="88">
        <f t="shared" si="462"/>
        <v>367.85571246046641</v>
      </c>
    </row>
    <row r="3452" spans="1:11" hidden="1" x14ac:dyDescent="0.25">
      <c r="A3452" t="str">
        <f t="shared" si="457"/>
        <v>52100Ø8,73125</v>
      </c>
      <c r="B3452" s="81">
        <v>52100</v>
      </c>
      <c r="C3452" s="101" t="s">
        <v>253</v>
      </c>
      <c r="D3452" s="86">
        <f t="shared" si="463"/>
        <v>8.7312499999999993</v>
      </c>
      <c r="E3452" s="85">
        <f t="shared" si="458"/>
        <v>8.7312499999999994E-3</v>
      </c>
      <c r="F3452" s="85">
        <f t="shared" si="459"/>
        <v>4.3656249999999997E-3</v>
      </c>
      <c r="G3452" s="85">
        <f t="shared" si="460"/>
        <v>3.4852015032634969E-7</v>
      </c>
      <c r="H3452" s="85">
        <v>7800</v>
      </c>
      <c r="I3452" s="85">
        <f t="shared" si="461"/>
        <v>2.7184571725455274E-3</v>
      </c>
      <c r="J3452" s="87">
        <v>1</v>
      </c>
      <c r="K3452" s="88">
        <f t="shared" si="462"/>
        <v>367.85571246046641</v>
      </c>
    </row>
    <row r="3453" spans="1:11" hidden="1" x14ac:dyDescent="0.25">
      <c r="A3453" t="str">
        <f t="shared" si="457"/>
        <v>52100Ø8,73125</v>
      </c>
      <c r="B3453" s="81">
        <v>52100</v>
      </c>
      <c r="C3453" s="101" t="s">
        <v>253</v>
      </c>
      <c r="D3453" s="86">
        <f t="shared" si="463"/>
        <v>8.7312499999999993</v>
      </c>
      <c r="E3453" s="85">
        <f t="shared" si="458"/>
        <v>8.7312499999999994E-3</v>
      </c>
      <c r="F3453" s="85">
        <f t="shared" si="459"/>
        <v>4.3656249999999997E-3</v>
      </c>
      <c r="G3453" s="85">
        <f t="shared" si="460"/>
        <v>3.4852015032634969E-7</v>
      </c>
      <c r="H3453" s="85">
        <v>7800</v>
      </c>
      <c r="I3453" s="85">
        <f t="shared" si="461"/>
        <v>2.7184571725455274E-3</v>
      </c>
      <c r="J3453" s="87">
        <v>1</v>
      </c>
      <c r="K3453" s="88">
        <f t="shared" si="462"/>
        <v>367.85571246046641</v>
      </c>
    </row>
    <row r="3454" spans="1:11" hidden="1" x14ac:dyDescent="0.25">
      <c r="A3454" t="str">
        <f t="shared" si="457"/>
        <v>52100Ø8,73125</v>
      </c>
      <c r="B3454" s="81">
        <v>52100</v>
      </c>
      <c r="C3454" s="101" t="s">
        <v>253</v>
      </c>
      <c r="D3454" s="86">
        <f t="shared" si="463"/>
        <v>8.7312499999999993</v>
      </c>
      <c r="E3454" s="85">
        <f t="shared" si="458"/>
        <v>8.7312499999999994E-3</v>
      </c>
      <c r="F3454" s="85">
        <f t="shared" si="459"/>
        <v>4.3656249999999997E-3</v>
      </c>
      <c r="G3454" s="85">
        <f t="shared" si="460"/>
        <v>3.4852015032634969E-7</v>
      </c>
      <c r="H3454" s="85">
        <v>7800</v>
      </c>
      <c r="I3454" s="85">
        <f t="shared" si="461"/>
        <v>2.7184571725455274E-3</v>
      </c>
      <c r="J3454" s="87">
        <v>1</v>
      </c>
      <c r="K3454" s="88">
        <f t="shared" si="462"/>
        <v>367.85571246046641</v>
      </c>
    </row>
    <row r="3455" spans="1:11" hidden="1" x14ac:dyDescent="0.25">
      <c r="A3455" t="str">
        <f t="shared" si="457"/>
        <v>52100Ø8,73125</v>
      </c>
      <c r="B3455" s="81">
        <v>52100</v>
      </c>
      <c r="C3455" s="101" t="s">
        <v>253</v>
      </c>
      <c r="D3455" s="86">
        <f t="shared" si="463"/>
        <v>8.7312499999999993</v>
      </c>
      <c r="E3455" s="85">
        <f t="shared" si="458"/>
        <v>8.7312499999999994E-3</v>
      </c>
      <c r="F3455" s="85">
        <f t="shared" si="459"/>
        <v>4.3656249999999997E-3</v>
      </c>
      <c r="G3455" s="85">
        <f t="shared" si="460"/>
        <v>3.4852015032634969E-7</v>
      </c>
      <c r="H3455" s="85">
        <v>7800</v>
      </c>
      <c r="I3455" s="85">
        <f t="shared" si="461"/>
        <v>2.7184571725455274E-3</v>
      </c>
      <c r="J3455" s="87">
        <v>1</v>
      </c>
      <c r="K3455" s="88">
        <f t="shared" si="462"/>
        <v>367.85571246046641</v>
      </c>
    </row>
    <row r="3456" spans="1:11" hidden="1" x14ac:dyDescent="0.25">
      <c r="A3456" t="str">
        <f t="shared" si="457"/>
        <v>52100Ø8,73125</v>
      </c>
      <c r="B3456" s="81">
        <v>52100</v>
      </c>
      <c r="C3456" s="101" t="s">
        <v>253</v>
      </c>
      <c r="D3456" s="86">
        <f t="shared" si="463"/>
        <v>8.7312499999999993</v>
      </c>
      <c r="E3456" s="85">
        <f t="shared" si="458"/>
        <v>8.7312499999999994E-3</v>
      </c>
      <c r="F3456" s="85">
        <f t="shared" si="459"/>
        <v>4.3656249999999997E-3</v>
      </c>
      <c r="G3456" s="85">
        <f t="shared" si="460"/>
        <v>3.4852015032634969E-7</v>
      </c>
      <c r="H3456" s="85">
        <v>7800</v>
      </c>
      <c r="I3456" s="85">
        <f t="shared" si="461"/>
        <v>2.7184571725455274E-3</v>
      </c>
      <c r="J3456" s="87">
        <v>1</v>
      </c>
      <c r="K3456" s="88">
        <f t="shared" si="462"/>
        <v>367.85571246046641</v>
      </c>
    </row>
    <row r="3457" spans="1:12" hidden="1" x14ac:dyDescent="0.25">
      <c r="A3457" t="str">
        <f t="shared" si="457"/>
        <v>52100Ø8,73125</v>
      </c>
      <c r="B3457" s="81">
        <v>52100</v>
      </c>
      <c r="C3457" s="101" t="s">
        <v>253</v>
      </c>
      <c r="D3457" s="86">
        <f t="shared" si="463"/>
        <v>8.7312499999999993</v>
      </c>
      <c r="E3457" s="85">
        <f t="shared" si="458"/>
        <v>8.7312499999999994E-3</v>
      </c>
      <c r="F3457" s="85">
        <f t="shared" si="459"/>
        <v>4.3656249999999997E-3</v>
      </c>
      <c r="G3457" s="85">
        <f t="shared" si="460"/>
        <v>3.4852015032634969E-7</v>
      </c>
      <c r="H3457" s="85">
        <v>7800</v>
      </c>
      <c r="I3457" s="85">
        <f t="shared" si="461"/>
        <v>2.7184571725455274E-3</v>
      </c>
      <c r="J3457" s="87">
        <v>1</v>
      </c>
      <c r="K3457" s="88">
        <f t="shared" si="462"/>
        <v>367.85571246046641</v>
      </c>
    </row>
    <row r="3458" spans="1:12" hidden="1" x14ac:dyDescent="0.25">
      <c r="A3458" t="str">
        <f t="shared" si="457"/>
        <v>52100Ø2,38125</v>
      </c>
      <c r="B3458" s="81">
        <v>52100</v>
      </c>
      <c r="C3458" s="101" t="s">
        <v>213</v>
      </c>
      <c r="D3458" s="86">
        <f>3/32*25.4</f>
        <v>2.3812499999999996</v>
      </c>
      <c r="E3458" s="85">
        <f t="shared" si="458"/>
        <v>2.3812499999999997E-3</v>
      </c>
      <c r="F3458" s="85">
        <f t="shared" si="459"/>
        <v>1.1906249999999998E-3</v>
      </c>
      <c r="G3458" s="85">
        <f t="shared" si="460"/>
        <v>7.0699053785209917E-9</v>
      </c>
      <c r="H3458" s="85">
        <v>7800</v>
      </c>
      <c r="I3458" s="85">
        <f t="shared" si="461"/>
        <v>5.5145261952463737E-5</v>
      </c>
      <c r="J3458" s="87">
        <v>1</v>
      </c>
      <c r="K3458" s="88">
        <f t="shared" si="462"/>
        <v>18133.924195736327</v>
      </c>
    </row>
    <row r="3459" spans="1:12" hidden="1" x14ac:dyDescent="0.25">
      <c r="A3459" t="str">
        <f t="shared" si="457"/>
        <v>52100Ø2</v>
      </c>
      <c r="B3459" s="81">
        <v>52100</v>
      </c>
      <c r="D3459" s="86">
        <v>2</v>
      </c>
      <c r="E3459" s="85">
        <f t="shared" si="458"/>
        <v>2E-3</v>
      </c>
      <c r="F3459" s="85">
        <f t="shared" si="459"/>
        <v>1E-3</v>
      </c>
      <c r="G3459" s="85">
        <f t="shared" si="460"/>
        <v>4.1887902047863909E-9</v>
      </c>
      <c r="H3459" s="85">
        <v>7800</v>
      </c>
      <c r="I3459" s="85">
        <f t="shared" si="461"/>
        <v>3.267256359733385E-5</v>
      </c>
      <c r="J3459" s="87">
        <v>1</v>
      </c>
      <c r="K3459" s="88">
        <f t="shared" si="462"/>
        <v>30606.719825364489</v>
      </c>
    </row>
    <row r="3460" spans="1:12" hidden="1" x14ac:dyDescent="0.25">
      <c r="A3460" t="str">
        <f t="shared" ref="A3460:A3523" si="464">CONCATENATE(B3460,"Ø",D3460)</f>
        <v>PMMAØ5</v>
      </c>
      <c r="B3460" s="81" t="s">
        <v>299</v>
      </c>
      <c r="D3460" s="86">
        <v>5</v>
      </c>
      <c r="E3460" s="85">
        <f t="shared" si="458"/>
        <v>5.0000000000000001E-3</v>
      </c>
      <c r="F3460" s="85">
        <f t="shared" si="459"/>
        <v>2.5000000000000001E-3</v>
      </c>
      <c r="G3460" s="85">
        <f t="shared" si="460"/>
        <v>6.5449846949787352E-8</v>
      </c>
      <c r="H3460" s="85">
        <v>1180</v>
      </c>
      <c r="I3460" s="85">
        <f t="shared" si="461"/>
        <v>7.723081940074908E-5</v>
      </c>
      <c r="J3460" s="87">
        <v>1</v>
      </c>
      <c r="K3460" s="88">
        <f t="shared" si="462"/>
        <v>12948.198760018604</v>
      </c>
    </row>
    <row r="3461" spans="1:12" hidden="1" x14ac:dyDescent="0.25">
      <c r="A3461" t="str">
        <f t="shared" si="464"/>
        <v>PMMAØ6</v>
      </c>
      <c r="B3461" s="81" t="s">
        <v>299</v>
      </c>
      <c r="D3461" s="86">
        <v>6</v>
      </c>
      <c r="E3461" s="85">
        <f t="shared" si="458"/>
        <v>6.0000000000000001E-3</v>
      </c>
      <c r="F3461" s="85">
        <f t="shared" si="459"/>
        <v>3.0000000000000001E-3</v>
      </c>
      <c r="G3461" s="85">
        <f t="shared" si="460"/>
        <v>1.1309733552923255E-7</v>
      </c>
      <c r="H3461" s="85">
        <v>1180</v>
      </c>
      <c r="I3461" s="85">
        <f t="shared" si="461"/>
        <v>1.3345485592449439E-4</v>
      </c>
      <c r="J3461" s="87">
        <v>1</v>
      </c>
      <c r="K3461" s="88">
        <f t="shared" si="462"/>
        <v>7493.170578714471</v>
      </c>
    </row>
    <row r="3462" spans="1:12" hidden="1" x14ac:dyDescent="0.25">
      <c r="A3462" t="str">
        <f t="shared" si="464"/>
        <v>PPHØ2</v>
      </c>
      <c r="B3462" s="81" t="s">
        <v>202</v>
      </c>
      <c r="D3462" s="86">
        <v>2</v>
      </c>
      <c r="E3462" s="85">
        <f t="shared" si="458"/>
        <v>2E-3</v>
      </c>
      <c r="F3462" s="85">
        <f t="shared" si="459"/>
        <v>1E-3</v>
      </c>
      <c r="G3462" s="85">
        <f t="shared" si="460"/>
        <v>4.1887902047863909E-9</v>
      </c>
      <c r="H3462" s="85">
        <v>870</v>
      </c>
      <c r="I3462" s="85">
        <f t="shared" si="461"/>
        <v>3.6442474781641599E-6</v>
      </c>
      <c r="J3462" s="87">
        <v>1</v>
      </c>
      <c r="K3462" s="88">
        <f t="shared" si="462"/>
        <v>274405.07429637131</v>
      </c>
    </row>
    <row r="3463" spans="1:12" hidden="1" x14ac:dyDescent="0.25">
      <c r="A3463" t="str">
        <f t="shared" si="464"/>
        <v>PPHØ5</v>
      </c>
      <c r="B3463" s="81" t="s">
        <v>202</v>
      </c>
      <c r="D3463" s="86">
        <v>5</v>
      </c>
      <c r="E3463" s="85">
        <f t="shared" si="458"/>
        <v>5.0000000000000001E-3</v>
      </c>
      <c r="F3463" s="85">
        <f t="shared" si="459"/>
        <v>2.5000000000000001E-3</v>
      </c>
      <c r="G3463" s="85">
        <f t="shared" si="460"/>
        <v>6.5449846949787352E-8</v>
      </c>
      <c r="H3463" s="85">
        <v>870</v>
      </c>
      <c r="I3463" s="85">
        <f t="shared" si="461"/>
        <v>5.6941366846314999E-5</v>
      </c>
      <c r="J3463" s="87">
        <v>1</v>
      </c>
      <c r="K3463" s="88">
        <f t="shared" si="462"/>
        <v>17561.924754967764</v>
      </c>
    </row>
    <row r="3464" spans="1:12" hidden="1" x14ac:dyDescent="0.25">
      <c r="A3464" t="str">
        <f t="shared" si="464"/>
        <v>PPHØ6</v>
      </c>
      <c r="B3464" s="81" t="s">
        <v>202</v>
      </c>
      <c r="D3464" s="86">
        <v>6</v>
      </c>
      <c r="E3464" s="85">
        <f t="shared" si="458"/>
        <v>6.0000000000000001E-3</v>
      </c>
      <c r="F3464" s="85">
        <f t="shared" si="459"/>
        <v>3.0000000000000001E-3</v>
      </c>
      <c r="G3464" s="85">
        <f t="shared" si="460"/>
        <v>1.1309733552923255E-7</v>
      </c>
      <c r="H3464" s="85">
        <v>870</v>
      </c>
      <c r="I3464" s="85">
        <f t="shared" si="461"/>
        <v>9.8394681910432316E-5</v>
      </c>
      <c r="J3464" s="87">
        <v>1</v>
      </c>
      <c r="K3464" s="88">
        <f t="shared" si="462"/>
        <v>10163.150899865603</v>
      </c>
    </row>
    <row r="3465" spans="1:12" hidden="1" x14ac:dyDescent="0.25">
      <c r="A3465" t="str">
        <f t="shared" si="464"/>
        <v>PA6.6Ø2</v>
      </c>
      <c r="B3465" s="81" t="s">
        <v>244</v>
      </c>
      <c r="D3465" s="86">
        <v>2</v>
      </c>
      <c r="E3465" s="85">
        <f t="shared" si="458"/>
        <v>2E-3</v>
      </c>
      <c r="F3465" s="85">
        <f t="shared" si="459"/>
        <v>1E-3</v>
      </c>
      <c r="G3465" s="85">
        <f t="shared" si="460"/>
        <v>4.1887902047863909E-9</v>
      </c>
      <c r="H3465" s="85">
        <v>1110</v>
      </c>
      <c r="I3465" s="85">
        <f t="shared" si="461"/>
        <v>4.6495571273128935E-6</v>
      </c>
      <c r="J3465" s="87">
        <v>1</v>
      </c>
      <c r="K3465" s="88">
        <f t="shared" si="462"/>
        <v>215074.24742148022</v>
      </c>
    </row>
    <row r="3466" spans="1:12" hidden="1" x14ac:dyDescent="0.25">
      <c r="A3466" t="str">
        <f t="shared" si="464"/>
        <v>PA6.6Ø5</v>
      </c>
      <c r="B3466" s="81" t="s">
        <v>244</v>
      </c>
      <c r="D3466" s="86">
        <v>5</v>
      </c>
      <c r="E3466" s="85">
        <f t="shared" si="458"/>
        <v>5.0000000000000001E-3</v>
      </c>
      <c r="F3466" s="85">
        <f t="shared" si="459"/>
        <v>2.5000000000000001E-3</v>
      </c>
      <c r="G3466" s="85">
        <f t="shared" si="460"/>
        <v>6.5449846949787352E-8</v>
      </c>
      <c r="H3466" s="85">
        <v>1110</v>
      </c>
      <c r="I3466" s="85">
        <f t="shared" si="461"/>
        <v>7.2649330114263956E-5</v>
      </c>
      <c r="J3466" s="87">
        <v>1</v>
      </c>
      <c r="K3466" s="88">
        <f t="shared" si="462"/>
        <v>13764.751834974733</v>
      </c>
    </row>
    <row r="3467" spans="1:12" hidden="1" x14ac:dyDescent="0.25">
      <c r="A3467" t="str">
        <f t="shared" si="464"/>
        <v>PA6.6Ø6</v>
      </c>
      <c r="B3467" s="81" t="s">
        <v>244</v>
      </c>
      <c r="D3467" s="86">
        <v>6</v>
      </c>
      <c r="E3467" s="85">
        <f t="shared" si="458"/>
        <v>6.0000000000000001E-3</v>
      </c>
      <c r="F3467" s="85">
        <f t="shared" si="459"/>
        <v>3.0000000000000001E-3</v>
      </c>
      <c r="G3467" s="85">
        <f t="shared" si="460"/>
        <v>1.1309733552923255E-7</v>
      </c>
      <c r="H3467" s="85">
        <v>1110</v>
      </c>
      <c r="I3467" s="85">
        <f t="shared" si="461"/>
        <v>1.2553804243744813E-4</v>
      </c>
      <c r="J3467" s="87">
        <v>1</v>
      </c>
      <c r="K3467" s="88">
        <f t="shared" si="462"/>
        <v>7965.712867462229</v>
      </c>
    </row>
    <row r="3468" spans="1:12" hidden="1" x14ac:dyDescent="0.25">
      <c r="A3468" t="str">
        <f t="shared" si="464"/>
        <v>52100Ø4</v>
      </c>
      <c r="B3468" s="81">
        <v>52100</v>
      </c>
      <c r="D3468" s="86">
        <v>4</v>
      </c>
      <c r="E3468" s="85">
        <f t="shared" si="458"/>
        <v>4.0000000000000001E-3</v>
      </c>
      <c r="F3468" s="85">
        <f t="shared" si="459"/>
        <v>2E-3</v>
      </c>
      <c r="G3468" s="85">
        <f t="shared" si="460"/>
        <v>3.3510321638291127E-8</v>
      </c>
      <c r="H3468" s="88">
        <v>7798.1250247814678</v>
      </c>
      <c r="I3468" s="85">
        <f t="shared" si="461"/>
        <v>2.6131767775603397E-4</v>
      </c>
      <c r="J3468" s="87">
        <v>1</v>
      </c>
      <c r="K3468" s="88">
        <f t="shared" si="462"/>
        <v>3826.7598602096846</v>
      </c>
    </row>
    <row r="3469" spans="1:12" hidden="1" x14ac:dyDescent="0.25">
      <c r="A3469" t="str">
        <f t="shared" si="464"/>
        <v>420CØ9,525</v>
      </c>
      <c r="B3469" s="81" t="s">
        <v>295</v>
      </c>
      <c r="C3469" s="101" t="s">
        <v>254</v>
      </c>
      <c r="D3469" s="86">
        <f>3/8*25.4</f>
        <v>9.5249999999999986</v>
      </c>
      <c r="E3469" s="85">
        <f t="shared" si="458"/>
        <v>9.5249999999999987E-3</v>
      </c>
      <c r="F3469" s="85">
        <f t="shared" si="459"/>
        <v>4.7624999999999994E-3</v>
      </c>
      <c r="G3469" s="85">
        <f t="shared" si="460"/>
        <v>4.5247394422534347E-7</v>
      </c>
      <c r="H3469" s="85">
        <v>7750</v>
      </c>
      <c r="I3469" s="85">
        <f t="shared" si="461"/>
        <v>3.5066730677464119E-3</v>
      </c>
      <c r="J3469" s="87">
        <v>1</v>
      </c>
      <c r="K3469" s="88">
        <f t="shared" si="462"/>
        <v>285.17058211036965</v>
      </c>
    </row>
    <row r="3470" spans="1:12" hidden="1" x14ac:dyDescent="0.25">
      <c r="A3470" t="str">
        <f t="shared" si="464"/>
        <v>420CØ9,525</v>
      </c>
      <c r="B3470" s="81" t="s">
        <v>295</v>
      </c>
      <c r="C3470" s="101" t="s">
        <v>254</v>
      </c>
      <c r="D3470" s="86">
        <f t="shared" ref="D3470:D3471" si="465">3/8*25.4</f>
        <v>9.5249999999999986</v>
      </c>
      <c r="E3470" s="85">
        <f t="shared" si="458"/>
        <v>9.5249999999999987E-3</v>
      </c>
      <c r="F3470" s="85">
        <f t="shared" si="459"/>
        <v>4.7624999999999994E-3</v>
      </c>
      <c r="G3470" s="85">
        <f t="shared" si="460"/>
        <v>4.5247394422534347E-7</v>
      </c>
      <c r="H3470" s="85">
        <v>7750</v>
      </c>
      <c r="I3470" s="85">
        <f t="shared" si="461"/>
        <v>3.5066730677464119E-3</v>
      </c>
      <c r="J3470" s="87">
        <v>1</v>
      </c>
      <c r="K3470" s="88">
        <f t="shared" si="462"/>
        <v>285.17058211036965</v>
      </c>
      <c r="L3470" s="98"/>
    </row>
    <row r="3471" spans="1:12" hidden="1" x14ac:dyDescent="0.25">
      <c r="A3471" t="str">
        <f t="shared" si="464"/>
        <v>420CØ9,525</v>
      </c>
      <c r="B3471" s="81" t="s">
        <v>295</v>
      </c>
      <c r="C3471" s="101" t="s">
        <v>254</v>
      </c>
      <c r="D3471" s="86">
        <f t="shared" si="465"/>
        <v>9.5249999999999986</v>
      </c>
      <c r="E3471" s="85">
        <f t="shared" si="458"/>
        <v>9.5249999999999987E-3</v>
      </c>
      <c r="F3471" s="85">
        <f t="shared" si="459"/>
        <v>4.7624999999999994E-3</v>
      </c>
      <c r="G3471" s="85">
        <f t="shared" si="460"/>
        <v>4.5247394422534347E-7</v>
      </c>
      <c r="H3471" s="85">
        <v>7750</v>
      </c>
      <c r="I3471" s="85">
        <f t="shared" si="461"/>
        <v>3.5066730677464119E-3</v>
      </c>
      <c r="J3471" s="87">
        <v>1</v>
      </c>
      <c r="K3471" s="88">
        <f t="shared" si="462"/>
        <v>285.17058211036965</v>
      </c>
    </row>
    <row r="3472" spans="1:12" hidden="1" x14ac:dyDescent="0.25">
      <c r="A3472" t="str">
        <f t="shared" si="464"/>
        <v>1010Ø24</v>
      </c>
      <c r="B3472" s="81">
        <v>1010</v>
      </c>
      <c r="D3472" s="86">
        <v>24</v>
      </c>
      <c r="E3472" s="85">
        <f t="shared" si="458"/>
        <v>2.4E-2</v>
      </c>
      <c r="F3472" s="85">
        <f t="shared" si="459"/>
        <v>1.2E-2</v>
      </c>
      <c r="G3472" s="85">
        <f t="shared" si="460"/>
        <v>7.2382294738708829E-6</v>
      </c>
      <c r="H3472" s="85">
        <v>7820</v>
      </c>
      <c r="I3472" s="85">
        <f t="shared" si="461"/>
        <v>5.6602954485670307E-2</v>
      </c>
      <c r="J3472" s="87">
        <v>1</v>
      </c>
      <c r="K3472" s="88">
        <f t="shared" si="462"/>
        <v>17.666922320338625</v>
      </c>
    </row>
    <row r="3473" spans="1:11" hidden="1" x14ac:dyDescent="0.25">
      <c r="A3473" t="str">
        <f t="shared" si="464"/>
        <v>1010Ø22,225</v>
      </c>
      <c r="B3473" s="81">
        <v>1010</v>
      </c>
      <c r="C3473" s="101" t="s">
        <v>258</v>
      </c>
      <c r="D3473" s="86">
        <f>7/8*25.4</f>
        <v>22.224999999999998</v>
      </c>
      <c r="E3473" s="85">
        <f t="shared" si="458"/>
        <v>2.2224999999999998E-2</v>
      </c>
      <c r="F3473" s="85">
        <f t="shared" si="459"/>
        <v>1.1112499999999999E-2</v>
      </c>
      <c r="G3473" s="85">
        <f t="shared" si="460"/>
        <v>5.7480949210849199E-6</v>
      </c>
      <c r="H3473" s="85">
        <v>7820</v>
      </c>
      <c r="I3473" s="85">
        <f t="shared" si="461"/>
        <v>4.4950102282884076E-2</v>
      </c>
      <c r="J3473" s="87">
        <v>1</v>
      </c>
      <c r="K3473" s="88">
        <f t="shared" si="462"/>
        <v>22.246890423223267</v>
      </c>
    </row>
    <row r="3474" spans="1:11" x14ac:dyDescent="0.25">
      <c r="A3474" t="str">
        <f t="shared" si="464"/>
        <v>1085Ø3,175</v>
      </c>
      <c r="B3474" s="81">
        <v>1085</v>
      </c>
      <c r="C3474" s="101" t="s">
        <v>214</v>
      </c>
      <c r="D3474" s="86">
        <f>1/8*25.4</f>
        <v>3.1749999999999998</v>
      </c>
      <c r="E3474" s="85">
        <f t="shared" si="458"/>
        <v>3.1749999999999999E-3</v>
      </c>
      <c r="F3474" s="85">
        <f t="shared" si="459"/>
        <v>1.5874999999999999E-3</v>
      </c>
      <c r="G3474" s="85">
        <f t="shared" si="460"/>
        <v>1.6758294230568279E-8</v>
      </c>
      <c r="H3474" s="85">
        <v>7850</v>
      </c>
      <c r="I3474" s="85">
        <f t="shared" si="461"/>
        <v>1.3155260970996099E-4</v>
      </c>
      <c r="J3474" s="87">
        <v>1</v>
      </c>
      <c r="K3474" s="88">
        <f t="shared" si="462"/>
        <v>7601.5215677190881</v>
      </c>
    </row>
    <row r="3475" spans="1:11" hidden="1" x14ac:dyDescent="0.25">
      <c r="A3475" t="str">
        <f t="shared" si="464"/>
        <v>1015Ø6,7</v>
      </c>
      <c r="B3475" s="81">
        <v>1015</v>
      </c>
      <c r="D3475" s="86">
        <v>6.7</v>
      </c>
      <c r="E3475" s="85">
        <f t="shared" si="458"/>
        <v>6.7000000000000002E-3</v>
      </c>
      <c r="F3475" s="85">
        <f t="shared" si="459"/>
        <v>3.3500000000000001E-3</v>
      </c>
      <c r="G3475" s="85">
        <f t="shared" si="460"/>
        <v>1.5747913854527116E-7</v>
      </c>
      <c r="H3475" s="85">
        <v>7820</v>
      </c>
      <c r="I3475" s="85">
        <f t="shared" si="461"/>
        <v>1.2314868634240204E-3</v>
      </c>
      <c r="J3475" s="87">
        <v>1</v>
      </c>
      <c r="K3475" s="88">
        <f t="shared" si="462"/>
        <v>812.02652638908762</v>
      </c>
    </row>
    <row r="3476" spans="1:11" hidden="1" x14ac:dyDescent="0.25">
      <c r="A3476" t="str">
        <f t="shared" si="464"/>
        <v>Al2O3Ø3</v>
      </c>
      <c r="B3476" s="81" t="s">
        <v>217</v>
      </c>
      <c r="D3476" s="86">
        <v>3</v>
      </c>
      <c r="E3476" s="85">
        <f t="shared" si="458"/>
        <v>3.0000000000000001E-3</v>
      </c>
      <c r="F3476" s="85">
        <f t="shared" si="459"/>
        <v>1.5E-3</v>
      </c>
      <c r="G3476" s="85">
        <f t="shared" si="460"/>
        <v>1.4137166941154068E-8</v>
      </c>
      <c r="H3476" s="85">
        <v>3600</v>
      </c>
      <c r="I3476" s="85">
        <f t="shared" si="461"/>
        <v>5.0893800988154644E-5</v>
      </c>
      <c r="J3476" s="87">
        <v>1</v>
      </c>
      <c r="K3476" s="88">
        <f t="shared" si="462"/>
        <v>19648.758406406832</v>
      </c>
    </row>
    <row r="3477" spans="1:11" hidden="1" x14ac:dyDescent="0.25">
      <c r="A3477" t="str">
        <f t="shared" si="464"/>
        <v>Al2O3Ø4</v>
      </c>
      <c r="B3477" s="81" t="s">
        <v>217</v>
      </c>
      <c r="D3477" s="86">
        <v>4</v>
      </c>
      <c r="E3477" s="85">
        <f t="shared" si="458"/>
        <v>4.0000000000000001E-3</v>
      </c>
      <c r="F3477" s="85">
        <f t="shared" si="459"/>
        <v>2E-3</v>
      </c>
      <c r="G3477" s="85">
        <f t="shared" si="460"/>
        <v>3.3510321638291127E-8</v>
      </c>
      <c r="H3477" s="85">
        <v>3600</v>
      </c>
      <c r="I3477" s="85">
        <f t="shared" si="461"/>
        <v>1.2063715789784805E-4</v>
      </c>
      <c r="J3477" s="87">
        <v>1</v>
      </c>
      <c r="K3477" s="88">
        <f t="shared" si="462"/>
        <v>8289.3199527028828</v>
      </c>
    </row>
    <row r="3478" spans="1:11" hidden="1" x14ac:dyDescent="0.25">
      <c r="A3478" t="str">
        <f t="shared" si="464"/>
        <v>420CØ3,96875</v>
      </c>
      <c r="B3478" s="81" t="s">
        <v>295</v>
      </c>
      <c r="C3478" s="101" t="s">
        <v>215</v>
      </c>
      <c r="D3478" s="86">
        <f>5/32*25.4</f>
        <v>3.96875</v>
      </c>
      <c r="E3478" s="85">
        <f t="shared" si="458"/>
        <v>3.9687500000000001E-3</v>
      </c>
      <c r="F3478" s="85">
        <f t="shared" si="459"/>
        <v>1.984375E-3</v>
      </c>
      <c r="G3478" s="85">
        <f t="shared" si="460"/>
        <v>3.2731043419078684E-8</v>
      </c>
      <c r="H3478" s="85">
        <v>7750</v>
      </c>
      <c r="I3478" s="85">
        <f t="shared" si="461"/>
        <v>2.536655864978598E-4</v>
      </c>
      <c r="J3478" s="87">
        <v>1</v>
      </c>
      <c r="K3478" s="88">
        <f t="shared" si="462"/>
        <v>3942.1981270937476</v>
      </c>
    </row>
    <row r="3479" spans="1:11" hidden="1" x14ac:dyDescent="0.25">
      <c r="A3479" t="str">
        <f t="shared" si="464"/>
        <v>52100Ø0,78</v>
      </c>
      <c r="B3479" s="81">
        <v>52100</v>
      </c>
      <c r="D3479" s="86">
        <v>0.78</v>
      </c>
      <c r="E3479" s="85">
        <f t="shared" si="458"/>
        <v>7.7999999999999999E-4</v>
      </c>
      <c r="F3479" s="85">
        <f t="shared" si="459"/>
        <v>3.8999999999999999E-4</v>
      </c>
      <c r="G3479" s="85">
        <f t="shared" si="460"/>
        <v>2.4847484615772389E-10</v>
      </c>
      <c r="H3479" s="85">
        <v>7800</v>
      </c>
      <c r="I3479" s="85">
        <f t="shared" si="461"/>
        <v>1.9381038000302462E-6</v>
      </c>
      <c r="J3479" s="87">
        <v>1</v>
      </c>
      <c r="K3479" s="88">
        <f t="shared" si="462"/>
        <v>515968.23657452915</v>
      </c>
    </row>
    <row r="3480" spans="1:11" hidden="1" x14ac:dyDescent="0.25">
      <c r="A3480" t="str">
        <f t="shared" si="464"/>
        <v>52100Ø4,7</v>
      </c>
      <c r="B3480" s="81">
        <v>52100</v>
      </c>
      <c r="D3480" s="86">
        <v>4.7</v>
      </c>
      <c r="E3480" s="85">
        <f t="shared" si="458"/>
        <v>4.7000000000000002E-3</v>
      </c>
      <c r="F3480" s="85">
        <f t="shared" si="459"/>
        <v>2.3500000000000001E-3</v>
      </c>
      <c r="G3480" s="85">
        <f t="shared" si="460"/>
        <v>5.4361595678942184E-8</v>
      </c>
      <c r="H3480" s="85">
        <v>7800</v>
      </c>
      <c r="I3480" s="85">
        <f t="shared" si="461"/>
        <v>4.2402044629574905E-4</v>
      </c>
      <c r="J3480" s="87">
        <v>1</v>
      </c>
      <c r="K3480" s="88">
        <f t="shared" si="462"/>
        <v>2358.3768394567282</v>
      </c>
    </row>
    <row r="3481" spans="1:11" hidden="1" x14ac:dyDescent="0.25">
      <c r="A3481" t="str">
        <f t="shared" si="464"/>
        <v>420CØ1</v>
      </c>
      <c r="B3481" s="81" t="s">
        <v>295</v>
      </c>
      <c r="D3481" s="86">
        <v>1</v>
      </c>
      <c r="E3481" s="85">
        <f t="shared" si="458"/>
        <v>1E-3</v>
      </c>
      <c r="F3481" s="85">
        <f t="shared" si="459"/>
        <v>5.0000000000000001E-4</v>
      </c>
      <c r="G3481" s="85">
        <f t="shared" si="460"/>
        <v>5.2359877559829886E-10</v>
      </c>
      <c r="H3481" s="85">
        <v>7750</v>
      </c>
      <c r="I3481" s="85">
        <f t="shared" si="461"/>
        <v>4.0578905108868158E-6</v>
      </c>
      <c r="J3481" s="87">
        <v>1</v>
      </c>
      <c r="K3481" s="88">
        <f t="shared" si="462"/>
        <v>246433.46027132185</v>
      </c>
    </row>
    <row r="3482" spans="1:11" hidden="1" x14ac:dyDescent="0.25">
      <c r="A3482" t="str">
        <f t="shared" si="464"/>
        <v>304Ø1,8</v>
      </c>
      <c r="B3482" s="81">
        <v>304</v>
      </c>
      <c r="D3482" s="86">
        <v>1.8</v>
      </c>
      <c r="E3482" s="85">
        <f t="shared" si="458"/>
        <v>1.8E-3</v>
      </c>
      <c r="F3482" s="85">
        <f t="shared" si="459"/>
        <v>8.9999999999999998E-4</v>
      </c>
      <c r="G3482" s="85">
        <f t="shared" si="460"/>
        <v>3.0536280592892781E-9</v>
      </c>
      <c r="H3482" s="85">
        <v>7950</v>
      </c>
      <c r="I3482" s="85">
        <f t="shared" si="461"/>
        <v>2.427634307134976E-5</v>
      </c>
      <c r="J3482" s="87">
        <v>1</v>
      </c>
      <c r="K3482" s="88">
        <f t="shared" si="462"/>
        <v>41192.365631880166</v>
      </c>
    </row>
    <row r="3483" spans="1:11" hidden="1" x14ac:dyDescent="0.25">
      <c r="A3483" t="str">
        <f t="shared" si="464"/>
        <v>420CØ3,96875</v>
      </c>
      <c r="B3483" s="81" t="s">
        <v>295</v>
      </c>
      <c r="C3483" s="101" t="s">
        <v>215</v>
      </c>
      <c r="D3483" s="86">
        <f>5/32*25.4</f>
        <v>3.96875</v>
      </c>
      <c r="E3483" s="85">
        <f t="shared" si="458"/>
        <v>3.9687500000000001E-3</v>
      </c>
      <c r="F3483" s="85">
        <f t="shared" si="459"/>
        <v>1.984375E-3</v>
      </c>
      <c r="G3483" s="85">
        <f t="shared" si="460"/>
        <v>3.2731043419078684E-8</v>
      </c>
      <c r="H3483" s="85">
        <v>7750</v>
      </c>
      <c r="I3483" s="85">
        <f t="shared" si="461"/>
        <v>2.536655864978598E-4</v>
      </c>
      <c r="J3483" s="87">
        <v>1</v>
      </c>
      <c r="K3483" s="88">
        <f t="shared" si="462"/>
        <v>3942.1981270937476</v>
      </c>
    </row>
    <row r="3484" spans="1:11" hidden="1" x14ac:dyDescent="0.25">
      <c r="A3484" t="str">
        <f t="shared" si="464"/>
        <v>420CØ5</v>
      </c>
      <c r="B3484" s="81" t="s">
        <v>295</v>
      </c>
      <c r="D3484" s="86">
        <v>5</v>
      </c>
      <c r="E3484" s="85">
        <f t="shared" ref="E3484:E3547" si="466">D3484/1000</f>
        <v>5.0000000000000001E-3</v>
      </c>
      <c r="F3484" s="85">
        <f t="shared" ref="F3484:F3547" si="467">E3484/2</f>
        <v>2.5000000000000001E-3</v>
      </c>
      <c r="G3484" s="85">
        <f t="shared" ref="G3484:G3547" si="468">4/3*PI()*F3484*F3484*F3484</f>
        <v>6.5449846949787352E-8</v>
      </c>
      <c r="H3484" s="85">
        <v>7750</v>
      </c>
      <c r="I3484" s="85">
        <f t="shared" ref="I3484:I3547" si="469">H3484*G3484</f>
        <v>5.0723631386085201E-4</v>
      </c>
      <c r="J3484" s="87">
        <v>1</v>
      </c>
      <c r="K3484" s="88">
        <f t="shared" ref="K3484:K3547" si="470">J3484/I3484</f>
        <v>1971.4676821705746</v>
      </c>
    </row>
    <row r="3485" spans="1:11" hidden="1" x14ac:dyDescent="0.25">
      <c r="A3485" t="str">
        <f t="shared" si="464"/>
        <v>420CØ5</v>
      </c>
      <c r="B3485" s="81" t="s">
        <v>295</v>
      </c>
      <c r="D3485" s="86">
        <v>5</v>
      </c>
      <c r="E3485" s="85">
        <f t="shared" si="466"/>
        <v>5.0000000000000001E-3</v>
      </c>
      <c r="F3485" s="85">
        <f t="shared" si="467"/>
        <v>2.5000000000000001E-3</v>
      </c>
      <c r="G3485" s="85">
        <f t="shared" si="468"/>
        <v>6.5449846949787352E-8</v>
      </c>
      <c r="H3485" s="85">
        <v>7750</v>
      </c>
      <c r="I3485" s="85">
        <f t="shared" si="469"/>
        <v>5.0723631386085201E-4</v>
      </c>
      <c r="J3485" s="87">
        <v>1</v>
      </c>
      <c r="K3485" s="88">
        <f t="shared" si="470"/>
        <v>1971.4676821705746</v>
      </c>
    </row>
    <row r="3486" spans="1:11" hidden="1" x14ac:dyDescent="0.25">
      <c r="A3486" t="str">
        <f t="shared" si="464"/>
        <v>1010Ø6</v>
      </c>
      <c r="B3486" s="81">
        <v>1010</v>
      </c>
      <c r="D3486" s="86">
        <v>6</v>
      </c>
      <c r="E3486" s="85">
        <f t="shared" si="466"/>
        <v>6.0000000000000001E-3</v>
      </c>
      <c r="F3486" s="85">
        <f t="shared" si="467"/>
        <v>3.0000000000000001E-3</v>
      </c>
      <c r="G3486" s="85">
        <f t="shared" si="468"/>
        <v>1.1309733552923255E-7</v>
      </c>
      <c r="H3486" s="85">
        <v>7820</v>
      </c>
      <c r="I3486" s="85">
        <f t="shared" si="469"/>
        <v>8.8442116383859854E-4</v>
      </c>
      <c r="J3486" s="87">
        <v>1</v>
      </c>
      <c r="K3486" s="88">
        <f t="shared" si="470"/>
        <v>1130.683028501672</v>
      </c>
    </row>
    <row r="3487" spans="1:11" hidden="1" x14ac:dyDescent="0.25">
      <c r="A3487" t="str">
        <f t="shared" si="464"/>
        <v>420CØ9,525</v>
      </c>
      <c r="B3487" s="81" t="s">
        <v>295</v>
      </c>
      <c r="C3487" s="101" t="s">
        <v>254</v>
      </c>
      <c r="D3487" s="86">
        <f t="shared" ref="D3487" si="471">3/8*25.4</f>
        <v>9.5249999999999986</v>
      </c>
      <c r="E3487" s="85">
        <f t="shared" si="466"/>
        <v>9.5249999999999987E-3</v>
      </c>
      <c r="F3487" s="85">
        <f t="shared" si="467"/>
        <v>4.7624999999999994E-3</v>
      </c>
      <c r="G3487" s="85">
        <f t="shared" si="468"/>
        <v>4.5247394422534347E-7</v>
      </c>
      <c r="H3487" s="85">
        <v>7750</v>
      </c>
      <c r="I3487" s="85">
        <f t="shared" si="469"/>
        <v>3.5066730677464119E-3</v>
      </c>
      <c r="J3487" s="87">
        <v>1</v>
      </c>
      <c r="K3487" s="88">
        <f t="shared" si="470"/>
        <v>285.17058211036965</v>
      </c>
    </row>
    <row r="3488" spans="1:11" hidden="1" x14ac:dyDescent="0.25">
      <c r="A3488" t="str">
        <f t="shared" si="464"/>
        <v>PA6.6Ø12</v>
      </c>
      <c r="B3488" s="81" t="s">
        <v>244</v>
      </c>
      <c r="D3488" s="86">
        <v>12</v>
      </c>
      <c r="E3488" s="85">
        <f t="shared" si="466"/>
        <v>1.2E-2</v>
      </c>
      <c r="F3488" s="85">
        <f t="shared" si="467"/>
        <v>6.0000000000000001E-3</v>
      </c>
      <c r="G3488" s="85">
        <f t="shared" si="468"/>
        <v>9.0477868423386037E-7</v>
      </c>
      <c r="H3488" s="85">
        <v>1110</v>
      </c>
      <c r="I3488" s="85">
        <f t="shared" si="469"/>
        <v>1.004304339499585E-3</v>
      </c>
      <c r="J3488" s="87">
        <v>1</v>
      </c>
      <c r="K3488" s="88">
        <f t="shared" si="470"/>
        <v>995.71410843277863</v>
      </c>
    </row>
    <row r="3489" spans="1:11" hidden="1" x14ac:dyDescent="0.25">
      <c r="A3489" t="str">
        <f t="shared" si="464"/>
        <v>420CØ3,85</v>
      </c>
      <c r="B3489" s="81" t="s">
        <v>295</v>
      </c>
      <c r="D3489" s="86">
        <v>3.85</v>
      </c>
      <c r="E3489" s="85">
        <f t="shared" si="466"/>
        <v>3.8500000000000001E-3</v>
      </c>
      <c r="F3489" s="85">
        <f t="shared" si="467"/>
        <v>1.9250000000000001E-3</v>
      </c>
      <c r="G3489" s="85">
        <f t="shared" si="468"/>
        <v>2.9880014977527271E-8</v>
      </c>
      <c r="H3489" s="85">
        <v>7750</v>
      </c>
      <c r="I3489" s="85">
        <f t="shared" si="469"/>
        <v>2.3157011607583634E-4</v>
      </c>
      <c r="J3489" s="87">
        <v>1</v>
      </c>
      <c r="K3489" s="88">
        <f t="shared" si="470"/>
        <v>4318.3464988742862</v>
      </c>
    </row>
    <row r="3490" spans="1:11" hidden="1" x14ac:dyDescent="0.25">
      <c r="A3490" t="str">
        <f t="shared" si="464"/>
        <v>420CØ4,05</v>
      </c>
      <c r="B3490" s="81" t="s">
        <v>295</v>
      </c>
      <c r="D3490" s="86">
        <v>4.05</v>
      </c>
      <c r="E3490" s="85">
        <f t="shared" si="466"/>
        <v>4.0499999999999998E-3</v>
      </c>
      <c r="F3490" s="85">
        <f t="shared" si="467"/>
        <v>2.0249999999999999E-3</v>
      </c>
      <c r="G3490" s="85">
        <f t="shared" si="468"/>
        <v>3.478273211284193E-8</v>
      </c>
      <c r="H3490" s="85">
        <v>7750</v>
      </c>
      <c r="I3490" s="85">
        <f t="shared" si="469"/>
        <v>2.6956617387452497E-4</v>
      </c>
      <c r="J3490" s="87">
        <v>1</v>
      </c>
      <c r="K3490" s="88">
        <f t="shared" si="470"/>
        <v>3709.664256560136</v>
      </c>
    </row>
    <row r="3491" spans="1:11" hidden="1" x14ac:dyDescent="0.25">
      <c r="A3491" t="str">
        <f t="shared" si="464"/>
        <v>304LØ9,525</v>
      </c>
      <c r="B3491" s="81" t="s">
        <v>362</v>
      </c>
      <c r="C3491" s="101" t="s">
        <v>254</v>
      </c>
      <c r="D3491" s="86">
        <f t="shared" ref="D3491" si="472">3/8*25.4</f>
        <v>9.5249999999999986</v>
      </c>
      <c r="E3491" s="85">
        <f t="shared" si="466"/>
        <v>9.5249999999999987E-3</v>
      </c>
      <c r="F3491" s="85">
        <f t="shared" si="467"/>
        <v>4.7624999999999994E-3</v>
      </c>
      <c r="G3491" s="85">
        <f t="shared" si="468"/>
        <v>4.5247394422534347E-7</v>
      </c>
      <c r="H3491" s="85">
        <v>7950</v>
      </c>
      <c r="I3491" s="85">
        <f t="shared" si="469"/>
        <v>3.5971678565914805E-3</v>
      </c>
      <c r="J3491" s="87">
        <v>1</v>
      </c>
      <c r="K3491" s="88">
        <f t="shared" si="470"/>
        <v>277.99647941576916</v>
      </c>
    </row>
    <row r="3492" spans="1:11" hidden="1" x14ac:dyDescent="0.25">
      <c r="A3492" t="str">
        <f t="shared" si="464"/>
        <v>52100Ø15,94</v>
      </c>
      <c r="B3492" s="81">
        <v>52100</v>
      </c>
      <c r="D3492" s="86">
        <v>15.94</v>
      </c>
      <c r="E3492" s="85">
        <f t="shared" si="466"/>
        <v>1.5939999999999999E-2</v>
      </c>
      <c r="F3492" s="85">
        <f t="shared" si="467"/>
        <v>7.9699999999999997E-3</v>
      </c>
      <c r="G3492" s="85">
        <f t="shared" si="468"/>
        <v>2.1206235180421497E-6</v>
      </c>
      <c r="H3492" s="85">
        <v>7800</v>
      </c>
      <c r="I3492" s="85">
        <f t="shared" si="469"/>
        <v>1.6540863440728769E-2</v>
      </c>
      <c r="J3492" s="87">
        <v>1</v>
      </c>
      <c r="K3492" s="88">
        <f t="shared" si="470"/>
        <v>60.456336126788152</v>
      </c>
    </row>
    <row r="3493" spans="1:11" hidden="1" x14ac:dyDescent="0.25">
      <c r="A3493" t="str">
        <f t="shared" si="464"/>
        <v>420CØ1</v>
      </c>
      <c r="B3493" s="81" t="s">
        <v>295</v>
      </c>
      <c r="D3493" s="86">
        <v>1</v>
      </c>
      <c r="E3493" s="85">
        <f t="shared" si="466"/>
        <v>1E-3</v>
      </c>
      <c r="F3493" s="85">
        <f t="shared" si="467"/>
        <v>5.0000000000000001E-4</v>
      </c>
      <c r="G3493" s="85">
        <f t="shared" si="468"/>
        <v>5.2359877559829886E-10</v>
      </c>
      <c r="H3493" s="85">
        <v>7770</v>
      </c>
      <c r="I3493" s="85">
        <f t="shared" si="469"/>
        <v>4.0683624863987818E-6</v>
      </c>
      <c r="J3493" s="87">
        <v>1</v>
      </c>
      <c r="K3493" s="88">
        <f t="shared" si="470"/>
        <v>245799.1399102631</v>
      </c>
    </row>
    <row r="3494" spans="1:11" hidden="1" x14ac:dyDescent="0.25">
      <c r="A3494" t="str">
        <f t="shared" si="464"/>
        <v>RameØ5</v>
      </c>
      <c r="B3494" s="81" t="s">
        <v>340</v>
      </c>
      <c r="D3494" s="86">
        <v>5</v>
      </c>
      <c r="E3494" s="85">
        <f t="shared" si="466"/>
        <v>5.0000000000000001E-3</v>
      </c>
      <c r="F3494" s="85">
        <f t="shared" si="467"/>
        <v>2.5000000000000001E-3</v>
      </c>
      <c r="G3494" s="85">
        <f t="shared" si="468"/>
        <v>6.5449846949787352E-8</v>
      </c>
      <c r="H3494" s="85">
        <v>8910</v>
      </c>
      <c r="I3494" s="85">
        <f t="shared" si="469"/>
        <v>5.8315813632260529E-4</v>
      </c>
      <c r="J3494" s="87">
        <v>1</v>
      </c>
      <c r="K3494" s="88">
        <f t="shared" si="470"/>
        <v>1714.8007336500509</v>
      </c>
    </row>
    <row r="3495" spans="1:11" hidden="1" x14ac:dyDescent="0.25">
      <c r="A3495" t="str">
        <f t="shared" si="464"/>
        <v>RameØ7</v>
      </c>
      <c r="B3495" s="81" t="s">
        <v>340</v>
      </c>
      <c r="D3495" s="86">
        <v>7</v>
      </c>
      <c r="E3495" s="85">
        <f t="shared" si="466"/>
        <v>7.0000000000000001E-3</v>
      </c>
      <c r="F3495" s="85">
        <f t="shared" si="467"/>
        <v>3.5000000000000001E-3</v>
      </c>
      <c r="G3495" s="85">
        <f t="shared" si="468"/>
        <v>1.7959438003021651E-7</v>
      </c>
      <c r="H3495" s="85">
        <v>8910</v>
      </c>
      <c r="I3495" s="85">
        <f t="shared" si="469"/>
        <v>1.6001859260692292E-3</v>
      </c>
      <c r="J3495" s="87">
        <v>1</v>
      </c>
      <c r="K3495" s="88">
        <f t="shared" si="470"/>
        <v>624.92738106780268</v>
      </c>
    </row>
    <row r="3496" spans="1:11" hidden="1" x14ac:dyDescent="0.25">
      <c r="A3496" t="str">
        <f t="shared" si="464"/>
        <v>WC-CoØ5</v>
      </c>
      <c r="B3496" s="81" t="s">
        <v>297</v>
      </c>
      <c r="D3496" s="86">
        <v>5</v>
      </c>
      <c r="E3496" s="85">
        <f t="shared" si="466"/>
        <v>5.0000000000000001E-3</v>
      </c>
      <c r="F3496" s="85">
        <f t="shared" si="467"/>
        <v>2.5000000000000001E-3</v>
      </c>
      <c r="G3496" s="85">
        <f t="shared" si="468"/>
        <v>6.5449846949787352E-8</v>
      </c>
      <c r="H3496" s="85">
        <v>14950</v>
      </c>
      <c r="I3496" s="85">
        <f t="shared" si="469"/>
        <v>9.7847521189932092E-4</v>
      </c>
      <c r="J3496" s="87">
        <v>1</v>
      </c>
      <c r="K3496" s="88">
        <f t="shared" si="470"/>
        <v>1021.9982967773882</v>
      </c>
    </row>
    <row r="3497" spans="1:11" hidden="1" x14ac:dyDescent="0.25">
      <c r="A3497" t="str">
        <f t="shared" si="464"/>
        <v>WC-CoØ7</v>
      </c>
      <c r="B3497" s="81" t="s">
        <v>297</v>
      </c>
      <c r="D3497" s="86">
        <v>7</v>
      </c>
      <c r="E3497" s="85">
        <f t="shared" si="466"/>
        <v>7.0000000000000001E-3</v>
      </c>
      <c r="F3497" s="85">
        <f t="shared" si="467"/>
        <v>3.5000000000000001E-3</v>
      </c>
      <c r="G3497" s="85">
        <f t="shared" si="468"/>
        <v>1.7959438003021651E-7</v>
      </c>
      <c r="H3497" s="85">
        <v>14950</v>
      </c>
      <c r="I3497" s="85">
        <f t="shared" si="469"/>
        <v>2.684935981451737E-3</v>
      </c>
      <c r="J3497" s="87">
        <v>1</v>
      </c>
      <c r="K3497" s="88">
        <f t="shared" si="470"/>
        <v>372.44835888388781</v>
      </c>
    </row>
    <row r="3498" spans="1:11" hidden="1" x14ac:dyDescent="0.25">
      <c r="A3498" t="str">
        <f t="shared" si="464"/>
        <v>52100Ø8,73125</v>
      </c>
      <c r="B3498" s="81">
        <v>52100</v>
      </c>
      <c r="C3498" s="101" t="s">
        <v>253</v>
      </c>
      <c r="D3498" s="86">
        <f t="shared" ref="D3498:D3503" si="473">11/32*25.4</f>
        <v>8.7312499999999993</v>
      </c>
      <c r="E3498" s="85">
        <f t="shared" si="466"/>
        <v>8.7312499999999994E-3</v>
      </c>
      <c r="F3498" s="85">
        <f t="shared" si="467"/>
        <v>4.3656249999999997E-3</v>
      </c>
      <c r="G3498" s="85">
        <f t="shared" si="468"/>
        <v>3.4852015032634969E-7</v>
      </c>
      <c r="H3498" s="85">
        <v>7800</v>
      </c>
      <c r="I3498" s="85">
        <f t="shared" si="469"/>
        <v>2.7184571725455274E-3</v>
      </c>
      <c r="J3498" s="87">
        <v>1</v>
      </c>
      <c r="K3498" s="88">
        <f t="shared" si="470"/>
        <v>367.85571246046641</v>
      </c>
    </row>
    <row r="3499" spans="1:11" hidden="1" x14ac:dyDescent="0.25">
      <c r="A3499" t="str">
        <f t="shared" si="464"/>
        <v>52100Ø8,73125</v>
      </c>
      <c r="B3499" s="81">
        <v>52100</v>
      </c>
      <c r="C3499" s="101" t="s">
        <v>253</v>
      </c>
      <c r="D3499" s="86">
        <f t="shared" si="473"/>
        <v>8.7312499999999993</v>
      </c>
      <c r="E3499" s="85">
        <f t="shared" si="466"/>
        <v>8.7312499999999994E-3</v>
      </c>
      <c r="F3499" s="85">
        <f t="shared" si="467"/>
        <v>4.3656249999999997E-3</v>
      </c>
      <c r="G3499" s="85">
        <f t="shared" si="468"/>
        <v>3.4852015032634969E-7</v>
      </c>
      <c r="H3499" s="85">
        <v>7800</v>
      </c>
      <c r="I3499" s="85">
        <f t="shared" si="469"/>
        <v>2.7184571725455274E-3</v>
      </c>
      <c r="J3499" s="87">
        <v>1</v>
      </c>
      <c r="K3499" s="88">
        <f t="shared" si="470"/>
        <v>367.85571246046641</v>
      </c>
    </row>
    <row r="3500" spans="1:11" hidden="1" x14ac:dyDescent="0.25">
      <c r="A3500" t="str">
        <f t="shared" si="464"/>
        <v>52100Ø8,73125</v>
      </c>
      <c r="B3500" s="81">
        <v>52100</v>
      </c>
      <c r="C3500" s="101" t="s">
        <v>253</v>
      </c>
      <c r="D3500" s="86">
        <f t="shared" si="473"/>
        <v>8.7312499999999993</v>
      </c>
      <c r="E3500" s="85">
        <f t="shared" si="466"/>
        <v>8.7312499999999994E-3</v>
      </c>
      <c r="F3500" s="85">
        <f t="shared" si="467"/>
        <v>4.3656249999999997E-3</v>
      </c>
      <c r="G3500" s="85">
        <f t="shared" si="468"/>
        <v>3.4852015032634969E-7</v>
      </c>
      <c r="H3500" s="85">
        <v>7800</v>
      </c>
      <c r="I3500" s="85">
        <f t="shared" si="469"/>
        <v>2.7184571725455274E-3</v>
      </c>
      <c r="J3500" s="87">
        <v>1</v>
      </c>
      <c r="K3500" s="88">
        <f t="shared" si="470"/>
        <v>367.85571246046641</v>
      </c>
    </row>
    <row r="3501" spans="1:11" hidden="1" x14ac:dyDescent="0.25">
      <c r="A3501" t="str">
        <f t="shared" si="464"/>
        <v>52100Ø8,73125</v>
      </c>
      <c r="B3501" s="81">
        <v>52100</v>
      </c>
      <c r="C3501" s="101" t="s">
        <v>253</v>
      </c>
      <c r="D3501" s="86">
        <f t="shared" si="473"/>
        <v>8.7312499999999993</v>
      </c>
      <c r="E3501" s="85">
        <f t="shared" si="466"/>
        <v>8.7312499999999994E-3</v>
      </c>
      <c r="F3501" s="85">
        <f t="shared" si="467"/>
        <v>4.3656249999999997E-3</v>
      </c>
      <c r="G3501" s="85">
        <f t="shared" si="468"/>
        <v>3.4852015032634969E-7</v>
      </c>
      <c r="H3501" s="85">
        <v>7800</v>
      </c>
      <c r="I3501" s="85">
        <f t="shared" si="469"/>
        <v>2.7184571725455274E-3</v>
      </c>
      <c r="J3501" s="87">
        <v>1</v>
      </c>
      <c r="K3501" s="88">
        <f t="shared" si="470"/>
        <v>367.85571246046641</v>
      </c>
    </row>
    <row r="3502" spans="1:11" hidden="1" x14ac:dyDescent="0.25">
      <c r="A3502" t="str">
        <f t="shared" si="464"/>
        <v>52100Ø8,73125</v>
      </c>
      <c r="B3502" s="81">
        <v>52100</v>
      </c>
      <c r="C3502" s="101" t="s">
        <v>253</v>
      </c>
      <c r="D3502" s="86">
        <f t="shared" si="473"/>
        <v>8.7312499999999993</v>
      </c>
      <c r="E3502" s="85">
        <f t="shared" si="466"/>
        <v>8.7312499999999994E-3</v>
      </c>
      <c r="F3502" s="85">
        <f t="shared" si="467"/>
        <v>4.3656249999999997E-3</v>
      </c>
      <c r="G3502" s="85">
        <f t="shared" si="468"/>
        <v>3.4852015032634969E-7</v>
      </c>
      <c r="H3502" s="85">
        <v>7800</v>
      </c>
      <c r="I3502" s="85">
        <f t="shared" si="469"/>
        <v>2.7184571725455274E-3</v>
      </c>
      <c r="J3502" s="87">
        <v>1</v>
      </c>
      <c r="K3502" s="88">
        <f t="shared" si="470"/>
        <v>367.85571246046641</v>
      </c>
    </row>
    <row r="3503" spans="1:11" hidden="1" x14ac:dyDescent="0.25">
      <c r="A3503" t="str">
        <f t="shared" si="464"/>
        <v>52100Ø8,73125</v>
      </c>
      <c r="B3503" s="81">
        <v>52100</v>
      </c>
      <c r="C3503" s="101" t="s">
        <v>253</v>
      </c>
      <c r="D3503" s="86">
        <f t="shared" si="473"/>
        <v>8.7312499999999993</v>
      </c>
      <c r="E3503" s="85">
        <f t="shared" si="466"/>
        <v>8.7312499999999994E-3</v>
      </c>
      <c r="F3503" s="85">
        <f t="shared" si="467"/>
        <v>4.3656249999999997E-3</v>
      </c>
      <c r="G3503" s="85">
        <f t="shared" si="468"/>
        <v>3.4852015032634969E-7</v>
      </c>
      <c r="H3503" s="85">
        <v>7800</v>
      </c>
      <c r="I3503" s="85">
        <f t="shared" si="469"/>
        <v>2.7184571725455274E-3</v>
      </c>
      <c r="J3503" s="87">
        <v>1</v>
      </c>
      <c r="K3503" s="88">
        <f t="shared" si="470"/>
        <v>367.85571246046641</v>
      </c>
    </row>
    <row r="3504" spans="1:11" hidden="1" x14ac:dyDescent="0.25">
      <c r="A3504" t="str">
        <f t="shared" si="464"/>
        <v>52100Ø9,525</v>
      </c>
      <c r="B3504" s="81">
        <v>52100</v>
      </c>
      <c r="C3504" s="101" t="s">
        <v>254</v>
      </c>
      <c r="D3504" s="86">
        <f t="shared" ref="D3504:D3505" si="474">3/8*25.4</f>
        <v>9.5249999999999986</v>
      </c>
      <c r="E3504" s="85">
        <f t="shared" si="466"/>
        <v>9.5249999999999987E-3</v>
      </c>
      <c r="F3504" s="85">
        <f t="shared" si="467"/>
        <v>4.7624999999999994E-3</v>
      </c>
      <c r="G3504" s="85">
        <f t="shared" si="468"/>
        <v>4.5247394422534347E-7</v>
      </c>
      <c r="H3504" s="85">
        <v>7800</v>
      </c>
      <c r="I3504" s="85">
        <f t="shared" si="469"/>
        <v>3.5292967649576791E-3</v>
      </c>
      <c r="J3504" s="87">
        <v>1</v>
      </c>
      <c r="K3504" s="88">
        <f t="shared" si="470"/>
        <v>283.3425655583801</v>
      </c>
    </row>
    <row r="3505" spans="1:11" hidden="1" x14ac:dyDescent="0.25">
      <c r="A3505" t="str">
        <f t="shared" si="464"/>
        <v>52100Ø9,525</v>
      </c>
      <c r="B3505" s="81">
        <v>52100</v>
      </c>
      <c r="C3505" s="101" t="s">
        <v>254</v>
      </c>
      <c r="D3505" s="86">
        <f t="shared" si="474"/>
        <v>9.5249999999999986</v>
      </c>
      <c r="E3505" s="85">
        <f t="shared" si="466"/>
        <v>9.5249999999999987E-3</v>
      </c>
      <c r="F3505" s="85">
        <f t="shared" si="467"/>
        <v>4.7624999999999994E-3</v>
      </c>
      <c r="G3505" s="85">
        <f t="shared" si="468"/>
        <v>4.5247394422534347E-7</v>
      </c>
      <c r="H3505" s="85">
        <v>7800</v>
      </c>
      <c r="I3505" s="85">
        <f t="shared" si="469"/>
        <v>3.5292967649576791E-3</v>
      </c>
      <c r="J3505" s="87">
        <v>1</v>
      </c>
      <c r="K3505" s="88">
        <f t="shared" si="470"/>
        <v>283.3425655583801</v>
      </c>
    </row>
    <row r="3506" spans="1:11" hidden="1" x14ac:dyDescent="0.25">
      <c r="A3506" t="str">
        <f t="shared" si="464"/>
        <v>52100Ø9,515</v>
      </c>
      <c r="B3506" s="81">
        <v>52100</v>
      </c>
      <c r="C3506" s="101" t="s">
        <v>432</v>
      </c>
      <c r="D3506" s="86">
        <f>3/8*25.4 - 0.01</f>
        <v>9.5149999999999988</v>
      </c>
      <c r="E3506" s="85">
        <f t="shared" si="466"/>
        <v>9.5149999999999992E-3</v>
      </c>
      <c r="F3506" s="85">
        <f t="shared" si="467"/>
        <v>4.7574999999999996E-3</v>
      </c>
      <c r="G3506" s="85">
        <f t="shared" si="468"/>
        <v>4.5105032510028433E-7</v>
      </c>
      <c r="H3506" s="85">
        <v>7800</v>
      </c>
      <c r="I3506" s="85">
        <f t="shared" si="469"/>
        <v>3.5181925357822179E-3</v>
      </c>
      <c r="J3506" s="87">
        <v>1</v>
      </c>
      <c r="K3506" s="88">
        <f t="shared" si="470"/>
        <v>284.23686021426477</v>
      </c>
    </row>
    <row r="3507" spans="1:11" hidden="1" x14ac:dyDescent="0.25">
      <c r="A3507" t="str">
        <f t="shared" si="464"/>
        <v>52100Ø0,25</v>
      </c>
      <c r="B3507" s="81">
        <v>52100</v>
      </c>
      <c r="D3507" s="86">
        <v>0.25</v>
      </c>
      <c r="E3507" s="85">
        <f t="shared" si="466"/>
        <v>2.5000000000000001E-4</v>
      </c>
      <c r="F3507" s="85">
        <f t="shared" si="467"/>
        <v>1.25E-4</v>
      </c>
      <c r="G3507" s="85">
        <f t="shared" si="468"/>
        <v>8.1812308687234197E-12</v>
      </c>
      <c r="H3507" s="85">
        <v>7800</v>
      </c>
      <c r="I3507" s="85">
        <f t="shared" si="469"/>
        <v>6.3813600776042676E-8</v>
      </c>
      <c r="J3507" s="87">
        <v>1</v>
      </c>
      <c r="K3507" s="88">
        <f t="shared" si="470"/>
        <v>15670640.550586618</v>
      </c>
    </row>
    <row r="3508" spans="1:11" hidden="1" x14ac:dyDescent="0.25">
      <c r="A3508" t="str">
        <f t="shared" si="464"/>
        <v>VESCØ16</v>
      </c>
      <c r="B3508" s="81" t="s">
        <v>210</v>
      </c>
      <c r="D3508" s="86">
        <v>16</v>
      </c>
      <c r="E3508" s="85">
        <f t="shared" si="466"/>
        <v>1.6E-2</v>
      </c>
      <c r="F3508" s="85">
        <f t="shared" si="467"/>
        <v>8.0000000000000002E-3</v>
      </c>
      <c r="G3508" s="85">
        <f t="shared" si="468"/>
        <v>2.1446605848506321E-6</v>
      </c>
      <c r="H3508" s="85">
        <v>2500</v>
      </c>
      <c r="I3508" s="85">
        <f t="shared" si="469"/>
        <v>5.3616514621265803E-3</v>
      </c>
      <c r="J3508" s="87">
        <v>1</v>
      </c>
      <c r="K3508" s="88">
        <f t="shared" si="470"/>
        <v>186.50969893581484</v>
      </c>
    </row>
    <row r="3509" spans="1:11" hidden="1" x14ac:dyDescent="0.25">
      <c r="A3509" t="str">
        <f t="shared" si="464"/>
        <v>VESCØ8</v>
      </c>
      <c r="B3509" s="81" t="s">
        <v>210</v>
      </c>
      <c r="D3509" s="86">
        <v>8</v>
      </c>
      <c r="E3509" s="85">
        <f t="shared" si="466"/>
        <v>8.0000000000000002E-3</v>
      </c>
      <c r="F3509" s="85">
        <f t="shared" si="467"/>
        <v>4.0000000000000001E-3</v>
      </c>
      <c r="G3509" s="85">
        <f t="shared" si="468"/>
        <v>2.6808257310632902E-7</v>
      </c>
      <c r="H3509" s="85">
        <v>2500</v>
      </c>
      <c r="I3509" s="85">
        <f t="shared" si="469"/>
        <v>6.7020643276582254E-4</v>
      </c>
      <c r="J3509" s="87">
        <v>1</v>
      </c>
      <c r="K3509" s="88">
        <f t="shared" si="470"/>
        <v>1492.0775914865187</v>
      </c>
    </row>
    <row r="3510" spans="1:11" hidden="1" x14ac:dyDescent="0.25">
      <c r="A3510" t="str">
        <f t="shared" si="464"/>
        <v>RameØ1</v>
      </c>
      <c r="B3510" s="81" t="s">
        <v>340</v>
      </c>
      <c r="D3510" s="86">
        <v>1</v>
      </c>
      <c r="E3510" s="85">
        <f t="shared" si="466"/>
        <v>1E-3</v>
      </c>
      <c r="F3510" s="85">
        <f t="shared" si="467"/>
        <v>5.0000000000000001E-4</v>
      </c>
      <c r="G3510" s="85">
        <f t="shared" si="468"/>
        <v>5.2359877559829886E-10</v>
      </c>
      <c r="H3510" s="85">
        <v>8910</v>
      </c>
      <c r="I3510" s="85">
        <f t="shared" si="469"/>
        <v>4.6652650905808429E-6</v>
      </c>
      <c r="J3510" s="87">
        <v>1</v>
      </c>
      <c r="K3510" s="88">
        <f t="shared" si="470"/>
        <v>214350.09170625635</v>
      </c>
    </row>
    <row r="3511" spans="1:11" hidden="1" x14ac:dyDescent="0.25">
      <c r="A3511" t="str">
        <f t="shared" si="464"/>
        <v>Alluminio serie 1Ø10,4</v>
      </c>
      <c r="B3511" s="81" t="s">
        <v>330</v>
      </c>
      <c r="D3511" s="86">
        <v>10.4</v>
      </c>
      <c r="E3511" s="85">
        <f t="shared" si="466"/>
        <v>1.04E-2</v>
      </c>
      <c r="F3511" s="85">
        <f t="shared" si="467"/>
        <v>5.1999999999999998E-3</v>
      </c>
      <c r="G3511" s="85">
        <f t="shared" si="468"/>
        <v>5.8897741311460473E-7</v>
      </c>
      <c r="H3511" s="85">
        <v>2710</v>
      </c>
      <c r="I3511" s="85">
        <f t="shared" si="469"/>
        <v>1.5961287895405788E-3</v>
      </c>
      <c r="J3511" s="87">
        <v>1</v>
      </c>
      <c r="K3511" s="88">
        <f t="shared" si="470"/>
        <v>626.51585921699632</v>
      </c>
    </row>
    <row r="3512" spans="1:11" hidden="1" x14ac:dyDescent="0.25">
      <c r="A3512" t="str">
        <f t="shared" si="464"/>
        <v>52100Ø3,92</v>
      </c>
      <c r="B3512" s="81">
        <v>52100</v>
      </c>
      <c r="D3512" s="86">
        <v>3.92</v>
      </c>
      <c r="E3512" s="85">
        <f t="shared" si="466"/>
        <v>3.9199999999999999E-3</v>
      </c>
      <c r="F3512" s="85">
        <f t="shared" si="467"/>
        <v>1.9599999999999999E-3</v>
      </c>
      <c r="G3512" s="85">
        <f t="shared" si="468"/>
        <v>3.1539646643386496E-8</v>
      </c>
      <c r="H3512" s="85">
        <v>7800</v>
      </c>
      <c r="I3512" s="85">
        <f t="shared" si="469"/>
        <v>2.4600924381841467E-4</v>
      </c>
      <c r="J3512" s="87">
        <v>1</v>
      </c>
      <c r="K3512" s="88">
        <f t="shared" si="470"/>
        <v>4064.8879061557705</v>
      </c>
    </row>
    <row r="3513" spans="1:11" hidden="1" x14ac:dyDescent="0.25">
      <c r="A3513" t="str">
        <f t="shared" si="464"/>
        <v>52100Ø3,87</v>
      </c>
      <c r="B3513" s="81">
        <v>52100</v>
      </c>
      <c r="D3513" s="86">
        <v>3.87</v>
      </c>
      <c r="E3513" s="85">
        <f t="shared" si="466"/>
        <v>3.8700000000000002E-3</v>
      </c>
      <c r="F3513" s="85">
        <f t="shared" si="467"/>
        <v>1.9350000000000001E-3</v>
      </c>
      <c r="G3513" s="85">
        <f t="shared" si="468"/>
        <v>3.0348100763739089E-8</v>
      </c>
      <c r="H3513" s="85">
        <v>7800</v>
      </c>
      <c r="I3513" s="85">
        <f t="shared" si="469"/>
        <v>2.3671518595716489E-4</v>
      </c>
      <c r="J3513" s="87">
        <v>1</v>
      </c>
      <c r="K3513" s="88">
        <f t="shared" si="470"/>
        <v>4224.4860462013467</v>
      </c>
    </row>
    <row r="3514" spans="1:11" hidden="1" x14ac:dyDescent="0.25">
      <c r="A3514" t="str">
        <f t="shared" si="464"/>
        <v>52100Ø1,5875</v>
      </c>
      <c r="B3514" s="81">
        <v>52100</v>
      </c>
      <c r="C3514" s="101" t="s">
        <v>246</v>
      </c>
      <c r="D3514" s="86">
        <f>1/16*25.4</f>
        <v>1.5874999999999999</v>
      </c>
      <c r="E3514" s="85">
        <f t="shared" si="466"/>
        <v>1.5874999999999999E-3</v>
      </c>
      <c r="F3514" s="85">
        <f t="shared" si="467"/>
        <v>7.9374999999999997E-4</v>
      </c>
      <c r="G3514" s="85">
        <f t="shared" si="468"/>
        <v>2.0947867788210349E-9</v>
      </c>
      <c r="H3514" s="85">
        <v>7800</v>
      </c>
      <c r="I3514" s="85">
        <f t="shared" si="469"/>
        <v>1.6339336874804071E-5</v>
      </c>
      <c r="J3514" s="87">
        <v>1</v>
      </c>
      <c r="K3514" s="88">
        <f t="shared" si="470"/>
        <v>61201.994160610098</v>
      </c>
    </row>
    <row r="3515" spans="1:11" hidden="1" x14ac:dyDescent="0.25">
      <c r="A3515" t="str">
        <f t="shared" si="464"/>
        <v>92,5W-5Ni-2,5Fe Ø3</v>
      </c>
      <c r="B3515" s="81" t="s">
        <v>433</v>
      </c>
      <c r="D3515" s="86">
        <v>3</v>
      </c>
      <c r="E3515" s="85">
        <f t="shared" si="466"/>
        <v>3.0000000000000001E-3</v>
      </c>
      <c r="F3515" s="85">
        <f t="shared" si="467"/>
        <v>1.5E-3</v>
      </c>
      <c r="G3515" s="85">
        <f t="shared" si="468"/>
        <v>1.4137166941154068E-8</v>
      </c>
      <c r="H3515" s="85">
        <v>17600</v>
      </c>
      <c r="I3515" s="85">
        <f t="shared" si="469"/>
        <v>2.4881413816431162E-4</v>
      </c>
      <c r="J3515" s="87">
        <v>1</v>
      </c>
      <c r="K3515" s="88">
        <f t="shared" si="470"/>
        <v>4019.0642194923066</v>
      </c>
    </row>
    <row r="3516" spans="1:11" hidden="1" x14ac:dyDescent="0.25">
      <c r="A3516" t="str">
        <f t="shared" si="464"/>
        <v>Wc-CoØ3</v>
      </c>
      <c r="B3516" s="81" t="s">
        <v>206</v>
      </c>
      <c r="D3516" s="86">
        <v>3</v>
      </c>
      <c r="E3516" s="85">
        <f t="shared" si="466"/>
        <v>3.0000000000000001E-3</v>
      </c>
      <c r="F3516" s="85">
        <f t="shared" si="467"/>
        <v>1.5E-3</v>
      </c>
      <c r="G3516" s="85">
        <f t="shared" si="468"/>
        <v>1.4137166941154068E-8</v>
      </c>
      <c r="H3516" s="88">
        <v>14945.619031606559</v>
      </c>
      <c r="I3516" s="85">
        <f t="shared" si="469"/>
        <v>2.1128871128871132E-4</v>
      </c>
      <c r="J3516" s="87">
        <v>1</v>
      </c>
      <c r="K3516" s="88">
        <f t="shared" si="470"/>
        <v>4732.8605200945622</v>
      </c>
    </row>
    <row r="3517" spans="1:11" hidden="1" x14ac:dyDescent="0.25">
      <c r="A3517" t="str">
        <f t="shared" si="464"/>
        <v>POMØ1</v>
      </c>
      <c r="B3517" s="81" t="s">
        <v>201</v>
      </c>
      <c r="D3517" s="86">
        <v>1</v>
      </c>
      <c r="E3517" s="85">
        <f t="shared" si="466"/>
        <v>1E-3</v>
      </c>
      <c r="F3517" s="85">
        <f t="shared" si="467"/>
        <v>5.0000000000000001E-4</v>
      </c>
      <c r="G3517" s="85">
        <f t="shared" si="468"/>
        <v>5.2359877559829886E-10</v>
      </c>
      <c r="H3517" s="85">
        <v>1370</v>
      </c>
      <c r="I3517" s="85">
        <f t="shared" si="469"/>
        <v>7.1733032256966945E-7</v>
      </c>
      <c r="J3517" s="87">
        <v>1</v>
      </c>
      <c r="K3517" s="88">
        <f t="shared" si="470"/>
        <v>1394057.8956954337</v>
      </c>
    </row>
    <row r="3518" spans="1:11" hidden="1" x14ac:dyDescent="0.25">
      <c r="A3518" t="str">
        <f t="shared" si="464"/>
        <v>POMØ3</v>
      </c>
      <c r="B3518" s="81" t="s">
        <v>201</v>
      </c>
      <c r="D3518" s="86">
        <v>3</v>
      </c>
      <c r="E3518" s="85">
        <f t="shared" si="466"/>
        <v>3.0000000000000001E-3</v>
      </c>
      <c r="F3518" s="85">
        <f t="shared" si="467"/>
        <v>1.5E-3</v>
      </c>
      <c r="G3518" s="85">
        <f t="shared" si="468"/>
        <v>1.4137166941154068E-8</v>
      </c>
      <c r="H3518" s="85">
        <v>1370</v>
      </c>
      <c r="I3518" s="85">
        <f t="shared" si="469"/>
        <v>1.9367918709381075E-5</v>
      </c>
      <c r="J3518" s="87">
        <v>1</v>
      </c>
      <c r="K3518" s="88">
        <f t="shared" si="470"/>
        <v>51631.773914645688</v>
      </c>
    </row>
    <row r="3519" spans="1:11" hidden="1" x14ac:dyDescent="0.25">
      <c r="A3519" t="str">
        <f t="shared" si="464"/>
        <v>420CØ1</v>
      </c>
      <c r="B3519" s="81" t="s">
        <v>295</v>
      </c>
      <c r="D3519" s="86">
        <v>1</v>
      </c>
      <c r="E3519" s="85">
        <f t="shared" si="466"/>
        <v>1E-3</v>
      </c>
      <c r="F3519" s="85">
        <f t="shared" si="467"/>
        <v>5.0000000000000001E-4</v>
      </c>
      <c r="G3519" s="85">
        <f t="shared" si="468"/>
        <v>5.2359877559829886E-10</v>
      </c>
      <c r="H3519" s="85">
        <v>7750</v>
      </c>
      <c r="I3519" s="85">
        <f t="shared" si="469"/>
        <v>4.0578905108868158E-6</v>
      </c>
      <c r="J3519" s="87">
        <v>1</v>
      </c>
      <c r="K3519" s="88">
        <f t="shared" si="470"/>
        <v>246433.46027132185</v>
      </c>
    </row>
    <row r="3520" spans="1:11" hidden="1" x14ac:dyDescent="0.25">
      <c r="A3520" t="str">
        <f t="shared" si="464"/>
        <v>420CØ0,8</v>
      </c>
      <c r="B3520" s="81" t="s">
        <v>295</v>
      </c>
      <c r="D3520" s="86">
        <v>0.8</v>
      </c>
      <c r="E3520" s="85">
        <f t="shared" si="466"/>
        <v>8.0000000000000004E-4</v>
      </c>
      <c r="F3520" s="85">
        <f t="shared" si="467"/>
        <v>4.0000000000000002E-4</v>
      </c>
      <c r="G3520" s="85">
        <f t="shared" si="468"/>
        <v>2.6808257310632903E-10</v>
      </c>
      <c r="H3520" s="85">
        <v>7750</v>
      </c>
      <c r="I3520" s="85">
        <f t="shared" si="469"/>
        <v>2.0776399415740501E-6</v>
      </c>
      <c r="J3520" s="87">
        <v>1</v>
      </c>
      <c r="K3520" s="88">
        <f t="shared" si="470"/>
        <v>481315.3520924254</v>
      </c>
    </row>
    <row r="3521" spans="1:11" hidden="1" x14ac:dyDescent="0.25">
      <c r="A3521" t="str">
        <f t="shared" si="464"/>
        <v>VESCØ3</v>
      </c>
      <c r="B3521" s="81" t="s">
        <v>210</v>
      </c>
      <c r="D3521" s="86">
        <v>3</v>
      </c>
      <c r="E3521" s="85">
        <f t="shared" si="466"/>
        <v>3.0000000000000001E-3</v>
      </c>
      <c r="F3521" s="85">
        <f t="shared" si="467"/>
        <v>1.5E-3</v>
      </c>
      <c r="G3521" s="85">
        <f t="shared" si="468"/>
        <v>1.4137166941154068E-8</v>
      </c>
      <c r="H3521" s="85">
        <v>2500</v>
      </c>
      <c r="I3521" s="85">
        <f t="shared" si="469"/>
        <v>3.5342917352885171E-5</v>
      </c>
      <c r="J3521" s="87">
        <v>1</v>
      </c>
      <c r="K3521" s="88">
        <f t="shared" si="470"/>
        <v>28294.212105225841</v>
      </c>
    </row>
    <row r="3522" spans="1:11" hidden="1" x14ac:dyDescent="0.25">
      <c r="A3522" t="str">
        <f t="shared" si="464"/>
        <v>304LØ20</v>
      </c>
      <c r="B3522" s="81" t="s">
        <v>362</v>
      </c>
      <c r="D3522" s="86">
        <v>20</v>
      </c>
      <c r="E3522" s="85">
        <f t="shared" si="466"/>
        <v>0.02</v>
      </c>
      <c r="F3522" s="85">
        <f t="shared" si="467"/>
        <v>0.01</v>
      </c>
      <c r="G3522" s="85">
        <f t="shared" si="468"/>
        <v>4.1887902047863905E-6</v>
      </c>
      <c r="H3522" s="88">
        <v>7900</v>
      </c>
      <c r="I3522" s="85">
        <f t="shared" si="469"/>
        <v>3.3091442617812487E-2</v>
      </c>
      <c r="J3522" s="87">
        <v>1</v>
      </c>
      <c r="K3522" s="88">
        <f t="shared" si="470"/>
        <v>30.219292992132026</v>
      </c>
    </row>
    <row r="3523" spans="1:11" hidden="1" x14ac:dyDescent="0.25">
      <c r="A3523" t="str">
        <f t="shared" si="464"/>
        <v>ZrO2Ø10</v>
      </c>
      <c r="B3523" s="81" t="s">
        <v>205</v>
      </c>
      <c r="D3523" s="86">
        <v>10</v>
      </c>
      <c r="E3523" s="85">
        <f t="shared" si="466"/>
        <v>0.01</v>
      </c>
      <c r="F3523" s="85">
        <f t="shared" si="467"/>
        <v>5.0000000000000001E-3</v>
      </c>
      <c r="G3523" s="85">
        <f t="shared" si="468"/>
        <v>5.2359877559829882E-7</v>
      </c>
      <c r="H3523" s="85">
        <v>6000</v>
      </c>
      <c r="I3523" s="85">
        <f t="shared" si="469"/>
        <v>3.1415926535897929E-3</v>
      </c>
      <c r="J3523" s="87">
        <v>1</v>
      </c>
      <c r="K3523" s="88">
        <f t="shared" si="470"/>
        <v>318.3098861837907</v>
      </c>
    </row>
    <row r="3524" spans="1:11" hidden="1" x14ac:dyDescent="0.25">
      <c r="A3524" t="str">
        <f t="shared" ref="A3524:A3551" si="475">CONCATENATE(B3524,"Ø",D3524)</f>
        <v>52100Ø8,39</v>
      </c>
      <c r="B3524" s="81">
        <v>52100</v>
      </c>
      <c r="D3524" s="86">
        <v>8.39</v>
      </c>
      <c r="E3524" s="85">
        <f t="shared" si="466"/>
        <v>8.3899999999999999E-3</v>
      </c>
      <c r="F3524" s="85">
        <f t="shared" si="467"/>
        <v>4.1949999999999999E-3</v>
      </c>
      <c r="G3524" s="85">
        <f t="shared" si="468"/>
        <v>3.0923205374934332E-7</v>
      </c>
      <c r="H3524" s="85">
        <v>7800</v>
      </c>
      <c r="I3524" s="85">
        <f t="shared" si="469"/>
        <v>2.4120100192448778E-3</v>
      </c>
      <c r="J3524" s="87">
        <v>1</v>
      </c>
      <c r="K3524" s="88">
        <f t="shared" si="470"/>
        <v>414.59197599563356</v>
      </c>
    </row>
    <row r="3525" spans="1:11" hidden="1" x14ac:dyDescent="0.25">
      <c r="A3525" t="str">
        <f t="shared" si="475"/>
        <v>52100Ø8,41</v>
      </c>
      <c r="B3525" s="81">
        <v>52100</v>
      </c>
      <c r="D3525" s="86">
        <v>8.41</v>
      </c>
      <c r="E3525" s="85">
        <f t="shared" si="466"/>
        <v>8.4100000000000008E-3</v>
      </c>
      <c r="F3525" s="85">
        <f t="shared" si="467"/>
        <v>4.2050000000000004E-3</v>
      </c>
      <c r="G3525" s="85">
        <f t="shared" si="468"/>
        <v>3.1144876257291393E-7</v>
      </c>
      <c r="H3525" s="85">
        <v>7800</v>
      </c>
      <c r="I3525" s="85">
        <f t="shared" si="469"/>
        <v>2.4293003480687285E-3</v>
      </c>
      <c r="J3525" s="87">
        <v>1</v>
      </c>
      <c r="K3525" s="88">
        <f t="shared" si="470"/>
        <v>411.64115453858591</v>
      </c>
    </row>
    <row r="3526" spans="1:11" hidden="1" x14ac:dyDescent="0.25">
      <c r="A3526" t="str">
        <f t="shared" si="475"/>
        <v>52100Ø8,43</v>
      </c>
      <c r="B3526" s="81">
        <v>52100</v>
      </c>
      <c r="D3526" s="86">
        <v>8.43</v>
      </c>
      <c r="E3526" s="85">
        <f t="shared" si="466"/>
        <v>8.43E-3</v>
      </c>
      <c r="F3526" s="85">
        <f t="shared" si="467"/>
        <v>4.215E-3</v>
      </c>
      <c r="G3526" s="85">
        <f t="shared" si="468"/>
        <v>3.1367603971417103E-7</v>
      </c>
      <c r="H3526" s="85">
        <v>7800</v>
      </c>
      <c r="I3526" s="85">
        <f t="shared" si="469"/>
        <v>2.4466731097705341E-3</v>
      </c>
      <c r="J3526" s="87">
        <v>1</v>
      </c>
      <c r="K3526" s="88">
        <f t="shared" si="470"/>
        <v>408.71826972169032</v>
      </c>
    </row>
    <row r="3527" spans="1:11" hidden="1" x14ac:dyDescent="0.25">
      <c r="A3527" t="str">
        <f t="shared" si="475"/>
        <v>420CØ4,7625</v>
      </c>
      <c r="B3527" s="81" t="s">
        <v>295</v>
      </c>
      <c r="C3527" s="101" t="s">
        <v>248</v>
      </c>
      <c r="D3527" s="86">
        <f>3/16*25.4</f>
        <v>4.7624999999999993</v>
      </c>
      <c r="E3527" s="85">
        <f t="shared" si="466"/>
        <v>4.7624999999999994E-3</v>
      </c>
      <c r="F3527" s="85">
        <f t="shared" si="467"/>
        <v>2.3812499999999997E-3</v>
      </c>
      <c r="G3527" s="85">
        <f t="shared" si="468"/>
        <v>5.6559243028167934E-8</v>
      </c>
      <c r="H3527" s="85">
        <v>7750</v>
      </c>
      <c r="I3527" s="85">
        <f t="shared" si="469"/>
        <v>4.3833413346830148E-4</v>
      </c>
      <c r="J3527" s="87">
        <v>1</v>
      </c>
      <c r="K3527" s="88">
        <f t="shared" si="470"/>
        <v>2281.3646568829572</v>
      </c>
    </row>
    <row r="3528" spans="1:11" hidden="1" x14ac:dyDescent="0.25">
      <c r="A3528" t="str">
        <f t="shared" si="475"/>
        <v>PPHØ6,35</v>
      </c>
      <c r="B3528" s="81" t="s">
        <v>202</v>
      </c>
      <c r="C3528" s="101" t="s">
        <v>218</v>
      </c>
      <c r="D3528" s="86">
        <f>1/4*25.4</f>
        <v>6.35</v>
      </c>
      <c r="E3528" s="85">
        <f t="shared" si="466"/>
        <v>6.3499999999999997E-3</v>
      </c>
      <c r="F3528" s="85">
        <f t="shared" si="467"/>
        <v>3.1749999999999999E-3</v>
      </c>
      <c r="G3528" s="85">
        <f t="shared" si="468"/>
        <v>1.3406635384454623E-7</v>
      </c>
      <c r="H3528" s="85">
        <v>870</v>
      </c>
      <c r="I3528" s="85">
        <f t="shared" si="469"/>
        <v>1.1663772784475523E-4</v>
      </c>
      <c r="J3528" s="87">
        <v>1</v>
      </c>
      <c r="K3528" s="88">
        <f t="shared" si="470"/>
        <v>8573.5552164647761</v>
      </c>
    </row>
    <row r="3529" spans="1:11" hidden="1" x14ac:dyDescent="0.25">
      <c r="A3529" t="str">
        <f t="shared" si="475"/>
        <v>304LØ4,7625</v>
      </c>
      <c r="B3529" s="81" t="s">
        <v>362</v>
      </c>
      <c r="C3529" s="101" t="s">
        <v>248</v>
      </c>
      <c r="D3529" s="86">
        <f>3/16*25.4</f>
        <v>4.7624999999999993</v>
      </c>
      <c r="E3529" s="85">
        <f t="shared" si="466"/>
        <v>4.7624999999999994E-3</v>
      </c>
      <c r="F3529" s="85">
        <f t="shared" si="467"/>
        <v>2.3812499999999997E-3</v>
      </c>
      <c r="G3529" s="85">
        <f t="shared" si="468"/>
        <v>5.6559243028167934E-8</v>
      </c>
      <c r="H3529" s="88">
        <v>7950</v>
      </c>
      <c r="I3529" s="85">
        <f t="shared" si="469"/>
        <v>4.4964598207393507E-4</v>
      </c>
      <c r="J3529" s="87">
        <v>1</v>
      </c>
      <c r="K3529" s="88">
        <f t="shared" si="470"/>
        <v>2223.9718353261533</v>
      </c>
    </row>
    <row r="3530" spans="1:11" hidden="1" x14ac:dyDescent="0.25">
      <c r="A3530" t="str">
        <f t="shared" si="475"/>
        <v>304LØ4,7625</v>
      </c>
      <c r="B3530" s="81" t="s">
        <v>362</v>
      </c>
      <c r="C3530" s="101" t="s">
        <v>248</v>
      </c>
      <c r="D3530" s="86">
        <f>3/16*25.4</f>
        <v>4.7624999999999993</v>
      </c>
      <c r="E3530" s="85">
        <f t="shared" si="466"/>
        <v>4.7624999999999994E-3</v>
      </c>
      <c r="F3530" s="85">
        <f t="shared" si="467"/>
        <v>2.3812499999999997E-3</v>
      </c>
      <c r="G3530" s="85">
        <f t="shared" si="468"/>
        <v>5.6559243028167934E-8</v>
      </c>
      <c r="H3530" s="88">
        <v>7950</v>
      </c>
      <c r="I3530" s="85">
        <f t="shared" si="469"/>
        <v>4.4964598207393507E-4</v>
      </c>
      <c r="J3530" s="87">
        <v>1</v>
      </c>
      <c r="K3530" s="88">
        <f t="shared" si="470"/>
        <v>2223.9718353261533</v>
      </c>
    </row>
    <row r="3531" spans="1:11" hidden="1" x14ac:dyDescent="0.25">
      <c r="A3531" t="str">
        <f t="shared" si="475"/>
        <v>304LØ4,7625</v>
      </c>
      <c r="B3531" s="81" t="s">
        <v>362</v>
      </c>
      <c r="C3531" s="101" t="s">
        <v>248</v>
      </c>
      <c r="D3531" s="86">
        <f>3/16*25.4</f>
        <v>4.7624999999999993</v>
      </c>
      <c r="E3531" s="85">
        <f t="shared" si="466"/>
        <v>4.7624999999999994E-3</v>
      </c>
      <c r="F3531" s="85">
        <f t="shared" si="467"/>
        <v>2.3812499999999997E-3</v>
      </c>
      <c r="G3531" s="85">
        <f t="shared" si="468"/>
        <v>5.6559243028167934E-8</v>
      </c>
      <c r="H3531" s="88">
        <v>7950</v>
      </c>
      <c r="I3531" s="85">
        <f t="shared" si="469"/>
        <v>4.4964598207393507E-4</v>
      </c>
      <c r="J3531" s="87">
        <v>1</v>
      </c>
      <c r="K3531" s="88">
        <f t="shared" si="470"/>
        <v>2223.9718353261533</v>
      </c>
    </row>
    <row r="3532" spans="1:11" hidden="1" x14ac:dyDescent="0.25">
      <c r="A3532" t="str">
        <f t="shared" si="475"/>
        <v>304LØ4,7625</v>
      </c>
      <c r="B3532" s="81" t="s">
        <v>362</v>
      </c>
      <c r="C3532" s="101" t="s">
        <v>248</v>
      </c>
      <c r="D3532" s="86">
        <f>3/16*25.4</f>
        <v>4.7624999999999993</v>
      </c>
      <c r="E3532" s="85">
        <f t="shared" si="466"/>
        <v>4.7624999999999994E-3</v>
      </c>
      <c r="F3532" s="85">
        <f t="shared" si="467"/>
        <v>2.3812499999999997E-3</v>
      </c>
      <c r="G3532" s="85">
        <f t="shared" si="468"/>
        <v>5.6559243028167934E-8</v>
      </c>
      <c r="H3532" s="88">
        <v>7950</v>
      </c>
      <c r="I3532" s="85">
        <f t="shared" si="469"/>
        <v>4.4964598207393507E-4</v>
      </c>
      <c r="J3532" s="87">
        <v>1</v>
      </c>
      <c r="K3532" s="88">
        <f t="shared" si="470"/>
        <v>2223.9718353261533</v>
      </c>
    </row>
    <row r="3533" spans="1:11" hidden="1" x14ac:dyDescent="0.25">
      <c r="A3533" t="str">
        <f t="shared" si="475"/>
        <v>304LØ4,7625</v>
      </c>
      <c r="B3533" s="81" t="s">
        <v>362</v>
      </c>
      <c r="C3533" s="101" t="s">
        <v>248</v>
      </c>
      <c r="D3533" s="86">
        <f>3/16*25.4</f>
        <v>4.7624999999999993</v>
      </c>
      <c r="E3533" s="85">
        <f t="shared" si="466"/>
        <v>4.7624999999999994E-3</v>
      </c>
      <c r="F3533" s="85">
        <f t="shared" si="467"/>
        <v>2.3812499999999997E-3</v>
      </c>
      <c r="G3533" s="85">
        <f t="shared" si="468"/>
        <v>5.6559243028167934E-8</v>
      </c>
      <c r="H3533" s="88">
        <v>7950</v>
      </c>
      <c r="I3533" s="85">
        <f t="shared" si="469"/>
        <v>4.4964598207393507E-4</v>
      </c>
      <c r="J3533" s="87">
        <v>1</v>
      </c>
      <c r="K3533" s="88">
        <f t="shared" si="470"/>
        <v>2223.9718353261533</v>
      </c>
    </row>
    <row r="3534" spans="1:11" hidden="1" x14ac:dyDescent="0.25">
      <c r="A3534" t="str">
        <f t="shared" si="475"/>
        <v>POMØ11,1125</v>
      </c>
      <c r="B3534" s="81" t="s">
        <v>201</v>
      </c>
      <c r="C3534" s="101" t="s">
        <v>274</v>
      </c>
      <c r="D3534" s="86">
        <f>7/16*25.4</f>
        <v>11.112499999999999</v>
      </c>
      <c r="E3534" s="85">
        <f t="shared" si="466"/>
        <v>1.1112499999999999E-2</v>
      </c>
      <c r="F3534" s="85">
        <f t="shared" si="467"/>
        <v>5.5562499999999996E-3</v>
      </c>
      <c r="G3534" s="85">
        <f t="shared" si="468"/>
        <v>7.1851186513561499E-7</v>
      </c>
      <c r="H3534" s="85">
        <v>1370</v>
      </c>
      <c r="I3534" s="85">
        <f t="shared" si="469"/>
        <v>9.8436125523579257E-4</v>
      </c>
      <c r="J3534" s="87">
        <v>1</v>
      </c>
      <c r="K3534" s="88">
        <f t="shared" si="470"/>
        <v>1015.8872006400347</v>
      </c>
    </row>
    <row r="3535" spans="1:11" hidden="1" x14ac:dyDescent="0.25">
      <c r="A3535" t="str">
        <f t="shared" si="475"/>
        <v>52100Ø1</v>
      </c>
      <c r="B3535" s="81">
        <v>52100</v>
      </c>
      <c r="D3535" s="86">
        <v>1</v>
      </c>
      <c r="E3535" s="85">
        <f t="shared" si="466"/>
        <v>1E-3</v>
      </c>
      <c r="F3535" s="85">
        <f t="shared" si="467"/>
        <v>5.0000000000000001E-4</v>
      </c>
      <c r="G3535" s="85">
        <f t="shared" si="468"/>
        <v>5.2359877559829886E-10</v>
      </c>
      <c r="H3535" s="85">
        <v>7800</v>
      </c>
      <c r="I3535" s="85">
        <f t="shared" si="469"/>
        <v>4.0840704496667312E-6</v>
      </c>
      <c r="J3535" s="87">
        <v>1</v>
      </c>
      <c r="K3535" s="88">
        <f t="shared" si="470"/>
        <v>244853.75860291591</v>
      </c>
    </row>
    <row r="3536" spans="1:11" x14ac:dyDescent="0.25">
      <c r="A3536" t="str">
        <f t="shared" si="475"/>
        <v>1085Ø3,8</v>
      </c>
      <c r="B3536" s="81">
        <v>1085</v>
      </c>
      <c r="D3536" s="86">
        <v>3.8</v>
      </c>
      <c r="E3536" s="85">
        <f t="shared" si="466"/>
        <v>3.8E-3</v>
      </c>
      <c r="F3536" s="85">
        <f t="shared" si="467"/>
        <v>1.9E-3</v>
      </c>
      <c r="G3536" s="85">
        <f t="shared" si="468"/>
        <v>2.8730912014629853E-8</v>
      </c>
      <c r="H3536" s="85">
        <v>7850</v>
      </c>
      <c r="I3536" s="85">
        <f t="shared" si="469"/>
        <v>2.2553765931484436E-4</v>
      </c>
      <c r="J3536" s="87">
        <v>1</v>
      </c>
      <c r="K3536" s="88">
        <f t="shared" si="470"/>
        <v>4433.8493315833675</v>
      </c>
    </row>
    <row r="3537" spans="1:11" hidden="1" x14ac:dyDescent="0.25">
      <c r="A3537" t="str">
        <f t="shared" si="475"/>
        <v>PPØ15</v>
      </c>
      <c r="B3537" s="81" t="s">
        <v>434</v>
      </c>
      <c r="D3537" s="86">
        <v>15</v>
      </c>
      <c r="E3537" s="85">
        <f t="shared" si="466"/>
        <v>1.4999999999999999E-2</v>
      </c>
      <c r="F3537" s="85">
        <f t="shared" si="467"/>
        <v>7.4999999999999997E-3</v>
      </c>
      <c r="G3537" s="85">
        <f t="shared" si="468"/>
        <v>1.7671458676442584E-6</v>
      </c>
      <c r="H3537" s="85">
        <v>870</v>
      </c>
      <c r="I3537" s="85">
        <f t="shared" si="469"/>
        <v>1.5374169048505049E-3</v>
      </c>
      <c r="J3537" s="87">
        <v>1</v>
      </c>
      <c r="K3537" s="88">
        <f t="shared" si="470"/>
        <v>650.44165759139867</v>
      </c>
    </row>
    <row r="3538" spans="1:11" hidden="1" x14ac:dyDescent="0.25">
      <c r="A3538" t="str">
        <f t="shared" si="475"/>
        <v>304LØ4,7625</v>
      </c>
      <c r="B3538" s="81" t="s">
        <v>362</v>
      </c>
      <c r="C3538" s="101" t="s">
        <v>248</v>
      </c>
      <c r="D3538" s="86">
        <f>3/16*25.4</f>
        <v>4.7624999999999993</v>
      </c>
      <c r="E3538" s="85">
        <f t="shared" si="466"/>
        <v>4.7624999999999994E-3</v>
      </c>
      <c r="F3538" s="85">
        <f t="shared" si="467"/>
        <v>2.3812499999999997E-3</v>
      </c>
      <c r="G3538" s="85">
        <f t="shared" si="468"/>
        <v>5.6559243028167934E-8</v>
      </c>
      <c r="H3538" s="88">
        <v>7950</v>
      </c>
      <c r="I3538" s="85">
        <f t="shared" si="469"/>
        <v>4.4964598207393507E-4</v>
      </c>
      <c r="J3538" s="87">
        <v>1</v>
      </c>
      <c r="K3538" s="88">
        <f t="shared" si="470"/>
        <v>2223.9718353261533</v>
      </c>
    </row>
    <row r="3539" spans="1:11" hidden="1" x14ac:dyDescent="0.25">
      <c r="A3539" t="str">
        <f t="shared" si="475"/>
        <v>304LØ6,35</v>
      </c>
      <c r="B3539" s="81" t="s">
        <v>362</v>
      </c>
      <c r="C3539" s="101" t="s">
        <v>218</v>
      </c>
      <c r="D3539" s="86">
        <f>1/4*25.4</f>
        <v>6.35</v>
      </c>
      <c r="E3539" s="85">
        <f t="shared" si="466"/>
        <v>6.3499999999999997E-3</v>
      </c>
      <c r="F3539" s="85">
        <f t="shared" si="467"/>
        <v>3.1749999999999999E-3</v>
      </c>
      <c r="G3539" s="85">
        <f t="shared" si="468"/>
        <v>1.3406635384454623E-7</v>
      </c>
      <c r="H3539" s="88">
        <v>7950</v>
      </c>
      <c r="I3539" s="85">
        <f t="shared" si="469"/>
        <v>1.0658275130641425E-3</v>
      </c>
      <c r="J3539" s="87">
        <v>1</v>
      </c>
      <c r="K3539" s="88">
        <f t="shared" si="470"/>
        <v>938.23811802822081</v>
      </c>
    </row>
    <row r="3540" spans="1:11" hidden="1" x14ac:dyDescent="0.25">
      <c r="A3540" t="str">
        <f t="shared" si="475"/>
        <v>304Ø2,87</v>
      </c>
      <c r="B3540" s="81">
        <v>304</v>
      </c>
      <c r="D3540" s="86">
        <v>2.87</v>
      </c>
      <c r="E3540" s="85">
        <f t="shared" si="466"/>
        <v>2.8700000000000002E-3</v>
      </c>
      <c r="F3540" s="85">
        <f t="shared" si="467"/>
        <v>1.4350000000000001E-3</v>
      </c>
      <c r="G3540" s="85">
        <f t="shared" si="468"/>
        <v>1.2377824266062552E-8</v>
      </c>
      <c r="H3540" s="85">
        <v>7950</v>
      </c>
      <c r="I3540" s="85">
        <f t="shared" si="469"/>
        <v>9.840370291519728E-5</v>
      </c>
      <c r="J3540" s="87">
        <v>1</v>
      </c>
      <c r="K3540" s="88">
        <f t="shared" si="470"/>
        <v>10162.219208984277</v>
      </c>
    </row>
    <row r="3541" spans="1:11" hidden="1" x14ac:dyDescent="0.25">
      <c r="A3541" t="str">
        <f t="shared" si="475"/>
        <v>SiCØ2</v>
      </c>
      <c r="B3541" s="81" t="s">
        <v>326</v>
      </c>
      <c r="D3541" s="86">
        <v>2</v>
      </c>
      <c r="E3541" s="85">
        <f t="shared" si="466"/>
        <v>2E-3</v>
      </c>
      <c r="F3541" s="85">
        <f t="shared" si="467"/>
        <v>1E-3</v>
      </c>
      <c r="G3541" s="85">
        <f t="shared" si="468"/>
        <v>4.1887902047863909E-9</v>
      </c>
      <c r="H3541" s="85">
        <v>3150</v>
      </c>
      <c r="I3541" s="85">
        <f t="shared" si="469"/>
        <v>1.3194689145077131E-5</v>
      </c>
      <c r="J3541" s="87">
        <v>1</v>
      </c>
      <c r="K3541" s="88">
        <f t="shared" si="470"/>
        <v>75788.068138997784</v>
      </c>
    </row>
    <row r="3542" spans="1:11" hidden="1" x14ac:dyDescent="0.25">
      <c r="A3542" t="str">
        <f t="shared" si="475"/>
        <v>316LØ4</v>
      </c>
      <c r="B3542" s="81" t="s">
        <v>298</v>
      </c>
      <c r="D3542" s="86">
        <v>4</v>
      </c>
      <c r="E3542" s="85">
        <f t="shared" si="466"/>
        <v>4.0000000000000001E-3</v>
      </c>
      <c r="F3542" s="85">
        <f t="shared" si="467"/>
        <v>2E-3</v>
      </c>
      <c r="G3542" s="85">
        <f t="shared" si="468"/>
        <v>3.3510321638291127E-8</v>
      </c>
      <c r="H3542" s="88">
        <v>7950</v>
      </c>
      <c r="I3542" s="85">
        <f t="shared" si="469"/>
        <v>2.6640705702441446E-4</v>
      </c>
      <c r="J3542" s="87">
        <v>1</v>
      </c>
      <c r="K3542" s="88">
        <f t="shared" si="470"/>
        <v>3753.6543182050787</v>
      </c>
    </row>
    <row r="3543" spans="1:11" hidden="1" x14ac:dyDescent="0.25">
      <c r="A3543" t="str">
        <f t="shared" si="475"/>
        <v>HDPEØ25</v>
      </c>
      <c r="B3543" s="81" t="s">
        <v>322</v>
      </c>
      <c r="D3543" s="86">
        <v>25</v>
      </c>
      <c r="E3543" s="85">
        <f t="shared" si="466"/>
        <v>2.5000000000000001E-2</v>
      </c>
      <c r="F3543" s="85">
        <f t="shared" si="467"/>
        <v>1.2500000000000001E-2</v>
      </c>
      <c r="G3543" s="85">
        <f t="shared" si="468"/>
        <v>8.1812308687234206E-6</v>
      </c>
      <c r="H3543" s="85">
        <v>970</v>
      </c>
      <c r="I3543" s="85">
        <f t="shared" si="469"/>
        <v>7.9357939426617178E-3</v>
      </c>
      <c r="J3543" s="87">
        <v>1</v>
      </c>
      <c r="K3543" s="88">
        <f t="shared" si="470"/>
        <v>126.01133638616042</v>
      </c>
    </row>
    <row r="3544" spans="1:11" hidden="1" x14ac:dyDescent="0.25">
      <c r="A3544" t="str">
        <f t="shared" si="475"/>
        <v>304Ø1,8</v>
      </c>
      <c r="B3544" s="81">
        <v>304</v>
      </c>
      <c r="D3544" s="86">
        <v>1.8</v>
      </c>
      <c r="E3544" s="85">
        <f t="shared" si="466"/>
        <v>1.8E-3</v>
      </c>
      <c r="F3544" s="85">
        <f t="shared" si="467"/>
        <v>8.9999999999999998E-4</v>
      </c>
      <c r="G3544" s="85">
        <f t="shared" si="468"/>
        <v>3.0536280592892781E-9</v>
      </c>
      <c r="H3544" s="85">
        <v>7950</v>
      </c>
      <c r="I3544" s="85">
        <f t="shared" si="469"/>
        <v>2.427634307134976E-5</v>
      </c>
      <c r="J3544" s="87">
        <v>1</v>
      </c>
      <c r="K3544" s="88">
        <f t="shared" si="470"/>
        <v>41192.365631880166</v>
      </c>
    </row>
    <row r="3545" spans="1:11" hidden="1" x14ac:dyDescent="0.25">
      <c r="A3545" t="str">
        <f t="shared" si="475"/>
        <v>Al2O3Ø1,5</v>
      </c>
      <c r="B3545" s="81" t="s">
        <v>217</v>
      </c>
      <c r="D3545" s="86">
        <v>1.5</v>
      </c>
      <c r="E3545" s="85">
        <f t="shared" si="466"/>
        <v>1.5E-3</v>
      </c>
      <c r="F3545" s="85">
        <f t="shared" si="467"/>
        <v>7.5000000000000002E-4</v>
      </c>
      <c r="G3545" s="85">
        <f t="shared" si="468"/>
        <v>1.7671458676442585E-9</v>
      </c>
      <c r="H3545" s="85">
        <v>3990</v>
      </c>
      <c r="I3545" s="85">
        <f t="shared" si="469"/>
        <v>7.0509120119005919E-6</v>
      </c>
      <c r="J3545" s="87">
        <v>1</v>
      </c>
      <c r="K3545" s="88">
        <f t="shared" si="470"/>
        <v>141825.6245875982</v>
      </c>
    </row>
    <row r="3546" spans="1:11" hidden="1" x14ac:dyDescent="0.25">
      <c r="A3546" t="str">
        <f t="shared" si="475"/>
        <v>Al2O3Ø1,5</v>
      </c>
      <c r="B3546" s="81" t="s">
        <v>217</v>
      </c>
      <c r="D3546" s="86">
        <v>1.5</v>
      </c>
      <c r="E3546" s="85">
        <f t="shared" si="466"/>
        <v>1.5E-3</v>
      </c>
      <c r="F3546" s="85">
        <f t="shared" si="467"/>
        <v>7.5000000000000002E-4</v>
      </c>
      <c r="G3546" s="85">
        <f t="shared" si="468"/>
        <v>1.7671458676442585E-9</v>
      </c>
      <c r="H3546" s="85">
        <v>4000</v>
      </c>
      <c r="I3546" s="85">
        <f t="shared" si="469"/>
        <v>7.0685834705770344E-6</v>
      </c>
      <c r="J3546" s="87">
        <v>1</v>
      </c>
      <c r="K3546" s="88">
        <f t="shared" si="470"/>
        <v>141471.06052612921</v>
      </c>
    </row>
    <row r="3547" spans="1:11" hidden="1" x14ac:dyDescent="0.25">
      <c r="A3547" t="str">
        <f t="shared" si="475"/>
        <v>420CØ10</v>
      </c>
      <c r="B3547" s="81" t="s">
        <v>295</v>
      </c>
      <c r="D3547" s="86">
        <v>10</v>
      </c>
      <c r="E3547" s="85">
        <f t="shared" si="466"/>
        <v>0.01</v>
      </c>
      <c r="F3547" s="85">
        <f t="shared" si="467"/>
        <v>5.0000000000000001E-3</v>
      </c>
      <c r="G3547" s="85">
        <f t="shared" si="468"/>
        <v>5.2359877559829882E-7</v>
      </c>
      <c r="H3547" s="85">
        <v>7750</v>
      </c>
      <c r="I3547" s="85">
        <f t="shared" si="469"/>
        <v>4.0578905108868161E-3</v>
      </c>
      <c r="J3547" s="87">
        <v>1</v>
      </c>
      <c r="K3547" s="88">
        <f t="shared" si="470"/>
        <v>246.43346027132182</v>
      </c>
    </row>
    <row r="3548" spans="1:11" hidden="1" x14ac:dyDescent="0.25">
      <c r="A3548" t="str">
        <f t="shared" si="475"/>
        <v>420CØ10</v>
      </c>
      <c r="B3548" s="81" t="s">
        <v>295</v>
      </c>
      <c r="D3548" s="86">
        <v>10</v>
      </c>
      <c r="E3548" s="85">
        <f t="shared" ref="E3548:E3551" si="476">D3548/1000</f>
        <v>0.01</v>
      </c>
      <c r="F3548" s="85">
        <f t="shared" ref="F3548:F3551" si="477">E3548/2</f>
        <v>5.0000000000000001E-3</v>
      </c>
      <c r="G3548" s="85">
        <f t="shared" ref="G3548:G3551" si="478">4/3*PI()*F3548*F3548*F3548</f>
        <v>5.2359877559829882E-7</v>
      </c>
      <c r="H3548" s="85">
        <v>7750</v>
      </c>
      <c r="I3548" s="85">
        <f t="shared" ref="I3548:I3551" si="479">H3548*G3548</f>
        <v>4.0578905108868161E-3</v>
      </c>
      <c r="J3548" s="87">
        <v>1</v>
      </c>
      <c r="K3548" s="88">
        <f t="shared" ref="K3548:K3551" si="480">J3548/I3548</f>
        <v>246.43346027132182</v>
      </c>
    </row>
    <row r="3549" spans="1:11" hidden="1" x14ac:dyDescent="0.25">
      <c r="A3549" t="str">
        <f t="shared" si="475"/>
        <v>SiCØ1</v>
      </c>
      <c r="B3549" s="81" t="s">
        <v>326</v>
      </c>
      <c r="D3549" s="86">
        <v>1</v>
      </c>
      <c r="E3549" s="85">
        <f t="shared" si="476"/>
        <v>1E-3</v>
      </c>
      <c r="F3549" s="85">
        <f t="shared" si="477"/>
        <v>5.0000000000000001E-4</v>
      </c>
      <c r="G3549" s="85">
        <f t="shared" si="478"/>
        <v>5.2359877559829886E-10</v>
      </c>
      <c r="H3549" s="85">
        <v>3150</v>
      </c>
      <c r="I3549" s="85">
        <f t="shared" si="479"/>
        <v>1.6493361431346413E-6</v>
      </c>
      <c r="J3549" s="87">
        <v>1</v>
      </c>
      <c r="K3549" s="88">
        <f t="shared" si="480"/>
        <v>606304.54511198227</v>
      </c>
    </row>
    <row r="3550" spans="1:11" hidden="1" x14ac:dyDescent="0.25">
      <c r="A3550" t="str">
        <f t="shared" si="475"/>
        <v>SiCØ1,34</v>
      </c>
      <c r="B3550" s="81" t="s">
        <v>326</v>
      </c>
      <c r="D3550" s="86">
        <v>1.34</v>
      </c>
      <c r="E3550" s="85">
        <f t="shared" si="476"/>
        <v>1.34E-3</v>
      </c>
      <c r="F3550" s="85">
        <f t="shared" si="477"/>
        <v>6.7000000000000002E-4</v>
      </c>
      <c r="G3550" s="85">
        <f t="shared" si="478"/>
        <v>1.2598331083621693E-9</v>
      </c>
      <c r="H3550" s="85">
        <v>3150</v>
      </c>
      <c r="I3550" s="85">
        <f t="shared" si="479"/>
        <v>3.9684742913408336E-6</v>
      </c>
      <c r="J3550" s="87">
        <v>1</v>
      </c>
      <c r="K3550" s="88">
        <f t="shared" si="480"/>
        <v>251986.00937947078</v>
      </c>
    </row>
    <row r="3551" spans="1:11" hidden="1" x14ac:dyDescent="0.25">
      <c r="A3551" t="str">
        <f t="shared" si="475"/>
        <v>SiCØ1,5</v>
      </c>
      <c r="B3551" s="81" t="s">
        <v>326</v>
      </c>
      <c r="D3551" s="86">
        <v>1.5</v>
      </c>
      <c r="E3551" s="85">
        <f t="shared" si="476"/>
        <v>1.5E-3</v>
      </c>
      <c r="F3551" s="85">
        <f t="shared" si="477"/>
        <v>7.5000000000000002E-4</v>
      </c>
      <c r="G3551" s="85">
        <f t="shared" si="478"/>
        <v>1.7671458676442585E-9</v>
      </c>
      <c r="H3551" s="85">
        <v>3150</v>
      </c>
      <c r="I3551" s="85">
        <f t="shared" si="479"/>
        <v>5.5665094830794142E-6</v>
      </c>
      <c r="J3551" s="87">
        <v>1</v>
      </c>
      <c r="K3551" s="88">
        <f t="shared" si="480"/>
        <v>179645.79114429106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AF81D9FC492D468DE8085174DB0A3F" ma:contentTypeVersion="4" ma:contentTypeDescription="Creare un nuovo documento." ma:contentTypeScope="" ma:versionID="519cee4bfecded87e9ea5ea06f9fea51">
  <xsd:schema xmlns:xsd="http://www.w3.org/2001/XMLSchema" xmlns:xs="http://www.w3.org/2001/XMLSchema" xmlns:p="http://schemas.microsoft.com/office/2006/metadata/properties" xmlns:ns2="90d9fd0e-5533-4bd9-9a60-87bff4b132a2" targetNamespace="http://schemas.microsoft.com/office/2006/metadata/properties" ma:root="true" ma:fieldsID="4a211833fd67e90c0bd4830416aba7fd" ns2:_="">
    <xsd:import namespace="90d9fd0e-5533-4bd9-9a60-87bff4b13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fd0e-5533-4bd9-9a60-87bff4b132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4AE5C8-1F04-4BDA-AEC5-20E94D504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9fd0e-5533-4bd9-9a60-87bff4b13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1E3967-AC70-4781-91C7-9CEF91F05AC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90d9fd0e-5533-4bd9-9a60-87bff4b132a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10BE4B4-16FA-4BF3-B7C5-E47434CF70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2</vt:i4>
      </vt:variant>
    </vt:vector>
  </HeadingPairs>
  <TitlesOfParts>
    <vt:vector size="11" baseType="lpstr">
      <vt:lpstr>Sistemi di rilevazione costi</vt:lpstr>
      <vt:lpstr>Riepilogo Lotto-Commessa</vt:lpstr>
      <vt:lpstr>STAMPAGGIO</vt:lpstr>
      <vt:lpstr>SGROSSATURA</vt:lpstr>
      <vt:lpstr>RETTIFICA</vt:lpstr>
      <vt:lpstr>LAPPATURA</vt:lpstr>
      <vt:lpstr>Lavorazioni Esterne</vt:lpstr>
      <vt:lpstr>Calcolo costo orario</vt:lpstr>
      <vt:lpstr>NUMERO SFERE DA PESO</vt:lpstr>
      <vt:lpstr>DIAMETRO</vt:lpstr>
      <vt:lpstr>MATERIALE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Gabriele Barzaghi</dc:creator>
  <cp:keywords/>
  <dc:description/>
  <cp:lastModifiedBy>Marilena Zardoni</cp:lastModifiedBy>
  <cp:revision/>
  <cp:lastPrinted>2024-04-15T06:44:02Z</cp:lastPrinted>
  <dcterms:created xsi:type="dcterms:W3CDTF">2023-03-14T08:01:37Z</dcterms:created>
  <dcterms:modified xsi:type="dcterms:W3CDTF">2024-04-15T06:44:03Z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0x01010038AF81D9FC492D468DE8085174DB0A3F</vt:lpwstr>
  </property>
</Properties>
</file>