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bc1\AC\Temp\"/>
    </mc:Choice>
  </mc:AlternateContent>
  <xr:revisionPtr revIDLastSave="0" documentId="8_{574A5F94-9376-4BEE-ABB4-616528B58F9A}" xr6:coauthVersionLast="47" xr6:coauthVersionMax="47" xr10:uidLastSave="{00000000-0000-0000-0000-000000000000}"/>
  <bookViews>
    <workbookView xWindow="-60" yWindow="-60" windowWidth="15480" windowHeight="11640" firstSheet="5" activeTab="5" xr2:uid="{00000000-000D-0000-FFFF-FFFF00000000}"/>
  </bookViews>
  <sheets>
    <sheet name="Estimación" sheetId="1" r:id="rId1"/>
    <sheet name="Plan_Financiero" sheetId="6" r:id="rId2"/>
    <sheet name="Indicadores" sheetId="7" r:id="rId3"/>
    <sheet name="Situación" sheetId="2" r:id="rId4"/>
    <sheet name="Evolución" sheetId="4" r:id="rId5"/>
    <sheet name="Cierre" sheetId="3" r:id="rId6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3" l="1"/>
  <c r="J29" i="3"/>
  <c r="E26" i="3"/>
  <c r="J24" i="3"/>
  <c r="H26" i="3"/>
  <c r="C7" i="3"/>
  <c r="C8" i="3"/>
  <c r="J8" i="3"/>
  <c r="M11" i="3"/>
  <c r="L14" i="3"/>
  <c r="L15" i="3"/>
  <c r="F24" i="3"/>
  <c r="I24" i="3"/>
  <c r="L24" i="3"/>
  <c r="M24" i="3"/>
  <c r="N24" i="3"/>
  <c r="I25" i="3"/>
  <c r="M25" i="3"/>
  <c r="J25" i="3"/>
  <c r="L25" i="3"/>
  <c r="N25" i="3"/>
  <c r="J26" i="3"/>
  <c r="L26" i="3"/>
  <c r="N26" i="3" s="1"/>
  <c r="M26" i="3"/>
  <c r="I27" i="3"/>
  <c r="M27" i="3"/>
  <c r="I28" i="3"/>
  <c r="J28" i="3"/>
  <c r="L28" i="3"/>
  <c r="M28" i="3"/>
  <c r="N28" i="3"/>
  <c r="F29" i="3"/>
  <c r="I29" i="3"/>
  <c r="M29" i="3"/>
  <c r="L29" i="3"/>
  <c r="N29" i="3"/>
  <c r="H31" i="3"/>
  <c r="M12" i="3"/>
  <c r="F35" i="3"/>
  <c r="M35" i="3"/>
  <c r="N35" i="3"/>
  <c r="F36" i="3"/>
  <c r="M36" i="3"/>
  <c r="N36" i="3"/>
  <c r="J37" i="3"/>
  <c r="I38" i="3"/>
  <c r="J39" i="3"/>
  <c r="J40" i="3"/>
  <c r="J41" i="3"/>
  <c r="J45" i="3"/>
  <c r="M45" i="3"/>
  <c r="N45" i="3"/>
  <c r="F46" i="3"/>
  <c r="J46" i="3"/>
  <c r="M46" i="3"/>
  <c r="N46" i="3"/>
  <c r="F47" i="3"/>
  <c r="J47" i="3"/>
  <c r="M47" i="3"/>
  <c r="N47" i="3"/>
  <c r="J48" i="3"/>
  <c r="J50" i="3"/>
  <c r="I51" i="3"/>
  <c r="I78" i="3"/>
  <c r="F79" i="3"/>
  <c r="I79" i="3"/>
  <c r="F83" i="3"/>
  <c r="I83" i="3"/>
  <c r="F84" i="3"/>
  <c r="I84" i="3"/>
  <c r="M84" i="3"/>
  <c r="F85" i="3"/>
  <c r="I85" i="3"/>
  <c r="M85" i="3"/>
  <c r="F86" i="3"/>
  <c r="I86" i="3"/>
  <c r="M86" i="3"/>
  <c r="F87" i="3"/>
  <c r="I87" i="3"/>
  <c r="M87" i="3"/>
  <c r="F88" i="3"/>
  <c r="I88" i="3"/>
  <c r="M88" i="3"/>
  <c r="I94" i="3"/>
  <c r="L14" i="1"/>
  <c r="L13" i="3"/>
  <c r="M22" i="1"/>
  <c r="M23" i="1"/>
  <c r="M24" i="1"/>
  <c r="M25" i="1"/>
  <c r="M26" i="1"/>
  <c r="M27" i="1"/>
  <c r="E29" i="1"/>
  <c r="M36" i="1"/>
  <c r="G44" i="1"/>
  <c r="M52" i="1"/>
  <c r="I65" i="1"/>
  <c r="M65" i="1"/>
  <c r="I67" i="1"/>
  <c r="M67" i="1"/>
  <c r="C7" i="4"/>
  <c r="J7" i="4"/>
  <c r="C8" i="4"/>
  <c r="J8" i="4"/>
  <c r="D10" i="4"/>
  <c r="J10" i="4"/>
  <c r="U14" i="4"/>
  <c r="E23" i="4"/>
  <c r="F23" i="4"/>
  <c r="V23" i="4"/>
  <c r="U23" i="4"/>
  <c r="E24" i="4"/>
  <c r="F24" i="4"/>
  <c r="V24" i="4"/>
  <c r="U24" i="4"/>
  <c r="E25" i="4"/>
  <c r="F25" i="4"/>
  <c r="V25" i="4"/>
  <c r="U25" i="4"/>
  <c r="E26" i="4"/>
  <c r="F26" i="4"/>
  <c r="V26" i="4"/>
  <c r="U26" i="4"/>
  <c r="E27" i="4"/>
  <c r="F27" i="4"/>
  <c r="V27" i="4"/>
  <c r="U27" i="4"/>
  <c r="E28" i="4"/>
  <c r="F28" i="4"/>
  <c r="V28" i="4"/>
  <c r="U28" i="4"/>
  <c r="F30" i="4"/>
  <c r="H30" i="4"/>
  <c r="I30" i="4"/>
  <c r="J30" i="4"/>
  <c r="K30" i="4"/>
  <c r="V30" i="4"/>
  <c r="F34" i="4"/>
  <c r="F35" i="4"/>
  <c r="V35" i="4"/>
  <c r="U35" i="4"/>
  <c r="H37" i="4"/>
  <c r="I37" i="4"/>
  <c r="J37" i="4"/>
  <c r="K37" i="4"/>
  <c r="L37" i="4"/>
  <c r="M37" i="4"/>
  <c r="N37" i="4"/>
  <c r="O37" i="4"/>
  <c r="P37" i="4"/>
  <c r="Q37" i="4"/>
  <c r="R37" i="4"/>
  <c r="S37" i="4"/>
  <c r="F44" i="4"/>
  <c r="U44" i="4"/>
  <c r="V44" i="4"/>
  <c r="F45" i="4"/>
  <c r="U45" i="4"/>
  <c r="V45" i="4"/>
  <c r="F46" i="4"/>
  <c r="H50" i="4"/>
  <c r="I50" i="4"/>
  <c r="J50" i="4"/>
  <c r="K50" i="4"/>
  <c r="L50" i="4"/>
  <c r="M50" i="4"/>
  <c r="N50" i="4"/>
  <c r="O50" i="4"/>
  <c r="P50" i="4"/>
  <c r="Q50" i="4"/>
  <c r="R50" i="4"/>
  <c r="S50" i="4"/>
  <c r="H53" i="4"/>
  <c r="C7" i="7"/>
  <c r="J7" i="7"/>
  <c r="C8" i="7"/>
  <c r="J8" i="7"/>
  <c r="C10" i="7"/>
  <c r="J10" i="7"/>
  <c r="Q14" i="7"/>
  <c r="R19" i="7"/>
  <c r="E46" i="7"/>
  <c r="E47" i="7"/>
  <c r="E48" i="7"/>
  <c r="E49" i="7"/>
  <c r="E50" i="7"/>
  <c r="E51" i="7"/>
  <c r="C7" i="6"/>
  <c r="J7" i="6"/>
  <c r="C8" i="6"/>
  <c r="J8" i="6"/>
  <c r="C10" i="6"/>
  <c r="J10" i="6"/>
  <c r="Q14" i="6"/>
  <c r="Q25" i="6"/>
  <c r="R25" i="6"/>
  <c r="Q26" i="6"/>
  <c r="R26" i="6"/>
  <c r="Q27" i="6"/>
  <c r="R27" i="6"/>
  <c r="Q28" i="6"/>
  <c r="R28" i="6"/>
  <c r="Q29" i="6"/>
  <c r="R29" i="6"/>
  <c r="Q30" i="6"/>
  <c r="R30" i="6"/>
  <c r="D32" i="6"/>
  <c r="E32" i="6"/>
  <c r="F32" i="6"/>
  <c r="G32" i="6"/>
  <c r="H32" i="6"/>
  <c r="I32" i="6"/>
  <c r="J32" i="6"/>
  <c r="K32" i="6"/>
  <c r="L32" i="6"/>
  <c r="M32" i="6"/>
  <c r="N32" i="6"/>
  <c r="O32" i="6"/>
  <c r="Q32" i="6"/>
  <c r="D35" i="6"/>
  <c r="E35" i="6"/>
  <c r="F35" i="6"/>
  <c r="G35" i="6"/>
  <c r="H35" i="6"/>
  <c r="I35" i="6"/>
  <c r="J35" i="6"/>
  <c r="K35" i="6"/>
  <c r="L35" i="6"/>
  <c r="M35" i="6"/>
  <c r="N35" i="6"/>
  <c r="O35" i="6"/>
  <c r="R35" i="6"/>
  <c r="Q36" i="6"/>
  <c r="R36" i="6"/>
  <c r="Q37" i="6"/>
  <c r="R37" i="6"/>
  <c r="D38" i="6"/>
  <c r="E38" i="6"/>
  <c r="F38" i="6"/>
  <c r="G38" i="6"/>
  <c r="H38" i="6"/>
  <c r="I38" i="6"/>
  <c r="I45" i="6" s="1"/>
  <c r="I55" i="6" s="1"/>
  <c r="I59" i="6" s="1"/>
  <c r="J38" i="6"/>
  <c r="K38" i="6"/>
  <c r="L38" i="6"/>
  <c r="M38" i="6"/>
  <c r="M45" i="6" s="1"/>
  <c r="M55" i="6" s="1"/>
  <c r="M59" i="6" s="1"/>
  <c r="N38" i="6"/>
  <c r="O38" i="6"/>
  <c r="O45" i="6"/>
  <c r="Q39" i="6"/>
  <c r="Q40" i="6"/>
  <c r="Q41" i="6"/>
  <c r="R41" i="6"/>
  <c r="Q42" i="6"/>
  <c r="R42" i="6"/>
  <c r="Q43" i="6"/>
  <c r="D45" i="6"/>
  <c r="F45" i="6"/>
  <c r="G45" i="6"/>
  <c r="H45" i="6"/>
  <c r="J45" i="6"/>
  <c r="K45" i="6"/>
  <c r="L45" i="6"/>
  <c r="N45" i="6"/>
  <c r="D46" i="6"/>
  <c r="Q49" i="6"/>
  <c r="D50" i="6"/>
  <c r="E50" i="6"/>
  <c r="F50" i="6"/>
  <c r="G50" i="6"/>
  <c r="H50" i="6"/>
  <c r="I50" i="6"/>
  <c r="J50" i="6"/>
  <c r="K50" i="6"/>
  <c r="L50" i="6"/>
  <c r="M50" i="6"/>
  <c r="N50" i="6"/>
  <c r="O50" i="6"/>
  <c r="D55" i="6"/>
  <c r="F55" i="6"/>
  <c r="G55" i="6"/>
  <c r="H55" i="6"/>
  <c r="J55" i="6"/>
  <c r="K55" i="6"/>
  <c r="L55" i="6"/>
  <c r="N55" i="6"/>
  <c r="D57" i="6"/>
  <c r="D59" i="6"/>
  <c r="F59" i="6"/>
  <c r="H59" i="6"/>
  <c r="J59" i="6"/>
  <c r="K59" i="6"/>
  <c r="L59" i="6"/>
  <c r="N59" i="6"/>
  <c r="D61" i="6"/>
  <c r="D63" i="6"/>
  <c r="F63" i="6"/>
  <c r="G63" i="6"/>
  <c r="H63" i="6"/>
  <c r="I63" i="6"/>
  <c r="J63" i="6"/>
  <c r="K63" i="6"/>
  <c r="L63" i="6"/>
  <c r="M63" i="6"/>
  <c r="N63" i="6"/>
  <c r="D65" i="6"/>
  <c r="F65" i="6"/>
  <c r="G65" i="6"/>
  <c r="H65" i="6"/>
  <c r="I65" i="6"/>
  <c r="J65" i="6"/>
  <c r="K65" i="6"/>
  <c r="L65" i="6"/>
  <c r="M65" i="6"/>
  <c r="N65" i="6"/>
  <c r="C7" i="2"/>
  <c r="J7" i="2"/>
  <c r="C8" i="2"/>
  <c r="J8" i="2"/>
  <c r="C10" i="2"/>
  <c r="J10" i="2"/>
  <c r="L14" i="2"/>
  <c r="E23" i="2"/>
  <c r="M23" i="2"/>
  <c r="F23" i="2"/>
  <c r="I23" i="2"/>
  <c r="E24" i="2"/>
  <c r="J24" i="2"/>
  <c r="F24" i="2"/>
  <c r="I24" i="2"/>
  <c r="L24" i="2"/>
  <c r="E25" i="2"/>
  <c r="M25" i="2"/>
  <c r="F25" i="2"/>
  <c r="I25" i="2"/>
  <c r="E26" i="2"/>
  <c r="J26" i="2"/>
  <c r="F26" i="2"/>
  <c r="I26" i="2"/>
  <c r="L26" i="2"/>
  <c r="E27" i="2"/>
  <c r="M27" i="2"/>
  <c r="F27" i="2"/>
  <c r="I27" i="2"/>
  <c r="E28" i="2"/>
  <c r="J28" i="2"/>
  <c r="F28" i="2"/>
  <c r="I28" i="2"/>
  <c r="L28" i="2"/>
  <c r="E30" i="2"/>
  <c r="H30" i="2"/>
  <c r="L30" i="2" s="1"/>
  <c r="F34" i="2"/>
  <c r="L34" i="2"/>
  <c r="J34" i="2"/>
  <c r="M34" i="2"/>
  <c r="F35" i="2"/>
  <c r="L35" i="2"/>
  <c r="J35" i="2"/>
  <c r="M35" i="2"/>
  <c r="F37" i="2"/>
  <c r="J37" i="2"/>
  <c r="M37" i="2"/>
  <c r="I37" i="2"/>
  <c r="L37" i="2"/>
  <c r="F44" i="2"/>
  <c r="J44" i="2"/>
  <c r="L44" i="2"/>
  <c r="M44" i="2"/>
  <c r="F45" i="2"/>
  <c r="J45" i="2"/>
  <c r="L45" i="2"/>
  <c r="M45" i="2"/>
  <c r="F46" i="2"/>
  <c r="J46" i="2"/>
  <c r="L46" i="2"/>
  <c r="M46" i="2"/>
  <c r="O55" i="6"/>
  <c r="O63" i="6"/>
  <c r="O65" i="6"/>
  <c r="Q35" i="6"/>
  <c r="E45" i="6"/>
  <c r="U34" i="4"/>
  <c r="V34" i="4"/>
  <c r="F37" i="4"/>
  <c r="K53" i="4"/>
  <c r="L30" i="4"/>
  <c r="K29" i="1"/>
  <c r="E31" i="3"/>
  <c r="G29" i="1"/>
  <c r="I29" i="1"/>
  <c r="E40" i="1"/>
  <c r="E42" i="1"/>
  <c r="L13" i="1"/>
  <c r="F90" i="3"/>
  <c r="J27" i="3"/>
  <c r="J30" i="2"/>
  <c r="I41" i="2"/>
  <c r="I50" i="2"/>
  <c r="L25" i="2"/>
  <c r="L23" i="2"/>
  <c r="M28" i="2"/>
  <c r="J27" i="2"/>
  <c r="M26" i="2"/>
  <c r="J25" i="2"/>
  <c r="M24" i="2"/>
  <c r="J23" i="2"/>
  <c r="J53" i="4"/>
  <c r="U46" i="4"/>
  <c r="V46" i="4"/>
  <c r="I53" i="4"/>
  <c r="E41" i="1"/>
  <c r="I31" i="3"/>
  <c r="L27" i="3"/>
  <c r="N27" i="3" s="1"/>
  <c r="F31" i="3"/>
  <c r="L27" i="2"/>
  <c r="M30" i="2"/>
  <c r="G59" i="6"/>
  <c r="Q38" i="6"/>
  <c r="R32" i="6"/>
  <c r="E30" i="4"/>
  <c r="I90" i="3"/>
  <c r="M90" i="3"/>
  <c r="M83" i="3"/>
  <c r="F38" i="3"/>
  <c r="J36" i="3"/>
  <c r="J35" i="3"/>
  <c r="Q13" i="6"/>
  <c r="L12" i="3"/>
  <c r="U13" i="4"/>
  <c r="Q13" i="7"/>
  <c r="L13" i="2"/>
  <c r="Q45" i="6"/>
  <c r="E55" i="6"/>
  <c r="E46" i="6"/>
  <c r="F46" i="6"/>
  <c r="G46" i="6"/>
  <c r="H46" i="6"/>
  <c r="I46" i="6"/>
  <c r="J46" i="6"/>
  <c r="K46" i="6"/>
  <c r="L46" i="6"/>
  <c r="M46" i="6"/>
  <c r="N46" i="6"/>
  <c r="O46" i="6"/>
  <c r="E63" i="6"/>
  <c r="E65" i="6"/>
  <c r="O59" i="6"/>
  <c r="M31" i="3"/>
  <c r="I54" i="3"/>
  <c r="I71" i="3" s="1"/>
  <c r="I77" i="3"/>
  <c r="J77" i="3"/>
  <c r="M38" i="3"/>
  <c r="N38" i="3"/>
  <c r="F94" i="3"/>
  <c r="M94" i="3"/>
  <c r="J38" i="3"/>
  <c r="F78" i="3"/>
  <c r="M42" i="1"/>
  <c r="R40" i="6"/>
  <c r="F43" i="4"/>
  <c r="F44" i="3"/>
  <c r="F43" i="2"/>
  <c r="J31" i="3"/>
  <c r="L31" i="3"/>
  <c r="N31" i="3"/>
  <c r="F71" i="3"/>
  <c r="M71" i="3"/>
  <c r="U37" i="4"/>
  <c r="V37" i="4"/>
  <c r="M40" i="1"/>
  <c r="F41" i="4"/>
  <c r="F41" i="2"/>
  <c r="F77" i="3"/>
  <c r="M41" i="1"/>
  <c r="R39" i="6"/>
  <c r="F42" i="2"/>
  <c r="F42" i="4"/>
  <c r="M30" i="4"/>
  <c r="L53" i="4"/>
  <c r="J43" i="3"/>
  <c r="N43" i="3"/>
  <c r="M43" i="3"/>
  <c r="J41" i="2"/>
  <c r="M41" i="2"/>
  <c r="L41" i="2"/>
  <c r="F48" i="2"/>
  <c r="J42" i="3"/>
  <c r="M42" i="3"/>
  <c r="N42" i="3" s="1"/>
  <c r="F49" i="3"/>
  <c r="F51" i="3"/>
  <c r="M43" i="2"/>
  <c r="J43" i="2"/>
  <c r="L43" i="2"/>
  <c r="Q55" i="6"/>
  <c r="E59" i="6"/>
  <c r="E61" i="6"/>
  <c r="F61" i="6"/>
  <c r="G61" i="6"/>
  <c r="H61" i="6"/>
  <c r="I61" i="6"/>
  <c r="J61" i="6"/>
  <c r="K61" i="6"/>
  <c r="L61" i="6"/>
  <c r="M61" i="6"/>
  <c r="N61" i="6"/>
  <c r="O61" i="6"/>
  <c r="E57" i="6"/>
  <c r="M53" i="4"/>
  <c r="N30" i="4"/>
  <c r="U42" i="4"/>
  <c r="V42" i="4"/>
  <c r="V41" i="4"/>
  <c r="U41" i="4"/>
  <c r="J44" i="3"/>
  <c r="N44" i="3"/>
  <c r="M44" i="3"/>
  <c r="J42" i="2"/>
  <c r="M42" i="2"/>
  <c r="L42" i="2"/>
  <c r="M44" i="1"/>
  <c r="R38" i="6"/>
  <c r="F48" i="4"/>
  <c r="F50" i="4"/>
  <c r="V43" i="4"/>
  <c r="U43" i="4"/>
  <c r="J78" i="3"/>
  <c r="J79" i="3"/>
  <c r="I92" i="3"/>
  <c r="J94" i="3"/>
  <c r="J92" i="3"/>
  <c r="I62" i="3"/>
  <c r="J62" i="3" s="1"/>
  <c r="J51" i="3"/>
  <c r="M51" i="3"/>
  <c r="N51" i="3" s="1"/>
  <c r="F54" i="3"/>
  <c r="U50" i="4"/>
  <c r="V50" i="4"/>
  <c r="F53" i="4"/>
  <c r="F57" i="6"/>
  <c r="G57" i="6"/>
  <c r="H57" i="6"/>
  <c r="I57" i="6"/>
  <c r="J57" i="6"/>
  <c r="K57" i="6"/>
  <c r="L57" i="6"/>
  <c r="M57" i="6"/>
  <c r="N57" i="6"/>
  <c r="O57" i="6"/>
  <c r="Q57" i="6"/>
  <c r="J48" i="2"/>
  <c r="L48" i="2"/>
  <c r="M48" i="2"/>
  <c r="F50" i="2"/>
  <c r="M13" i="3"/>
  <c r="I73" i="3"/>
  <c r="I66" i="1"/>
  <c r="M66" i="1"/>
  <c r="O30" i="4"/>
  <c r="N53" i="4"/>
  <c r="V48" i="4"/>
  <c r="U48" i="4"/>
  <c r="M49" i="3"/>
  <c r="N49" i="3"/>
  <c r="J49" i="3"/>
  <c r="R43" i="6"/>
  <c r="R45" i="6"/>
  <c r="O53" i="4"/>
  <c r="P30" i="4"/>
  <c r="J54" i="3"/>
  <c r="G94" i="3"/>
  <c r="G77" i="3"/>
  <c r="G78" i="3"/>
  <c r="G79" i="3"/>
  <c r="F92" i="3"/>
  <c r="M92" i="3"/>
  <c r="G92" i="3"/>
  <c r="M54" i="3"/>
  <c r="N54" i="3" s="1"/>
  <c r="V53" i="4"/>
  <c r="I62" i="4"/>
  <c r="M62" i="4"/>
  <c r="Q62" i="4"/>
  <c r="F62" i="4"/>
  <c r="K62" i="4"/>
  <c r="O62" i="4"/>
  <c r="S62" i="4"/>
  <c r="H62" i="4"/>
  <c r="L62" i="4"/>
  <c r="P62" i="4"/>
  <c r="R62" i="4"/>
  <c r="J62" i="4"/>
  <c r="N62" i="4"/>
  <c r="M50" i="2"/>
  <c r="J50" i="2"/>
  <c r="L50" i="2"/>
  <c r="N46" i="7"/>
  <c r="I75" i="3"/>
  <c r="Q30" i="4"/>
  <c r="P53" i="4"/>
  <c r="V62" i="4"/>
  <c r="Q53" i="4"/>
  <c r="R30" i="4"/>
  <c r="S30" i="4"/>
  <c r="R53" i="4"/>
  <c r="S53" i="4"/>
  <c r="U30" i="4"/>
  <c r="U53" i="4"/>
  <c r="F30" i="2" l="1"/>
  <c r="F53" i="2" s="1"/>
  <c r="I30" i="2"/>
  <c r="I53" i="2" s="1"/>
  <c r="M29" i="1"/>
  <c r="I64" i="1" l="1"/>
  <c r="M64" i="1" s="1"/>
  <c r="M69" i="1" s="1"/>
  <c r="M55" i="1"/>
  <c r="L53" i="2"/>
  <c r="M53" i="2"/>
  <c r="J53" i="2"/>
  <c r="G61" i="2"/>
  <c r="I69" i="1" l="1"/>
  <c r="I72" i="1" l="1"/>
  <c r="M72" i="1" s="1"/>
  <c r="M77" i="1" s="1"/>
  <c r="G69" i="1"/>
  <c r="L12" i="1" l="1"/>
  <c r="F60" i="3"/>
  <c r="M79" i="1"/>
  <c r="R55" i="6"/>
  <c r="R57" i="6" s="1"/>
  <c r="F59" i="4"/>
  <c r="R49" i="6"/>
  <c r="F59" i="2"/>
  <c r="L59" i="2" l="1"/>
  <c r="J59" i="2"/>
  <c r="M59" i="2" s="1"/>
  <c r="F61" i="2"/>
  <c r="F61" i="4"/>
  <c r="K61" i="4"/>
  <c r="O61" i="4"/>
  <c r="U59" i="4"/>
  <c r="I61" i="4"/>
  <c r="M61" i="4"/>
  <c r="Q61" i="4"/>
  <c r="V59" i="4"/>
  <c r="J61" i="4"/>
  <c r="N61" i="4"/>
  <c r="R61" i="4"/>
  <c r="P61" i="4"/>
  <c r="H61" i="4"/>
  <c r="L61" i="4"/>
  <c r="S61" i="4"/>
  <c r="J60" i="3"/>
  <c r="N60" i="3"/>
  <c r="F62" i="3"/>
  <c r="G62" i="3" s="1"/>
  <c r="F73" i="3" s="1"/>
  <c r="M60" i="3"/>
  <c r="L11" i="3"/>
  <c r="U12" i="4"/>
  <c r="Q12" i="7"/>
  <c r="Q12" i="6"/>
  <c r="L12" i="2"/>
  <c r="M62" i="3" l="1"/>
  <c r="N62" i="3" s="1"/>
  <c r="F75" i="3"/>
  <c r="M73" i="3"/>
  <c r="U61" i="4"/>
</calcChain>
</file>

<file path=xl/sharedStrings.xml><?xml version="1.0" encoding="utf-8"?>
<sst xmlns="http://schemas.openxmlformats.org/spreadsheetml/2006/main" count="342" uniqueCount="159">
  <si>
    <t>HOJA DE ESTIMACION ECONOMICA DE PROYECTO</t>
  </si>
  <si>
    <t>TITULO :</t>
  </si>
  <si>
    <t>REFERENCIA :</t>
  </si>
  <si>
    <t>CLIENTE :</t>
  </si>
  <si>
    <t>DIRECTOR :</t>
  </si>
  <si>
    <t>FECHA INICIO :</t>
  </si>
  <si>
    <t>FECHA FIN :</t>
  </si>
  <si>
    <t>PRECIO VENTA (SIN IVA):</t>
  </si>
  <si>
    <t>Euros</t>
  </si>
  <si>
    <t>ESFUERZO :</t>
  </si>
  <si>
    <t>Horas</t>
  </si>
  <si>
    <t>MARGEN :</t>
  </si>
  <si>
    <t>%</t>
  </si>
  <si>
    <t>1. ESTIMACION DE COSTES Y GASTOS :</t>
  </si>
  <si>
    <t>1.A  COSTES DE PERSONAL</t>
  </si>
  <si>
    <t>CATEG.</t>
  </si>
  <si>
    <t>HORAS</t>
  </si>
  <si>
    <t>COSTE/HR</t>
  </si>
  <si>
    <t>COEFIC.</t>
  </si>
  <si>
    <t>CONTING.</t>
  </si>
  <si>
    <t>COSTE</t>
  </si>
  <si>
    <t>CAT_1 (DI)</t>
  </si>
  <si>
    <t>CAT_2 (CO)</t>
  </si>
  <si>
    <t>CAT_3 (IS)</t>
  </si>
  <si>
    <t>CAT_4 (IJ)</t>
  </si>
  <si>
    <t>CAT_5 (TE)</t>
  </si>
  <si>
    <t>CAT_6 (PA)</t>
  </si>
  <si>
    <t>SUBTOTAL</t>
  </si>
  <si>
    <t>1.B  SUBCONTRATACIONES</t>
  </si>
  <si>
    <t>SUBC_1</t>
  </si>
  <si>
    <t>SUBC_2</t>
  </si>
  <si>
    <t>1.C  COSTES VARIOS</t>
  </si>
  <si>
    <t>ORDENADOR :</t>
  </si>
  <si>
    <t>CONSUMIBLES :</t>
  </si>
  <si>
    <t>OTROS :</t>
  </si>
  <si>
    <t>1.D  OTROS GASTOS</t>
  </si>
  <si>
    <t>MATERIAL / EQUIPO :</t>
  </si>
  <si>
    <t>VIAJES / ESTANCIAS :</t>
  </si>
  <si>
    <t>VARIOS :</t>
  </si>
  <si>
    <t>TOTAL COSTES Y GASTOS</t>
  </si>
  <si>
    <t>2. PRECIO DE VENTA :</t>
  </si>
  <si>
    <t>2.A  MARGEN</t>
  </si>
  <si>
    <t>PORCENTAJE SOBRE</t>
  </si>
  <si>
    <t>MARGEN</t>
  </si>
  <si>
    <t>SOBRE</t>
  </si>
  <si>
    <t>VALOR</t>
  </si>
  <si>
    <t>PERSONAL</t>
  </si>
  <si>
    <t>SUBCONTRATACIONES</t>
  </si>
  <si>
    <t>COSTES VARIOS</t>
  </si>
  <si>
    <t>OTROS GASTOS</t>
  </si>
  <si>
    <t>TOTAL</t>
  </si>
  <si>
    <t>PORCENTAJE FIJO</t>
  </si>
  <si>
    <t>2.B  PRECIO DE VENTA</t>
  </si>
  <si>
    <t>PRECIO DE VENTA, Euros, SIN ESCALACION INTERANUAL</t>
  </si>
  <si>
    <t>PRECIO DE VENTA, Euros, CON IVA al ...</t>
  </si>
  <si>
    <t>PLAN FINANCIERO DEL PROYECTO</t>
  </si>
  <si>
    <t>FECHA INFORME :</t>
  </si>
  <si>
    <t>PRECIO VENTA :</t>
  </si>
  <si>
    <t>TIPO INTERES ANUAL :</t>
  </si>
  <si>
    <t>COSTE DE OPORTUNIDAD ANUAL :</t>
  </si>
  <si>
    <t>1. PROYECCION TEMPORAL DE COSTES Y GASTOS :</t>
  </si>
  <si>
    <t>CONCEPTO</t>
  </si>
  <si>
    <t>PREVISION DE GASTOS, COSTES E INGRESOS</t>
  </si>
  <si>
    <t>TOTAL PREVISTO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</si>
  <si>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</si>
  <si>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</si>
  <si>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</si>
  <si>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</si>
  <si>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</si>
  <si>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</si>
  <si>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</si>
  <si>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</si>
  <si>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</si>
  <si>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</si>
  <si>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</si>
  <si>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</si>
  <si>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PLAN_F</t>
  </si>
  <si>
    <t>APERT.</t>
  </si>
  <si>
    <t>HORAS_DI</t>
  </si>
  <si>
    <t>HORAS_CO</t>
  </si>
  <si>
    <t>HORAS_IS</t>
  </si>
  <si>
    <t>HORAS_IJ</t>
  </si>
  <si>
    <t>HORAS_TE</t>
  </si>
  <si>
    <t>HORAS_PA</t>
  </si>
  <si>
    <t>TOTAL_HORAS</t>
  </si>
  <si>
    <t>COSTE HORAS</t>
  </si>
  <si>
    <t>SUBCONTRATOS</t>
  </si>
  <si>
    <t>SUMINISTROS</t>
  </si>
  <si>
    <t>ORDENADOR</t>
  </si>
  <si>
    <t>CONSUMIBLES</t>
  </si>
  <si>
    <t>OTROS</t>
  </si>
  <si>
    <t xml:space="preserve">VIAJES </t>
  </si>
  <si>
    <t>VARIOS</t>
  </si>
  <si>
    <t>CONTINGENCIAS</t>
  </si>
  <si>
    <t>TOTAL COSTES</t>
  </si>
  <si>
    <t>TOTAL ACUM.</t>
  </si>
  <si>
    <t>INGRESOS</t>
  </si>
  <si>
    <t>ACUMULADO</t>
  </si>
  <si>
    <t>2. RESULTADOS</t>
  </si>
  <si>
    <t>MARGEN BRUTO</t>
  </si>
  <si>
    <t>M. ACUMULADO</t>
  </si>
  <si>
    <t>VAN</t>
  </si>
  <si>
    <t>VAN ACUMULADO</t>
  </si>
  <si>
    <t>TIR</t>
  </si>
  <si>
    <t>BENEFICIO</t>
  </si>
  <si>
    <t>INDICADORES ECONOMICOS Y FINANCIEROS DEL PROYECTO</t>
  </si>
  <si>
    <t>DURACION (MESES) :</t>
  </si>
  <si>
    <t>1. PREVISION DE CARGA DE TRABAJO</t>
  </si>
  <si>
    <t>2. PREVISION DE LA EVOLUCION DE DATOS ECONOMICO-FINACIEROS</t>
  </si>
  <si>
    <t>CAT_DI</t>
  </si>
  <si>
    <t>1 persona al</t>
  </si>
  <si>
    <t>Máximo endeudamiento (Euros) :</t>
  </si>
  <si>
    <t>CAT_CO</t>
  </si>
  <si>
    <t>CAT_IS</t>
  </si>
  <si>
    <t>CAT_IJ</t>
  </si>
  <si>
    <t>CAT_TE</t>
  </si>
  <si>
    <t>CAT_PA</t>
  </si>
  <si>
    <t>HOJA DE SITUACION ECONOMICA DE PROYECTO</t>
  </si>
  <si>
    <t>CONSUMIDO</t>
  </si>
  <si>
    <t>REMANENTE</t>
  </si>
  <si>
    <t>1.C  COSTES Y GASTOS VARIOS</t>
  </si>
  <si>
    <t>COSTES INFORMATICOS :</t>
  </si>
  <si>
    <t xml:space="preserve">CONSUMIBLES: </t>
  </si>
  <si>
    <t>CONTINGENCIAS:</t>
  </si>
  <si>
    <t>2. PRECIO DE VENTA Y MARGEN :</t>
  </si>
  <si>
    <t>FACTURACION TOTAL</t>
  </si>
  <si>
    <t>3. RESUMEN</t>
  </si>
  <si>
    <t>3.1 HORAS CONSUMIDAS Y REMANENTES</t>
  </si>
  <si>
    <t>SEGÚN CATEGORIA</t>
  </si>
  <si>
    <t>3.2 CONSUMO Y REMANENTE DE RECURSOS</t>
  </si>
  <si>
    <t>SEGÚN TIPO</t>
  </si>
  <si>
    <t>HOJA DE EVOLUCION ECONOMICA DE PROYECTO</t>
  </si>
  <si>
    <t>04/00</t>
  </si>
  <si>
    <t>CONSUMIDO (Kpts)</t>
  </si>
  <si>
    <t>Kpts</t>
  </si>
  <si>
    <t>MES 0</t>
  </si>
  <si>
    <t>MARGEN PROVISIONAL</t>
  </si>
  <si>
    <t>HOJA DE CIERRE ECONOMICO DEL PROYECTO</t>
  </si>
  <si>
    <t>PREVISTO</t>
  </si>
  <si>
    <t>REAL</t>
  </si>
  <si>
    <t>02/00</t>
  </si>
  <si>
    <t>mes/año</t>
  </si>
  <si>
    <t>02/01</t>
  </si>
  <si>
    <t>TOTAL FINAL</t>
  </si>
  <si>
    <t>DESVIACION</t>
  </si>
  <si>
    <t>CANT.</t>
  </si>
  <si>
    <t>3. INDICADORES ECONOMICOS, FINANCIEROS Y DE OCUPACION</t>
  </si>
  <si>
    <t>DURACION DEL PROYECTO</t>
  </si>
  <si>
    <t>Meses</t>
  </si>
  <si>
    <t>COSTE POR HORA</t>
  </si>
  <si>
    <t>PRECIO DE VENTA POR HORA</t>
  </si>
  <si>
    <t>MARGEN POR HORA TRABAJADA</t>
  </si>
  <si>
    <t>PORCENTAJE DE</t>
  </si>
  <si>
    <t>HORAS PROPIAS</t>
  </si>
  <si>
    <t>SUBCONTRATAS</t>
  </si>
  <si>
    <t>CARGA DE TRABAJO (Hombres durante el proyecto)</t>
  </si>
  <si>
    <t>GLOBAL</t>
  </si>
  <si>
    <t>ENDEUDAMIENTO INTERNO</t>
  </si>
  <si>
    <t>ENDEUDAMIENTO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</si>
</sst>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p_t_a_-;\-* #,##0\ _p_t_a_-;_-* &quot;-&quot;\ _p_t_a_-;_-@_-"/>
    <numFmt numFmtId="165" formatCode="0.000"/>
    <numFmt numFmtId="166" formatCode="#,##0.000"/>
    <numFmt numFmtId="167" formatCode="0.0"/>
    <numFmt numFmtId="168" formatCode="0.0%"/>
    <numFmt numFmtId="169" formatCode="#,##0_ ;\-#,##0\ "/>
    <numFmt numFmtId="170" formatCode="#,##0.0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6"/>
      <color indexed="9"/>
      <name val="Arial"/>
      <family val="2"/>
    </font>
    <font>
      <u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3" fontId="0" fillId="0" borderId="0" xfId="0" applyNumberForma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3" fontId="2" fillId="3" borderId="0" xfId="0" applyNumberFormat="1" applyFont="1" applyFill="1"/>
    <xf numFmtId="166" fontId="0" fillId="0" borderId="0" xfId="0" applyNumberFormat="1"/>
    <xf numFmtId="3" fontId="0" fillId="3" borderId="0" xfId="0" applyNumberFormat="1" applyFill="1"/>
    <xf numFmtId="3" fontId="3" fillId="2" borderId="0" xfId="0" applyNumberFormat="1" applyFont="1" applyFill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right"/>
    </xf>
    <xf numFmtId="3" fontId="2" fillId="4" borderId="0" xfId="0" applyNumberFormat="1" applyFont="1" applyFill="1"/>
    <xf numFmtId="3" fontId="3" fillId="4" borderId="0" xfId="0" applyNumberFormat="1" applyFont="1" applyFill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2" fontId="2" fillId="4" borderId="0" xfId="0" applyNumberFormat="1" applyFont="1" applyFill="1"/>
    <xf numFmtId="3" fontId="0" fillId="5" borderId="1" xfId="0" applyNumberFormat="1" applyFill="1" applyBorder="1"/>
    <xf numFmtId="0" fontId="0" fillId="5" borderId="1" xfId="0" applyFill="1" applyBorder="1"/>
    <xf numFmtId="169" fontId="0" fillId="5" borderId="1" xfId="1" applyNumberFormat="1" applyFont="1" applyFill="1" applyBorder="1" applyAlignment="1"/>
    <xf numFmtId="170" fontId="0" fillId="0" borderId="0" xfId="0" applyNumberFormat="1"/>
    <xf numFmtId="170" fontId="0" fillId="5" borderId="1" xfId="0" applyNumberFormat="1" applyFill="1" applyBorder="1"/>
    <xf numFmtId="3" fontId="2" fillId="0" borderId="0" xfId="0" applyNumberFormat="1" applyFont="1"/>
    <xf numFmtId="170" fontId="2" fillId="0" borderId="0" xfId="0" applyNumberFormat="1" applyFont="1"/>
    <xf numFmtId="168" fontId="0" fillId="0" borderId="0" xfId="0" applyNumberFormat="1"/>
    <xf numFmtId="3" fontId="0" fillId="3" borderId="0" xfId="0" applyNumberFormat="1" applyFill="1" applyAlignment="1">
      <alignment horizontal="right"/>
    </xf>
    <xf numFmtId="168" fontId="0" fillId="3" borderId="0" xfId="0" applyNumberFormat="1" applyFill="1"/>
    <xf numFmtId="3" fontId="0" fillId="3" borderId="0" xfId="0" quotePrefix="1" applyNumberFormat="1" applyFill="1" applyAlignment="1">
      <alignment horizontal="right"/>
    </xf>
    <xf numFmtId="9" fontId="0" fillId="0" borderId="0" xfId="0" applyNumberFormat="1"/>
    <xf numFmtId="168" fontId="2" fillId="5" borderId="1" xfId="0" applyNumberFormat="1" applyFont="1" applyFill="1" applyBorder="1"/>
    <xf numFmtId="3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2" fontId="0" fillId="0" borderId="0" xfId="0" applyNumberFormat="1" applyAlignment="1">
      <alignment horizontal="right"/>
    </xf>
    <xf numFmtId="10" fontId="0" fillId="5" borderId="1" xfId="2" applyNumberFormat="1" applyFont="1" applyFill="1" applyBorder="1"/>
    <xf numFmtId="10" fontId="0" fillId="0" borderId="0" xfId="2" applyNumberFormat="1" applyFont="1"/>
    <xf numFmtId="10" fontId="2" fillId="3" borderId="0" xfId="2" applyNumberFormat="1" applyFont="1" applyFill="1" applyAlignment="1">
      <alignment horizontal="right"/>
    </xf>
    <xf numFmtId="168" fontId="0" fillId="0" borderId="0" xfId="2" applyNumberFormat="1" applyFont="1" applyAlignment="1">
      <alignment horizontal="right"/>
    </xf>
    <xf numFmtId="0" fontId="0" fillId="3" borderId="0" xfId="0" applyFill="1" applyAlignment="1">
      <alignment horizontal="left"/>
    </xf>
    <xf numFmtId="4" fontId="0" fillId="0" borderId="0" xfId="0" applyNumberFormat="1"/>
    <xf numFmtId="4" fontId="0" fillId="5" borderId="1" xfId="0" applyNumberFormat="1" applyFill="1" applyBorder="1"/>
    <xf numFmtId="10" fontId="0" fillId="0" borderId="0" xfId="2" applyNumberFormat="1" applyFont="1" applyAlignment="1">
      <alignment horizontal="right"/>
    </xf>
    <xf numFmtId="168" fontId="2" fillId="5" borderId="1" xfId="2" applyNumberFormat="1" applyFont="1" applyFill="1" applyBorder="1"/>
    <xf numFmtId="167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3" fillId="0" borderId="0" xfId="0" applyNumberFormat="1" applyFont="1"/>
    <xf numFmtId="2" fontId="2" fillId="0" borderId="0" xfId="0" applyNumberFormat="1" applyFont="1"/>
    <xf numFmtId="168" fontId="1" fillId="0" borderId="0" xfId="2" applyNumberFormat="1" applyFill="1"/>
    <xf numFmtId="168" fontId="2" fillId="0" borderId="0" xfId="0" applyNumberFormat="1" applyFont="1" applyAlignment="1">
      <alignment horizontal="left"/>
    </xf>
    <xf numFmtId="169" fontId="0" fillId="0" borderId="0" xfId="0" applyNumberFormat="1"/>
    <xf numFmtId="168" fontId="0" fillId="0" borderId="0" xfId="2" applyNumberFormat="1" applyFont="1" applyFill="1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0" fillId="2" borderId="0" xfId="0" applyFill="1"/>
    <xf numFmtId="3" fontId="6" fillId="5" borderId="1" xfId="0" applyNumberFormat="1" applyFont="1" applyFill="1" applyBorder="1"/>
    <xf numFmtId="0" fontId="6" fillId="0" borderId="0" xfId="0" applyFont="1"/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4" borderId="0" xfId="0" applyFont="1" applyFill="1" applyAlignment="1">
      <alignment horizontal="left"/>
    </xf>
    <xf numFmtId="0" fontId="5" fillId="2" borderId="0" xfId="0" applyFont="1" applyFill="1" applyAlignment="1">
      <alignment horizontal="right" vertical="center"/>
    </xf>
    <xf numFmtId="0" fontId="3" fillId="0" borderId="0" xfId="0" applyFont="1" applyAlignment="1">
      <alignment horizontal="left"/>
    </xf>
    <xf numFmtId="17" fontId="0" fillId="5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7355643400072575E-2"/>
          <c:y val="5.9347266997500633E-2"/>
          <c:w val="0.96656606680256429"/>
          <c:h val="0.747775564168507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Plan_Financiero!$B$30</c:f>
              <c:strCache>
                <c:ptCount val="1"/>
                <c:pt idx="0">
                  <c:v>HORAS_PA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Plan_Financiero!$D$30:$O$30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D31-498A-9D89-ED827440502A}"/>
            </c:ext>
          </c:extLst>
        </c:ser>
        <c:ser>
          <c:idx val="1"/>
          <c:order val="1"/>
          <c:tx>
            <c:strRef>
              <c:f>Plan_Financiero!$B$29</c:f>
              <c:strCache>
                <c:ptCount val="1"/>
                <c:pt idx="0">
                  <c:v>HORAS_TE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Plan_Financiero!$D$29:$O$29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D31-498A-9D89-ED827440502A}"/>
            </c:ext>
          </c:extLst>
        </c:ser>
        <c:ser>
          <c:idx val="2"/>
          <c:order val="2"/>
          <c:tx>
            <c:strRef>
              <c:f>Plan_Financiero!$B$28</c:f>
              <c:strCache>
                <c:ptCount val="1"/>
                <c:pt idx="0">
                  <c:v>HORAS_IJ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Plan_Financiero!$D$28:$O$28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7D31-498A-9D89-ED827440502A}"/>
            </c:ext>
          </c:extLst>
        </c:ser>
        <c:ser>
          <c:idx val="3"/>
          <c:order val="3"/>
          <c:tx>
            <c:strRef>
              <c:f>Plan_Financiero!$B$27</c:f>
              <c:strCache>
                <c:ptCount val="1"/>
                <c:pt idx="0">
                  <c:v>HORAS_IS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Plan_Financiero!$D$27:$O$27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7D31-498A-9D89-ED827440502A}"/>
            </c:ext>
          </c:extLst>
        </c:ser>
        <c:ser>
          <c:idx val="5"/>
          <c:order val="4"/>
          <c:tx>
            <c:strRef>
              <c:f>Plan_Financiero!$B$26</c:f>
              <c:strCache>
                <c:ptCount val="1"/>
                <c:pt idx="0">
                  <c:v>HORAS_CO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Plan_Financiero!$D$26:$O$26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7D31-498A-9D89-ED827440502A}"/>
            </c:ext>
          </c:extLst>
        </c:ser>
        <c:ser>
          <c:idx val="4"/>
          <c:order val="5"/>
          <c:tx>
            <c:strRef>
              <c:f>Plan_Financiero!$B$25</c:f>
              <c:strCache>
                <c:ptCount val="1"/>
                <c:pt idx="0">
                  <c:v>HORAS_DI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Plan_Financiero!$D$25:$O$25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7D31-498A-9D89-ED827440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0827375"/>
        <c:axId val="1"/>
        <c:axId val="0"/>
      </c:bar3DChart>
      <c:catAx>
        <c:axId val="1630827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8273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7.4468085106382975E-2"/>
          <c:y val="0.90801311557123598"/>
          <c:w val="0.92553255311171201"/>
          <c:h val="0.985164450882808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18897637795275E-2"/>
          <c:y val="7.4626865671641784E-2"/>
          <c:w val="0.92913385826771655"/>
          <c:h val="0.72537313432835826"/>
        </c:manualLayout>
      </c:layout>
      <c:lineChart>
        <c:grouping val="standard"/>
        <c:varyColors val="0"/>
        <c:ser>
          <c:idx val="0"/>
          <c:order val="0"/>
          <c:tx>
            <c:v>COSTES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Plan_Financiero!$D$46:$O$46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5-4612-A91E-309666CC2D42}"/>
            </c:ext>
          </c:extLst>
        </c:ser>
        <c:ser>
          <c:idx val="1"/>
          <c:order val="1"/>
          <c:tx>
            <c:v>INGRESOS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Plan_Financiero!$D$50:$O$50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5-4612-A91E-309666CC2D42}"/>
            </c:ext>
          </c:extLst>
        </c:ser>
        <c:ser>
          <c:idx val="2"/>
          <c:order val="2"/>
          <c:tx>
            <c:v>MARGEN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Plan_Financiero!$D$57:$O$57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5-4612-A91E-309666CC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040719"/>
        <c:axId val="1"/>
      </c:lineChart>
      <c:catAx>
        <c:axId val="163104071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10407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5984251968503935"/>
          <c:y val="0.90746268656716422"/>
          <c:w val="0.81889763779527558"/>
          <c:h val="0.9850746268656717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764705882352941"/>
          <c:y val="0.35779923367985977"/>
          <c:w val="0.15058823529411763"/>
          <c:h val="0.1957192389359916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79A-4AE9-94CD-C3D83F0640E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9A-4AE9-94CD-C3D83F0640E3}"/>
              </c:ext>
            </c:extLst>
          </c:dPt>
          <c:dLbls>
            <c:dLbl>
              <c:idx val="0"/>
              <c:layout>
                <c:manualLayout>
                  <c:x val="2.030075652308172E-3"/>
                  <c:y val="-2.0323929616890279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Comic Sans MS"/>
                      <a:ea typeface="Comic Sans MS"/>
                      <a:cs typeface="Comic Sans M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9A-4AE9-94CD-C3D83F0640E3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Comic Sans MS"/>
                      <a:ea typeface="Comic Sans MS"/>
                      <a:cs typeface="Comic Sans M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79A-4AE9-94CD-C3D83F0640E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(Situación!$H$20,Situación!$L$20)</c:f>
              <c:strCache>
                <c:ptCount val="2"/>
                <c:pt idx="0">
                  <c:v>CONSUMIDO</c:v>
                </c:pt>
                <c:pt idx="1">
                  <c:v>REMANENTE</c:v>
                </c:pt>
              </c:strCache>
            </c:strRef>
          </c:cat>
          <c:val>
            <c:numRef>
              <c:f>(Situación!$I$53,Situación!$L$53)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A-4AE9-94CD-C3D83F06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9" orientation="landscape" horizontalDpi="1270" verticalDpi="127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20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1221881611329391"/>
          <c:y val="4.722235032104579E-2"/>
          <c:w val="0.73633498318097423"/>
          <c:h val="0.7500020345107273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CONSUMIDO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HORAS</c:v>
              </c:pt>
              <c:pt idx="1">
                <c:v> SUBCONTRATOS</c:v>
              </c:pt>
              <c:pt idx="2">
                <c:v> OTROS GASTOS</c:v>
              </c:pt>
              <c:pt idx="3">
                <c:v> CONTINGENCIAS</c:v>
              </c:pt>
              <c:pt idx="4">
                <c:v> FACTURACION</c:v>
              </c:pt>
            </c:strLit>
          </c:cat>
          <c:val>
            <c:numRef>
              <c:f>(Situación!$J$30,Situación!$J$37,Situación!$J$48,Situación!$J$50,Situación!$J$59)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3-4896-8399-A2888A73CF4D}"/>
            </c:ext>
          </c:extLst>
        </c:ser>
        <c:ser>
          <c:idx val="1"/>
          <c:order val="1"/>
          <c:tx>
            <c:v>REMANENTE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(Situación!$M$30,Situación!$M$37,Situación!$M$50,Situación!$M$48,Situación!$M$59)</c:f>
              <c:numCache>
                <c:formatCode>0.0</c:formatCode>
                <c:ptCount val="5"/>
                <c:pt idx="0" formatCode="#,##0.0">
                  <c:v>0</c:v>
                </c:pt>
                <c:pt idx="1">
                  <c:v>0</c:v>
                </c:pt>
                <c:pt idx="2" formatCode="#,##0.0">
                  <c:v>0</c:v>
                </c:pt>
                <c:pt idx="3" formatCode="#,##0.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3-4896-8399-A2888A73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1038799"/>
        <c:axId val="1"/>
        <c:axId val="0"/>
      </c:bar3DChart>
      <c:catAx>
        <c:axId val="1631038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63103879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7845676042906211"/>
          <c:y val="0.82500233304170312"/>
          <c:w val="0.63022558675342433"/>
          <c:h val="0.8972248468941381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1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8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638669116554883"/>
          <c:y val="3.8781215889586072E-2"/>
          <c:w val="0.77647122543922786"/>
          <c:h val="0.74238327560064765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CONSUMIDAS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Situación!$C$23:$C$28</c:f>
              <c:strCache>
                <c:ptCount val="6"/>
                <c:pt idx="0">
                  <c:v>CAT_1 (DI)</c:v>
                </c:pt>
                <c:pt idx="1">
                  <c:v>CAT_2 (CO)</c:v>
                </c:pt>
                <c:pt idx="2">
                  <c:v>CAT_3 (IS)</c:v>
                </c:pt>
                <c:pt idx="3">
                  <c:v>CAT_4 (IJ)</c:v>
                </c:pt>
                <c:pt idx="4">
                  <c:v>CAT_5 (TE)</c:v>
                </c:pt>
                <c:pt idx="5">
                  <c:v>CAT_6 (PA)</c:v>
                </c:pt>
              </c:strCache>
            </c:strRef>
          </c:cat>
          <c:val>
            <c:numRef>
              <c:f>Situación!$H$23:$H$28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D8A-4606-87B4-587090BB3193}"/>
            </c:ext>
          </c:extLst>
        </c:ser>
        <c:ser>
          <c:idx val="1"/>
          <c:order val="1"/>
          <c:tx>
            <c:v>REMANENTE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Situación!$C$23:$C$28</c:f>
              <c:strCache>
                <c:ptCount val="6"/>
                <c:pt idx="0">
                  <c:v>CAT_1 (DI)</c:v>
                </c:pt>
                <c:pt idx="1">
                  <c:v>CAT_2 (CO)</c:v>
                </c:pt>
                <c:pt idx="2">
                  <c:v>CAT_3 (IS)</c:v>
                </c:pt>
                <c:pt idx="3">
                  <c:v>CAT_4 (IJ)</c:v>
                </c:pt>
                <c:pt idx="4">
                  <c:v>CAT_5 (TE)</c:v>
                </c:pt>
                <c:pt idx="5">
                  <c:v>CAT_6 (PA)</c:v>
                </c:pt>
              </c:strCache>
            </c:strRef>
          </c:cat>
          <c:val>
            <c:numRef>
              <c:f>Situación!$L$23:$L$28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A-4606-87B4-587090BB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1040239"/>
        <c:axId val="1"/>
        <c:axId val="0"/>
      </c:bar3DChart>
      <c:catAx>
        <c:axId val="1631040239"/>
        <c:scaling>
          <c:orientation val="minMax"/>
        </c:scaling>
        <c:delete val="0"/>
        <c:axPos val="l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6310402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9411782350735571"/>
          <c:y val="0.90581833780472731"/>
          <c:w val="0.70588288228677298"/>
          <c:h val="0.9833806646745334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1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25400">
          <a:noFill/>
        </a:ln>
      </c:spPr>
    </c:sideWall>
    <c:backWall>
      <c:thickness val="0"/>
      <c:spPr>
        <a:solidFill>
          <a:srgbClr val="C0C0C0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0769247279172005E-2"/>
          <c:y val="5.0185919153983898E-2"/>
          <c:w val="0.93956094370328791"/>
          <c:h val="0.6412645225231276"/>
        </c:manualLayout>
      </c:layout>
      <c:bar3DChart>
        <c:barDir val="col"/>
        <c:grouping val="clustered"/>
        <c:varyColors val="0"/>
        <c:ser>
          <c:idx val="0"/>
          <c:order val="0"/>
          <c:tx>
            <c:v>DI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(Evolución!$H$21:$J$21,Evolución!$X$53)</c:f>
              <c:multiLvlStrCache>
                <c:ptCount val="3"/>
                <c:lvl>
                  <c:pt idx="0">
                    <c:v>TOTAL</c:v>
                  </c:pt>
                </c:lvl>
                <c:lvl>
                  <c:pt idx="0">
                    <c:v>MES 1</c:v>
                  </c:pt>
                  <c:pt idx="1">
                    <c:v>MES 2</c:v>
                  </c:pt>
                  <c:pt idx="2">
                    <c:v>MES 3</c:v>
                  </c:pt>
                </c:lvl>
              </c:multiLvlStrCache>
            </c:multiLvlStrRef>
          </c:cat>
          <c:val>
            <c:numRef>
              <c:f>(Evolución!$H$23:$J$23,Evolución!$F$23)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D-411C-BA2E-DF3F0E760E34}"/>
            </c:ext>
          </c:extLst>
        </c:ser>
        <c:ser>
          <c:idx val="4"/>
          <c:order val="1"/>
          <c:tx>
            <c:v>CO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(Evolución!$H$24:$J$24,Evolución!$F$24)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D-411C-BA2E-DF3F0E760E34}"/>
            </c:ext>
          </c:extLst>
        </c:ser>
        <c:ser>
          <c:idx val="1"/>
          <c:order val="2"/>
          <c:tx>
            <c:v>IS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(Evolución!$H$21:$J$21,Evolución!$X$53)</c:f>
              <c:multiLvlStrCache>
                <c:ptCount val="3"/>
                <c:lvl>
                  <c:pt idx="0">
                    <c:v>TOTAL</c:v>
                  </c:pt>
                </c:lvl>
                <c:lvl>
                  <c:pt idx="0">
                    <c:v>MES 1</c:v>
                  </c:pt>
                  <c:pt idx="1">
                    <c:v>MES 2</c:v>
                  </c:pt>
                  <c:pt idx="2">
                    <c:v>MES 3</c:v>
                  </c:pt>
                </c:lvl>
              </c:multiLvlStrCache>
            </c:multiLvlStrRef>
          </c:cat>
          <c:val>
            <c:numRef>
              <c:f>(Evolución!$H$25:$J$25,Evolución!$F$25)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D-411C-BA2E-DF3F0E760E34}"/>
            </c:ext>
          </c:extLst>
        </c:ser>
        <c:ser>
          <c:idx val="2"/>
          <c:order val="3"/>
          <c:tx>
            <c:v>IJ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(Evolución!$H$21:$J$21,Evolución!$X$53)</c:f>
              <c:multiLvlStrCache>
                <c:ptCount val="3"/>
                <c:lvl>
                  <c:pt idx="0">
                    <c:v>TOTAL</c:v>
                  </c:pt>
                </c:lvl>
                <c:lvl>
                  <c:pt idx="0">
                    <c:v>MES 1</c:v>
                  </c:pt>
                  <c:pt idx="1">
                    <c:v>MES 2</c:v>
                  </c:pt>
                  <c:pt idx="2">
                    <c:v>MES 3</c:v>
                  </c:pt>
                </c:lvl>
              </c:multiLvlStrCache>
            </c:multiLvlStrRef>
          </c:cat>
          <c:val>
            <c:numRef>
              <c:f>(Evolución!$H$26:$J$26,Evolución!$F$26)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D-411C-BA2E-DF3F0E760E34}"/>
            </c:ext>
          </c:extLst>
        </c:ser>
        <c:ser>
          <c:idx val="3"/>
          <c:order val="4"/>
          <c:tx>
            <c:v>TE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(Evolución!$H$21:$J$21,Evolución!$X$53)</c:f>
              <c:multiLvlStrCache>
                <c:ptCount val="3"/>
                <c:lvl>
                  <c:pt idx="0">
                    <c:v>TOTAL</c:v>
                  </c:pt>
                </c:lvl>
                <c:lvl>
                  <c:pt idx="0">
                    <c:v>MES 1</c:v>
                  </c:pt>
                  <c:pt idx="1">
                    <c:v>MES 2</c:v>
                  </c:pt>
                  <c:pt idx="2">
                    <c:v>MES 3</c:v>
                  </c:pt>
                </c:lvl>
              </c:multiLvlStrCache>
            </c:multiLvlStrRef>
          </c:cat>
          <c:val>
            <c:numRef>
              <c:f>(Evolución!$H$27:$J$27,Evolución!$F$27)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D-411C-BA2E-DF3F0E760E34}"/>
            </c:ext>
          </c:extLst>
        </c:ser>
        <c:ser>
          <c:idx val="5"/>
          <c:order val="5"/>
          <c:tx>
            <c:v>PA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(Evolución!$H$21:$J$21,Evolución!$X$53)</c:f>
              <c:multiLvlStrCache>
                <c:ptCount val="3"/>
                <c:lvl>
                  <c:pt idx="0">
                    <c:v>TOTAL</c:v>
                  </c:pt>
                </c:lvl>
                <c:lvl>
                  <c:pt idx="0">
                    <c:v>MES 1</c:v>
                  </c:pt>
                  <c:pt idx="1">
                    <c:v>MES 2</c:v>
                  </c:pt>
                  <c:pt idx="2">
                    <c:v>MES 3</c:v>
                  </c:pt>
                </c:lvl>
              </c:multiLvlStrCache>
            </c:multiLvlStrRef>
          </c:cat>
          <c:val>
            <c:numRef>
              <c:f>(Evolución!$H$28:$J$28,Evolución!$F$28)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D-411C-BA2E-DF3F0E76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0769391"/>
        <c:axId val="1"/>
        <c:axId val="0"/>
      </c:bar3DChart>
      <c:catAx>
        <c:axId val="163076939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1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numFmt formatCode="#,##0.0" sourceLinked="1"/>
        <c:majorTickMark val="out"/>
        <c:minorTickMark val="none"/>
        <c:tickLblPos val="nextTo"/>
        <c:crossAx val="1630769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5.4945054945054949E-3"/>
          <c:y val="0.81970338280205679"/>
          <c:w val="0.72637397248420876"/>
          <c:h val="0.8791829367054024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02693704355272E-2"/>
          <c:y val="8.5185339238533053E-2"/>
          <c:w val="0.85619515272570734"/>
          <c:h val="0.59444551946889368"/>
        </c:manualLayout>
      </c:layout>
      <c:areaChart>
        <c:grouping val="stacked"/>
        <c:varyColors val="0"/>
        <c:ser>
          <c:idx val="0"/>
          <c:order val="0"/>
          <c:tx>
            <c:v>PERSONAL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(Evolución!$X$43,Evolución!$H$21:$J$21)</c:f>
              <c:multiLvlStrCache>
                <c:ptCount val="1"/>
                <c:lvl>
                  <c:pt idx="0">
                    <c:v>MES 1</c:v>
                  </c:pt>
                </c:lvl>
                <c:lvl>
                  <c:pt idx="0">
                    <c:v>MES 0</c:v>
                  </c:pt>
                </c:lvl>
              </c:multiLvlStrCache>
            </c:multiLvlStrRef>
          </c:cat>
          <c:val>
            <c:numRef>
              <c:f>Evolución!$G$30:$J$30</c:f>
              <c:numCache>
                <c:formatCode>#,##0.0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B-4641-B2FE-0D96387D8E58}"/>
            </c:ext>
          </c:extLst>
        </c:ser>
        <c:ser>
          <c:idx val="1"/>
          <c:order val="1"/>
          <c:tx>
            <c:v>SUBCONTRATOS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(Evolución!$X$43,Evolución!$H$21:$J$21)</c:f>
              <c:multiLvlStrCache>
                <c:ptCount val="1"/>
                <c:lvl>
                  <c:pt idx="0">
                    <c:v>MES 1</c:v>
                  </c:pt>
                </c:lvl>
                <c:lvl>
                  <c:pt idx="0">
                    <c:v>MES 0</c:v>
                  </c:pt>
                </c:lvl>
              </c:multiLvlStrCache>
            </c:multiLvlStrRef>
          </c:cat>
          <c:val>
            <c:numRef>
              <c:f>Evolución!$G$37:$J$37</c:f>
              <c:numCache>
                <c:formatCode>#,##0.0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B-4641-B2FE-0D96387D8E58}"/>
            </c:ext>
          </c:extLst>
        </c:ser>
        <c:ser>
          <c:idx val="2"/>
          <c:order val="2"/>
          <c:tx>
            <c:v>OTROS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(Evolución!$X$43,Evolución!$H$21:$J$21)</c:f>
              <c:multiLvlStrCache>
                <c:ptCount val="1"/>
                <c:lvl>
                  <c:pt idx="0">
                    <c:v>MES 1</c:v>
                  </c:pt>
                </c:lvl>
                <c:lvl>
                  <c:pt idx="0">
                    <c:v>MES 0</c:v>
                  </c:pt>
                </c:lvl>
              </c:multiLvlStrCache>
            </c:multiLvlStrRef>
          </c:cat>
          <c:val>
            <c:numRef>
              <c:f>Evolución!$G$50:$J$50</c:f>
              <c:numCache>
                <c:formatCode>#,##0.0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B-4641-B2FE-0D96387D8E58}"/>
            </c:ext>
          </c:extLst>
        </c:ser>
        <c:ser>
          <c:idx val="3"/>
          <c:order val="3"/>
          <c:tx>
            <c:v>CONTINGENCIAS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(Evolución!$X$43,Evolución!$H$21:$J$21)</c:f>
              <c:multiLvlStrCache>
                <c:ptCount val="1"/>
                <c:lvl>
                  <c:pt idx="0">
                    <c:v>MES 1</c:v>
                  </c:pt>
                </c:lvl>
                <c:lvl>
                  <c:pt idx="0">
                    <c:v>MES 0</c:v>
                  </c:pt>
                </c:lvl>
              </c:multiLvlStrCache>
            </c:multiLvlStrRef>
          </c:cat>
          <c:val>
            <c:numRef>
              <c:f>Evolución!$G$48:$J$48</c:f>
              <c:numCache>
                <c:formatCode>#,##0.0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BEB-4641-B2FE-0D96387D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827855"/>
        <c:axId val="1"/>
      </c:areaChart>
      <c:catAx>
        <c:axId val="1630827855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1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630827855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5.5309734513274336E-3"/>
          <c:y val="0.87963118499076498"/>
          <c:w val="0.90486772118087011"/>
          <c:h val="0.938890638670166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352425</xdr:colOff>
      <xdr:row>2</xdr:row>
      <xdr:rowOff>57150</xdr:rowOff>
    </xdr:to>
    <xdr:pic>
      <xdr:nvPicPr>
        <xdr:cNvPr id="1027" name="Imagen 1">
          <a:extLst>
            <a:ext uri="{FF2B5EF4-FFF2-40B4-BE49-F238E27FC236}">
              <a16:creationId xmlns:a16="http://schemas.microsoft.com/office/drawing/2014/main" id="{14CE32F3-DB0C-15FE-60BA-93EFEEC0D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429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1</xdr:col>
      <xdr:colOff>619125</xdr:colOff>
      <xdr:row>2</xdr:row>
      <xdr:rowOff>28575</xdr:rowOff>
    </xdr:to>
    <xdr:pic>
      <xdr:nvPicPr>
        <xdr:cNvPr id="5123" name="Imagen 1">
          <a:extLst>
            <a:ext uri="{FF2B5EF4-FFF2-40B4-BE49-F238E27FC236}">
              <a16:creationId xmlns:a16="http://schemas.microsoft.com/office/drawing/2014/main" id="{F2FD997D-0E1F-78D2-FE8B-FB2265C20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1144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24</xdr:row>
      <xdr:rowOff>0</xdr:rowOff>
    </xdr:from>
    <xdr:to>
      <xdr:col>9</xdr:col>
      <xdr:colOff>190500</xdr:colOff>
      <xdr:row>43</xdr:row>
      <xdr:rowOff>133350</xdr:rowOff>
    </xdr:to>
    <xdr:graphicFrame macro="">
      <xdr:nvGraphicFramePr>
        <xdr:cNvPr id="6152" name="Gráfico 2">
          <a:extLst>
            <a:ext uri="{FF2B5EF4-FFF2-40B4-BE49-F238E27FC236}">
              <a16:creationId xmlns:a16="http://schemas.microsoft.com/office/drawing/2014/main" id="{957847F1-FAAB-3244-9525-30FD4B166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24</xdr:row>
      <xdr:rowOff>0</xdr:rowOff>
    </xdr:from>
    <xdr:to>
      <xdr:col>18</xdr:col>
      <xdr:colOff>0</xdr:colOff>
      <xdr:row>43</xdr:row>
      <xdr:rowOff>114300</xdr:rowOff>
    </xdr:to>
    <xdr:graphicFrame macro="">
      <xdr:nvGraphicFramePr>
        <xdr:cNvPr id="6153" name="Gráfico 4">
          <a:extLst>
            <a:ext uri="{FF2B5EF4-FFF2-40B4-BE49-F238E27FC236}">
              <a16:creationId xmlns:a16="http://schemas.microsoft.com/office/drawing/2014/main" id="{F960CB33-B721-2D4F-D64E-446DE0900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</xdr:colOff>
      <xdr:row>0</xdr:row>
      <xdr:rowOff>28575</xdr:rowOff>
    </xdr:from>
    <xdr:to>
      <xdr:col>1</xdr:col>
      <xdr:colOff>409575</xdr:colOff>
      <xdr:row>3</xdr:row>
      <xdr:rowOff>0</xdr:rowOff>
    </xdr:to>
    <xdr:pic>
      <xdr:nvPicPr>
        <xdr:cNvPr id="6154" name="Imagen 1">
          <a:extLst>
            <a:ext uri="{FF2B5EF4-FFF2-40B4-BE49-F238E27FC236}">
              <a16:creationId xmlns:a16="http://schemas.microsoft.com/office/drawing/2014/main" id="{FBA62BA8-77E2-D7F8-9C53-7A75B9B5E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"/>
          <a:ext cx="11620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89</xdr:row>
      <xdr:rowOff>19050</xdr:rowOff>
    </xdr:from>
    <xdr:to>
      <xdr:col>6</xdr:col>
      <xdr:colOff>190500</xdr:colOff>
      <xdr:row>108</xdr:row>
      <xdr:rowOff>57150</xdr:rowOff>
    </xdr:to>
    <xdr:graphicFrame macro="">
      <xdr:nvGraphicFramePr>
        <xdr:cNvPr id="2061" name="Gráfico 8">
          <a:extLst>
            <a:ext uri="{FF2B5EF4-FFF2-40B4-BE49-F238E27FC236}">
              <a16:creationId xmlns:a16="http://schemas.microsoft.com/office/drawing/2014/main" id="{D121E7E9-2296-2165-6B00-6066B2603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87</xdr:row>
      <xdr:rowOff>19050</xdr:rowOff>
    </xdr:from>
    <xdr:to>
      <xdr:col>13</xdr:col>
      <xdr:colOff>209550</xdr:colOff>
      <xdr:row>108</xdr:row>
      <xdr:rowOff>47625</xdr:rowOff>
    </xdr:to>
    <xdr:graphicFrame macro="">
      <xdr:nvGraphicFramePr>
        <xdr:cNvPr id="2062" name="Gráfico 5">
          <a:extLst>
            <a:ext uri="{FF2B5EF4-FFF2-40B4-BE49-F238E27FC236}">
              <a16:creationId xmlns:a16="http://schemas.microsoft.com/office/drawing/2014/main" id="{BDB7C0D8-80DA-6308-6881-2B426A9F2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64</xdr:row>
      <xdr:rowOff>142875</xdr:rowOff>
    </xdr:from>
    <xdr:to>
      <xdr:col>13</xdr:col>
      <xdr:colOff>209550</xdr:colOff>
      <xdr:row>86</xdr:row>
      <xdr:rowOff>19050</xdr:rowOff>
    </xdr:to>
    <xdr:graphicFrame macro="">
      <xdr:nvGraphicFramePr>
        <xdr:cNvPr id="2063" name="Gráfico 6">
          <a:extLst>
            <a:ext uri="{FF2B5EF4-FFF2-40B4-BE49-F238E27FC236}">
              <a16:creationId xmlns:a16="http://schemas.microsoft.com/office/drawing/2014/main" id="{7917E92B-AA4D-2422-2F9E-399789AE3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66675</xdr:rowOff>
    </xdr:from>
    <xdr:to>
      <xdr:col>1</xdr:col>
      <xdr:colOff>390525</xdr:colOff>
      <xdr:row>2</xdr:row>
      <xdr:rowOff>152400</xdr:rowOff>
    </xdr:to>
    <xdr:pic>
      <xdr:nvPicPr>
        <xdr:cNvPr id="2064" name="Imagen 1">
          <a:extLst>
            <a:ext uri="{FF2B5EF4-FFF2-40B4-BE49-F238E27FC236}">
              <a16:creationId xmlns:a16="http://schemas.microsoft.com/office/drawing/2014/main" id="{51FB8CD5-E667-3E46-0E24-4DDB38C8E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0287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3</xdr:row>
      <xdr:rowOff>38100</xdr:rowOff>
    </xdr:from>
    <xdr:to>
      <xdr:col>34</xdr:col>
      <xdr:colOff>95250</xdr:colOff>
      <xdr:row>34</xdr:row>
      <xdr:rowOff>142875</xdr:rowOff>
    </xdr:to>
    <xdr:graphicFrame macro="">
      <xdr:nvGraphicFramePr>
        <xdr:cNvPr id="3083" name="Gráfico 5">
          <a:extLst>
            <a:ext uri="{FF2B5EF4-FFF2-40B4-BE49-F238E27FC236}">
              <a16:creationId xmlns:a16="http://schemas.microsoft.com/office/drawing/2014/main" id="{32BC486F-A2E3-9538-F6AF-96F67ECC4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523875</xdr:colOff>
      <xdr:row>38</xdr:row>
      <xdr:rowOff>38100</xdr:rowOff>
    </xdr:from>
    <xdr:to>
      <xdr:col>33</xdr:col>
      <xdr:colOff>752475</xdr:colOff>
      <xdr:row>70</xdr:row>
      <xdr:rowOff>0</xdr:rowOff>
    </xdr:to>
    <xdr:graphicFrame macro="">
      <xdr:nvGraphicFramePr>
        <xdr:cNvPr id="3084" name="Gráfico 6">
          <a:extLst>
            <a:ext uri="{FF2B5EF4-FFF2-40B4-BE49-F238E27FC236}">
              <a16:creationId xmlns:a16="http://schemas.microsoft.com/office/drawing/2014/main" id="{9AEEC87F-4948-C001-0B9A-5D318E848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276225</xdr:colOff>
      <xdr:row>2</xdr:row>
      <xdr:rowOff>28575</xdr:rowOff>
    </xdr:to>
    <xdr:pic>
      <xdr:nvPicPr>
        <xdr:cNvPr id="3085" name="Imagen 1">
          <a:extLst>
            <a:ext uri="{FF2B5EF4-FFF2-40B4-BE49-F238E27FC236}">
              <a16:creationId xmlns:a16="http://schemas.microsoft.com/office/drawing/2014/main" id="{16636D1E-4BA8-9E32-4AD0-5415DFA40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9144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304800</xdr:colOff>
      <xdr:row>2</xdr:row>
      <xdr:rowOff>76200</xdr:rowOff>
    </xdr:to>
    <xdr:pic>
      <xdr:nvPicPr>
        <xdr:cNvPr id="4099" name="Imagen 1">
          <a:extLst>
            <a:ext uri="{FF2B5EF4-FFF2-40B4-BE49-F238E27FC236}">
              <a16:creationId xmlns:a16="http://schemas.microsoft.com/office/drawing/2014/main" id="{8603C84D-EAB2-51C3-6221-8829B2D7F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9048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9"/>
  <sheetViews>
    <sheetView topLeftCell="A53" workbookViewId="0">
      <selection activeCell="O13" sqref="O13"/>
    </sheetView>
  </sheetViews>
  <sheetFormatPr defaultRowHeight="12.75"/>
  <cols>
    <col min="1" max="1" width="9.28515625" customWidth="1"/>
    <col min="2" max="2" width="8.28515625" customWidth="1"/>
    <col min="3" max="4" width="11.42578125" customWidth="1"/>
    <col min="5" max="5" width="9.5703125" customWidth="1"/>
    <col min="6" max="6" width="5" customWidth="1"/>
    <col min="7" max="7" width="10.7109375" customWidth="1"/>
    <col min="8" max="8" width="5" customWidth="1"/>
    <col min="9" max="9" width="10.42578125" customWidth="1"/>
    <col min="10" max="10" width="5" customWidth="1"/>
    <col min="11" max="11" width="10.7109375" customWidth="1"/>
    <col min="12" max="12" width="7.7109375" customWidth="1"/>
    <col min="13" max="13" width="10.42578125" customWidth="1"/>
    <col min="14" max="256" width="11.42578125" customWidth="1"/>
  </cols>
  <sheetData>
    <row r="1" spans="1:13">
      <c r="C1" s="71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3"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4" spans="1:13"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</row>
    <row r="5" spans="1:13"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</row>
    <row r="7" spans="1:13">
      <c r="A7" s="74" t="s">
        <v>1</v>
      </c>
      <c r="B7" s="74"/>
      <c r="C7" s="75"/>
      <c r="D7" s="75"/>
      <c r="E7" s="75"/>
      <c r="F7" s="75"/>
      <c r="H7" s="74" t="s">
        <v>2</v>
      </c>
      <c r="I7" s="74"/>
      <c r="J7" s="76"/>
      <c r="K7" s="75"/>
      <c r="L7" s="75"/>
      <c r="M7" s="75"/>
    </row>
    <row r="8" spans="1:13">
      <c r="A8" s="74" t="s">
        <v>3</v>
      </c>
      <c r="B8" s="74"/>
      <c r="C8" s="75"/>
      <c r="D8" s="75"/>
      <c r="E8" s="75"/>
      <c r="F8" s="75"/>
      <c r="H8" s="74" t="s">
        <v>4</v>
      </c>
      <c r="I8" s="74"/>
      <c r="J8" s="36"/>
      <c r="K8" s="75"/>
      <c r="L8" s="75"/>
      <c r="M8" s="75"/>
    </row>
    <row r="10" spans="1:13">
      <c r="A10" s="74" t="s">
        <v>5</v>
      </c>
      <c r="B10" s="74"/>
      <c r="C10" s="75"/>
      <c r="D10" s="75"/>
      <c r="E10" s="75"/>
      <c r="F10" s="75"/>
      <c r="H10" s="74" t="s">
        <v>6</v>
      </c>
      <c r="I10" s="74"/>
      <c r="J10" s="37"/>
      <c r="K10" s="75"/>
      <c r="L10" s="75"/>
      <c r="M10" s="75"/>
    </row>
    <row r="12" spans="1:13">
      <c r="H12" s="74" t="s">
        <v>7</v>
      </c>
      <c r="I12" s="74"/>
      <c r="J12" s="74"/>
      <c r="K12" s="74"/>
      <c r="L12" s="11">
        <f>M77</f>
        <v>0</v>
      </c>
      <c r="M12" s="13" t="s">
        <v>8</v>
      </c>
    </row>
    <row r="13" spans="1:13">
      <c r="H13" s="74" t="s">
        <v>9</v>
      </c>
      <c r="I13" s="74"/>
      <c r="L13" s="11">
        <f>E29</f>
        <v>0</v>
      </c>
      <c r="M13" s="13" t="s">
        <v>10</v>
      </c>
    </row>
    <row r="14" spans="1:13">
      <c r="H14" s="74" t="s">
        <v>11</v>
      </c>
      <c r="I14" s="74"/>
      <c r="L14" s="11">
        <f>G72*100</f>
        <v>20</v>
      </c>
      <c r="M14" s="13" t="s">
        <v>12</v>
      </c>
    </row>
    <row r="16" spans="1:13">
      <c r="A16" s="80" t="s">
        <v>13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8" spans="2:13">
      <c r="B18" s="2" t="s">
        <v>14</v>
      </c>
    </row>
    <row r="20" spans="2:13">
      <c r="C20" s="8" t="s">
        <v>15</v>
      </c>
      <c r="E20" s="7" t="s">
        <v>16</v>
      </c>
      <c r="F20" s="3"/>
      <c r="G20" s="7" t="s">
        <v>17</v>
      </c>
      <c r="H20" s="3"/>
      <c r="I20" s="7" t="s">
        <v>18</v>
      </c>
      <c r="J20" s="3"/>
      <c r="K20" s="7" t="s">
        <v>19</v>
      </c>
      <c r="M20" s="7" t="s">
        <v>20</v>
      </c>
    </row>
    <row r="22" spans="2:13">
      <c r="C22" t="s">
        <v>21</v>
      </c>
      <c r="E22" s="23"/>
      <c r="G22" s="5">
        <v>79.98</v>
      </c>
      <c r="I22" s="5">
        <v>1.69</v>
      </c>
      <c r="K22" s="46">
        <v>0.02</v>
      </c>
      <c r="M22" s="6">
        <f t="shared" ref="M22:M27" si="0">E22*G22*I22*(1+K22)</f>
        <v>0</v>
      </c>
    </row>
    <row r="23" spans="2:13">
      <c r="C23" t="s">
        <v>22</v>
      </c>
      <c r="E23" s="23"/>
      <c r="G23" s="5">
        <v>49.51</v>
      </c>
      <c r="I23" s="5">
        <v>1.69</v>
      </c>
      <c r="K23" s="46">
        <v>0.03</v>
      </c>
      <c r="M23" s="6">
        <f t="shared" si="0"/>
        <v>0</v>
      </c>
    </row>
    <row r="24" spans="2:13">
      <c r="C24" t="s">
        <v>23</v>
      </c>
      <c r="E24" s="23"/>
      <c r="G24" s="5">
        <v>35.04</v>
      </c>
      <c r="I24" s="5">
        <v>1.69</v>
      </c>
      <c r="K24" s="46">
        <v>0.04</v>
      </c>
      <c r="M24" s="6">
        <f t="shared" si="0"/>
        <v>0</v>
      </c>
    </row>
    <row r="25" spans="2:13">
      <c r="C25" t="s">
        <v>24</v>
      </c>
      <c r="E25" s="23"/>
      <c r="G25" s="5">
        <v>21.33</v>
      </c>
      <c r="I25" s="5">
        <v>1.69</v>
      </c>
      <c r="K25" s="46">
        <v>0.05</v>
      </c>
      <c r="M25" s="6">
        <f t="shared" si="0"/>
        <v>0</v>
      </c>
    </row>
    <row r="26" spans="2:13">
      <c r="C26" t="s">
        <v>25</v>
      </c>
      <c r="E26" s="23"/>
      <c r="G26" s="5">
        <v>17.52</v>
      </c>
      <c r="I26" s="5">
        <v>1.69</v>
      </c>
      <c r="K26" s="46">
        <v>0.05</v>
      </c>
      <c r="M26" s="6">
        <f t="shared" si="0"/>
        <v>0</v>
      </c>
    </row>
    <row r="27" spans="2:13">
      <c r="C27" t="s">
        <v>26</v>
      </c>
      <c r="E27" s="23"/>
      <c r="G27" s="5">
        <v>10.66</v>
      </c>
      <c r="I27" s="5">
        <v>1.69</v>
      </c>
      <c r="K27" s="46">
        <v>0.06</v>
      </c>
      <c r="M27" s="6">
        <f t="shared" si="0"/>
        <v>0</v>
      </c>
    </row>
    <row r="28" spans="2:13">
      <c r="G28" s="5"/>
      <c r="I28" s="5"/>
      <c r="K28" s="46"/>
      <c r="M28" s="6"/>
    </row>
    <row r="29" spans="2:13">
      <c r="C29" s="2" t="s">
        <v>27</v>
      </c>
      <c r="E29">
        <f>SUM(E22:E27)</f>
        <v>0</v>
      </c>
      <c r="G29" s="44" t="str">
        <f>IF(E29=0, "N/A", (G22*E22+G23*E23+G24*E24+G25*E25+G26*E26+G27*E27)/E29)</f>
        <v>N/A</v>
      </c>
      <c r="I29" s="44" t="str">
        <f>IF(E29=0, "N/A", (I22*E22+I23*E23+I24*E24+I25*E25+I26*E26+I27*E27)/E29)</f>
        <v>N/A</v>
      </c>
      <c r="J29" s="3"/>
      <c r="K29" s="52" t="str">
        <f>IF(E29=0, "N/A", (K22*E22+K23*E23+K24*E24+K25*E25+K26*E26+K27*E27)/E29)</f>
        <v>N/A</v>
      </c>
      <c r="M29" s="9">
        <f>SUM(M22:M27)</f>
        <v>0</v>
      </c>
    </row>
    <row r="31" spans="2:13">
      <c r="B31" s="2" t="s">
        <v>28</v>
      </c>
    </row>
    <row r="33" spans="2:13">
      <c r="C33" t="s">
        <v>29</v>
      </c>
      <c r="M33" s="23"/>
    </row>
    <row r="34" spans="2:13">
      <c r="C34" t="s">
        <v>30</v>
      </c>
      <c r="M34" s="22"/>
    </row>
    <row r="35" spans="2:13">
      <c r="M35" s="6"/>
    </row>
    <row r="36" spans="2:13">
      <c r="C36" s="2" t="s">
        <v>27</v>
      </c>
      <c r="K36" s="46">
        <v>0.08</v>
      </c>
      <c r="M36" s="9">
        <f>SUM(M33:M34)*(1+K36)</f>
        <v>0</v>
      </c>
    </row>
    <row r="38" spans="2:13">
      <c r="B38" s="2" t="s">
        <v>31</v>
      </c>
    </row>
    <row r="40" spans="2:13">
      <c r="C40" t="s">
        <v>32</v>
      </c>
      <c r="E40">
        <f>E29</f>
        <v>0</v>
      </c>
      <c r="G40" s="50">
        <v>2.34</v>
      </c>
      <c r="I40" s="5">
        <v>1</v>
      </c>
      <c r="J40" s="5"/>
      <c r="K40" s="46">
        <v>0.05</v>
      </c>
      <c r="M40" s="6">
        <f>E40*G40*I40*(1+K40)</f>
        <v>0</v>
      </c>
    </row>
    <row r="41" spans="2:13">
      <c r="C41" t="s">
        <v>33</v>
      </c>
      <c r="E41">
        <f>E29</f>
        <v>0</v>
      </c>
      <c r="G41" s="50">
        <v>0.75</v>
      </c>
      <c r="I41" s="5">
        <v>1</v>
      </c>
      <c r="J41" s="5"/>
      <c r="K41" s="46">
        <v>0.05</v>
      </c>
      <c r="M41" s="6">
        <f>E41*G41*I41*(1+K41)</f>
        <v>0</v>
      </c>
    </row>
    <row r="42" spans="2:13">
      <c r="C42" t="s">
        <v>34</v>
      </c>
      <c r="E42">
        <f>E29</f>
        <v>0</v>
      </c>
      <c r="G42" s="51"/>
      <c r="I42" s="5">
        <v>1</v>
      </c>
      <c r="J42" s="5"/>
      <c r="K42" s="46">
        <v>0.05</v>
      </c>
      <c r="M42" s="6">
        <f>E42*G42*I42*(1+K42)</f>
        <v>0</v>
      </c>
    </row>
    <row r="43" spans="2:13">
      <c r="G43" s="50"/>
      <c r="I43" s="5"/>
      <c r="J43" s="5"/>
      <c r="K43" s="5"/>
      <c r="M43" s="6"/>
    </row>
    <row r="44" spans="2:13">
      <c r="C44" s="2" t="s">
        <v>27</v>
      </c>
      <c r="G44" s="50">
        <f>SUM(G40:G42)</f>
        <v>3.09</v>
      </c>
      <c r="I44" s="5"/>
      <c r="J44" s="5"/>
      <c r="K44" s="5"/>
      <c r="M44" s="9">
        <f>SUM(M40:M42)</f>
        <v>0</v>
      </c>
    </row>
    <row r="46" spans="2:13">
      <c r="B46" s="2" t="s">
        <v>35</v>
      </c>
    </row>
    <row r="48" spans="2:13">
      <c r="C48" t="s">
        <v>36</v>
      </c>
      <c r="M48" s="22"/>
    </row>
    <row r="49" spans="1:13">
      <c r="C49" t="s">
        <v>37</v>
      </c>
      <c r="M49" s="22"/>
    </row>
    <row r="50" spans="1:13">
      <c r="C50" t="s">
        <v>38</v>
      </c>
      <c r="M50" s="22"/>
    </row>
    <row r="51" spans="1:13">
      <c r="M51" s="6"/>
    </row>
    <row r="52" spans="1:13">
      <c r="C52" s="2" t="s">
        <v>27</v>
      </c>
      <c r="K52" s="46">
        <v>0.03</v>
      </c>
      <c r="M52" s="9">
        <f>SUM(M48:M50)*(1+K52)</f>
        <v>0</v>
      </c>
    </row>
    <row r="55" spans="1:13">
      <c r="B55" s="2" t="s">
        <v>39</v>
      </c>
      <c r="C55" s="2"/>
      <c r="D55" s="2"/>
      <c r="E55" s="2"/>
      <c r="F55" s="2"/>
      <c r="G55" s="2"/>
      <c r="H55" s="2"/>
      <c r="I55" s="2"/>
      <c r="J55" s="2"/>
      <c r="K55" s="2"/>
      <c r="M55" s="12">
        <f>M29+M36+M44+M52</f>
        <v>0</v>
      </c>
    </row>
    <row r="58" spans="1:13">
      <c r="A58" s="80" t="s">
        <v>40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60" spans="1:13">
      <c r="B60" s="2" t="s">
        <v>41</v>
      </c>
    </row>
    <row r="62" spans="1:13">
      <c r="C62" s="77" t="s">
        <v>42</v>
      </c>
      <c r="D62" s="77"/>
      <c r="G62" s="7" t="s">
        <v>43</v>
      </c>
      <c r="I62" s="7" t="s">
        <v>44</v>
      </c>
      <c r="L62" s="79" t="s">
        <v>45</v>
      </c>
      <c r="M62" s="79"/>
    </row>
    <row r="63" spans="1:13">
      <c r="C63" s="1"/>
      <c r="D63" s="1"/>
    </row>
    <row r="64" spans="1:13">
      <c r="C64" s="78" t="s">
        <v>46</v>
      </c>
      <c r="D64" s="78"/>
      <c r="G64" s="45">
        <v>0.3</v>
      </c>
      <c r="I64" s="6">
        <f>M29</f>
        <v>0</v>
      </c>
      <c r="M64" s="6">
        <f>I64*G64</f>
        <v>0</v>
      </c>
    </row>
    <row r="65" spans="2:13">
      <c r="C65" s="78" t="s">
        <v>47</v>
      </c>
      <c r="D65" s="78"/>
      <c r="G65" s="45">
        <v>0.15</v>
      </c>
      <c r="I65" s="6">
        <f>M36</f>
        <v>0</v>
      </c>
      <c r="M65" s="6">
        <f>I65*G65</f>
        <v>0</v>
      </c>
    </row>
    <row r="66" spans="2:13">
      <c r="C66" s="78" t="s">
        <v>48</v>
      </c>
      <c r="D66" s="78"/>
      <c r="G66" s="45">
        <v>0.1</v>
      </c>
      <c r="I66" s="6">
        <f>M44</f>
        <v>0</v>
      </c>
      <c r="M66" s="6">
        <f>I66*G66</f>
        <v>0</v>
      </c>
    </row>
    <row r="67" spans="2:13">
      <c r="C67" s="78" t="s">
        <v>49</v>
      </c>
      <c r="D67" s="78"/>
      <c r="G67" s="45">
        <v>0.1</v>
      </c>
      <c r="I67" s="6">
        <f>M52</f>
        <v>0</v>
      </c>
      <c r="M67" s="6">
        <f>I67*G67</f>
        <v>0</v>
      </c>
    </row>
    <row r="68" spans="2:13">
      <c r="C68" s="1"/>
      <c r="D68" s="1"/>
      <c r="G68" s="46"/>
    </row>
    <row r="69" spans="2:13">
      <c r="C69" s="78" t="s">
        <v>50</v>
      </c>
      <c r="D69" s="78"/>
      <c r="G69" s="47" t="str">
        <f>IF(I69=0, "N/A", M69/I69)</f>
        <v>N/A</v>
      </c>
      <c r="I69" s="6">
        <f>M55</f>
        <v>0</v>
      </c>
      <c r="M69" s="9">
        <f>SUM(M64:M67)</f>
        <v>0</v>
      </c>
    </row>
    <row r="70" spans="2:13">
      <c r="G70" s="46"/>
    </row>
    <row r="71" spans="2:13">
      <c r="G71" s="46"/>
    </row>
    <row r="72" spans="2:13">
      <c r="C72" s="77" t="s">
        <v>51</v>
      </c>
      <c r="D72" s="77"/>
      <c r="G72" s="45">
        <v>0.2</v>
      </c>
      <c r="I72" s="6">
        <f>I69</f>
        <v>0</v>
      </c>
      <c r="M72" s="9">
        <f>G72*I72</f>
        <v>0</v>
      </c>
    </row>
    <row r="75" spans="2:13">
      <c r="B75" s="2" t="s">
        <v>52</v>
      </c>
    </row>
    <row r="77" spans="2:13">
      <c r="C77" s="2" t="s">
        <v>53</v>
      </c>
      <c r="M77" s="12">
        <f>M55+M72</f>
        <v>0</v>
      </c>
    </row>
    <row r="79" spans="2:13">
      <c r="C79" s="2" t="s">
        <v>54</v>
      </c>
      <c r="G79" s="45">
        <v>0.16</v>
      </c>
      <c r="M79" s="12">
        <f>M77*(1+G79)</f>
        <v>0</v>
      </c>
    </row>
  </sheetData>
  <mergeCells count="27">
    <mergeCell ref="A7:B7"/>
    <mergeCell ref="A8:B8"/>
    <mergeCell ref="A10:B10"/>
    <mergeCell ref="L62:M62"/>
    <mergeCell ref="A16:M16"/>
    <mergeCell ref="A58:M58"/>
    <mergeCell ref="C62:D62"/>
    <mergeCell ref="H14:I14"/>
    <mergeCell ref="K7:M7"/>
    <mergeCell ref="K8:M8"/>
    <mergeCell ref="C72:D72"/>
    <mergeCell ref="C7:F7"/>
    <mergeCell ref="C8:F8"/>
    <mergeCell ref="C10:F10"/>
    <mergeCell ref="C66:D66"/>
    <mergeCell ref="C67:D67"/>
    <mergeCell ref="C69:D69"/>
    <mergeCell ref="C64:D64"/>
    <mergeCell ref="C65:D65"/>
    <mergeCell ref="C1:M2"/>
    <mergeCell ref="C4:M5"/>
    <mergeCell ref="H13:I13"/>
    <mergeCell ref="H8:I8"/>
    <mergeCell ref="H10:I10"/>
    <mergeCell ref="K10:M10"/>
    <mergeCell ref="H12:K12"/>
    <mergeCell ref="H7:J7"/>
  </mergeCells>
  <phoneticPr fontId="0" type="noConversion"/>
  <printOptions horizontalCentered="1" verticalCentered="1"/>
  <pageMargins left="0.75" right="0.75" top="1" bottom="1" header="0" footer="0"/>
  <pageSetup paperSize="9" scale="7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5"/>
  <sheetViews>
    <sheetView zoomScale="75" workbookViewId="0">
      <selection activeCell="U15" sqref="U15"/>
    </sheetView>
  </sheetViews>
  <sheetFormatPr defaultRowHeight="12.75"/>
  <cols>
    <col min="1" max="1" width="8.140625" customWidth="1"/>
    <col min="2" max="2" width="18.28515625" customWidth="1"/>
    <col min="3" max="3" width="3.5703125" customWidth="1"/>
    <col min="4" max="15" width="9.85546875" customWidth="1"/>
    <col min="16" max="16" width="2" customWidth="1"/>
    <col min="17" max="18" width="10.7109375" customWidth="1"/>
    <col min="19" max="256" width="11.42578125" customWidth="1"/>
  </cols>
  <sheetData>
    <row r="1" spans="1:18" ht="20.25">
      <c r="C1" s="68"/>
      <c r="D1" s="41"/>
      <c r="E1" s="41"/>
      <c r="F1" s="68"/>
      <c r="G1" s="41"/>
      <c r="H1" s="67" t="s">
        <v>55</v>
      </c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18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4" spans="1:18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7" spans="1:18">
      <c r="A7" s="74" t="s">
        <v>1</v>
      </c>
      <c r="B7" s="74"/>
      <c r="C7" s="81">
        <f>Estimación!C7</f>
        <v>0</v>
      </c>
      <c r="D7" s="81"/>
      <c r="E7" s="81"/>
      <c r="F7" s="81"/>
      <c r="H7" s="74" t="s">
        <v>2</v>
      </c>
      <c r="I7" s="74"/>
      <c r="J7" s="81">
        <f>Estimación!K7</f>
        <v>0</v>
      </c>
      <c r="K7" s="81"/>
      <c r="L7" s="81"/>
      <c r="M7" s="81"/>
    </row>
    <row r="8" spans="1:18">
      <c r="A8" s="74" t="s">
        <v>3</v>
      </c>
      <c r="B8" s="74"/>
      <c r="C8" s="81">
        <f>Estimación!C8</f>
        <v>0</v>
      </c>
      <c r="D8" s="81"/>
      <c r="E8" s="81"/>
      <c r="F8" s="81"/>
      <c r="H8" s="74" t="s">
        <v>4</v>
      </c>
      <c r="I8" s="74"/>
      <c r="J8" s="81">
        <f>Estimación!K8</f>
        <v>0</v>
      </c>
      <c r="K8" s="81"/>
      <c r="L8" s="81"/>
      <c r="M8" s="81"/>
    </row>
    <row r="10" spans="1:18">
      <c r="A10" s="74" t="s">
        <v>5</v>
      </c>
      <c r="B10" s="74"/>
      <c r="C10" s="82">
        <f>Estimación!C10</f>
        <v>0</v>
      </c>
      <c r="D10" s="81"/>
      <c r="E10" s="81"/>
      <c r="F10" s="81"/>
      <c r="H10" s="74" t="s">
        <v>6</v>
      </c>
      <c r="I10" s="74"/>
      <c r="J10" s="82">
        <f>Estimación!K10</f>
        <v>0</v>
      </c>
      <c r="K10" s="81"/>
      <c r="L10" s="81"/>
      <c r="M10" s="81"/>
    </row>
    <row r="12" spans="1:18">
      <c r="A12" s="74" t="s">
        <v>56</v>
      </c>
      <c r="B12" s="74"/>
      <c r="C12" s="36"/>
      <c r="D12" s="75"/>
      <c r="E12" s="75"/>
      <c r="F12" s="75"/>
      <c r="M12" s="74" t="s">
        <v>57</v>
      </c>
      <c r="N12" s="74"/>
      <c r="Q12" s="11">
        <f>Estimación!L12</f>
        <v>0</v>
      </c>
      <c r="R12" s="13" t="s">
        <v>8</v>
      </c>
    </row>
    <row r="13" spans="1:18">
      <c r="M13" s="74" t="s">
        <v>9</v>
      </c>
      <c r="N13" s="74"/>
      <c r="Q13" s="11">
        <f>Estimación!L13</f>
        <v>0</v>
      </c>
      <c r="R13" s="13" t="s">
        <v>10</v>
      </c>
    </row>
    <row r="14" spans="1:18">
      <c r="M14" s="74" t="s">
        <v>11</v>
      </c>
      <c r="N14" s="74"/>
      <c r="Q14" s="11">
        <f>Estimación!L14</f>
        <v>20</v>
      </c>
      <c r="R14" s="13" t="s">
        <v>12</v>
      </c>
    </row>
    <row r="16" spans="1:18">
      <c r="M16" s="2" t="s">
        <v>58</v>
      </c>
      <c r="R16" s="34">
        <v>0.03</v>
      </c>
    </row>
    <row r="17" spans="1:18">
      <c r="M17" s="2" t="s">
        <v>59</v>
      </c>
      <c r="R17" s="53">
        <v>8.5000000000000006E-2</v>
      </c>
    </row>
    <row r="19" spans="1:18">
      <c r="A19" s="42" t="s">
        <v>60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2" spans="1:18">
      <c r="B22" s="8" t="s">
        <v>61</v>
      </c>
      <c r="D22" s="83" t="s">
        <v>62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Q22" s="83" t="s">
        <v>63</v>
      </c>
      <c r="R22" s="83"/>
    </row>
    <row r="23" spans="1:18">
      <c r="D23" s="38" t="s">
        <v>64</v>
      </c>
      <c r="E23" s="38" t="s">
        <v>65</v>
      </c>
      <c r="F23" s="38" t="s">
        <v>66</v>
      </c>
      <c r="G23" s="38" t="s">
        <v>67</v>
      </c>
      <c r="H23" s="38" t="s">
        <v>68</v>
      </c>
      <c r="I23" s="38" t="s">
        <v>69</v>
      </c>
      <c r="J23" s="38" t="s">
        <v>70</v>
      </c>
      <c r="K23" s="38" t="s">
        <v>71</v>
      </c>
      <c r="L23" s="38" t="s">
        <v>72</v>
      </c>
      <c r="M23" s="38" t="s">
        <v>73</v>
      </c>
      <c r="N23" s="38" t="s">
        <v>74</v>
      </c>
      <c r="O23" s="38" t="s">
        <v>75</v>
      </c>
      <c r="Q23" s="19" t="s">
        <v>76</v>
      </c>
      <c r="R23" s="19" t="s">
        <v>77</v>
      </c>
    </row>
    <row r="25" spans="1:18">
      <c r="B25" t="s">
        <v>78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6"/>
      <c r="Q25" s="6">
        <f t="shared" ref="Q25:Q30" si="0">SUM(D25:O25)</f>
        <v>0</v>
      </c>
      <c r="R25" s="6">
        <f>Estimación!E22</f>
        <v>0</v>
      </c>
    </row>
    <row r="26" spans="1:18">
      <c r="B26" t="s">
        <v>79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6"/>
      <c r="Q26" s="6">
        <f t="shared" si="0"/>
        <v>0</v>
      </c>
      <c r="R26" s="6">
        <f>Estimación!E23</f>
        <v>0</v>
      </c>
    </row>
    <row r="27" spans="1:18">
      <c r="B27" t="s">
        <v>80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6"/>
      <c r="Q27" s="6">
        <f t="shared" si="0"/>
        <v>0</v>
      </c>
      <c r="R27" s="6">
        <f>Estimación!E24</f>
        <v>0</v>
      </c>
    </row>
    <row r="28" spans="1:18">
      <c r="B28" t="s">
        <v>81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6"/>
      <c r="Q28" s="6">
        <f t="shared" si="0"/>
        <v>0</v>
      </c>
      <c r="R28" s="6">
        <f>Estimación!E25</f>
        <v>0</v>
      </c>
    </row>
    <row r="29" spans="1:18">
      <c r="B29" t="s">
        <v>82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6"/>
      <c r="Q29" s="6">
        <f t="shared" si="0"/>
        <v>0</v>
      </c>
      <c r="R29" s="6">
        <f>Estimación!E26</f>
        <v>0</v>
      </c>
    </row>
    <row r="30" spans="1:18">
      <c r="B30" t="s">
        <v>83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6"/>
      <c r="Q30" s="6">
        <f t="shared" si="0"/>
        <v>0</v>
      </c>
      <c r="R30" s="6">
        <f>Estimación!E27</f>
        <v>0</v>
      </c>
    </row>
    <row r="31" spans="1:18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>
      <c r="B32" s="2" t="s">
        <v>84</v>
      </c>
      <c r="D32" s="6">
        <f>SUM(D25:D30)</f>
        <v>0</v>
      </c>
      <c r="E32" s="6">
        <f>SUM(E25:E30)</f>
        <v>0</v>
      </c>
      <c r="F32" s="6">
        <f t="shared" ref="F32:O32" si="1">SUM(F25:F30)</f>
        <v>0</v>
      </c>
      <c r="G32" s="6">
        <f t="shared" si="1"/>
        <v>0</v>
      </c>
      <c r="H32" s="6">
        <f t="shared" si="1"/>
        <v>0</v>
      </c>
      <c r="I32" s="6">
        <f t="shared" si="1"/>
        <v>0</v>
      </c>
      <c r="J32" s="6">
        <f t="shared" si="1"/>
        <v>0</v>
      </c>
      <c r="K32" s="6">
        <f t="shared" si="1"/>
        <v>0</v>
      </c>
      <c r="L32" s="6">
        <f t="shared" si="1"/>
        <v>0</v>
      </c>
      <c r="M32" s="6">
        <f t="shared" si="1"/>
        <v>0</v>
      </c>
      <c r="N32" s="6">
        <f t="shared" si="1"/>
        <v>0</v>
      </c>
      <c r="O32" s="6">
        <f t="shared" si="1"/>
        <v>0</v>
      </c>
      <c r="P32" s="6"/>
      <c r="Q32" s="6">
        <f>SUM(Q25:Q30)</f>
        <v>0</v>
      </c>
      <c r="R32" s="6">
        <f>SUM(R25:R30)</f>
        <v>0</v>
      </c>
    </row>
    <row r="35" spans="2:18">
      <c r="B35" t="s">
        <v>85</v>
      </c>
      <c r="D35" s="6">
        <f>D25*Estimación!$G$22*Estimación!$I$22+D26*Estimación!$G$23*Estimación!$I$23+D27*Estimación!$G$24*Estimación!$I$24+Plan_Financiero!D28*Estimación!$G$25*Estimación!$I$25+Plan_Financiero!D29*Estimación!$G$26*Estimación!$I$26+Plan_Financiero!D30*Estimación!$G$27*Estimación!$I$27</f>
        <v>0</v>
      </c>
      <c r="E35" s="6">
        <f>E25*Estimación!$G$22*Estimación!$I$22+E26*Estimación!$G$23*Estimación!$I$23+E27*Estimación!$G$24*Estimación!$I$24+Plan_Financiero!E28*Estimación!$G$25*Estimación!$I$25+Plan_Financiero!E29*Estimación!$G$26*Estimación!$I$26+Plan_Financiero!E30*Estimación!$G$27*Estimación!$I$27</f>
        <v>0</v>
      </c>
      <c r="F35" s="6">
        <f>F25*Estimación!$G$22*Estimación!$I$22+F26*Estimación!$G$23*Estimación!$I$23+F27*Estimación!$G$24*Estimación!$I$24+Plan_Financiero!F28*Estimación!$G$25*Estimación!$I$25+Plan_Financiero!F29*Estimación!$G$26*Estimación!$I$26+Plan_Financiero!F30*Estimación!$G$27*Estimación!$I$27</f>
        <v>0</v>
      </c>
      <c r="G35" s="6">
        <f>G25*Estimación!$G$22*Estimación!$I$22+G26*Estimación!$G$23*Estimación!$I$23+G27*Estimación!$G$24*Estimación!$I$24+Plan_Financiero!G28*Estimación!$G$25*Estimación!$I$25+Plan_Financiero!G29*Estimación!$G$26*Estimación!$I$26+Plan_Financiero!G30*Estimación!$G$27*Estimación!$I$27</f>
        <v>0</v>
      </c>
      <c r="H35" s="6">
        <f>H25*Estimación!$G$22*Estimación!$I$22+H26*Estimación!$G$23*Estimación!$I$23+H27*Estimación!$G$24*Estimación!$I$24+Plan_Financiero!H28*Estimación!$G$25*Estimación!$I$25+Plan_Financiero!H29*Estimación!$G$26*Estimación!$I$26+Plan_Financiero!H30*Estimación!$G$27*Estimación!$I$27</f>
        <v>0</v>
      </c>
      <c r="I35" s="6">
        <f>I25*Estimación!$G$22*Estimación!$I$22+I26*Estimación!$G$23*Estimación!$I$23+I27*Estimación!$G$24*Estimación!$I$24+Plan_Financiero!I28*Estimación!$G$25*Estimación!$I$25+Plan_Financiero!I29*Estimación!$G$26*Estimación!$I$26+Plan_Financiero!I30*Estimación!$G$27*Estimación!$I$27</f>
        <v>0</v>
      </c>
      <c r="J35" s="6">
        <f>J25*Estimación!$G$22*Estimación!$I$22+J26*Estimación!$G$23*Estimación!$I$23+J27*Estimación!$G$24*Estimación!$I$24+Plan_Financiero!J28*Estimación!$G$25*Estimación!$I$25+Plan_Financiero!J29*Estimación!$G$26*Estimación!$I$26+Plan_Financiero!J30*Estimación!$G$27*Estimación!$I$27</f>
        <v>0</v>
      </c>
      <c r="K35" s="6">
        <f>K25*Estimación!$G$22*Estimación!$I$22+K26*Estimación!$G$23*Estimación!$I$23+K27*Estimación!$G$24*Estimación!$I$24+Plan_Financiero!K28*Estimación!$G$25*Estimación!$I$25+Plan_Financiero!K29*Estimación!$G$26*Estimación!$I$26+Plan_Financiero!K30*Estimación!$G$27*Estimación!$I$27</f>
        <v>0</v>
      </c>
      <c r="L35" s="6">
        <f>L25*Estimación!$G$22*Estimación!$I$22+L26*Estimación!$G$23*Estimación!$I$23+L27*Estimación!$G$24*Estimación!$I$24+Plan_Financiero!L28*Estimación!$G$25*Estimación!$I$25+Plan_Financiero!L29*Estimación!$G$26*Estimación!$I$26+Plan_Financiero!L30*Estimación!$G$27*Estimación!$I$27</f>
        <v>0</v>
      </c>
      <c r="M35" s="6">
        <f>M25*Estimación!$G$22*Estimación!$I$22+M26*Estimación!$G$23*Estimación!$I$23+M27*Estimación!$G$24*Estimación!$I$24+Plan_Financiero!M28*Estimación!$G$25*Estimación!$I$25+Plan_Financiero!M29*Estimación!$G$26*Estimación!$I$26+Plan_Financiero!M30*Estimación!$G$27*Estimación!$I$27</f>
        <v>0</v>
      </c>
      <c r="N35" s="6">
        <f>N25*Estimación!$G$22*Estimación!$I$22+N26*Estimación!$G$23*Estimación!$I$23+N27*Estimación!$G$24*Estimación!$I$24+Plan_Financiero!N28*Estimación!$G$25*Estimación!$I$25+Plan_Financiero!N29*Estimación!$G$26*Estimación!$I$26+Plan_Financiero!N30*Estimación!$G$27*Estimación!$I$27</f>
        <v>0</v>
      </c>
      <c r="O35" s="6">
        <f>O25*Estimación!$G$22*Estimación!$I$22+O26*Estimación!$G$23*Estimación!$I$23+O27*Estimación!$G$24*Estimación!$I$24+Plan_Financiero!O28*Estimación!$G$25*Estimación!$I$25+Plan_Financiero!O29*Estimación!$G$26*Estimación!$I$26+Plan_Financiero!O30*Estimación!$G$27*Estimación!$I$27</f>
        <v>0</v>
      </c>
      <c r="P35" s="6"/>
      <c r="Q35" s="6">
        <f t="shared" ref="Q35:Q43" si="2">SUM(D35:O35)</f>
        <v>0</v>
      </c>
      <c r="R35" s="6">
        <f>Estimación!M22/(1+Estimación!K22)+Estimación!M23/(1+Estimación!K23)+Estimación!M24/(1+Estimación!K24)+Estimación!M25/(1+Estimación!K25)+Estimación!M26/(1+Estimación!K26)+Estimación!M27/(1+Estimación!K27)</f>
        <v>0</v>
      </c>
    </row>
    <row r="36" spans="2:18">
      <c r="B36" t="s">
        <v>86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6"/>
      <c r="Q36" s="6">
        <f t="shared" si="2"/>
        <v>0</v>
      </c>
      <c r="R36" s="6">
        <f>Estimación!M36/(1+Estimación!K36)</f>
        <v>0</v>
      </c>
    </row>
    <row r="37" spans="2:18">
      <c r="B37" t="s">
        <v>87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6"/>
      <c r="Q37" s="6">
        <f t="shared" si="2"/>
        <v>0</v>
      </c>
      <c r="R37" s="6">
        <f>Estimación!M48</f>
        <v>0</v>
      </c>
    </row>
    <row r="38" spans="2:18">
      <c r="B38" t="s">
        <v>88</v>
      </c>
      <c r="D38" s="35" t="str">
        <f>IF(Plan_Financiero!$Q$32=0,"",Estimación!$M$40/(1+Estimación!$K$40)*(Plan_Financiero!D32/Plan_Financiero!$Q$32))</f>
        <v/>
      </c>
      <c r="E38" s="35" t="str">
        <f>IF(Plan_Financiero!$Q$32=0,"",Estimación!$M$40/(1+Estimación!$K$40)*(Plan_Financiero!E32/Plan_Financiero!$Q$32))</f>
        <v/>
      </c>
      <c r="F38" s="35" t="str">
        <f>IF(Plan_Financiero!$Q$32=0,"",Estimación!$M$40/(1+Estimación!$K$40)*(Plan_Financiero!F32/Plan_Financiero!$Q$32))</f>
        <v/>
      </c>
      <c r="G38" s="35" t="str">
        <f>IF(Plan_Financiero!$Q$32=0,"",Estimación!$M$40/(1+Estimación!$K$40)*(Plan_Financiero!G32/Plan_Financiero!$Q$32))</f>
        <v/>
      </c>
      <c r="H38" s="35" t="str">
        <f>IF(Plan_Financiero!$Q$32=0,"",Estimación!$M$40/(1+Estimación!$K$40)*(Plan_Financiero!H32/Plan_Financiero!$Q$32))</f>
        <v/>
      </c>
      <c r="I38" s="35" t="str">
        <f>IF(Plan_Financiero!$Q$32=0,"",Estimación!$M$40/(1+Estimación!$K$40)*(Plan_Financiero!I32/Plan_Financiero!$Q$32))</f>
        <v/>
      </c>
      <c r="J38" s="35" t="str">
        <f>IF(Plan_Financiero!$Q$32=0,"",Estimación!$M$40/(1+Estimación!$K$40)*(Plan_Financiero!J32/Plan_Financiero!$Q$32))</f>
        <v/>
      </c>
      <c r="K38" s="35" t="str">
        <f>IF(Plan_Financiero!$Q$32=0,"",Estimación!$M$40/(1+Estimación!$K$40)*(Plan_Financiero!K32/Plan_Financiero!$Q$32))</f>
        <v/>
      </c>
      <c r="L38" s="35" t="str">
        <f>IF(Plan_Financiero!$Q$32=0,"",Estimación!$M$40/(1+Estimación!$K$40)*(Plan_Financiero!L32/Plan_Financiero!$Q$32))</f>
        <v/>
      </c>
      <c r="M38" s="35" t="str">
        <f>IF(Plan_Financiero!$Q$32=0,"",Estimación!$M$40/(1+Estimación!$K$40)*(Plan_Financiero!M32/Plan_Financiero!$Q$32))</f>
        <v/>
      </c>
      <c r="N38" s="35" t="str">
        <f>IF(Plan_Financiero!$Q$32=0,"",Estimación!$M$40/(1+Estimación!$K$40)*(Plan_Financiero!N32/Plan_Financiero!$Q$32))</f>
        <v/>
      </c>
      <c r="O38" s="35" t="str">
        <f>IF(Plan_Financiero!$Q$32=0,"",Estimación!$M$40/(1+Estimación!$K$40)*(Plan_Financiero!O32/Plan_Financiero!$Q$32))</f>
        <v/>
      </c>
      <c r="P38" s="6"/>
      <c r="Q38" s="6">
        <f t="shared" si="2"/>
        <v>0</v>
      </c>
      <c r="R38" s="6">
        <f>Estimación!M40/(1+Estimación!K40)</f>
        <v>0</v>
      </c>
    </row>
    <row r="39" spans="2:18">
      <c r="B39" t="s">
        <v>89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6"/>
      <c r="Q39" s="6">
        <f t="shared" si="2"/>
        <v>0</v>
      </c>
      <c r="R39" s="6">
        <f>Estimación!M41/(1+Estimación!K41)</f>
        <v>0</v>
      </c>
    </row>
    <row r="40" spans="2:18">
      <c r="B40" t="s">
        <v>90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6"/>
      <c r="Q40" s="6">
        <f t="shared" si="2"/>
        <v>0</v>
      </c>
      <c r="R40" s="6">
        <f>Estimación!M42/(1+Estimación!K42)</f>
        <v>0</v>
      </c>
    </row>
    <row r="41" spans="2:18">
      <c r="B41" t="s">
        <v>91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6"/>
      <c r="Q41" s="6">
        <f t="shared" si="2"/>
        <v>0</v>
      </c>
      <c r="R41" s="6">
        <f>Estimación!M49</f>
        <v>0</v>
      </c>
    </row>
    <row r="42" spans="2:18">
      <c r="B42" t="s">
        <v>92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6"/>
      <c r="Q42" s="6">
        <f t="shared" si="2"/>
        <v>0</v>
      </c>
      <c r="R42" s="6">
        <f>Estimación!M50</f>
        <v>0</v>
      </c>
    </row>
    <row r="43" spans="2:18">
      <c r="B43" t="s">
        <v>93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6"/>
      <c r="Q43" s="6">
        <f t="shared" si="2"/>
        <v>0</v>
      </c>
      <c r="R43" s="6">
        <f>Cierre!F49</f>
        <v>585</v>
      </c>
    </row>
    <row r="44" spans="2:18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2:18">
      <c r="B45" s="2" t="s">
        <v>94</v>
      </c>
      <c r="D45" s="6">
        <f>SUM(D35:D43)</f>
        <v>0</v>
      </c>
      <c r="E45" s="6">
        <f t="shared" ref="E45:O45" si="3">SUM(E35:E43)</f>
        <v>0</v>
      </c>
      <c r="F45" s="6">
        <f t="shared" si="3"/>
        <v>0</v>
      </c>
      <c r="G45" s="6">
        <f t="shared" si="3"/>
        <v>0</v>
      </c>
      <c r="H45" s="6">
        <f t="shared" si="3"/>
        <v>0</v>
      </c>
      <c r="I45" s="6">
        <f t="shared" si="3"/>
        <v>0</v>
      </c>
      <c r="J45" s="6">
        <f t="shared" si="3"/>
        <v>0</v>
      </c>
      <c r="K45" s="6">
        <f t="shared" si="3"/>
        <v>0</v>
      </c>
      <c r="L45" s="6">
        <f t="shared" si="3"/>
        <v>0</v>
      </c>
      <c r="M45" s="6">
        <f t="shared" si="3"/>
        <v>0</v>
      </c>
      <c r="N45" s="6">
        <f t="shared" si="3"/>
        <v>0</v>
      </c>
      <c r="O45" s="6">
        <f t="shared" si="3"/>
        <v>0</v>
      </c>
      <c r="P45" s="6"/>
      <c r="Q45" s="6">
        <f>SUM(D45:O45)</f>
        <v>0</v>
      </c>
      <c r="R45" s="6">
        <f>SUM(R35:R43)</f>
        <v>585</v>
      </c>
    </row>
    <row r="46" spans="2:18">
      <c r="B46" s="2" t="s">
        <v>95</v>
      </c>
      <c r="D46" s="6">
        <f>D45</f>
        <v>0</v>
      </c>
      <c r="E46" s="6">
        <f>E45+D46</f>
        <v>0</v>
      </c>
      <c r="F46" s="6">
        <f t="shared" ref="F46:O46" si="4">F45+E46</f>
        <v>0</v>
      </c>
      <c r="G46" s="6">
        <f t="shared" si="4"/>
        <v>0</v>
      </c>
      <c r="H46" s="6">
        <f t="shared" si="4"/>
        <v>0</v>
      </c>
      <c r="I46" s="6">
        <f t="shared" si="4"/>
        <v>0</v>
      </c>
      <c r="J46" s="6">
        <f t="shared" si="4"/>
        <v>0</v>
      </c>
      <c r="K46" s="6">
        <f t="shared" si="4"/>
        <v>0</v>
      </c>
      <c r="L46" s="6">
        <f t="shared" si="4"/>
        <v>0</v>
      </c>
      <c r="M46" s="6">
        <f t="shared" si="4"/>
        <v>0</v>
      </c>
      <c r="N46" s="6">
        <f t="shared" si="4"/>
        <v>0</v>
      </c>
      <c r="O46" s="6">
        <f t="shared" si="4"/>
        <v>0</v>
      </c>
      <c r="P46" s="6"/>
      <c r="Q46" s="6"/>
      <c r="R46" s="6"/>
    </row>
    <row r="47" spans="2:18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2:18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>
      <c r="B49" s="2" t="s">
        <v>96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6"/>
      <c r="Q49" s="6">
        <f>SUM(D49:O49)</f>
        <v>0</v>
      </c>
      <c r="R49" s="6">
        <f>Estimación!M77</f>
        <v>0</v>
      </c>
    </row>
    <row r="50" spans="1:18">
      <c r="B50" s="2" t="s">
        <v>97</v>
      </c>
      <c r="D50" s="6">
        <f>D49</f>
        <v>0</v>
      </c>
      <c r="E50" s="6">
        <f>D50+E49</f>
        <v>0</v>
      </c>
      <c r="F50" s="6">
        <f t="shared" ref="F50:O50" si="5">E50+F49</f>
        <v>0</v>
      </c>
      <c r="G50" s="6">
        <f t="shared" si="5"/>
        <v>0</v>
      </c>
      <c r="H50" s="6">
        <f t="shared" si="5"/>
        <v>0</v>
      </c>
      <c r="I50" s="6">
        <f t="shared" si="5"/>
        <v>0</v>
      </c>
      <c r="J50" s="6">
        <f t="shared" si="5"/>
        <v>0</v>
      </c>
      <c r="K50" s="6">
        <f t="shared" si="5"/>
        <v>0</v>
      </c>
      <c r="L50" s="6">
        <f t="shared" si="5"/>
        <v>0</v>
      </c>
      <c r="M50" s="6">
        <f t="shared" si="5"/>
        <v>0</v>
      </c>
      <c r="N50" s="6">
        <f t="shared" si="5"/>
        <v>0</v>
      </c>
      <c r="O50" s="6">
        <f t="shared" si="5"/>
        <v>0</v>
      </c>
      <c r="P50" s="6"/>
      <c r="Q50" s="6"/>
      <c r="R50" s="6"/>
    </row>
    <row r="51" spans="1:18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>
      <c r="A53" s="42" t="s">
        <v>98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18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>
      <c r="B55" s="2" t="s">
        <v>99</v>
      </c>
      <c r="D55" s="6">
        <f>D49-D45</f>
        <v>0</v>
      </c>
      <c r="E55" s="6">
        <f t="shared" ref="E55:O55" si="6">E49-E45</f>
        <v>0</v>
      </c>
      <c r="F55" s="6">
        <f t="shared" si="6"/>
        <v>0</v>
      </c>
      <c r="G55" s="6">
        <f t="shared" si="6"/>
        <v>0</v>
      </c>
      <c r="H55" s="6">
        <f t="shared" si="6"/>
        <v>0</v>
      </c>
      <c r="I55" s="6">
        <f t="shared" si="6"/>
        <v>0</v>
      </c>
      <c r="J55" s="6">
        <f t="shared" si="6"/>
        <v>0</v>
      </c>
      <c r="K55" s="6">
        <f t="shared" si="6"/>
        <v>0</v>
      </c>
      <c r="L55" s="6">
        <f t="shared" si="6"/>
        <v>0</v>
      </c>
      <c r="M55" s="6">
        <f t="shared" si="6"/>
        <v>0</v>
      </c>
      <c r="N55" s="6">
        <f t="shared" si="6"/>
        <v>0</v>
      </c>
      <c r="O55" s="6">
        <f t="shared" si="6"/>
        <v>0</v>
      </c>
      <c r="P55" s="6"/>
      <c r="Q55" s="6">
        <f>SUM(D55:O55)</f>
        <v>0</v>
      </c>
      <c r="R55" s="6">
        <f>Estimación!M77-Estimación!M55</f>
        <v>0</v>
      </c>
    </row>
    <row r="57" spans="1:18">
      <c r="B57" s="2" t="s">
        <v>100</v>
      </c>
      <c r="D57" s="6">
        <f>D55</f>
        <v>0</v>
      </c>
      <c r="E57" s="6">
        <f>E55+D57</f>
        <v>0</v>
      </c>
      <c r="F57" s="6">
        <f t="shared" ref="F57:O57" si="7">F55+E57</f>
        <v>0</v>
      </c>
      <c r="G57" s="6">
        <f t="shared" si="7"/>
        <v>0</v>
      </c>
      <c r="H57" s="6">
        <f t="shared" si="7"/>
        <v>0</v>
      </c>
      <c r="I57" s="6">
        <f t="shared" si="7"/>
        <v>0</v>
      </c>
      <c r="J57" s="6">
        <f t="shared" si="7"/>
        <v>0</v>
      </c>
      <c r="K57" s="6">
        <f t="shared" si="7"/>
        <v>0</v>
      </c>
      <c r="L57" s="6">
        <f t="shared" si="7"/>
        <v>0</v>
      </c>
      <c r="M57" s="6">
        <f t="shared" si="7"/>
        <v>0</v>
      </c>
      <c r="N57" s="6">
        <f t="shared" si="7"/>
        <v>0</v>
      </c>
      <c r="O57" s="6">
        <f t="shared" si="7"/>
        <v>0</v>
      </c>
      <c r="Q57" s="6">
        <f>O57</f>
        <v>0</v>
      </c>
      <c r="R57" s="6">
        <f>R55</f>
        <v>0</v>
      </c>
    </row>
    <row r="59" spans="1:18">
      <c r="B59" s="2" t="s">
        <v>101</v>
      </c>
      <c r="D59" s="6">
        <f>D55/(1+$R$16/12)^1</f>
        <v>0</v>
      </c>
      <c r="E59" s="6">
        <f>E55/(1+$R$16/12)^2</f>
        <v>0</v>
      </c>
      <c r="F59" s="6">
        <f>F55/(1+$R$16/12)^3</f>
        <v>0</v>
      </c>
      <c r="G59" s="6">
        <f>G55/(1+$R$16/12)^4</f>
        <v>0</v>
      </c>
      <c r="H59" s="6">
        <f>H55/(1+$R$16/12)^5</f>
        <v>0</v>
      </c>
      <c r="I59" s="6">
        <f>I55/(1+$R$16/12)^6</f>
        <v>0</v>
      </c>
      <c r="J59" s="6">
        <f>J55/(1+$R$16/12)^7</f>
        <v>0</v>
      </c>
      <c r="K59" s="6">
        <f>K55/(1+$R$16/12)^8</f>
        <v>0</v>
      </c>
      <c r="L59" s="6">
        <f>L55/(1+$R$16/12)^9</f>
        <v>0</v>
      </c>
      <c r="M59" s="6">
        <f>M55/(1+$R$16/12)^10</f>
        <v>0</v>
      </c>
      <c r="N59" s="6">
        <f>N55/(1+$R$16/12)^11</f>
        <v>0</v>
      </c>
      <c r="O59" s="6">
        <f>O55/(1+$R$16/12)^12</f>
        <v>0</v>
      </c>
      <c r="P59" s="6"/>
      <c r="Q59" s="6"/>
      <c r="R59" s="6"/>
    </row>
    <row r="60" spans="1:18">
      <c r="B60" s="2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>
      <c r="B61" s="2" t="s">
        <v>102</v>
      </c>
      <c r="D61" s="6">
        <f>D59</f>
        <v>0</v>
      </c>
      <c r="E61" s="6">
        <f>E59+D61</f>
        <v>0</v>
      </c>
      <c r="F61" s="6">
        <f t="shared" ref="F61:O61" si="8">F59+E61</f>
        <v>0</v>
      </c>
      <c r="G61" s="6">
        <f t="shared" si="8"/>
        <v>0</v>
      </c>
      <c r="H61" s="6">
        <f t="shared" si="8"/>
        <v>0</v>
      </c>
      <c r="I61" s="6">
        <f t="shared" si="8"/>
        <v>0</v>
      </c>
      <c r="J61" s="6">
        <f t="shared" si="8"/>
        <v>0</v>
      </c>
      <c r="K61" s="6">
        <f t="shared" si="8"/>
        <v>0</v>
      </c>
      <c r="L61" s="6">
        <f t="shared" si="8"/>
        <v>0</v>
      </c>
      <c r="M61" s="6">
        <f t="shared" si="8"/>
        <v>0</v>
      </c>
      <c r="N61" s="6">
        <f t="shared" si="8"/>
        <v>0</v>
      </c>
      <c r="O61" s="6">
        <f t="shared" si="8"/>
        <v>0</v>
      </c>
      <c r="P61" s="6"/>
      <c r="Q61" s="6"/>
      <c r="R61" s="6"/>
    </row>
    <row r="62" spans="1:18">
      <c r="B62" s="2"/>
    </row>
    <row r="63" spans="1:18">
      <c r="B63" s="2" t="s">
        <v>103</v>
      </c>
      <c r="D63" s="29">
        <f>IF(D45=0, 0, (D57/D45)*(12/1))</f>
        <v>0</v>
      </c>
      <c r="E63" s="29">
        <f t="shared" ref="E63:O63" si="9">IF(E45=0, 0, (E57/E45)*(12/1))</f>
        <v>0</v>
      </c>
      <c r="F63" s="29">
        <f t="shared" si="9"/>
        <v>0</v>
      </c>
      <c r="G63" s="29">
        <f t="shared" si="9"/>
        <v>0</v>
      </c>
      <c r="H63" s="29">
        <f t="shared" si="9"/>
        <v>0</v>
      </c>
      <c r="I63" s="29">
        <f t="shared" si="9"/>
        <v>0</v>
      </c>
      <c r="J63" s="29">
        <f t="shared" si="9"/>
        <v>0</v>
      </c>
      <c r="K63" s="29">
        <f t="shared" si="9"/>
        <v>0</v>
      </c>
      <c r="L63" s="29">
        <f t="shared" si="9"/>
        <v>0</v>
      </c>
      <c r="M63" s="29">
        <f t="shared" si="9"/>
        <v>0</v>
      </c>
      <c r="N63" s="29">
        <f t="shared" si="9"/>
        <v>0</v>
      </c>
      <c r="O63" s="29">
        <f t="shared" si="9"/>
        <v>0</v>
      </c>
      <c r="Q63" s="29"/>
    </row>
    <row r="65" spans="2:15">
      <c r="B65" s="2" t="s">
        <v>104</v>
      </c>
      <c r="D65" s="29">
        <f>D63-$R$17*(1/12)</f>
        <v>-7.0833333333333338E-3</v>
      </c>
      <c r="E65" s="29">
        <f>E63-$R$17*(2/12)</f>
        <v>-1.4166666666666668E-2</v>
      </c>
      <c r="F65" s="29">
        <f>F63-$R$17*(3/12)</f>
        <v>-2.1250000000000002E-2</v>
      </c>
      <c r="G65" s="29">
        <f>G63-$R$17*(4/12)</f>
        <v>-2.8333333333333335E-2</v>
      </c>
      <c r="H65" s="29">
        <f>H63-$R$17*(5/12)</f>
        <v>-3.5416666666666673E-2</v>
      </c>
      <c r="I65" s="29">
        <f>I63-$R$17*(6/12)</f>
        <v>-4.2500000000000003E-2</v>
      </c>
      <c r="J65" s="29">
        <f>J63-$R$17*(7/12)</f>
        <v>-4.958333333333334E-2</v>
      </c>
      <c r="K65" s="29">
        <f>K63-$R$17*(8/12)</f>
        <v>-5.6666666666666671E-2</v>
      </c>
      <c r="L65" s="29">
        <f>L63-$R$17*(9/12)</f>
        <v>-6.3750000000000001E-2</v>
      </c>
      <c r="M65" s="29">
        <f>M63-$R$17*(10/12)</f>
        <v>-7.0833333333333345E-2</v>
      </c>
      <c r="N65" s="29">
        <f>N63-$R$17*(11/12)</f>
        <v>-7.7916666666666676E-2</v>
      </c>
      <c r="O65" s="29">
        <f>O63-$R$17*(12/12)</f>
        <v>-8.5000000000000006E-2</v>
      </c>
    </row>
  </sheetData>
  <mergeCells count="19">
    <mergeCell ref="Q22:R22"/>
    <mergeCell ref="D22:O22"/>
    <mergeCell ref="A12:B12"/>
    <mergeCell ref="M12:N12"/>
    <mergeCell ref="D12:F12"/>
    <mergeCell ref="M14:N14"/>
    <mergeCell ref="A10:B10"/>
    <mergeCell ref="C10:F10"/>
    <mergeCell ref="H10:I10"/>
    <mergeCell ref="M13:N13"/>
    <mergeCell ref="J10:M10"/>
    <mergeCell ref="J8:M8"/>
    <mergeCell ref="A7:B7"/>
    <mergeCell ref="C7:F7"/>
    <mergeCell ref="H7:I7"/>
    <mergeCell ref="J7:M7"/>
    <mergeCell ref="A8:B8"/>
    <mergeCell ref="C8:F8"/>
    <mergeCell ref="H8:I8"/>
  </mergeCells>
  <phoneticPr fontId="0" type="noConversion"/>
  <printOptions horizontalCentered="1" verticalCentered="1"/>
  <pageMargins left="0.75" right="0.75" top="1" bottom="1" header="0" footer="0"/>
  <pageSetup paperSize="9" scale="54" orientation="landscape" horizontalDpi="1270" verticalDpi="127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72"/>
  <sheetViews>
    <sheetView zoomScale="75" workbookViewId="0">
      <selection activeCell="C7" sqref="C7:F7"/>
    </sheetView>
  </sheetViews>
  <sheetFormatPr defaultRowHeight="12.75"/>
  <cols>
    <col min="1" max="256" width="11.42578125" customWidth="1"/>
  </cols>
  <sheetData>
    <row r="1" spans="1:18">
      <c r="C1" s="71" t="s">
        <v>105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4" spans="1:18"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7" spans="1:18">
      <c r="A7" s="74" t="s">
        <v>1</v>
      </c>
      <c r="B7" s="74"/>
      <c r="C7" s="81">
        <f>Estimación!C7</f>
        <v>0</v>
      </c>
      <c r="D7" s="81"/>
      <c r="E7" s="81"/>
      <c r="F7" s="81"/>
      <c r="H7" s="74" t="s">
        <v>2</v>
      </c>
      <c r="I7" s="74"/>
      <c r="J7" s="81">
        <f>Estimación!K7</f>
        <v>0</v>
      </c>
      <c r="K7" s="81"/>
      <c r="L7" s="81"/>
      <c r="M7" s="81"/>
    </row>
    <row r="8" spans="1:18">
      <c r="A8" s="74" t="s">
        <v>3</v>
      </c>
      <c r="B8" s="74"/>
      <c r="C8" s="81">
        <f>Estimación!C8</f>
        <v>0</v>
      </c>
      <c r="D8" s="81"/>
      <c r="E8" s="81"/>
      <c r="F8" s="81"/>
      <c r="H8" s="74" t="s">
        <v>4</v>
      </c>
      <c r="I8" s="74"/>
      <c r="J8" s="81">
        <f>Estimación!K8</f>
        <v>0</v>
      </c>
      <c r="K8" s="81"/>
      <c r="L8" s="81"/>
      <c r="M8" s="81"/>
    </row>
    <row r="10" spans="1:18">
      <c r="A10" s="74" t="s">
        <v>5</v>
      </c>
      <c r="B10" s="74"/>
      <c r="C10" s="82">
        <f>Estimación!C10</f>
        <v>0</v>
      </c>
      <c r="D10" s="81"/>
      <c r="E10" s="81"/>
      <c r="F10" s="81"/>
      <c r="H10" s="74" t="s">
        <v>6</v>
      </c>
      <c r="I10" s="74"/>
      <c r="J10" s="82">
        <f>Estimación!K10</f>
        <v>0</v>
      </c>
      <c r="K10" s="81"/>
      <c r="L10" s="81"/>
      <c r="M10" s="81"/>
    </row>
    <row r="12" spans="1:18">
      <c r="A12" s="74" t="s">
        <v>56</v>
      </c>
      <c r="B12" s="74"/>
      <c r="C12" s="81"/>
      <c r="D12" s="81"/>
      <c r="E12" s="81"/>
      <c r="F12" s="81"/>
      <c r="M12" s="74" t="s">
        <v>57</v>
      </c>
      <c r="N12" s="74"/>
      <c r="Q12" s="11">
        <f>Estimación!L12</f>
        <v>0</v>
      </c>
      <c r="R12" s="13" t="s">
        <v>8</v>
      </c>
    </row>
    <row r="13" spans="1:18">
      <c r="M13" s="74" t="s">
        <v>9</v>
      </c>
      <c r="N13" s="74"/>
      <c r="Q13" s="11">
        <f>Estimación!L13</f>
        <v>0</v>
      </c>
      <c r="R13" s="13" t="s">
        <v>10</v>
      </c>
    </row>
    <row r="14" spans="1:18">
      <c r="M14" s="74" t="s">
        <v>11</v>
      </c>
      <c r="N14" s="74"/>
      <c r="Q14" s="11">
        <f>Estimación!L14</f>
        <v>20</v>
      </c>
      <c r="R14" s="13" t="s">
        <v>12</v>
      </c>
    </row>
    <row r="16" spans="1:18">
      <c r="M16" s="2" t="s">
        <v>58</v>
      </c>
      <c r="R16" s="34">
        <v>0.03</v>
      </c>
    </row>
    <row r="17" spans="1:18">
      <c r="M17" s="2" t="s">
        <v>59</v>
      </c>
      <c r="R17" s="34">
        <v>8.5000000000000006E-2</v>
      </c>
    </row>
    <row r="19" spans="1:18">
      <c r="M19" s="2" t="s">
        <v>106</v>
      </c>
      <c r="R19" s="2">
        <f>Cierre!F68</f>
        <v>0</v>
      </c>
    </row>
    <row r="21" spans="1:18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</row>
    <row r="23" spans="1:18">
      <c r="B23" s="2" t="s">
        <v>107</v>
      </c>
      <c r="J23" s="2" t="s">
        <v>108</v>
      </c>
    </row>
    <row r="46" spans="3:14">
      <c r="C46" s="2" t="s">
        <v>109</v>
      </c>
      <c r="D46" t="s">
        <v>110</v>
      </c>
      <c r="E46" s="58" t="str">
        <f>IF(R19=0,"N/A", Estimación!E22/(Indicadores!$R$19*160))</f>
        <v>N/A</v>
      </c>
      <c r="K46" s="2" t="s">
        <v>111</v>
      </c>
      <c r="N46" s="6">
        <f>-1*MIN(Plan_Financiero!D57:O57)</f>
        <v>0</v>
      </c>
    </row>
    <row r="47" spans="3:14">
      <c r="C47" s="2" t="s">
        <v>112</v>
      </c>
      <c r="E47" s="58" t="str">
        <f>IF(R20=0,"N/A", Estimación!E23/(Indicadores!$R$19*160))</f>
        <v>N/A</v>
      </c>
      <c r="K47" s="2"/>
      <c r="N47" s="6"/>
    </row>
    <row r="48" spans="3:14">
      <c r="C48" s="2" t="s">
        <v>113</v>
      </c>
      <c r="E48" s="58" t="str">
        <f>IF(R21=0,"N/A", Estimación!E24/(Indicadores!$R$19*160))</f>
        <v>N/A</v>
      </c>
    </row>
    <row r="49" spans="2:13">
      <c r="C49" s="2" t="s">
        <v>114</v>
      </c>
      <c r="E49" s="58" t="str">
        <f>IF(R22=0,"N/A", Estimación!E25/(Indicadores!$R$19*160))</f>
        <v>N/A</v>
      </c>
    </row>
    <row r="50" spans="2:13">
      <c r="B50" s="2"/>
      <c r="C50" s="2" t="s">
        <v>115</v>
      </c>
      <c r="E50" s="58" t="str">
        <f>IF(R23=0,"N/A", Estimación!E26/(Indicadores!$R$19*160))</f>
        <v>N/A</v>
      </c>
      <c r="F50" s="25"/>
      <c r="I50" s="25"/>
      <c r="M50" s="25"/>
    </row>
    <row r="51" spans="2:13">
      <c r="C51" s="2" t="s">
        <v>116</v>
      </c>
      <c r="E51" s="58" t="str">
        <f>IF(R24=0,"N/A", Estimación!E27/(Indicadores!$R$19*160))</f>
        <v>N/A</v>
      </c>
    </row>
    <row r="52" spans="2:13">
      <c r="B52" s="2"/>
      <c r="F52" s="25"/>
      <c r="I52" s="25"/>
      <c r="M52" s="25"/>
    </row>
    <row r="53" spans="2:13">
      <c r="B53" s="2"/>
    </row>
    <row r="54" spans="2:13">
      <c r="B54" s="2"/>
      <c r="F54" s="25"/>
      <c r="G54" s="29"/>
      <c r="I54" s="25"/>
    </row>
    <row r="56" spans="2:13">
      <c r="B56" s="2"/>
      <c r="C56" s="2"/>
      <c r="D56" s="2"/>
      <c r="F56" s="6"/>
      <c r="G56" s="33"/>
      <c r="I56" s="6"/>
      <c r="J56" s="33"/>
    </row>
    <row r="57" spans="2:13">
      <c r="B57" s="2"/>
      <c r="C57" s="2"/>
      <c r="D57" s="2"/>
      <c r="F57" s="6"/>
      <c r="G57" s="33"/>
      <c r="I57" s="6"/>
      <c r="J57" s="33"/>
    </row>
    <row r="58" spans="2:13">
      <c r="B58" s="2"/>
      <c r="C58" s="2"/>
      <c r="D58" s="2"/>
      <c r="F58" s="6"/>
      <c r="G58" s="33"/>
      <c r="I58" s="6"/>
      <c r="J58" s="33"/>
    </row>
    <row r="60" spans="2:13">
      <c r="B60" s="2"/>
    </row>
    <row r="62" spans="2:13">
      <c r="F62" s="10"/>
      <c r="G62" s="10"/>
      <c r="H62" s="10"/>
      <c r="I62" s="10"/>
      <c r="J62" s="10"/>
      <c r="K62" s="10"/>
      <c r="L62" s="10"/>
      <c r="M62" s="10"/>
    </row>
    <row r="63" spans="2:13">
      <c r="F63" s="10"/>
      <c r="G63" s="10"/>
      <c r="H63" s="10"/>
      <c r="I63" s="10"/>
      <c r="J63" s="10"/>
      <c r="K63" s="10"/>
      <c r="L63" s="10"/>
      <c r="M63" s="10"/>
    </row>
    <row r="64" spans="2:13">
      <c r="F64" s="10"/>
      <c r="G64" s="10"/>
      <c r="H64" s="10"/>
      <c r="I64" s="10"/>
      <c r="J64" s="10"/>
      <c r="K64" s="10"/>
      <c r="L64" s="10"/>
      <c r="M64" s="10"/>
    </row>
    <row r="65" spans="2:13">
      <c r="F65" s="10"/>
      <c r="G65" s="10"/>
      <c r="H65" s="10"/>
      <c r="I65" s="10"/>
      <c r="J65" s="10"/>
      <c r="K65" s="10"/>
      <c r="L65" s="10"/>
      <c r="M65" s="10"/>
    </row>
    <row r="66" spans="2:13">
      <c r="F66" s="10"/>
      <c r="G66" s="10"/>
      <c r="H66" s="10"/>
      <c r="I66" s="10"/>
      <c r="J66" s="10"/>
      <c r="K66" s="10"/>
      <c r="L66" s="10"/>
      <c r="M66" s="10"/>
    </row>
    <row r="67" spans="2:13">
      <c r="F67" s="10"/>
      <c r="G67" s="10"/>
      <c r="H67" s="10"/>
      <c r="I67" s="10"/>
      <c r="J67" s="10"/>
      <c r="K67" s="10"/>
      <c r="L67" s="10"/>
      <c r="M67" s="10"/>
    </row>
    <row r="68" spans="2:13">
      <c r="C68" s="2"/>
      <c r="F68" s="10"/>
      <c r="G68" s="10"/>
      <c r="H68" s="10"/>
      <c r="I68" s="10"/>
      <c r="J68" s="10"/>
      <c r="K68" s="10"/>
      <c r="L68" s="10"/>
      <c r="M68" s="10"/>
    </row>
    <row r="70" spans="2:13">
      <c r="B70" s="2"/>
      <c r="F70" s="6"/>
      <c r="G70" s="29"/>
      <c r="I70" s="6"/>
      <c r="J70" s="29"/>
      <c r="M70" s="6"/>
    </row>
    <row r="72" spans="2:13">
      <c r="B72" s="2"/>
      <c r="F72" s="6"/>
      <c r="G72" s="29"/>
      <c r="I72" s="6"/>
      <c r="J72" s="29"/>
      <c r="M72" s="6"/>
    </row>
  </sheetData>
  <mergeCells count="20">
    <mergeCell ref="M14:N14"/>
    <mergeCell ref="A21:R21"/>
    <mergeCell ref="A12:B12"/>
    <mergeCell ref="C12:F12"/>
    <mergeCell ref="M12:N12"/>
    <mergeCell ref="M13:N13"/>
    <mergeCell ref="A10:B10"/>
    <mergeCell ref="C10:F10"/>
    <mergeCell ref="H10:I10"/>
    <mergeCell ref="J10:M10"/>
    <mergeCell ref="A8:B8"/>
    <mergeCell ref="C8:F8"/>
    <mergeCell ref="H8:I8"/>
    <mergeCell ref="J8:M8"/>
    <mergeCell ref="C1:R2"/>
    <mergeCell ref="C4:R5"/>
    <mergeCell ref="A7:B7"/>
    <mergeCell ref="C7:F7"/>
    <mergeCell ref="H7:I7"/>
    <mergeCell ref="J7:M7"/>
  </mergeCells>
  <phoneticPr fontId="0" type="noConversion"/>
  <printOptions horizontalCentered="1" verticalCentered="1"/>
  <pageMargins left="0.75" right="0.75" top="1" bottom="1" header="0" footer="0"/>
  <pageSetup paperSize="9" scale="64" orientation="landscape" horizontalDpi="1270" verticalDpi="127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89"/>
  <sheetViews>
    <sheetView zoomScale="75" workbookViewId="0">
      <selection activeCell="O14" sqref="O14"/>
    </sheetView>
  </sheetViews>
  <sheetFormatPr defaultRowHeight="12.75"/>
  <cols>
    <col min="1" max="1" width="9.5703125" customWidth="1"/>
    <col min="2" max="2" width="8.42578125" customWidth="1"/>
    <col min="3" max="6" width="11.42578125" customWidth="1"/>
    <col min="7" max="7" width="8.85546875" customWidth="1"/>
    <col min="8" max="10" width="11.42578125" customWidth="1"/>
    <col min="11" max="11" width="9.140625" customWidth="1"/>
    <col min="12" max="256" width="11.42578125" customWidth="1"/>
  </cols>
  <sheetData>
    <row r="1" spans="1:13">
      <c r="C1" s="71" t="s">
        <v>117</v>
      </c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4" spans="1:13"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</row>
    <row r="5" spans="1:13"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</row>
    <row r="7" spans="1:13">
      <c r="A7" s="74" t="s">
        <v>1</v>
      </c>
      <c r="B7" s="74"/>
      <c r="C7" s="81">
        <f>Estimación!C7</f>
        <v>0</v>
      </c>
      <c r="D7" s="81"/>
      <c r="E7" s="81"/>
      <c r="F7" s="81"/>
      <c r="H7" s="74" t="s">
        <v>2</v>
      </c>
      <c r="I7" s="74"/>
      <c r="J7" s="81">
        <f>Estimación!K7</f>
        <v>0</v>
      </c>
      <c r="K7" s="81"/>
      <c r="L7" s="81"/>
      <c r="M7" s="81"/>
    </row>
    <row r="8" spans="1:13">
      <c r="A8" s="74" t="s">
        <v>3</v>
      </c>
      <c r="B8" s="74"/>
      <c r="C8" s="81">
        <f>Estimación!C8</f>
        <v>0</v>
      </c>
      <c r="D8" s="81"/>
      <c r="E8" s="81"/>
      <c r="F8" s="81"/>
      <c r="H8" s="74" t="s">
        <v>4</v>
      </c>
      <c r="I8" s="74"/>
      <c r="J8" s="81">
        <f>Estimación!K8</f>
        <v>0</v>
      </c>
      <c r="K8" s="81"/>
      <c r="L8" s="81"/>
      <c r="M8" s="81"/>
    </row>
    <row r="10" spans="1:13">
      <c r="A10" s="74" t="s">
        <v>5</v>
      </c>
      <c r="B10" s="74"/>
      <c r="C10" s="82">
        <f>Estimación!C10</f>
        <v>0</v>
      </c>
      <c r="D10" s="81"/>
      <c r="E10" s="81"/>
      <c r="F10" s="81"/>
      <c r="H10" s="74" t="s">
        <v>6</v>
      </c>
      <c r="I10" s="74"/>
      <c r="J10" s="82">
        <f>Estimación!K10</f>
        <v>0</v>
      </c>
      <c r="K10" s="81"/>
      <c r="L10" s="81"/>
      <c r="M10" s="81"/>
    </row>
    <row r="12" spans="1:13">
      <c r="A12" s="74" t="s">
        <v>56</v>
      </c>
      <c r="B12" s="74"/>
      <c r="C12" s="36"/>
      <c r="D12" s="75"/>
      <c r="E12" s="75"/>
      <c r="F12" s="36"/>
      <c r="H12" s="74" t="s">
        <v>57</v>
      </c>
      <c r="I12" s="74"/>
      <c r="L12" s="11">
        <f>Estimación!L12</f>
        <v>0</v>
      </c>
      <c r="M12" s="13" t="s">
        <v>8</v>
      </c>
    </row>
    <row r="13" spans="1:13">
      <c r="H13" s="74" t="s">
        <v>9</v>
      </c>
      <c r="I13" s="74"/>
      <c r="L13" s="11">
        <f>Estimación!L13</f>
        <v>0</v>
      </c>
      <c r="M13" s="13" t="s">
        <v>10</v>
      </c>
    </row>
    <row r="14" spans="1:13">
      <c r="H14" s="74" t="s">
        <v>11</v>
      </c>
      <c r="I14" s="74"/>
      <c r="L14" s="11">
        <f>Estimación!L14</f>
        <v>20</v>
      </c>
      <c r="M14" s="13" t="s">
        <v>12</v>
      </c>
    </row>
    <row r="16" spans="1:13">
      <c r="A16" s="80" t="s">
        <v>13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8" spans="2:13">
      <c r="B18" s="2" t="s">
        <v>14</v>
      </c>
    </row>
    <row r="20" spans="2:13">
      <c r="C20" s="8" t="s">
        <v>15</v>
      </c>
      <c r="E20" s="83" t="s">
        <v>63</v>
      </c>
      <c r="F20" s="83"/>
      <c r="G20" s="15"/>
      <c r="H20" s="83" t="s">
        <v>118</v>
      </c>
      <c r="I20" s="83"/>
      <c r="J20" s="83"/>
      <c r="K20" s="15"/>
      <c r="L20" s="83" t="s">
        <v>119</v>
      </c>
      <c r="M20" s="83"/>
    </row>
    <row r="21" spans="2:13">
      <c r="E21" s="19" t="s">
        <v>16</v>
      </c>
      <c r="F21" s="19" t="s">
        <v>20</v>
      </c>
      <c r="G21" s="18"/>
      <c r="H21" s="19" t="s">
        <v>16</v>
      </c>
      <c r="I21" s="19" t="s">
        <v>20</v>
      </c>
      <c r="J21" s="19" t="s">
        <v>12</v>
      </c>
      <c r="K21" s="18"/>
      <c r="L21" s="19"/>
      <c r="M21" s="19" t="s">
        <v>12</v>
      </c>
    </row>
    <row r="23" spans="2:13">
      <c r="C23" t="s">
        <v>21</v>
      </c>
      <c r="E23">
        <f>Estimación!E22</f>
        <v>0</v>
      </c>
      <c r="F23" s="6">
        <f>Estimación!E22*Estimación!G22*Estimación!I22</f>
        <v>0</v>
      </c>
      <c r="G23" s="4"/>
      <c r="H23" s="22"/>
      <c r="I23" s="6">
        <f>H23*Estimación!G22*Estimación!I22</f>
        <v>0</v>
      </c>
      <c r="J23" s="54" t="str">
        <f>IF(E23=0, "N/A", 100*H23/E23)</f>
        <v>N/A</v>
      </c>
      <c r="K23" s="5"/>
      <c r="L23" s="6">
        <f t="shared" ref="L23:L28" si="0">E23-H23</f>
        <v>0</v>
      </c>
      <c r="M23" s="55" t="str">
        <f>IF(E23=0, "N/A", 100*L23/E23)</f>
        <v>N/A</v>
      </c>
    </row>
    <row r="24" spans="2:13">
      <c r="C24" t="s">
        <v>22</v>
      </c>
      <c r="E24">
        <f>Estimación!E23</f>
        <v>0</v>
      </c>
      <c r="F24" s="6">
        <f>Estimación!E23*Estimación!G23*Estimación!I23</f>
        <v>0</v>
      </c>
      <c r="G24" s="4"/>
      <c r="H24" s="22"/>
      <c r="I24" s="6">
        <f>H24*Estimación!G23*Estimación!I23</f>
        <v>0</v>
      </c>
      <c r="J24" s="54" t="str">
        <f t="shared" ref="J24:J30" si="1">IF(E24=0, "N/A", 100*H24/E24)</f>
        <v>N/A</v>
      </c>
      <c r="K24" s="5"/>
      <c r="L24" s="6">
        <f t="shared" si="0"/>
        <v>0</v>
      </c>
      <c r="M24" s="55" t="str">
        <f t="shared" ref="M24:M30" si="2">IF(E24=0, "N/A", 100*L24/E24)</f>
        <v>N/A</v>
      </c>
    </row>
    <row r="25" spans="2:13">
      <c r="C25" t="s">
        <v>23</v>
      </c>
      <c r="E25">
        <f>Estimación!E24</f>
        <v>0</v>
      </c>
      <c r="F25" s="6">
        <f>Estimación!E24*Estimación!G24*Estimación!I24</f>
        <v>0</v>
      </c>
      <c r="G25" s="4"/>
      <c r="H25" s="22"/>
      <c r="I25" s="6">
        <f>H25*Estimación!G24*Estimación!I24</f>
        <v>0</v>
      </c>
      <c r="J25" s="54" t="str">
        <f t="shared" si="1"/>
        <v>N/A</v>
      </c>
      <c r="K25" s="5"/>
      <c r="L25" s="6">
        <f t="shared" si="0"/>
        <v>0</v>
      </c>
      <c r="M25" s="55" t="str">
        <f t="shared" si="2"/>
        <v>N/A</v>
      </c>
    </row>
    <row r="26" spans="2:13">
      <c r="C26" t="s">
        <v>24</v>
      </c>
      <c r="E26">
        <f>Estimación!E25</f>
        <v>0</v>
      </c>
      <c r="F26" s="6">
        <f>Estimación!E25*Estimación!G25*Estimación!I25</f>
        <v>0</v>
      </c>
      <c r="G26" s="4"/>
      <c r="H26" s="22"/>
      <c r="I26" s="6">
        <f>H26*Estimación!G25*Estimación!I25</f>
        <v>0</v>
      </c>
      <c r="J26" s="54" t="str">
        <f t="shared" si="1"/>
        <v>N/A</v>
      </c>
      <c r="K26" s="5"/>
      <c r="L26" s="6">
        <f t="shared" si="0"/>
        <v>0</v>
      </c>
      <c r="M26" s="55" t="str">
        <f t="shared" si="2"/>
        <v>N/A</v>
      </c>
    </row>
    <row r="27" spans="2:13">
      <c r="C27" t="s">
        <v>25</v>
      </c>
      <c r="E27">
        <f>Estimación!E26</f>
        <v>0</v>
      </c>
      <c r="F27" s="6">
        <f>Estimación!E26*Estimación!G26*Estimación!I26</f>
        <v>0</v>
      </c>
      <c r="G27" s="4"/>
      <c r="H27" s="22"/>
      <c r="I27" s="6">
        <f>H27*Estimación!G26*Estimación!I26</f>
        <v>0</v>
      </c>
      <c r="J27" s="54" t="str">
        <f t="shared" si="1"/>
        <v>N/A</v>
      </c>
      <c r="K27" s="5"/>
      <c r="L27" s="6">
        <f t="shared" si="0"/>
        <v>0</v>
      </c>
      <c r="M27" s="55" t="str">
        <f t="shared" si="2"/>
        <v>N/A</v>
      </c>
    </row>
    <row r="28" spans="2:13">
      <c r="C28" t="s">
        <v>26</v>
      </c>
      <c r="E28">
        <f>Estimación!E27</f>
        <v>0</v>
      </c>
      <c r="F28" s="6">
        <f>Estimación!E27*Estimación!G27*Estimación!I27</f>
        <v>0</v>
      </c>
      <c r="G28" s="4"/>
      <c r="H28" s="22"/>
      <c r="I28" s="6">
        <f>H28*Estimación!G27*Estimación!I27</f>
        <v>0</v>
      </c>
      <c r="J28" s="54" t="str">
        <f t="shared" si="1"/>
        <v>N/A</v>
      </c>
      <c r="K28" s="5"/>
      <c r="L28" s="6">
        <f t="shared" si="0"/>
        <v>0</v>
      </c>
      <c r="M28" s="55" t="str">
        <f t="shared" si="2"/>
        <v>N/A</v>
      </c>
    </row>
    <row r="29" spans="2:13">
      <c r="F29" s="6"/>
      <c r="G29" s="4"/>
      <c r="H29" s="6"/>
      <c r="I29" s="6"/>
      <c r="J29" s="54"/>
      <c r="K29" s="5"/>
      <c r="L29" s="6"/>
      <c r="M29" s="55"/>
    </row>
    <row r="30" spans="2:13">
      <c r="C30" s="2" t="s">
        <v>27</v>
      </c>
      <c r="E30">
        <f>Estimación!E29</f>
        <v>0</v>
      </c>
      <c r="F30" s="6">
        <f>SUM(F23:F28)</f>
        <v>0</v>
      </c>
      <c r="G30" s="4"/>
      <c r="H30" s="6">
        <f>SUM(H23:H28)</f>
        <v>0</v>
      </c>
      <c r="I30" s="6">
        <f>SUM(I23:I28)</f>
        <v>0</v>
      </c>
      <c r="J30" s="54" t="str">
        <f t="shared" si="1"/>
        <v>N/A</v>
      </c>
      <c r="K30" s="5"/>
      <c r="L30" s="6">
        <f>E30-H30</f>
        <v>0</v>
      </c>
      <c r="M30" s="55" t="str">
        <f t="shared" si="2"/>
        <v>N/A</v>
      </c>
    </row>
    <row r="32" spans="2:13">
      <c r="B32" s="2" t="s">
        <v>28</v>
      </c>
    </row>
    <row r="34" spans="2:13">
      <c r="C34" t="s">
        <v>29</v>
      </c>
      <c r="F34" s="6">
        <f>Estimación!M33</f>
        <v>0</v>
      </c>
      <c r="I34" s="23"/>
      <c r="J34" s="54" t="str">
        <f>IF(F34=0, "N/A", 100*I34/F34)</f>
        <v>N/A</v>
      </c>
      <c r="L34" s="6">
        <f>F34-I34</f>
        <v>0</v>
      </c>
      <c r="M34" s="54" t="str">
        <f>IF(J34="N/A", "N/A", 100-J34)</f>
        <v>N/A</v>
      </c>
    </row>
    <row r="35" spans="2:13">
      <c r="C35" t="s">
        <v>30</v>
      </c>
      <c r="F35" s="6">
        <f>Estimación!M34</f>
        <v>0</v>
      </c>
      <c r="I35" s="23"/>
      <c r="J35" s="54" t="str">
        <f>IF(F35=0, "N/A", 100*I35/F35)</f>
        <v>N/A</v>
      </c>
      <c r="L35" s="6">
        <f>F35-I35</f>
        <v>0</v>
      </c>
      <c r="M35" s="54" t="str">
        <f>IF(J35="N/A", "N/A", 100-J35)</f>
        <v>N/A</v>
      </c>
    </row>
    <row r="36" spans="2:13">
      <c r="F36" s="6"/>
      <c r="J36" s="54"/>
      <c r="L36" s="6"/>
      <c r="M36" s="54"/>
    </row>
    <row r="37" spans="2:13">
      <c r="C37" s="2" t="s">
        <v>27</v>
      </c>
      <c r="F37" s="6">
        <f>SUM(F34:F35)</f>
        <v>0</v>
      </c>
      <c r="I37">
        <f>SUM(I34:I35)</f>
        <v>0</v>
      </c>
      <c r="J37" s="54" t="str">
        <f>IF(F37=0, "N/A", 100*I37/F37)</f>
        <v>N/A</v>
      </c>
      <c r="K37" s="5"/>
      <c r="L37" s="6">
        <f>F37-I37</f>
        <v>0</v>
      </c>
      <c r="M37" s="54" t="str">
        <f>IF(J37="N/A", "N/A", 100-J37)</f>
        <v>N/A</v>
      </c>
    </row>
    <row r="39" spans="2:13">
      <c r="B39" s="2" t="s">
        <v>120</v>
      </c>
    </row>
    <row r="41" spans="2:13">
      <c r="C41" t="s">
        <v>121</v>
      </c>
      <c r="F41" s="6">
        <f>Estimación!E40*Estimación!G40*Estimación!I40</f>
        <v>0</v>
      </c>
      <c r="G41" s="10"/>
      <c r="I41" s="22">
        <f>IF(J30="N/A", 0,F41*J30/100)</f>
        <v>0</v>
      </c>
      <c r="J41" s="54" t="str">
        <f t="shared" ref="J41:J50" si="3">IF(F41=0, "N/A", 100*I41/F41)</f>
        <v>N/A</v>
      </c>
      <c r="K41" s="5"/>
      <c r="L41" s="6">
        <f>F41-I41</f>
        <v>0</v>
      </c>
      <c r="M41" s="55" t="str">
        <f>IF(F41=0, "N/A", 100*L41/F41)</f>
        <v>N/A</v>
      </c>
    </row>
    <row r="42" spans="2:13">
      <c r="C42" t="s">
        <v>122</v>
      </c>
      <c r="F42" s="6">
        <f>Estimación!E41*Estimación!G41*Estimación!I41</f>
        <v>0</v>
      </c>
      <c r="G42" s="10"/>
      <c r="I42" s="22"/>
      <c r="J42" s="54" t="str">
        <f t="shared" si="3"/>
        <v>N/A</v>
      </c>
      <c r="K42" s="5"/>
      <c r="L42" s="6">
        <f t="shared" ref="L42:L53" si="4">F42-I42</f>
        <v>0</v>
      </c>
      <c r="M42" s="55" t="str">
        <f t="shared" ref="M42:M50" si="5">IF(F42=0, "N/A", 100*L42/F42)</f>
        <v>N/A</v>
      </c>
    </row>
    <row r="43" spans="2:13">
      <c r="C43" t="s">
        <v>34</v>
      </c>
      <c r="F43" s="6">
        <f>Estimación!E42*Estimación!G42*Estimación!I42</f>
        <v>0</v>
      </c>
      <c r="G43" s="10"/>
      <c r="I43" s="22"/>
      <c r="J43" s="54" t="str">
        <f t="shared" si="3"/>
        <v>N/A</v>
      </c>
      <c r="K43" s="5"/>
      <c r="L43" s="6">
        <f t="shared" si="4"/>
        <v>0</v>
      </c>
      <c r="M43" s="55" t="str">
        <f t="shared" si="5"/>
        <v>N/A</v>
      </c>
    </row>
    <row r="44" spans="2:13">
      <c r="C44" t="s">
        <v>36</v>
      </c>
      <c r="F44" s="6">
        <f>Estimación!M48</f>
        <v>0</v>
      </c>
      <c r="G44" s="10"/>
      <c r="I44" s="22"/>
      <c r="J44" s="54" t="str">
        <f t="shared" si="3"/>
        <v>N/A</v>
      </c>
      <c r="K44" s="5"/>
      <c r="L44" s="6">
        <f t="shared" si="4"/>
        <v>0</v>
      </c>
      <c r="M44" s="55" t="str">
        <f t="shared" si="5"/>
        <v>N/A</v>
      </c>
    </row>
    <row r="45" spans="2:13">
      <c r="C45" t="s">
        <v>37</v>
      </c>
      <c r="F45" s="6">
        <f>Estimación!M49</f>
        <v>0</v>
      </c>
      <c r="G45" s="10"/>
      <c r="I45" s="22"/>
      <c r="J45" s="54" t="str">
        <f t="shared" si="3"/>
        <v>N/A</v>
      </c>
      <c r="K45" s="5"/>
      <c r="L45" s="6">
        <f t="shared" si="4"/>
        <v>0</v>
      </c>
      <c r="M45" s="55" t="str">
        <f t="shared" si="5"/>
        <v>N/A</v>
      </c>
    </row>
    <row r="46" spans="2:13">
      <c r="C46" t="s">
        <v>38</v>
      </c>
      <c r="F46" s="6">
        <f>Estimación!M50</f>
        <v>0</v>
      </c>
      <c r="I46" s="22"/>
      <c r="J46" s="54" t="str">
        <f t="shared" si="3"/>
        <v>N/A</v>
      </c>
      <c r="L46" s="6">
        <f t="shared" si="4"/>
        <v>0</v>
      </c>
      <c r="M46" s="55" t="str">
        <f t="shared" si="5"/>
        <v>N/A</v>
      </c>
    </row>
    <row r="47" spans="2:13">
      <c r="B47" s="2"/>
      <c r="F47" s="6"/>
      <c r="J47" s="54"/>
      <c r="L47" s="6"/>
      <c r="M47" s="55"/>
    </row>
    <row r="48" spans="2:13">
      <c r="C48" t="s">
        <v>123</v>
      </c>
      <c r="F48" s="6">
        <f>F23*Estimación!K22+F24*Estimación!K23+Situación!F25*Estimación!K24+Situación!F26*Estimación!K25+Situación!F27*Estimación!K26+Situación!F28*Estimación!K27+F37*Estimación!K36+F41*Estimación!K40+Situación!F42*Estimación!K41+Situación!F43*Estimación!K42+SUM(F44:F46)*Estimación!K52</f>
        <v>0</v>
      </c>
      <c r="I48" s="23">
        <v>0</v>
      </c>
      <c r="J48" s="54" t="str">
        <f t="shared" si="3"/>
        <v>N/A</v>
      </c>
      <c r="L48" s="6">
        <f t="shared" si="4"/>
        <v>0</v>
      </c>
      <c r="M48" s="55" t="str">
        <f t="shared" si="5"/>
        <v>N/A</v>
      </c>
    </row>
    <row r="49" spans="1:13">
      <c r="L49" s="6"/>
      <c r="M49" s="55"/>
    </row>
    <row r="50" spans="1:13">
      <c r="C50" s="2" t="s">
        <v>27</v>
      </c>
      <c r="F50" s="6">
        <f>SUM(F41:F48)</f>
        <v>0</v>
      </c>
      <c r="I50" s="6">
        <f>SUM(I41:I48)</f>
        <v>0</v>
      </c>
      <c r="J50" s="54" t="str">
        <f t="shared" si="3"/>
        <v>N/A</v>
      </c>
      <c r="L50" s="6">
        <f t="shared" si="4"/>
        <v>0</v>
      </c>
      <c r="M50" s="55" t="str">
        <f t="shared" si="5"/>
        <v>N/A</v>
      </c>
    </row>
    <row r="51" spans="1:13">
      <c r="L51" s="6"/>
      <c r="M51" s="25"/>
    </row>
    <row r="52" spans="1:13">
      <c r="L52" s="6"/>
      <c r="M52" s="25"/>
    </row>
    <row r="53" spans="1:13">
      <c r="B53" s="2" t="s">
        <v>39</v>
      </c>
      <c r="C53" s="2"/>
      <c r="F53" s="6">
        <f>F30+F37+F50</f>
        <v>0</v>
      </c>
      <c r="I53" s="6">
        <f>I30+I37+I50</f>
        <v>0</v>
      </c>
      <c r="J53" s="54" t="str">
        <f>IF(F53=0, "N/A", 100*I53/F53)</f>
        <v>N/A</v>
      </c>
      <c r="K53" s="5"/>
      <c r="L53" s="6">
        <f t="shared" si="4"/>
        <v>0</v>
      </c>
      <c r="M53" s="55" t="str">
        <f>IF(F53=0, "N/A", 100*L53/F53)</f>
        <v>N/A</v>
      </c>
    </row>
    <row r="56" spans="1:13">
      <c r="A56" s="80" t="s">
        <v>124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</row>
    <row r="57" spans="1:13">
      <c r="B57" s="2"/>
      <c r="C57" s="2"/>
      <c r="D57" s="2"/>
      <c r="E57" s="2"/>
      <c r="F57" s="2"/>
      <c r="G57" s="2"/>
      <c r="H57" s="2"/>
      <c r="I57" s="2"/>
      <c r="J57" s="2"/>
      <c r="K57" s="2"/>
      <c r="M57" s="17"/>
    </row>
    <row r="59" spans="1:13">
      <c r="B59" t="s">
        <v>125</v>
      </c>
      <c r="F59" s="6">
        <f>Estimación!M77</f>
        <v>0</v>
      </c>
      <c r="I59" s="24"/>
      <c r="J59" s="54" t="str">
        <f>IF(F59=0, "N/A", 100*I59/F59)</f>
        <v>N/A</v>
      </c>
      <c r="L59" s="6">
        <f>F59-I59</f>
        <v>0</v>
      </c>
      <c r="M59" s="54" t="str">
        <f>IF(J59="N/A", "N/A", 100-J59)</f>
        <v>N/A</v>
      </c>
    </row>
    <row r="60" spans="1:1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>
      <c r="B61" t="s">
        <v>43</v>
      </c>
      <c r="F61" s="6">
        <f>F59-F53</f>
        <v>0</v>
      </c>
      <c r="G61" s="48" t="str">
        <f>IF(F53=0,"N/A",(F59/F53)-1)</f>
        <v>N/A</v>
      </c>
    </row>
    <row r="62" spans="1:13">
      <c r="B62" s="2"/>
    </row>
    <row r="64" spans="1:13">
      <c r="A64" s="80" t="s">
        <v>126</v>
      </c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  <row r="65" spans="2:13">
      <c r="C65" s="1"/>
      <c r="D65" s="1"/>
    </row>
    <row r="66" spans="2:13">
      <c r="B66" s="14" t="s">
        <v>127</v>
      </c>
      <c r="C66" s="14"/>
      <c r="D66" s="14"/>
      <c r="E66" s="14"/>
      <c r="F66" s="5"/>
      <c r="H66" s="6"/>
      <c r="M66" s="6"/>
    </row>
    <row r="67" spans="2:13">
      <c r="B67" s="2"/>
      <c r="C67" s="74" t="s">
        <v>128</v>
      </c>
      <c r="D67" s="74"/>
      <c r="E67" s="2"/>
      <c r="F67" s="5"/>
      <c r="H67" s="6"/>
      <c r="M67" s="6"/>
    </row>
    <row r="68" spans="2:13">
      <c r="C68" s="78"/>
      <c r="D68" s="78"/>
      <c r="F68" s="5"/>
      <c r="H68" s="6"/>
      <c r="M68" s="6"/>
    </row>
    <row r="69" spans="2:13">
      <c r="C69" s="78"/>
      <c r="D69" s="78"/>
      <c r="F69" s="5"/>
      <c r="H69" s="6"/>
      <c r="M69" s="6"/>
    </row>
    <row r="70" spans="2:13">
      <c r="C70" s="1"/>
      <c r="D70" s="1"/>
      <c r="F70" s="5"/>
    </row>
    <row r="71" spans="2:13">
      <c r="C71" s="78"/>
      <c r="D71" s="78"/>
      <c r="F71" s="21"/>
      <c r="H71" s="6"/>
      <c r="M71" s="16"/>
    </row>
    <row r="74" spans="2:13">
      <c r="C74" s="85"/>
      <c r="D74" s="85"/>
      <c r="F74" s="5"/>
      <c r="H74" s="6"/>
      <c r="M74" s="16"/>
    </row>
    <row r="77" spans="2:13">
      <c r="B77" s="2"/>
    </row>
    <row r="79" spans="2:13">
      <c r="C79" s="2"/>
      <c r="M79" s="17"/>
    </row>
    <row r="88" spans="2:5">
      <c r="B88" s="14" t="s">
        <v>129</v>
      </c>
      <c r="C88" s="14"/>
      <c r="D88" s="14"/>
      <c r="E88" s="14"/>
    </row>
    <row r="89" spans="2:5">
      <c r="B89" s="2"/>
      <c r="C89" s="74" t="s">
        <v>130</v>
      </c>
      <c r="D89" s="74"/>
      <c r="E89" s="2"/>
    </row>
  </sheetData>
  <mergeCells count="31">
    <mergeCell ref="C1:M2"/>
    <mergeCell ref="C4:M5"/>
    <mergeCell ref="H13:I13"/>
    <mergeCell ref="H14:I14"/>
    <mergeCell ref="A16:M16"/>
    <mergeCell ref="D12:E12"/>
    <mergeCell ref="A10:B10"/>
    <mergeCell ref="C10:F10"/>
    <mergeCell ref="H10:I10"/>
    <mergeCell ref="J10:M10"/>
    <mergeCell ref="A7:B7"/>
    <mergeCell ref="C7:F7"/>
    <mergeCell ref="H7:I7"/>
    <mergeCell ref="J7:M7"/>
    <mergeCell ref="A8:B8"/>
    <mergeCell ref="C8:F8"/>
    <mergeCell ref="H8:I8"/>
    <mergeCell ref="J8:M8"/>
    <mergeCell ref="C89:D89"/>
    <mergeCell ref="C74:D74"/>
    <mergeCell ref="A12:B12"/>
    <mergeCell ref="A64:M64"/>
    <mergeCell ref="C67:D67"/>
    <mergeCell ref="C68:D68"/>
    <mergeCell ref="C69:D69"/>
    <mergeCell ref="C71:D71"/>
    <mergeCell ref="H12:I12"/>
    <mergeCell ref="A56:M56"/>
    <mergeCell ref="E20:F20"/>
    <mergeCell ref="L20:M20"/>
    <mergeCell ref="H20:J20"/>
  </mergeCells>
  <phoneticPr fontId="0" type="noConversion"/>
  <printOptions horizontalCentered="1" verticalCentered="1"/>
  <pageMargins left="0.75" right="0.75" top="1" bottom="1" header="0" footer="0"/>
  <pageSetup paperSize="9" scale="50" orientation="portrait" horizontalDpi="1270" verticalDpi="127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9"/>
  <sheetViews>
    <sheetView zoomScale="75" workbookViewId="0">
      <selection activeCell="A5" sqref="A5"/>
    </sheetView>
  </sheetViews>
  <sheetFormatPr defaultRowHeight="12.75"/>
  <cols>
    <col min="1" max="1" width="9.5703125" customWidth="1"/>
    <col min="2" max="2" width="5.7109375" customWidth="1"/>
    <col min="3" max="4" width="11.42578125" customWidth="1"/>
    <col min="5" max="5" width="9.28515625" customWidth="1"/>
    <col min="6" max="6" width="11.140625" customWidth="1"/>
    <col min="7" max="7" width="2.140625" customWidth="1"/>
    <col min="8" max="19" width="9.7109375" customWidth="1"/>
    <col min="20" max="20" width="2.28515625" customWidth="1"/>
    <col min="21" max="21" width="10.140625" customWidth="1"/>
    <col min="22" max="22" width="9.5703125" customWidth="1"/>
    <col min="23" max="256" width="11.42578125" customWidth="1"/>
  </cols>
  <sheetData>
    <row r="1" spans="1:22" ht="17.45" customHeight="1">
      <c r="C1" s="86" t="s">
        <v>131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40"/>
      <c r="P1" s="40"/>
      <c r="Q1" s="40"/>
      <c r="R1" s="40"/>
      <c r="S1" s="40"/>
      <c r="T1" s="41"/>
      <c r="U1" s="41"/>
      <c r="V1" s="41"/>
    </row>
    <row r="2" spans="1:22" ht="17.45" customHeight="1"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40"/>
      <c r="P2" s="40"/>
      <c r="Q2" s="40"/>
      <c r="R2" s="40"/>
      <c r="S2" s="40"/>
      <c r="T2" s="41"/>
      <c r="U2" s="41"/>
      <c r="V2" s="41"/>
    </row>
    <row r="4" spans="1:22"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13"/>
      <c r="O4" s="13"/>
      <c r="P4" s="13"/>
      <c r="Q4" s="13"/>
      <c r="R4" s="13"/>
      <c r="S4" s="13"/>
      <c r="T4" s="39"/>
      <c r="U4" s="39"/>
      <c r="V4" s="39"/>
    </row>
    <row r="5" spans="1:22"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13"/>
      <c r="O5" s="13"/>
      <c r="P5" s="13"/>
      <c r="Q5" s="13"/>
      <c r="R5" s="13"/>
      <c r="S5" s="13"/>
      <c r="T5" s="39"/>
      <c r="U5" s="39"/>
      <c r="V5" s="39"/>
    </row>
    <row r="7" spans="1:22">
      <c r="A7" s="74" t="s">
        <v>1</v>
      </c>
      <c r="B7" s="74"/>
      <c r="C7" s="81">
        <f>Estimación!C7</f>
        <v>0</v>
      </c>
      <c r="D7" s="81"/>
      <c r="E7" s="81"/>
      <c r="F7" s="81"/>
      <c r="H7" s="74" t="s">
        <v>2</v>
      </c>
      <c r="I7" s="74"/>
      <c r="J7" s="81">
        <f>Estimación!K7</f>
        <v>0</v>
      </c>
      <c r="K7" s="81"/>
      <c r="L7" s="81"/>
      <c r="M7" s="81"/>
      <c r="N7" s="36"/>
      <c r="O7" s="36"/>
      <c r="P7" s="36"/>
      <c r="Q7" s="36"/>
      <c r="R7" s="36"/>
      <c r="S7" s="36"/>
    </row>
    <row r="8" spans="1:22">
      <c r="A8" s="74" t="s">
        <v>3</v>
      </c>
      <c r="B8" s="74"/>
      <c r="C8" s="81">
        <f>Estimación!C8</f>
        <v>0</v>
      </c>
      <c r="D8" s="81"/>
      <c r="E8" s="81"/>
      <c r="F8" s="81"/>
      <c r="H8" s="74" t="s">
        <v>4</v>
      </c>
      <c r="I8" s="74"/>
      <c r="J8" s="81">
        <f>Estimación!K8</f>
        <v>0</v>
      </c>
      <c r="K8" s="81"/>
      <c r="L8" s="81"/>
      <c r="M8" s="81"/>
      <c r="N8" s="36"/>
      <c r="O8" s="36"/>
      <c r="P8" s="36"/>
      <c r="Q8" s="36"/>
      <c r="R8" s="36"/>
      <c r="S8" s="36"/>
    </row>
    <row r="10" spans="1:22">
      <c r="A10" s="74" t="s">
        <v>5</v>
      </c>
      <c r="B10" s="74"/>
      <c r="C10" s="37"/>
      <c r="D10" s="81">
        <f>Estimación!C10</f>
        <v>0</v>
      </c>
      <c r="E10" s="81"/>
      <c r="F10" s="36"/>
      <c r="H10" s="74" t="s">
        <v>6</v>
      </c>
      <c r="I10" s="74"/>
      <c r="J10" s="82">
        <f>Estimación!K10</f>
        <v>0</v>
      </c>
      <c r="K10" s="81"/>
      <c r="L10" s="81"/>
      <c r="M10" s="81"/>
      <c r="N10" s="36"/>
      <c r="O10" s="36"/>
      <c r="P10" s="36"/>
      <c r="Q10" s="36"/>
      <c r="R10" s="36"/>
      <c r="S10" s="36"/>
    </row>
    <row r="12" spans="1:22">
      <c r="A12" s="74" t="s">
        <v>56</v>
      </c>
      <c r="B12" s="74"/>
      <c r="C12" s="74"/>
      <c r="D12" s="88" t="s">
        <v>132</v>
      </c>
      <c r="E12" s="89"/>
      <c r="F12" s="36"/>
      <c r="N12" s="36"/>
      <c r="O12" s="36"/>
      <c r="P12" s="36"/>
      <c r="Q12" s="74" t="s">
        <v>57</v>
      </c>
      <c r="R12" s="74"/>
      <c r="U12" s="11">
        <f>Estimación!L12</f>
        <v>0</v>
      </c>
      <c r="V12" s="13" t="s">
        <v>8</v>
      </c>
    </row>
    <row r="13" spans="1:22">
      <c r="N13" s="36"/>
      <c r="O13" s="36"/>
      <c r="P13" s="36"/>
      <c r="Q13" s="74" t="s">
        <v>9</v>
      </c>
      <c r="R13" s="74"/>
      <c r="U13" s="11">
        <f>Estimación!L13</f>
        <v>0</v>
      </c>
      <c r="V13" s="13" t="s">
        <v>10</v>
      </c>
    </row>
    <row r="14" spans="1:22">
      <c r="N14" s="36"/>
      <c r="O14" s="36"/>
      <c r="P14" s="36"/>
      <c r="Q14" s="74" t="s">
        <v>11</v>
      </c>
      <c r="R14" s="74"/>
      <c r="U14" s="11">
        <f>Estimación!L14</f>
        <v>20</v>
      </c>
      <c r="V14" s="13" t="s">
        <v>12</v>
      </c>
    </row>
    <row r="16" spans="1:22">
      <c r="A16" s="42" t="s">
        <v>13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8" spans="2:22">
      <c r="B18" s="2" t="s">
        <v>14</v>
      </c>
    </row>
    <row r="20" spans="2:22">
      <c r="C20" s="8" t="s">
        <v>15</v>
      </c>
      <c r="E20" s="83" t="s">
        <v>63</v>
      </c>
      <c r="F20" s="83"/>
      <c r="G20" s="15"/>
      <c r="H20" s="79" t="s">
        <v>133</v>
      </c>
      <c r="I20" s="79"/>
      <c r="J20" s="79"/>
      <c r="K20" s="79"/>
      <c r="L20" s="79"/>
      <c r="M20" s="79"/>
      <c r="N20" s="79"/>
      <c r="O20" s="43"/>
      <c r="P20" s="43"/>
      <c r="Q20" s="43"/>
      <c r="R20" s="43"/>
      <c r="S20" s="43"/>
      <c r="U20" s="83" t="s">
        <v>119</v>
      </c>
      <c r="V20" s="83"/>
    </row>
    <row r="21" spans="2:22">
      <c r="E21" s="19" t="s">
        <v>16</v>
      </c>
      <c r="F21" s="19" t="s">
        <v>20</v>
      </c>
      <c r="G21" s="18"/>
      <c r="H21" s="19" t="s">
        <v>64</v>
      </c>
      <c r="I21" s="19" t="s">
        <v>65</v>
      </c>
      <c r="J21" s="19" t="s">
        <v>66</v>
      </c>
      <c r="K21" s="19" t="s">
        <v>67</v>
      </c>
      <c r="L21" s="19" t="s">
        <v>68</v>
      </c>
      <c r="M21" s="19" t="s">
        <v>69</v>
      </c>
      <c r="N21" s="19" t="s">
        <v>70</v>
      </c>
      <c r="O21" s="19" t="s">
        <v>71</v>
      </c>
      <c r="P21" s="19" t="s">
        <v>72</v>
      </c>
      <c r="Q21" s="19" t="s">
        <v>73</v>
      </c>
      <c r="R21" s="19" t="s">
        <v>74</v>
      </c>
      <c r="S21" s="19" t="s">
        <v>75</v>
      </c>
      <c r="U21" s="19" t="s">
        <v>134</v>
      </c>
      <c r="V21" s="19" t="s">
        <v>12</v>
      </c>
    </row>
    <row r="23" spans="2:22">
      <c r="C23" t="s">
        <v>21</v>
      </c>
      <c r="E23">
        <f>Estimación!E22</f>
        <v>0</v>
      </c>
      <c r="F23" s="6">
        <f>Estimación!E22*Estimación!G22*Estimación!I22</f>
        <v>0</v>
      </c>
      <c r="G23" s="4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U23" s="25">
        <f t="shared" ref="U23:U28" si="0">F23-MAX(H23:S23)</f>
        <v>0</v>
      </c>
      <c r="V23" s="56" t="str">
        <f>IF(F23=0,"N/A",U23/F23)</f>
        <v>N/A</v>
      </c>
    </row>
    <row r="24" spans="2:22">
      <c r="C24" t="s">
        <v>22</v>
      </c>
      <c r="E24">
        <f>Estimación!E23</f>
        <v>0</v>
      </c>
      <c r="F24" s="6">
        <f>Estimación!E23*Estimación!G23*Estimación!I23</f>
        <v>0</v>
      </c>
      <c r="G24" s="4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U24" s="25">
        <f t="shared" si="0"/>
        <v>0</v>
      </c>
      <c r="V24" s="56" t="str">
        <f t="shared" ref="V24:V30" si="1">IF(F24=0,"N/A",U24/F24)</f>
        <v>N/A</v>
      </c>
    </row>
    <row r="25" spans="2:22">
      <c r="C25" t="s">
        <v>23</v>
      </c>
      <c r="E25">
        <f>Estimación!E24</f>
        <v>0</v>
      </c>
      <c r="F25" s="6">
        <f>Estimación!E24*Estimación!G24*Estimación!I24</f>
        <v>0</v>
      </c>
      <c r="G25" s="4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U25" s="25">
        <f t="shared" si="0"/>
        <v>0</v>
      </c>
      <c r="V25" s="56" t="str">
        <f t="shared" si="1"/>
        <v>N/A</v>
      </c>
    </row>
    <row r="26" spans="2:22">
      <c r="C26" t="s">
        <v>24</v>
      </c>
      <c r="E26">
        <f>Estimación!E25</f>
        <v>0</v>
      </c>
      <c r="F26" s="6">
        <f>Estimación!E25*Estimación!G25*Estimación!I25</f>
        <v>0</v>
      </c>
      <c r="G26" s="4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U26" s="25">
        <f t="shared" si="0"/>
        <v>0</v>
      </c>
      <c r="V26" s="56" t="str">
        <f t="shared" si="1"/>
        <v>N/A</v>
      </c>
    </row>
    <row r="27" spans="2:22">
      <c r="C27" t="s">
        <v>25</v>
      </c>
      <c r="E27">
        <f>Estimación!E26</f>
        <v>0</v>
      </c>
      <c r="F27" s="6">
        <f>Estimación!E26*Estimación!G26*Estimación!I26</f>
        <v>0</v>
      </c>
      <c r="G27" s="4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U27" s="25">
        <f t="shared" si="0"/>
        <v>0</v>
      </c>
      <c r="V27" s="56" t="str">
        <f t="shared" si="1"/>
        <v>N/A</v>
      </c>
    </row>
    <row r="28" spans="2:22">
      <c r="C28" t="s">
        <v>26</v>
      </c>
      <c r="E28">
        <f>Estimación!E27</f>
        <v>0</v>
      </c>
      <c r="F28" s="6">
        <f>Estimación!E27*Estimación!G27*Estimación!I27</f>
        <v>0</v>
      </c>
      <c r="G28" s="4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U28" s="25">
        <f t="shared" si="0"/>
        <v>0</v>
      </c>
      <c r="V28" s="56" t="str">
        <f t="shared" si="1"/>
        <v>N/A</v>
      </c>
    </row>
    <row r="29" spans="2:22">
      <c r="F29" s="6"/>
      <c r="G29" s="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U29" s="25"/>
      <c r="V29" s="56"/>
    </row>
    <row r="30" spans="2:22">
      <c r="C30" s="2" t="s">
        <v>27</v>
      </c>
      <c r="E30">
        <f>Estimación!E29</f>
        <v>0</v>
      </c>
      <c r="F30" s="6">
        <f>SUM(F23:F28)</f>
        <v>0</v>
      </c>
      <c r="G30" s="4"/>
      <c r="H30" s="25">
        <f>SUM(H23:H28)</f>
        <v>0</v>
      </c>
      <c r="I30" s="25">
        <f>MAX(SUM(I23:I28),H30)</f>
        <v>0</v>
      </c>
      <c r="J30" s="25">
        <f>MAX(SUM(J23:J28),I30)</f>
        <v>0</v>
      </c>
      <c r="K30" s="25">
        <f>MAX(SUM(K23:K28),J30)</f>
        <v>0</v>
      </c>
      <c r="L30" s="25">
        <f>MAX(SUM(L23:L28),K30)</f>
        <v>0</v>
      </c>
      <c r="M30" s="25">
        <f>MAX(SUM(M23:M28),L30)</f>
        <v>0</v>
      </c>
      <c r="N30" s="25">
        <f t="shared" ref="N30:S30" si="2">MAX(SUM(N23:N28),M30)</f>
        <v>0</v>
      </c>
      <c r="O30" s="25">
        <f t="shared" si="2"/>
        <v>0</v>
      </c>
      <c r="P30" s="25">
        <f t="shared" si="2"/>
        <v>0</v>
      </c>
      <c r="Q30" s="25">
        <f t="shared" si="2"/>
        <v>0</v>
      </c>
      <c r="R30" s="25">
        <f t="shared" si="2"/>
        <v>0</v>
      </c>
      <c r="S30" s="25">
        <f t="shared" si="2"/>
        <v>0</v>
      </c>
      <c r="U30" s="25">
        <f>F30-MAX(H30:S30)</f>
        <v>0</v>
      </c>
      <c r="V30" s="56" t="str">
        <f t="shared" si="1"/>
        <v>N/A</v>
      </c>
    </row>
    <row r="31" spans="2:22"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U31" s="25"/>
      <c r="V31" s="56"/>
    </row>
    <row r="32" spans="2:22">
      <c r="B32" s="2" t="s">
        <v>28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U32" s="25"/>
      <c r="V32" s="56"/>
    </row>
    <row r="33" spans="2:24"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U33" s="25"/>
      <c r="V33" s="56"/>
    </row>
    <row r="34" spans="2:24">
      <c r="C34" t="s">
        <v>29</v>
      </c>
      <c r="F34" s="6">
        <f>Estimación!M33</f>
        <v>0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U34" s="25">
        <f>F34-MAX(H34:S34)</f>
        <v>0</v>
      </c>
      <c r="V34" s="56" t="str">
        <f t="shared" ref="V34:V53" si="3">IF(F34=0,"N/A",U34/F34)</f>
        <v>N/A</v>
      </c>
    </row>
    <row r="35" spans="2:24">
      <c r="C35" t="s">
        <v>30</v>
      </c>
      <c r="F35" s="6">
        <f>Estimación!M34</f>
        <v>0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U35" s="25">
        <f>F35-MAX(H35:S35)</f>
        <v>0</v>
      </c>
      <c r="V35" s="56" t="str">
        <f t="shared" si="3"/>
        <v>N/A</v>
      </c>
    </row>
    <row r="36" spans="2:24">
      <c r="F36" s="6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U36" s="25"/>
      <c r="V36" s="56"/>
    </row>
    <row r="37" spans="2:24">
      <c r="C37" s="2" t="s">
        <v>27</v>
      </c>
      <c r="F37" s="6">
        <f>SUM(F34:F35)</f>
        <v>0</v>
      </c>
      <c r="H37" s="25">
        <f>SUM(H34:H35)</f>
        <v>0</v>
      </c>
      <c r="I37" s="25">
        <f>MAX(SUM(I34:I35),H37)</f>
        <v>0</v>
      </c>
      <c r="J37" s="25">
        <f>MAX(SUM(J34:J35),I37)</f>
        <v>0</v>
      </c>
      <c r="K37" s="25">
        <f>MAX(SUM(K34:K35),J37)</f>
        <v>0</v>
      </c>
      <c r="L37" s="25">
        <f>MAX(SUM(L34:L35),K37)</f>
        <v>0</v>
      </c>
      <c r="M37" s="25">
        <f>MAX(SUM(M34:M35),L37)</f>
        <v>0</v>
      </c>
      <c r="N37" s="25">
        <f t="shared" ref="N37:S37" si="4">MAX(SUM(N34:N35),M37)</f>
        <v>0</v>
      </c>
      <c r="O37" s="25">
        <f t="shared" si="4"/>
        <v>0</v>
      </c>
      <c r="P37" s="25">
        <f t="shared" si="4"/>
        <v>0</v>
      </c>
      <c r="Q37" s="25">
        <f t="shared" si="4"/>
        <v>0</v>
      </c>
      <c r="R37" s="25">
        <f t="shared" si="4"/>
        <v>0</v>
      </c>
      <c r="S37" s="25">
        <f t="shared" si="4"/>
        <v>0</v>
      </c>
      <c r="U37" s="25">
        <f>F37-MAX(H37:S37)</f>
        <v>0</v>
      </c>
      <c r="V37" s="56" t="str">
        <f t="shared" si="3"/>
        <v>N/A</v>
      </c>
    </row>
    <row r="38" spans="2:24"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U38" s="25"/>
      <c r="V38" s="56"/>
    </row>
    <row r="39" spans="2:24">
      <c r="B39" s="2" t="s">
        <v>120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U39" s="25"/>
      <c r="V39" s="56"/>
    </row>
    <row r="40" spans="2:24"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U40" s="25"/>
      <c r="V40" s="56"/>
    </row>
    <row r="41" spans="2:24">
      <c r="C41" t="s">
        <v>121</v>
      </c>
      <c r="F41" s="6">
        <f>Estimación!E40*Estimación!G40*Estimación!I40</f>
        <v>0</v>
      </c>
      <c r="G41" s="10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U41" s="25">
        <f>F41-MAX(H41:S41)</f>
        <v>0</v>
      </c>
      <c r="V41" s="56" t="str">
        <f t="shared" si="3"/>
        <v>N/A</v>
      </c>
    </row>
    <row r="42" spans="2:24">
      <c r="C42" t="s">
        <v>33</v>
      </c>
      <c r="F42" s="6">
        <f>Estimación!E41*Estimación!G41*Estimación!I41</f>
        <v>0</v>
      </c>
      <c r="G42" s="10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U42" s="25">
        <f t="shared" ref="U42:U53" si="5">F42-MAX(H42:S42)</f>
        <v>0</v>
      </c>
      <c r="V42" s="56" t="str">
        <f t="shared" si="3"/>
        <v>N/A</v>
      </c>
    </row>
    <row r="43" spans="2:24">
      <c r="C43" t="s">
        <v>34</v>
      </c>
      <c r="F43" s="6">
        <f>Estimación!E42*Estimación!G42*Estimación!I42</f>
        <v>0</v>
      </c>
      <c r="G43" s="10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U43" s="25">
        <f t="shared" si="5"/>
        <v>0</v>
      </c>
      <c r="V43" s="56" t="str">
        <f t="shared" si="3"/>
        <v>N/A</v>
      </c>
      <c r="X43" t="s">
        <v>135</v>
      </c>
    </row>
    <row r="44" spans="2:24">
      <c r="C44" t="s">
        <v>36</v>
      </c>
      <c r="F44" s="6">
        <f>Estimación!M48</f>
        <v>0</v>
      </c>
      <c r="G44" s="10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U44" s="25">
        <f t="shared" si="5"/>
        <v>0</v>
      </c>
      <c r="V44" s="56" t="str">
        <f t="shared" si="3"/>
        <v>N/A</v>
      </c>
    </row>
    <row r="45" spans="2:24">
      <c r="C45" t="s">
        <v>37</v>
      </c>
      <c r="F45" s="6">
        <f>Estimación!M49</f>
        <v>0</v>
      </c>
      <c r="G45" s="10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U45" s="25">
        <f t="shared" si="5"/>
        <v>0</v>
      </c>
      <c r="V45" s="56" t="str">
        <f t="shared" si="3"/>
        <v>N/A</v>
      </c>
    </row>
    <row r="46" spans="2:24">
      <c r="C46" t="s">
        <v>38</v>
      </c>
      <c r="F46" s="6">
        <f>Estimación!M50</f>
        <v>0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U46" s="25">
        <f t="shared" si="5"/>
        <v>0</v>
      </c>
      <c r="V46" s="56" t="str">
        <f t="shared" si="3"/>
        <v>N/A</v>
      </c>
    </row>
    <row r="47" spans="2:24">
      <c r="B47" s="2"/>
      <c r="F47" s="6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U47" s="25"/>
      <c r="V47" s="56"/>
    </row>
    <row r="48" spans="2:24">
      <c r="C48" t="s">
        <v>123</v>
      </c>
      <c r="F48" s="6">
        <f>F23*Estimación!K22+F24*Estimación!K23+Evolución!F25*Estimación!K24+Evolución!F26*Estimación!K25+Evolución!F27*Estimación!K26+Evolución!F28*Estimación!K27+F37*Estimación!K36+F41*Estimación!K40+Evolución!F42*Estimación!K41+Evolución!F43*Estimación!K42+SUM(F44:F46)*Estimación!K52</f>
        <v>0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U48" s="25">
        <f t="shared" si="5"/>
        <v>0</v>
      </c>
      <c r="V48" s="56" t="str">
        <f t="shared" si="3"/>
        <v>N/A</v>
      </c>
    </row>
    <row r="49" spans="1:24"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U49" s="25"/>
      <c r="V49" s="56"/>
    </row>
    <row r="50" spans="1:24">
      <c r="C50" s="2" t="s">
        <v>27</v>
      </c>
      <c r="F50" s="6">
        <f>SUM(F41:F48)</f>
        <v>0</v>
      </c>
      <c r="H50" s="25">
        <f>SUM(H41:H48)</f>
        <v>0</v>
      </c>
      <c r="I50" s="25">
        <f>MAX(SUM(I41:I48),H50)</f>
        <v>0</v>
      </c>
      <c r="J50" s="25">
        <f>MAX(SUM(J41:J48),I50)</f>
        <v>0</v>
      </c>
      <c r="K50" s="25">
        <f>MAX(SUM(K41:K48),J50)</f>
        <v>0</v>
      </c>
      <c r="L50" s="25">
        <f>MAX(SUM(L41:L48),K50)</f>
        <v>0</v>
      </c>
      <c r="M50" s="25">
        <f>MAX(SUM(M41:M48),L50)</f>
        <v>0</v>
      </c>
      <c r="N50" s="25">
        <f t="shared" ref="N50:S50" si="6">MAX(SUM(N41:N48),M50)</f>
        <v>0</v>
      </c>
      <c r="O50" s="25">
        <f t="shared" si="6"/>
        <v>0</v>
      </c>
      <c r="P50" s="25">
        <f t="shared" si="6"/>
        <v>0</v>
      </c>
      <c r="Q50" s="25">
        <f t="shared" si="6"/>
        <v>0</v>
      </c>
      <c r="R50" s="25">
        <f t="shared" si="6"/>
        <v>0</v>
      </c>
      <c r="S50" s="25">
        <f t="shared" si="6"/>
        <v>0</v>
      </c>
      <c r="U50" s="25">
        <f t="shared" si="5"/>
        <v>0</v>
      </c>
      <c r="V50" s="56" t="str">
        <f t="shared" si="3"/>
        <v>N/A</v>
      </c>
    </row>
    <row r="51" spans="1:24"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U51" s="25"/>
      <c r="V51" s="56"/>
    </row>
    <row r="52" spans="1:24"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U52" s="25"/>
      <c r="V52" s="56"/>
    </row>
    <row r="53" spans="1:24">
      <c r="B53" s="2" t="s">
        <v>39</v>
      </c>
      <c r="C53" s="2"/>
      <c r="F53" s="27">
        <f>F30+F37+F50</f>
        <v>0</v>
      </c>
      <c r="G53" s="2"/>
      <c r="H53" s="28">
        <f t="shared" ref="H53:S53" si="7">H30+H37+H50</f>
        <v>0</v>
      </c>
      <c r="I53" s="28">
        <f t="shared" si="7"/>
        <v>0</v>
      </c>
      <c r="J53" s="28">
        <f t="shared" si="7"/>
        <v>0</v>
      </c>
      <c r="K53" s="28">
        <f t="shared" si="7"/>
        <v>0</v>
      </c>
      <c r="L53" s="28">
        <f t="shared" si="7"/>
        <v>0</v>
      </c>
      <c r="M53" s="28">
        <f t="shared" si="7"/>
        <v>0</v>
      </c>
      <c r="N53" s="28">
        <f t="shared" si="7"/>
        <v>0</v>
      </c>
      <c r="O53" s="28">
        <f t="shared" si="7"/>
        <v>0</v>
      </c>
      <c r="P53" s="28">
        <f t="shared" si="7"/>
        <v>0</v>
      </c>
      <c r="Q53" s="28">
        <f t="shared" si="7"/>
        <v>0</v>
      </c>
      <c r="R53" s="28">
        <f t="shared" si="7"/>
        <v>0</v>
      </c>
      <c r="S53" s="28">
        <f t="shared" si="7"/>
        <v>0</v>
      </c>
      <c r="U53" s="28">
        <f t="shared" si="5"/>
        <v>0</v>
      </c>
      <c r="V53" s="57" t="str">
        <f t="shared" si="3"/>
        <v>N/A</v>
      </c>
      <c r="X53" t="s">
        <v>50</v>
      </c>
    </row>
    <row r="54" spans="1:24">
      <c r="V54" s="3"/>
    </row>
    <row r="55" spans="1:24">
      <c r="V55" s="3"/>
    </row>
    <row r="56" spans="1:24">
      <c r="A56" s="42" t="s">
        <v>124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19"/>
    </row>
    <row r="57" spans="1:24">
      <c r="B57" s="2"/>
      <c r="C57" s="2"/>
      <c r="D57" s="2"/>
      <c r="E57" s="2"/>
      <c r="F57" s="2"/>
      <c r="G57" s="2"/>
      <c r="H57" s="2"/>
      <c r="I57" s="2"/>
      <c r="J57" s="2"/>
      <c r="K57" s="2"/>
      <c r="M57" s="59"/>
      <c r="N57" s="59"/>
      <c r="O57" s="59"/>
      <c r="P57" s="59"/>
      <c r="Q57" s="59"/>
      <c r="R57" s="59"/>
      <c r="S57" s="59"/>
      <c r="V57" s="3"/>
    </row>
    <row r="58" spans="1:24">
      <c r="V58" s="3"/>
    </row>
    <row r="59" spans="1:24">
      <c r="B59" t="s">
        <v>125</v>
      </c>
      <c r="F59" s="6">
        <f>Estimación!M77</f>
        <v>0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U59" s="25">
        <f>F59-MAX(H59:S59)</f>
        <v>0</v>
      </c>
      <c r="V59" s="56" t="str">
        <f>IF(F59=0,"N/A",U59/F59)</f>
        <v>N/A</v>
      </c>
    </row>
    <row r="60" spans="1:2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V60" s="3"/>
    </row>
    <row r="61" spans="1:24">
      <c r="B61" t="s">
        <v>136</v>
      </c>
      <c r="F61" s="6">
        <f>F59-F53</f>
        <v>0</v>
      </c>
      <c r="G61" s="61"/>
      <c r="H61" s="25">
        <f t="shared" ref="H61:S61" si="8">$F$59-H53</f>
        <v>0</v>
      </c>
      <c r="I61" s="25">
        <f t="shared" si="8"/>
        <v>0</v>
      </c>
      <c r="J61" s="25">
        <f t="shared" si="8"/>
        <v>0</v>
      </c>
      <c r="K61" s="25">
        <f t="shared" si="8"/>
        <v>0</v>
      </c>
      <c r="L61" s="25">
        <f t="shared" si="8"/>
        <v>0</v>
      </c>
      <c r="M61" s="25">
        <f t="shared" si="8"/>
        <v>0</v>
      </c>
      <c r="N61" s="25">
        <f t="shared" si="8"/>
        <v>0</v>
      </c>
      <c r="O61" s="25">
        <f t="shared" si="8"/>
        <v>0</v>
      </c>
      <c r="P61" s="25">
        <f t="shared" si="8"/>
        <v>0</v>
      </c>
      <c r="Q61" s="25">
        <f t="shared" si="8"/>
        <v>0</v>
      </c>
      <c r="R61" s="25">
        <f t="shared" si="8"/>
        <v>0</v>
      </c>
      <c r="S61" s="25">
        <f t="shared" si="8"/>
        <v>0</v>
      </c>
      <c r="U61" s="25">
        <f>MIN(H61:S61)</f>
        <v>0</v>
      </c>
      <c r="V61" s="56"/>
    </row>
    <row r="62" spans="1:24">
      <c r="B62" s="2"/>
      <c r="F62" s="56" t="str">
        <f>IF($F$53=0,"N/A",F61/$F$53)</f>
        <v>N/A</v>
      </c>
      <c r="G62" s="56"/>
      <c r="H62" s="56" t="str">
        <f t="shared" ref="H62:S62" si="9">IF($F$53=0,"N/A",H61/$F$53)</f>
        <v>N/A</v>
      </c>
      <c r="I62" s="56" t="str">
        <f t="shared" si="9"/>
        <v>N/A</v>
      </c>
      <c r="J62" s="56" t="str">
        <f t="shared" si="9"/>
        <v>N/A</v>
      </c>
      <c r="K62" s="56" t="str">
        <f t="shared" si="9"/>
        <v>N/A</v>
      </c>
      <c r="L62" s="56" t="str">
        <f t="shared" si="9"/>
        <v>N/A</v>
      </c>
      <c r="M62" s="56" t="str">
        <f t="shared" si="9"/>
        <v>N/A</v>
      </c>
      <c r="N62" s="56" t="str">
        <f t="shared" si="9"/>
        <v>N/A</v>
      </c>
      <c r="O62" s="56" t="str">
        <f t="shared" si="9"/>
        <v>N/A</v>
      </c>
      <c r="P62" s="56" t="str">
        <f t="shared" si="9"/>
        <v>N/A</v>
      </c>
      <c r="Q62" s="56" t="str">
        <f t="shared" si="9"/>
        <v>N/A</v>
      </c>
      <c r="R62" s="56" t="str">
        <f t="shared" si="9"/>
        <v>N/A</v>
      </c>
      <c r="S62" s="56" t="str">
        <f t="shared" si="9"/>
        <v>N/A</v>
      </c>
      <c r="U62" s="25"/>
      <c r="V62" s="56">
        <f>MIN(H62:M62)</f>
        <v>0</v>
      </c>
    </row>
    <row r="64" spans="1:2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14"/>
      <c r="O64" s="14"/>
      <c r="P64" s="14"/>
      <c r="Q64" s="14"/>
      <c r="R64" s="14"/>
      <c r="S64" s="14"/>
    </row>
    <row r="65" spans="2:19">
      <c r="C65" s="1"/>
      <c r="D65" s="1"/>
    </row>
    <row r="66" spans="2:19">
      <c r="B66" s="14"/>
      <c r="C66" s="14"/>
      <c r="D66" s="14"/>
      <c r="E66" s="14"/>
      <c r="F66" s="5"/>
      <c r="H66" s="6"/>
      <c r="M66" s="6"/>
      <c r="N66" s="6"/>
      <c r="O66" s="6"/>
      <c r="P66" s="6"/>
      <c r="Q66" s="6"/>
      <c r="R66" s="6"/>
      <c r="S66" s="6"/>
    </row>
    <row r="67" spans="2:19">
      <c r="B67" s="2"/>
      <c r="C67" s="74"/>
      <c r="D67" s="74"/>
      <c r="E67" s="2"/>
      <c r="F67" s="5"/>
      <c r="H67" s="6"/>
      <c r="M67" s="6"/>
      <c r="N67" s="6"/>
      <c r="O67" s="6"/>
      <c r="P67" s="6"/>
      <c r="Q67" s="6"/>
      <c r="R67" s="6"/>
      <c r="S67" s="6"/>
    </row>
    <row r="68" spans="2:19">
      <c r="C68" s="78"/>
      <c r="D68" s="78"/>
      <c r="F68" s="5"/>
      <c r="H68" s="6"/>
      <c r="M68" s="6"/>
      <c r="N68" s="6"/>
      <c r="O68" s="6"/>
      <c r="P68" s="6"/>
      <c r="Q68" s="6"/>
      <c r="R68" s="6"/>
      <c r="S68" s="6"/>
    </row>
    <row r="69" spans="2:19">
      <c r="C69" s="78"/>
      <c r="D69" s="78"/>
      <c r="F69" s="5"/>
      <c r="H69" s="6"/>
      <c r="M69" s="6"/>
      <c r="N69" s="6"/>
      <c r="O69" s="6"/>
      <c r="P69" s="6"/>
      <c r="Q69" s="6"/>
      <c r="R69" s="6"/>
      <c r="S69" s="6"/>
    </row>
    <row r="70" spans="2:19">
      <c r="C70" s="1"/>
      <c r="D70" s="1"/>
      <c r="F70" s="5"/>
    </row>
    <row r="71" spans="2:19">
      <c r="C71" s="78"/>
      <c r="D71" s="78"/>
      <c r="F71" s="60"/>
      <c r="H71" s="6"/>
      <c r="M71" s="27"/>
      <c r="N71" s="27"/>
      <c r="O71" s="27"/>
      <c r="P71" s="27"/>
      <c r="Q71" s="27"/>
      <c r="R71" s="27"/>
      <c r="S71" s="27"/>
    </row>
    <row r="74" spans="2:19">
      <c r="C74" s="87"/>
      <c r="D74" s="87"/>
      <c r="F74" s="5"/>
      <c r="H74" s="6"/>
      <c r="M74" s="27"/>
      <c r="N74" s="27"/>
      <c r="O74" s="27"/>
      <c r="P74" s="27"/>
      <c r="Q74" s="27"/>
      <c r="R74" s="27"/>
      <c r="S74" s="27"/>
    </row>
    <row r="77" spans="2:19">
      <c r="B77" s="2"/>
    </row>
    <row r="79" spans="2:19">
      <c r="C79" s="2"/>
      <c r="M79" s="59"/>
      <c r="N79" s="59"/>
      <c r="O79" s="59"/>
      <c r="P79" s="59"/>
      <c r="Q79" s="59"/>
      <c r="R79" s="59"/>
      <c r="S79" s="59"/>
    </row>
    <row r="88" spans="2:5">
      <c r="B88" s="14"/>
      <c r="C88" s="14"/>
      <c r="D88" s="14"/>
      <c r="E88" s="14"/>
    </row>
    <row r="89" spans="2:5">
      <c r="B89" s="2"/>
      <c r="C89" s="74"/>
      <c r="D89" s="74"/>
      <c r="E89" s="2"/>
    </row>
  </sheetData>
  <mergeCells count="29">
    <mergeCell ref="U20:V20"/>
    <mergeCell ref="Q12:R12"/>
    <mergeCell ref="A12:C12"/>
    <mergeCell ref="C8:F8"/>
    <mergeCell ref="H8:I8"/>
    <mergeCell ref="J8:M8"/>
    <mergeCell ref="D10:E10"/>
    <mergeCell ref="D12:E12"/>
    <mergeCell ref="A10:B10"/>
    <mergeCell ref="J10:M10"/>
    <mergeCell ref="H10:I10"/>
    <mergeCell ref="E20:F20"/>
    <mergeCell ref="C89:D89"/>
    <mergeCell ref="C74:D74"/>
    <mergeCell ref="A64:M64"/>
    <mergeCell ref="C67:D67"/>
    <mergeCell ref="C68:D68"/>
    <mergeCell ref="C69:D69"/>
    <mergeCell ref="C71:D71"/>
    <mergeCell ref="C1:N2"/>
    <mergeCell ref="H20:N20"/>
    <mergeCell ref="A8:B8"/>
    <mergeCell ref="Q14:R14"/>
    <mergeCell ref="C4:M5"/>
    <mergeCell ref="A7:B7"/>
    <mergeCell ref="C7:F7"/>
    <mergeCell ref="H7:I7"/>
    <mergeCell ref="J7:M7"/>
    <mergeCell ref="Q13:R13"/>
  </mergeCells>
  <phoneticPr fontId="0" type="noConversion"/>
  <printOptions horizontalCentered="1" verticalCentered="1"/>
  <pageMargins left="0.75" right="0.75" top="1" bottom="1" header="0" footer="0"/>
  <pageSetup paperSize="9" scale="70" fitToWidth="2" orientation="landscape" horizontalDpi="1270" verticalDpi="127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102"/>
  <sheetViews>
    <sheetView tabSelected="1" topLeftCell="A79" zoomScale="75" workbookViewId="0">
      <selection activeCell="M102" sqref="M102"/>
    </sheetView>
  </sheetViews>
  <sheetFormatPr defaultRowHeight="12.75"/>
  <cols>
    <col min="1" max="1" width="9" customWidth="1"/>
    <col min="2" max="2" width="7.5703125" customWidth="1"/>
    <col min="3" max="4" width="11.42578125" customWidth="1"/>
    <col min="5" max="5" width="9.85546875" customWidth="1"/>
    <col min="6" max="6" width="11.42578125" customWidth="1"/>
    <col min="7" max="7" width="7.28515625" customWidth="1"/>
    <col min="8" max="8" width="9.85546875" customWidth="1"/>
    <col min="9" max="10" width="11.42578125" customWidth="1"/>
    <col min="11" max="11" width="6.7109375" customWidth="1"/>
    <col min="12" max="12" width="12.7109375" customWidth="1"/>
    <col min="13" max="13" width="12.85546875" customWidth="1"/>
    <col min="14" max="256" width="11.42578125" customWidth="1"/>
  </cols>
  <sheetData>
    <row r="1" spans="1:14">
      <c r="C1" s="71" t="s">
        <v>137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4" spans="1:14"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1:14"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7" spans="1:14">
      <c r="A7" s="74" t="s">
        <v>1</v>
      </c>
      <c r="B7" s="74"/>
      <c r="C7" s="81">
        <f>Estimación!C7</f>
        <v>0</v>
      </c>
      <c r="D7" s="81"/>
      <c r="E7" s="81"/>
      <c r="F7" s="81"/>
      <c r="H7" s="74" t="s">
        <v>2</v>
      </c>
      <c r="I7" s="74"/>
      <c r="J7" s="81">
        <v>1</v>
      </c>
      <c r="K7" s="81"/>
      <c r="L7" s="81"/>
      <c r="M7" s="81"/>
      <c r="N7" s="81"/>
    </row>
    <row r="8" spans="1:14">
      <c r="A8" s="74" t="s">
        <v>3</v>
      </c>
      <c r="B8" s="74"/>
      <c r="C8" s="81">
        <f>Estimación!C8</f>
        <v>0</v>
      </c>
      <c r="D8" s="81"/>
      <c r="E8" s="81"/>
      <c r="F8" s="81"/>
      <c r="H8" s="74" t="s">
        <v>4</v>
      </c>
      <c r="I8" s="74"/>
      <c r="J8" s="81">
        <f>Estimación!K8</f>
        <v>0</v>
      </c>
      <c r="K8" s="81"/>
      <c r="L8" s="81"/>
      <c r="M8" s="81"/>
      <c r="N8" s="81"/>
    </row>
    <row r="10" spans="1:14">
      <c r="L10" s="7" t="s">
        <v>138</v>
      </c>
      <c r="M10" s="7" t="s">
        <v>139</v>
      </c>
      <c r="N10" s="7"/>
    </row>
    <row r="11" spans="1:14">
      <c r="A11" s="74" t="s">
        <v>56</v>
      </c>
      <c r="B11" s="74"/>
      <c r="C11" s="76"/>
      <c r="D11" s="90"/>
      <c r="E11" s="90"/>
      <c r="F11" s="36"/>
      <c r="H11" s="74" t="s">
        <v>57</v>
      </c>
      <c r="I11" s="74"/>
      <c r="L11" s="11">
        <f>Estimación!L12</f>
        <v>0</v>
      </c>
      <c r="M11" s="11">
        <f>I60</f>
        <v>0</v>
      </c>
      <c r="N11" s="13" t="s">
        <v>8</v>
      </c>
    </row>
    <row r="12" spans="1:14">
      <c r="H12" s="74" t="s">
        <v>9</v>
      </c>
      <c r="I12" s="74"/>
      <c r="L12" s="11">
        <f>Estimación!L13</f>
        <v>0</v>
      </c>
      <c r="M12" s="11">
        <f>H31</f>
        <v>11088</v>
      </c>
      <c r="N12" s="13" t="s">
        <v>10</v>
      </c>
    </row>
    <row r="13" spans="1:14">
      <c r="H13" s="74" t="s">
        <v>11</v>
      </c>
      <c r="I13" s="74"/>
      <c r="L13" s="31">
        <f>Estimación!L14/100</f>
        <v>0.2</v>
      </c>
      <c r="M13" s="31">
        <f>J62</f>
        <v>-1</v>
      </c>
      <c r="N13" s="13" t="s">
        <v>12</v>
      </c>
    </row>
    <row r="14" spans="1:14">
      <c r="H14" s="14" t="s">
        <v>5</v>
      </c>
      <c r="I14" s="14"/>
      <c r="L14" s="30">
        <f>Estimación!C10</f>
        <v>0</v>
      </c>
      <c r="M14" s="30" t="s">
        <v>140</v>
      </c>
      <c r="N14" s="13" t="s">
        <v>141</v>
      </c>
    </row>
    <row r="15" spans="1:14">
      <c r="H15" s="14" t="s">
        <v>6</v>
      </c>
      <c r="I15" s="14"/>
      <c r="L15" s="30">
        <f>Estimación!J10</f>
        <v>0</v>
      </c>
      <c r="M15" s="32" t="s">
        <v>142</v>
      </c>
      <c r="N15" s="13" t="s">
        <v>141</v>
      </c>
    </row>
    <row r="17" spans="1:14">
      <c r="A17" s="80" t="s">
        <v>13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</row>
    <row r="19" spans="1:14">
      <c r="B19" s="2" t="s">
        <v>14</v>
      </c>
    </row>
    <row r="21" spans="1:14">
      <c r="C21" s="8" t="s">
        <v>15</v>
      </c>
      <c r="E21" s="83" t="s">
        <v>63</v>
      </c>
      <c r="F21" s="83"/>
      <c r="G21" s="15"/>
      <c r="H21" s="83" t="s">
        <v>143</v>
      </c>
      <c r="I21" s="83"/>
      <c r="J21" s="83"/>
      <c r="K21" s="15"/>
      <c r="L21" s="83" t="s">
        <v>144</v>
      </c>
      <c r="M21" s="83"/>
      <c r="N21" s="83"/>
    </row>
    <row r="22" spans="1:14">
      <c r="E22" s="19" t="s">
        <v>16</v>
      </c>
      <c r="F22" s="19" t="s">
        <v>20</v>
      </c>
      <c r="G22" s="18"/>
      <c r="H22" s="19" t="s">
        <v>16</v>
      </c>
      <c r="I22" s="19" t="s">
        <v>20</v>
      </c>
      <c r="J22" s="19" t="s">
        <v>12</v>
      </c>
      <c r="K22" s="18"/>
      <c r="L22" s="19" t="s">
        <v>145</v>
      </c>
      <c r="M22" s="19" t="s">
        <v>20</v>
      </c>
      <c r="N22" s="19" t="s">
        <v>12</v>
      </c>
    </row>
    <row r="24" spans="1:14">
      <c r="C24" t="s">
        <v>21</v>
      </c>
      <c r="E24" s="22">
        <v>0</v>
      </c>
      <c r="F24" s="6">
        <f>Estimación!E22*Estimación!G22*Estimación!I22</f>
        <v>0</v>
      </c>
      <c r="G24" s="4"/>
      <c r="H24" s="22">
        <v>0</v>
      </c>
      <c r="I24" s="6">
        <f>H24*Estimación!G22*Estimación!I22</f>
        <v>0</v>
      </c>
      <c r="J24" s="54" t="str">
        <f>IF(E24=0,"N/A",100*H24/E24)</f>
        <v>N/A</v>
      </c>
      <c r="K24" s="5"/>
      <c r="L24" s="6">
        <f>H24-E24</f>
        <v>0</v>
      </c>
      <c r="M24" s="6">
        <f>I24-F24</f>
        <v>0</v>
      </c>
      <c r="N24" s="56" t="str">
        <f>IF(E24=0,"N/A",L24/E24)</f>
        <v>N/A</v>
      </c>
    </row>
    <row r="25" spans="1:14">
      <c r="C25" t="s">
        <v>22</v>
      </c>
      <c r="E25" s="22">
        <v>936</v>
      </c>
      <c r="F25" s="6">
        <v>13.3</v>
      </c>
      <c r="G25" s="4"/>
      <c r="H25" s="22">
        <v>936</v>
      </c>
      <c r="I25" s="6">
        <f>H25*Estimación!G23*Estimación!I23</f>
        <v>78316.898400000005</v>
      </c>
      <c r="J25" s="54">
        <f t="shared" ref="J25:J31" si="0">IF(E25=0,"N/A",100*H25/E25)</f>
        <v>100</v>
      </c>
      <c r="K25" s="5"/>
      <c r="L25" s="6">
        <f>H25-E25</f>
        <v>0</v>
      </c>
      <c r="M25" s="6">
        <f>I25-F25</f>
        <v>78303.598400000003</v>
      </c>
      <c r="N25" s="56">
        <f t="shared" ref="N25:N31" si="1">IF(E25=0,"N/A",L25/E25)</f>
        <v>0</v>
      </c>
    </row>
    <row r="26" spans="1:14">
      <c r="C26" t="s">
        <v>23</v>
      </c>
      <c r="E26" s="22">
        <f>4564+528</f>
        <v>5092</v>
      </c>
      <c r="F26" s="6">
        <v>13.28</v>
      </c>
      <c r="G26" s="4"/>
      <c r="H26" s="22">
        <f>4564+528</f>
        <v>5092</v>
      </c>
      <c r="I26" s="6">
        <f>H26*Estimación!G24*Estimación!I24</f>
        <v>301536.01919999998</v>
      </c>
      <c r="J26" s="54">
        <f t="shared" si="0"/>
        <v>100</v>
      </c>
      <c r="K26" s="5"/>
      <c r="L26" s="6">
        <f t="shared" ref="L26:L31" si="2">H26-E26</f>
        <v>0</v>
      </c>
      <c r="M26" s="6">
        <f t="shared" ref="M26:M31" si="3">I26-F26</f>
        <v>301522.73919999995</v>
      </c>
      <c r="N26" s="56">
        <f t="shared" si="1"/>
        <v>0</v>
      </c>
    </row>
    <row r="27" spans="1:14">
      <c r="C27" t="s">
        <v>24</v>
      </c>
      <c r="E27" s="22">
        <v>4408</v>
      </c>
      <c r="F27" s="6">
        <v>13</v>
      </c>
      <c r="G27" s="4"/>
      <c r="H27" s="22">
        <v>4408</v>
      </c>
      <c r="I27" s="6">
        <f>H27*Estimación!G25*Estimación!I25</f>
        <v>158898.2616</v>
      </c>
      <c r="J27" s="54">
        <f t="shared" si="0"/>
        <v>100</v>
      </c>
      <c r="K27" s="5"/>
      <c r="L27" s="6">
        <f t="shared" si="2"/>
        <v>0</v>
      </c>
      <c r="M27" s="6">
        <f t="shared" si="3"/>
        <v>158885.2616</v>
      </c>
      <c r="N27" s="56">
        <f t="shared" si="1"/>
        <v>0</v>
      </c>
    </row>
    <row r="28" spans="1:14">
      <c r="C28" t="s">
        <v>25</v>
      </c>
      <c r="E28" s="22">
        <v>0</v>
      </c>
      <c r="F28" s="6">
        <v>13</v>
      </c>
      <c r="G28" s="4"/>
      <c r="H28" s="69">
        <v>652</v>
      </c>
      <c r="I28" s="6">
        <f>H28*Estimación!G26*Estimación!I26</f>
        <v>19304.937599999997</v>
      </c>
      <c r="J28" s="54" t="str">
        <f t="shared" si="0"/>
        <v>N/A</v>
      </c>
      <c r="K28" s="5"/>
      <c r="L28" s="6">
        <f t="shared" si="2"/>
        <v>652</v>
      </c>
      <c r="M28" s="6">
        <f t="shared" si="3"/>
        <v>19291.937599999997</v>
      </c>
      <c r="N28" s="56" t="str">
        <f t="shared" si="1"/>
        <v>N/A</v>
      </c>
    </row>
    <row r="29" spans="1:14">
      <c r="C29" t="s">
        <v>26</v>
      </c>
      <c r="E29" s="69">
        <v>0</v>
      </c>
      <c r="F29" s="6">
        <f>Estimación!E27*Estimación!G27*Estimación!I27</f>
        <v>0</v>
      </c>
      <c r="G29" s="4"/>
      <c r="H29" s="69">
        <v>0</v>
      </c>
      <c r="I29" s="6">
        <f>H29*Estimación!G27*Estimación!I27</f>
        <v>0</v>
      </c>
      <c r="J29" s="54" t="str">
        <f>IF(E29=0,"N/A",100*H29/E29)</f>
        <v>N/A</v>
      </c>
      <c r="K29" s="5"/>
      <c r="L29" s="6">
        <f t="shared" si="2"/>
        <v>0</v>
      </c>
      <c r="M29" s="6">
        <f t="shared" si="3"/>
        <v>0</v>
      </c>
      <c r="N29" s="56" t="str">
        <f t="shared" si="1"/>
        <v>N/A</v>
      </c>
    </row>
    <row r="30" spans="1:14">
      <c r="F30" s="6"/>
      <c r="G30" s="4"/>
      <c r="H30" s="6"/>
      <c r="I30" s="6"/>
      <c r="J30" s="54"/>
      <c r="K30" s="5"/>
      <c r="L30" s="6"/>
      <c r="M30" s="6"/>
      <c r="N30" s="56"/>
    </row>
    <row r="31" spans="1:14">
      <c r="C31" s="2" t="s">
        <v>27</v>
      </c>
      <c r="E31">
        <f>Estimación!E29</f>
        <v>0</v>
      </c>
      <c r="F31" s="6">
        <f>SUM(F24:F29)</f>
        <v>52.58</v>
      </c>
      <c r="G31" s="4"/>
      <c r="H31" s="6">
        <f>SUM(H24:H29)</f>
        <v>11088</v>
      </c>
      <c r="I31" s="6">
        <f>SUM(I24:I29)</f>
        <v>558056.11679999996</v>
      </c>
      <c r="J31" s="54" t="str">
        <f t="shared" si="0"/>
        <v>N/A</v>
      </c>
      <c r="K31" s="5"/>
      <c r="L31" s="6">
        <f t="shared" si="2"/>
        <v>11088</v>
      </c>
      <c r="M31" s="6">
        <f t="shared" si="3"/>
        <v>558003.5368</v>
      </c>
      <c r="N31" s="56" t="str">
        <f t="shared" si="1"/>
        <v>N/A</v>
      </c>
    </row>
    <row r="33" spans="2:14">
      <c r="B33" s="2" t="s">
        <v>28</v>
      </c>
    </row>
    <row r="35" spans="2:14">
      <c r="C35" t="s">
        <v>29</v>
      </c>
      <c r="F35" s="6">
        <f>Estimación!M33</f>
        <v>0</v>
      </c>
      <c r="I35" s="22">
        <v>0</v>
      </c>
      <c r="J35" s="54" t="str">
        <f>IF(F35=0,"N/A",100*I35/F35)</f>
        <v>N/A</v>
      </c>
      <c r="L35" s="6"/>
      <c r="M35" s="6">
        <f>I35-F35</f>
        <v>0</v>
      </c>
      <c r="N35" s="56" t="str">
        <f>IF(F35=0,"N/A",M35/F35)</f>
        <v>N/A</v>
      </c>
    </row>
    <row r="36" spans="2:14">
      <c r="C36" t="s">
        <v>30</v>
      </c>
      <c r="F36" s="6">
        <f>Estimación!M34</f>
        <v>0</v>
      </c>
      <c r="I36" s="22">
        <v>0</v>
      </c>
      <c r="J36" s="54" t="str">
        <f t="shared" ref="J36:J51" si="4">IF(F36=0,"N/A",100*I36/F36)</f>
        <v>N/A</v>
      </c>
      <c r="L36" s="6"/>
      <c r="M36" s="6">
        <f>I36-F36</f>
        <v>0</v>
      </c>
      <c r="N36" s="56" t="str">
        <f t="shared" ref="N36:N54" si="5">IF(F36=0,"N/A",M36/F36)</f>
        <v>N/A</v>
      </c>
    </row>
    <row r="37" spans="2:14">
      <c r="F37" s="6"/>
      <c r="J37" s="54" t="str">
        <f t="shared" si="4"/>
        <v>N/A</v>
      </c>
      <c r="L37" s="6"/>
      <c r="M37" s="6"/>
      <c r="N37" s="56"/>
    </row>
    <row r="38" spans="2:14">
      <c r="C38" s="2" t="s">
        <v>27</v>
      </c>
      <c r="F38" s="6">
        <f>SUM(F35:F36)</f>
        <v>0</v>
      </c>
      <c r="I38" s="6">
        <f>SUM(I35:I36)</f>
        <v>0</v>
      </c>
      <c r="J38" s="54" t="str">
        <f t="shared" si="4"/>
        <v>N/A</v>
      </c>
      <c r="K38" s="5"/>
      <c r="L38" s="6"/>
      <c r="M38" s="6">
        <f>I38-F38</f>
        <v>0</v>
      </c>
      <c r="N38" s="56" t="str">
        <f t="shared" si="5"/>
        <v>N/A</v>
      </c>
    </row>
    <row r="39" spans="2:14">
      <c r="J39" s="54" t="str">
        <f t="shared" si="4"/>
        <v>N/A</v>
      </c>
      <c r="N39" s="56"/>
    </row>
    <row r="40" spans="2:14">
      <c r="B40" s="2" t="s">
        <v>120</v>
      </c>
      <c r="J40" s="54" t="str">
        <f t="shared" si="4"/>
        <v>N/A</v>
      </c>
      <c r="N40" s="56"/>
    </row>
    <row r="41" spans="2:14">
      <c r="J41" s="54" t="str">
        <f t="shared" si="4"/>
        <v>N/A</v>
      </c>
      <c r="N41" s="56"/>
    </row>
    <row r="42" spans="2:14">
      <c r="C42" t="s">
        <v>121</v>
      </c>
      <c r="F42" s="6">
        <v>0</v>
      </c>
      <c r="G42" s="10"/>
      <c r="I42" s="22">
        <v>0</v>
      </c>
      <c r="J42" s="54" t="str">
        <f t="shared" si="4"/>
        <v>N/A</v>
      </c>
      <c r="K42" s="5"/>
      <c r="L42" s="6"/>
      <c r="M42" s="6">
        <f>I42-F42</f>
        <v>0</v>
      </c>
      <c r="N42" s="56" t="str">
        <f t="shared" si="5"/>
        <v>N/A</v>
      </c>
    </row>
    <row r="43" spans="2:14">
      <c r="C43" t="s">
        <v>33</v>
      </c>
      <c r="F43" s="6">
        <v>0</v>
      </c>
      <c r="G43" s="10"/>
      <c r="I43" s="22">
        <v>0</v>
      </c>
      <c r="J43" s="54" t="str">
        <f t="shared" si="4"/>
        <v>N/A</v>
      </c>
      <c r="K43" s="5"/>
      <c r="L43" s="6"/>
      <c r="M43" s="6">
        <f t="shared" ref="M43:M49" si="6">I43-F43</f>
        <v>0</v>
      </c>
      <c r="N43" s="56" t="str">
        <f t="shared" si="5"/>
        <v>N/A</v>
      </c>
    </row>
    <row r="44" spans="2:14">
      <c r="C44" t="s">
        <v>34</v>
      </c>
      <c r="F44" s="6">
        <f>Estimación!E42*Estimación!G42*Estimación!I42</f>
        <v>0</v>
      </c>
      <c r="G44" s="10"/>
      <c r="I44" s="22">
        <v>0</v>
      </c>
      <c r="J44" s="54" t="str">
        <f t="shared" si="4"/>
        <v>N/A</v>
      </c>
      <c r="K44" s="5"/>
      <c r="L44" s="6"/>
      <c r="M44" s="6">
        <f t="shared" si="6"/>
        <v>0</v>
      </c>
      <c r="N44" s="56" t="str">
        <f t="shared" si="5"/>
        <v>N/A</v>
      </c>
    </row>
    <row r="45" spans="2:14">
      <c r="C45" t="s">
        <v>36</v>
      </c>
      <c r="F45" s="6">
        <v>19500</v>
      </c>
      <c r="G45" s="10"/>
      <c r="I45" s="69">
        <v>19500</v>
      </c>
      <c r="J45" s="54">
        <f t="shared" si="4"/>
        <v>100</v>
      </c>
      <c r="K45" s="5"/>
      <c r="L45" s="6"/>
      <c r="M45" s="6">
        <f t="shared" si="6"/>
        <v>0</v>
      </c>
      <c r="N45" s="56">
        <f t="shared" si="5"/>
        <v>0</v>
      </c>
    </row>
    <row r="46" spans="2:14">
      <c r="C46" t="s">
        <v>37</v>
      </c>
      <c r="F46" s="6">
        <f>Estimación!M49</f>
        <v>0</v>
      </c>
      <c r="G46" s="10"/>
      <c r="I46" s="22">
        <v>0</v>
      </c>
      <c r="J46" s="54" t="str">
        <f t="shared" si="4"/>
        <v>N/A</v>
      </c>
      <c r="K46" s="5"/>
      <c r="L46" s="6"/>
      <c r="M46" s="6">
        <f t="shared" si="6"/>
        <v>0</v>
      </c>
      <c r="N46" s="56" t="str">
        <f t="shared" si="5"/>
        <v>N/A</v>
      </c>
    </row>
    <row r="47" spans="2:14">
      <c r="C47" t="s">
        <v>38</v>
      </c>
      <c r="F47" s="6">
        <f>Estimación!M50</f>
        <v>0</v>
      </c>
      <c r="I47" s="22">
        <v>0</v>
      </c>
      <c r="J47" s="54" t="str">
        <f t="shared" si="4"/>
        <v>N/A</v>
      </c>
      <c r="L47" s="6"/>
      <c r="M47" s="6">
        <f t="shared" si="6"/>
        <v>0</v>
      </c>
      <c r="N47" s="56" t="str">
        <f t="shared" si="5"/>
        <v>N/A</v>
      </c>
    </row>
    <row r="48" spans="2:14">
      <c r="B48" s="2"/>
      <c r="F48" s="6"/>
      <c r="J48" s="54" t="str">
        <f t="shared" si="4"/>
        <v>N/A</v>
      </c>
      <c r="L48" s="6"/>
      <c r="M48" s="6"/>
      <c r="N48" s="56"/>
    </row>
    <row r="49" spans="1:14">
      <c r="C49" t="s">
        <v>123</v>
      </c>
      <c r="F49" s="6">
        <f>F24*Estimación!K22+Situación!F25*Estimación!K24+Situación!F26*Estimación!K25+Situación!F27*Estimación!K26+Situación!F28*Estimación!K27+F38*Estimación!K36+F42*Estimación!K40+Situación!F42*Estimación!K41+Situación!F43*Estimación!K42+SUM(F45:F47)*Estimación!K52</f>
        <v>585</v>
      </c>
      <c r="I49" s="23"/>
      <c r="J49" s="54">
        <f t="shared" si="4"/>
        <v>0</v>
      </c>
      <c r="L49" s="6"/>
      <c r="M49" s="6">
        <f t="shared" si="6"/>
        <v>-585</v>
      </c>
      <c r="N49" s="56">
        <f t="shared" si="5"/>
        <v>-1</v>
      </c>
    </row>
    <row r="50" spans="1:14">
      <c r="J50" s="54" t="str">
        <f t="shared" si="4"/>
        <v>N/A</v>
      </c>
      <c r="L50" s="6"/>
      <c r="M50" s="6"/>
      <c r="N50" s="56"/>
    </row>
    <row r="51" spans="1:14">
      <c r="C51" s="2" t="s">
        <v>27</v>
      </c>
      <c r="F51" s="6">
        <f>SUM(F42:F49)</f>
        <v>20085</v>
      </c>
      <c r="I51" s="6">
        <f>SUM(I42:I49)</f>
        <v>19500</v>
      </c>
      <c r="J51" s="54">
        <f t="shared" si="4"/>
        <v>97.087378640776706</v>
      </c>
      <c r="L51" s="6"/>
      <c r="M51" s="6">
        <f>I51-F51</f>
        <v>-585</v>
      </c>
      <c r="N51" s="56">
        <f t="shared" si="5"/>
        <v>-2.9126213592233011E-2</v>
      </c>
    </row>
    <row r="52" spans="1:14">
      <c r="L52" s="6"/>
      <c r="M52" s="6"/>
      <c r="N52" s="56"/>
    </row>
    <row r="53" spans="1:14">
      <c r="L53" s="6"/>
      <c r="M53" s="6"/>
      <c r="N53" s="56"/>
    </row>
    <row r="54" spans="1:14">
      <c r="B54" s="2" t="s">
        <v>39</v>
      </c>
      <c r="C54" s="2"/>
      <c r="F54" s="6">
        <f>F31+F38+F51</f>
        <v>20137.580000000002</v>
      </c>
      <c r="I54" s="6">
        <f>I31+I38+I51</f>
        <v>577556.11679999996</v>
      </c>
      <c r="J54" s="55">
        <f>IF(F54=0,"N/A",100*I54/F54)</f>
        <v>2868.0512593866783</v>
      </c>
      <c r="K54" s="5"/>
      <c r="L54" s="6"/>
      <c r="M54" s="6">
        <f>I54-F54</f>
        <v>557418.5368</v>
      </c>
      <c r="N54" s="56">
        <f t="shared" si="5"/>
        <v>27.680512593866787</v>
      </c>
    </row>
    <row r="57" spans="1:14">
      <c r="A57" s="80" t="s">
        <v>124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</row>
    <row r="58" spans="1:14">
      <c r="B58" s="2"/>
      <c r="C58" s="2"/>
      <c r="D58" s="2"/>
      <c r="E58" s="2"/>
      <c r="F58" s="2"/>
      <c r="G58" s="2"/>
      <c r="H58" s="2"/>
      <c r="I58" s="2"/>
      <c r="J58" s="2"/>
      <c r="K58" s="2"/>
      <c r="N58" s="59"/>
    </row>
    <row r="60" spans="1:14">
      <c r="B60" s="2" t="s">
        <v>125</v>
      </c>
      <c r="F60" s="6">
        <f>Estimación!M77</f>
        <v>0</v>
      </c>
      <c r="I60" s="24">
        <v>0</v>
      </c>
      <c r="J60" s="54" t="str">
        <f>IF(F60=0,"N/A",100*I60/F60)</f>
        <v>N/A</v>
      </c>
      <c r="L60" s="6"/>
      <c r="M60" s="6">
        <f>I60-F60</f>
        <v>0</v>
      </c>
      <c r="N60" s="56" t="str">
        <f>IF(F60=0,"N/A",M60/F60)</f>
        <v>N/A</v>
      </c>
    </row>
    <row r="61" spans="1: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62"/>
    </row>
    <row r="62" spans="1:14">
      <c r="B62" s="2" t="s">
        <v>43</v>
      </c>
      <c r="F62" s="6">
        <f>F60-F54</f>
        <v>-20137.580000000002</v>
      </c>
      <c r="G62" s="64">
        <f>IF(F54=0,"N/A",F62/F54)</f>
        <v>-1</v>
      </c>
      <c r="I62" s="63">
        <f>I60-I54</f>
        <v>-577556.11679999996</v>
      </c>
      <c r="J62" s="56">
        <f>IF(I54=0,"N/A",I62/I54)</f>
        <v>-1</v>
      </c>
      <c r="L62" s="63"/>
      <c r="M62" s="6">
        <f>I62-F62</f>
        <v>-557418.5368</v>
      </c>
      <c r="N62" s="56">
        <f>IF(F62=0,"N/A",M62/F62)</f>
        <v>27.680512593866787</v>
      </c>
    </row>
    <row r="66" spans="1:14">
      <c r="A66" s="80" t="s">
        <v>146</v>
      </c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</row>
    <row r="68" spans="1:14">
      <c r="B68" s="2" t="s">
        <v>147</v>
      </c>
      <c r="F68" s="23"/>
      <c r="G68" s="3" t="s">
        <v>148</v>
      </c>
    </row>
    <row r="71" spans="1:14">
      <c r="B71" s="2" t="s">
        <v>149</v>
      </c>
      <c r="C71" s="2"/>
      <c r="F71" s="55" t="str">
        <f>IF(Cierre!E31=0,"N/A",(F54-Cierre!F38-Cierre!F45-Cierre!F38*Estimación!K36-Cierre!F45*Estimación!K52)/Cierre!E31)</f>
        <v>N/A</v>
      </c>
      <c r="I71" s="55">
        <f>IF(Cierre!H31=0,"N/A",(I54-I38-I38*Estimación!K36-Cierre!I45-Cierre!I45*Estimación!K52)/Cierre!H31)</f>
        <v>50.276976623376619</v>
      </c>
      <c r="M71" s="25" t="e">
        <f>I71-F71</f>
        <v>#VALUE!</v>
      </c>
    </row>
    <row r="73" spans="1:14">
      <c r="B73" s="2" t="s">
        <v>150</v>
      </c>
      <c r="F73" s="25" t="e">
        <f>(F60-(F38*(1+Estimación!K36)-Cierre!F45*(1+Estimación!K52))*(1+Cierre!G62))/Cierre!E31</f>
        <v>#DIV/0!</v>
      </c>
      <c r="I73" s="25">
        <f>(I60-(I38*(1+Estimación!K36)-Cierre!I45*(1+Estimación!K52))*(1+Cierre!J62))/Cierre!H31</f>
        <v>0</v>
      </c>
      <c r="M73" s="25" t="e">
        <f>I73-F73</f>
        <v>#DIV/0!</v>
      </c>
    </row>
    <row r="74" spans="1:14">
      <c r="B74" s="2"/>
    </row>
    <row r="75" spans="1:14">
      <c r="B75" s="2" t="s">
        <v>151</v>
      </c>
      <c r="F75" s="25" t="e">
        <f>F73-F71</f>
        <v>#DIV/0!</v>
      </c>
      <c r="G75" s="29"/>
      <c r="I75" s="25">
        <f>I73-I71</f>
        <v>-50.276976623376619</v>
      </c>
    </row>
    <row r="77" spans="1:14">
      <c r="B77" s="2" t="s">
        <v>152</v>
      </c>
      <c r="C77" s="2"/>
      <c r="D77" s="2" t="s">
        <v>153</v>
      </c>
      <c r="F77" s="6" t="e">
        <f>F31*(1+Estimación!K29)</f>
        <v>#VALUE!</v>
      </c>
      <c r="G77" s="66" t="e">
        <f>IF(F54=0,"N/A",F77/F54)</f>
        <v>#VALUE!</v>
      </c>
      <c r="I77" s="6" t="e">
        <f>I31*(1+Estimación!K29)</f>
        <v>#VALUE!</v>
      </c>
      <c r="J77" s="33" t="e">
        <f>I77/$I$54</f>
        <v>#VALUE!</v>
      </c>
    </row>
    <row r="78" spans="1:14">
      <c r="B78" s="2"/>
      <c r="C78" s="2"/>
      <c r="D78" s="2" t="s">
        <v>154</v>
      </c>
      <c r="F78" s="6">
        <f>F38*(1+Estimación!K36)</f>
        <v>0</v>
      </c>
      <c r="G78" s="66">
        <f>IF(F54=0,"N/A",F78/F54)</f>
        <v>0</v>
      </c>
      <c r="I78" s="6">
        <f>I38*(1+Estimación!K36)</f>
        <v>0</v>
      </c>
      <c r="J78" s="66">
        <f>IF($I$54=0,"N/A",I78/$I$54)</f>
        <v>0</v>
      </c>
    </row>
    <row r="79" spans="1:14">
      <c r="B79" s="2"/>
      <c r="C79" s="2"/>
      <c r="D79" s="2" t="s">
        <v>87</v>
      </c>
      <c r="F79" s="6">
        <f>F45*(1+Estimación!K52)</f>
        <v>20085</v>
      </c>
      <c r="G79" s="66">
        <f>IF(F54=0,"N/A",F79/F54)</f>
        <v>0.99738896133497656</v>
      </c>
      <c r="I79" s="6">
        <f>I45*(1+Estimación!K52)</f>
        <v>20085</v>
      </c>
      <c r="J79" s="66">
        <f>IF($I$54=0,"N/A",I79/$I$54)</f>
        <v>3.4775841542952907E-2</v>
      </c>
    </row>
    <row r="81" spans="2:13">
      <c r="B81" s="2" t="s">
        <v>155</v>
      </c>
    </row>
    <row r="83" spans="2:13">
      <c r="C83" t="s">
        <v>21</v>
      </c>
      <c r="F83" s="65" t="str">
        <f t="shared" ref="F83:F88" si="7">IF($F$68=0,"N/A",E24/(160*$F$68))</f>
        <v>N/A</v>
      </c>
      <c r="G83" s="10"/>
      <c r="H83" s="10"/>
      <c r="I83" s="65" t="str">
        <f t="shared" ref="I83:I88" si="8">IF($F$68=0,"N/A",H24/(160*$F$68))</f>
        <v>N/A</v>
      </c>
      <c r="J83" s="10"/>
      <c r="K83" s="10"/>
      <c r="L83" s="10"/>
      <c r="M83" s="10" t="e">
        <f>I83-F83</f>
        <v>#VALUE!</v>
      </c>
    </row>
    <row r="84" spans="2:13">
      <c r="C84" t="s">
        <v>22</v>
      </c>
      <c r="F84" s="65" t="str">
        <f t="shared" si="7"/>
        <v>N/A</v>
      </c>
      <c r="G84" s="10"/>
      <c r="H84" s="10"/>
      <c r="I84" s="65" t="str">
        <f t="shared" si="8"/>
        <v>N/A</v>
      </c>
      <c r="J84" s="10"/>
      <c r="K84" s="10"/>
      <c r="L84" s="10"/>
      <c r="M84" s="10" t="e">
        <f>I84-F84</f>
        <v>#VALUE!</v>
      </c>
    </row>
    <row r="85" spans="2:13">
      <c r="C85" t="s">
        <v>23</v>
      </c>
      <c r="F85" s="65" t="str">
        <f t="shared" si="7"/>
        <v>N/A</v>
      </c>
      <c r="G85" s="10"/>
      <c r="H85" s="10"/>
      <c r="I85" s="65" t="str">
        <f t="shared" si="8"/>
        <v>N/A</v>
      </c>
      <c r="J85" s="10"/>
      <c r="K85" s="10"/>
      <c r="L85" s="10"/>
      <c r="M85" s="10" t="e">
        <f t="shared" ref="M85:M90" si="9">I85-F85</f>
        <v>#VALUE!</v>
      </c>
    </row>
    <row r="86" spans="2:13">
      <c r="C86" t="s">
        <v>24</v>
      </c>
      <c r="F86" s="65" t="str">
        <f t="shared" si="7"/>
        <v>N/A</v>
      </c>
      <c r="G86" s="10"/>
      <c r="H86" s="10"/>
      <c r="I86" s="65" t="str">
        <f t="shared" si="8"/>
        <v>N/A</v>
      </c>
      <c r="J86" s="10"/>
      <c r="K86" s="10"/>
      <c r="L86" s="10"/>
      <c r="M86" s="10" t="e">
        <f t="shared" si="9"/>
        <v>#VALUE!</v>
      </c>
    </row>
    <row r="87" spans="2:13">
      <c r="C87" t="s">
        <v>25</v>
      </c>
      <c r="F87" s="65" t="str">
        <f t="shared" si="7"/>
        <v>N/A</v>
      </c>
      <c r="G87" s="10"/>
      <c r="H87" s="10"/>
      <c r="I87" s="65" t="str">
        <f t="shared" si="8"/>
        <v>N/A</v>
      </c>
      <c r="J87" s="10"/>
      <c r="K87" s="10"/>
      <c r="L87" s="10"/>
      <c r="M87" s="10" t="e">
        <f t="shared" si="9"/>
        <v>#VALUE!</v>
      </c>
    </row>
    <row r="88" spans="2:13">
      <c r="C88" t="s">
        <v>26</v>
      </c>
      <c r="F88" s="65" t="str">
        <f t="shared" si="7"/>
        <v>N/A</v>
      </c>
      <c r="G88" s="10"/>
      <c r="H88" s="10"/>
      <c r="I88" s="65" t="str">
        <f t="shared" si="8"/>
        <v>N/A</v>
      </c>
      <c r="J88" s="10"/>
      <c r="K88" s="10"/>
      <c r="L88" s="10"/>
      <c r="M88" s="10" t="e">
        <f t="shared" si="9"/>
        <v>#VALUE!</v>
      </c>
    </row>
    <row r="89" spans="2:13">
      <c r="F89" s="10"/>
      <c r="G89" s="10"/>
      <c r="H89" s="10"/>
      <c r="I89" s="10"/>
      <c r="J89" s="10"/>
      <c r="K89" s="10"/>
      <c r="L89" s="10"/>
      <c r="M89" s="10"/>
    </row>
    <row r="90" spans="2:13">
      <c r="C90" s="2" t="s">
        <v>156</v>
      </c>
      <c r="F90" s="10">
        <f>SUM(F83:F88)</f>
        <v>0</v>
      </c>
      <c r="G90" s="10"/>
      <c r="H90" s="10"/>
      <c r="I90" s="10">
        <f>SUM(I83:I88)</f>
        <v>0</v>
      </c>
      <c r="J90" s="10"/>
      <c r="K90" s="10"/>
      <c r="L90" s="10"/>
      <c r="M90" s="10">
        <f t="shared" si="9"/>
        <v>0</v>
      </c>
    </row>
    <row r="92" spans="2:13">
      <c r="B92" s="2" t="s">
        <v>157</v>
      </c>
      <c r="F92" s="6">
        <f>F54-F94</f>
        <v>637.58000000000175</v>
      </c>
      <c r="G92" s="56">
        <f>IF(F54=0,"N/A",F92/F54)</f>
        <v>3.1661202587401349E-2</v>
      </c>
      <c r="I92" s="6">
        <f>I54-I94</f>
        <v>558056.11679999996</v>
      </c>
      <c r="J92" s="56">
        <f>IF(I54=0,"N/A",I92/I54)</f>
        <v>0.96623704704567681</v>
      </c>
      <c r="M92" s="6">
        <f>I92-F92</f>
        <v>557418.5368</v>
      </c>
    </row>
    <row r="94" spans="2:13">
      <c r="B94" s="2" t="s">
        <v>158</v>
      </c>
      <c r="F94" s="6">
        <f>F38+F45+F46+F47</f>
        <v>19500</v>
      </c>
      <c r="G94" s="56">
        <f>IF(F54=0,"N/A",F94/F54)</f>
        <v>0.96833879741259865</v>
      </c>
      <c r="I94" s="6">
        <f>I38+I45+I46+I47</f>
        <v>19500</v>
      </c>
      <c r="J94" s="56">
        <f>IF(I54=0,"N/A",I94/I54)</f>
        <v>3.376295295432321E-2</v>
      </c>
      <c r="M94" s="6">
        <f>I94-F94</f>
        <v>0</v>
      </c>
    </row>
    <row r="102" spans="13:13">
      <c r="M102" s="70"/>
    </row>
  </sheetData>
  <mergeCells count="21">
    <mergeCell ref="E21:F21"/>
    <mergeCell ref="H21:J21"/>
    <mergeCell ref="L21:N21"/>
    <mergeCell ref="A66:N66"/>
    <mergeCell ref="C1:N2"/>
    <mergeCell ref="C4:N5"/>
    <mergeCell ref="A7:B7"/>
    <mergeCell ref="C7:F7"/>
    <mergeCell ref="H7:I7"/>
    <mergeCell ref="H12:I12"/>
    <mergeCell ref="A57:N57"/>
    <mergeCell ref="H13:I13"/>
    <mergeCell ref="A17:N17"/>
    <mergeCell ref="J7:N7"/>
    <mergeCell ref="A8:B8"/>
    <mergeCell ref="C8:F8"/>
    <mergeCell ref="H8:I8"/>
    <mergeCell ref="J8:N8"/>
    <mergeCell ref="H11:I11"/>
    <mergeCell ref="D11:E11"/>
    <mergeCell ref="A11:C11"/>
  </mergeCells>
  <phoneticPr fontId="0" type="noConversion"/>
  <printOptions horizontalCentered="1" verticalCentered="1"/>
  <pageMargins left="0.75" right="0.75" top="1" bottom="1" header="0" footer="0"/>
  <pageSetup paperSize="9" scale="58" orientation="portrait" horizontalDpi="1270" verticalDpi="127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Domingo</dc:creator>
  <cp:keywords/>
  <dc:description/>
  <cp:lastModifiedBy/>
  <cp:revision/>
  <dcterms:created xsi:type="dcterms:W3CDTF">1999-07-18T10:25:34Z</dcterms:created>
  <dcterms:modified xsi:type="dcterms:W3CDTF">2023-03-14T12:27:18Z</dcterms:modified>
  <cp:category/>
  <cp:contentStatus/>
</cp:coreProperties>
</file>