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stimación" sheetId="1" state="visible" r:id="rId2"/>
    <sheet name="Plan_Financiero" sheetId="2" state="visible" r:id="rId3"/>
    <sheet name="Indicadores" sheetId="3" state="visible" r:id="rId4"/>
    <sheet name="Situación" sheetId="4" state="visible" r:id="rId5"/>
    <sheet name="Evolución" sheetId="5" state="visible" r:id="rId6"/>
    <sheet name="Cier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<sst xmlns="http://schemas.openxmlformats.org/spreadsheetml/2006/main" count="342" uniqueCount="159">
  <si>
    <t xml:space="preserve">HOJA DE ESTIMACION ECONOMICA DE PROYECTO</t>
  </si>
  <si>
    <t xml:space="preserve">TITULO :</t>
  </si>
  <si>
    <t xml:space="preserve">REFERENCIA :</t>
  </si>
  <si>
    <t xml:space="preserve">CLIENTE :</t>
  </si>
  <si>
    <t xml:space="preserve">DIRECTOR :</t>
  </si>
  <si>
    <t xml:space="preserve">FECHA INICIO :</t>
  </si>
  <si>
    <t xml:space="preserve">FECHA FIN :</t>
  </si>
  <si>
    <t xml:space="preserve">PRECIO VENTA (SIN IVA):</t>
  </si>
  <si>
    <t xml:space="preserve">Euros</t>
  </si>
  <si>
    <t xml:space="preserve">ESFUERZO :</t>
  </si>
  <si>
    <t xml:space="preserve">Horas</t>
  </si>
  <si>
    <t xml:space="preserve">MARGEN :</t>
  </si>
  <si>
    <t xml:space="preserve">%</t>
  </si>
  <si>
    <t xml:space="preserve">1. ESTIMACION DE COSTES Y GASTOS :</t>
  </si>
  <si>
    <t xml:space="preserve">1.A  COSTES DE PERSONAL</t>
  </si>
  <si>
    <t xml:space="preserve">CATEG.</t>
  </si>
  <si>
    <t xml:space="preserve">HORAS</t>
  </si>
  <si>
    <t xml:space="preserve">COSTE/HR</t>
  </si>
  <si>
    <t xml:space="preserve">COEFIC.</t>
  </si>
  <si>
    <t xml:space="preserve">CONTING.</t>
  </si>
  <si>
    <t xml:space="preserve">COSTE</t>
  </si>
  <si>
    <t xml:space="preserve">CAT_1 (DI)</t>
  </si>
  <si>
    <t xml:space="preserve">CAT_2 (CO)</t>
  </si>
  <si>
    <t xml:space="preserve">CAT_3 (IS)</t>
  </si>
  <si>
    <t xml:space="preserve">CAT_4 (IJ)</t>
  </si>
  <si>
    <t xml:space="preserve">CAT_5 (TE)</t>
  </si>
  <si>
    <t xml:space="preserve">CAT_6 (PA)</t>
  </si>
  <si>
    <t xml:space="preserve">SUBTOTAL</t>
  </si>
  <si>
    <t xml:space="preserve">1.B  SUBCONTRATACIONES</t>
  </si>
  <si>
    <t xml:space="preserve">SUBC_1</t>
  </si>
  <si>
    <t xml:space="preserve">SUBC_2</t>
  </si>
  <si>
    <t xml:space="preserve">1.C  COSTES VARIOS</t>
  </si>
  <si>
    <t xml:space="preserve">ORDENADOR :</t>
  </si>
  <si>
    <t xml:space="preserve">CONSUMIBLES :</t>
  </si>
  <si>
    <t xml:space="preserve">OTROS :</t>
  </si>
  <si>
    <t xml:space="preserve">1.D  OTROS GASTOS</t>
  </si>
  <si>
    <t xml:space="preserve">MATERIAL / EQUIPO :</t>
  </si>
  <si>
    <t xml:space="preserve">VIAJES / ESTANCIAS :</t>
  </si>
  <si>
    <t xml:space="preserve">VARIOS :</t>
  </si>
  <si>
    <t xml:space="preserve">TOTAL COSTES Y GASTOS</t>
  </si>
  <si>
    <t xml:space="preserve">2. PRECIO DE VENTA :</t>
  </si>
  <si>
    <t xml:space="preserve">2.A  MARGEN</t>
  </si>
  <si>
    <t xml:space="preserve">PORCENTAJE SOBRE</t>
  </si>
  <si>
    <t xml:space="preserve">MARGEN</t>
  </si>
  <si>
    <t xml:space="preserve">SOBRE</t>
  </si>
  <si>
    <t xml:space="preserve">VALOR</t>
  </si>
  <si>
    <t xml:space="preserve">PERSONAL</t>
  </si>
  <si>
    <t xml:space="preserve">SUBCONTRATACIONES</t>
  </si>
  <si>
    <t xml:space="preserve">COSTES VARIOS</t>
  </si>
  <si>
    <t xml:space="preserve">OTROS GASTOS</t>
  </si>
  <si>
    <t xml:space="preserve">TOTAL</t>
  </si>
  <si>
    <t xml:space="preserve">PORCENTAJE FIJO</t>
  </si>
  <si>
    <t xml:space="preserve">2.B  PRECIO DE VENTA</t>
  </si>
  <si>
    <t xml:space="preserve">PRECIO DE VENTA, Euros, SIN ESCALACION INTERANUAL</t>
  </si>
  <si>
    <t xml:space="preserve">PRECIO DE VENTA, Euros, CON IVA al ...</t>
  </si>
  <si>
    <t xml:space="preserve">PLAN FINANCIERO DEL PROYECTO</t>
  </si>
  <si>
    <t xml:space="preserve">FECHA INFORME :</t>
  </si>
  <si>
    <t xml:space="preserve">PRECIO VENTA :</t>
  </si>
  <si>
    <t xml:space="preserve">TIPO INTERES ANUAL :</t>
  </si>
  <si>
    <t xml:space="preserve">COSTE DE OPORTUNIDAD ANUAL :</t>
  </si>
  <si>
    <t xml:space="preserve">1. PROYECCION TEMPORAL DE COSTES Y GASTOS :</t>
  </si>
  <si>
    <t xml:space="preserve">CONCEPTO</t>
  </si>
  <si>
    <t xml:space="preserve">PREVISION DE GASTOS, COSTES E INGRESOS</t>
  </si>
  <si>
    <t xml:space="preserve">TOTAL PREVISTO</t>
  </si>
  <si>
    <t xml:space="preserve">MES 1</t>
  </si>
  <si>
    <t xml:space="preserve">MES 2</t>
  </si>
  <si>
    <t xml:space="preserve">MES 3</t>
  </si>
  <si>
    <t xml:space="preserve">MES 4</t>
  </si>
  <si>
    <t xml:space="preserve">MES 5</t>
  </si>
  <si>
    <t xml:space="preserve">MES 6</t>
  </si>
  <si>
    <t xml:space="preserve">MES 7</t>
  </si>
  <si>
    <t xml:space="preserve">MES 8</t>
  </si>
  <si>
    <t xml:space="preserve">MES 9</t>
  </si>
  <si>
    <t xml:space="preserve">MES 10</t>
  </si>
  <si>
    <t xml:space="preserve">MES 11</t>
  </si>
  <si>
    <t xml:space="preserve">MES 12</t>
  </si>
  <si>
    <t xml:space="preserve">PLAN_F</t>
  </si>
  <si>
    <t xml:space="preserve">APERT.</t>
  </si>
  <si>
    <t xml:space="preserve">HORAS_DI</t>
  </si>
  <si>
    <t xml:space="preserve">HORAS_CO</t>
  </si>
  <si>
    <t xml:space="preserve">HORAS_IS</t>
  </si>
  <si>
    <t xml:space="preserve">HORAS_IJ</t>
  </si>
  <si>
    <t xml:space="preserve">HORAS_TE</t>
  </si>
  <si>
    <t xml:space="preserve">HORAS_PA</t>
  </si>
  <si>
    <t xml:space="preserve">TOTAL_HORAS</t>
  </si>
  <si>
    <t xml:space="preserve">COSTE HORAS</t>
  </si>
  <si>
    <t xml:space="preserve">SUBCONTRATOS</t>
  </si>
  <si>
    <t xml:space="preserve">SUMINISTROS</t>
  </si>
  <si>
    <t xml:space="preserve">ORDENADOR</t>
  </si>
  <si>
    <t xml:space="preserve">CONSUMIBLES</t>
  </si>
  <si>
    <t xml:space="preserve">OTROS</t>
  </si>
  <si>
    <t xml:space="preserve">VIAJES </t>
  </si>
  <si>
    <t xml:space="preserve">VARIOS</t>
  </si>
  <si>
    <t xml:space="preserve">CONTINGENCIAS</t>
  </si>
  <si>
    <t xml:space="preserve">TOTAL COSTES</t>
  </si>
  <si>
    <t xml:space="preserve">TOTAL ACUM.</t>
  </si>
  <si>
    <t xml:space="preserve">INGRESOS</t>
  </si>
  <si>
    <t xml:space="preserve">ACUMULADO</t>
  </si>
  <si>
    <t xml:space="preserve">2. RESULTADOS</t>
  </si>
  <si>
    <t xml:space="preserve">MARGEN BRUTO</t>
  </si>
  <si>
    <t xml:space="preserve">M. ACUMULADO</t>
  </si>
  <si>
    <t xml:space="preserve">VAN</t>
  </si>
  <si>
    <t xml:space="preserve">VAN ACUMULADO</t>
  </si>
  <si>
    <t xml:space="preserve">TIR</t>
  </si>
  <si>
    <t xml:space="preserve">BENEFICIO</t>
  </si>
  <si>
    <t xml:space="preserve">INDICADORES ECONOMICOS Y FINANCIEROS DEL PROYECTO</t>
  </si>
  <si>
    <t xml:space="preserve">DURACION (MESES) :</t>
  </si>
  <si>
    <t xml:space="preserve">1. PREVISION DE CARGA DE TRABAJO</t>
  </si>
  <si>
    <t xml:space="preserve">2. PREVISION DE LA EVOLUCION DE DATOS ECONOMICO-FINACIEROS</t>
  </si>
  <si>
    <t xml:space="preserve">CAT_DI</t>
  </si>
  <si>
    <t xml:space="preserve">1 persona al</t>
  </si>
  <si>
    <t xml:space="preserve">Máximo endeudamiento (Euros) :</t>
  </si>
  <si>
    <t xml:space="preserve">CAT_CO</t>
  </si>
  <si>
    <t xml:space="preserve">CAT_IS</t>
  </si>
  <si>
    <t xml:space="preserve">CAT_IJ</t>
  </si>
  <si>
    <t xml:space="preserve">CAT_TE</t>
  </si>
  <si>
    <t xml:space="preserve">CAT_PA</t>
  </si>
  <si>
    <t xml:space="preserve">HOJA DE SITUACION ECONOMICA DE PROYECTO</t>
  </si>
  <si>
    <t xml:space="preserve">CONSUMIDO</t>
  </si>
  <si>
    <t xml:space="preserve">REMANENTE</t>
  </si>
  <si>
    <t xml:space="preserve">1.C  COSTES Y GASTOS VARIOS</t>
  </si>
  <si>
    <t xml:space="preserve">COSTES INFORMATICOS :</t>
  </si>
  <si>
    <t xml:space="preserve">CONSUMIBLES: </t>
  </si>
  <si>
    <t xml:space="preserve">CONTINGENCIAS:</t>
  </si>
  <si>
    <t xml:space="preserve">2. PRECIO DE VENTA Y MARGEN :</t>
  </si>
  <si>
    <t xml:space="preserve">FACTURACION TOTAL</t>
  </si>
  <si>
    <t xml:space="preserve">3. RESUMEN</t>
  </si>
  <si>
    <t xml:space="preserve">3.1 HORAS CONSUMIDAS Y REMANENTES</t>
  </si>
  <si>
    <t xml:space="preserve">SEGÚN CATEGORIA</t>
  </si>
  <si>
    <t xml:space="preserve">3.2 CONSUMO Y REMANENTE DE RECURSOS</t>
  </si>
  <si>
    <t xml:space="preserve">SEGÚN TIPO</t>
  </si>
  <si>
    <t xml:space="preserve">HOJA DE EVOLUCION ECONOMICA DE PROYECTO</t>
  </si>
  <si>
    <t xml:space="preserve">04/00</t>
  </si>
  <si>
    <t xml:space="preserve">CONSUMIDO (Kpts)</t>
  </si>
  <si>
    <t xml:space="preserve">Kpts</t>
  </si>
  <si>
    <t xml:space="preserve">MES 0</t>
  </si>
  <si>
    <t xml:space="preserve">MARGEN PROVISIONAL</t>
  </si>
  <si>
    <t xml:space="preserve">HOJA DE CIERRE ECONOMICO DEL PROYECTO</t>
  </si>
  <si>
    <t xml:space="preserve">PREVISTO</t>
  </si>
  <si>
    <t xml:space="preserve">REAL</t>
  </si>
  <si>
    <t xml:space="preserve">02/00</t>
  </si>
  <si>
    <t xml:space="preserve">mes/año</t>
  </si>
  <si>
    <t xml:space="preserve">02/01</t>
  </si>
  <si>
    <t xml:space="preserve">TOTAL FINAL</t>
  </si>
  <si>
    <t xml:space="preserve">DESVIACION</t>
  </si>
  <si>
    <t xml:space="preserve">CANT.</t>
  </si>
  <si>
    <t xml:space="preserve">3. INDICADORES ECONOMICOS, FINANCIEROS Y DE OCUPACION</t>
  </si>
  <si>
    <t xml:space="preserve">DURACION DEL PROYECTO</t>
  </si>
  <si>
    <t xml:space="preserve">Meses</t>
  </si>
  <si>
    <t xml:space="preserve">COSTE POR HORA</t>
  </si>
  <si>
    <t xml:space="preserve">PRECIO DE VENTA POR HORA</t>
  </si>
  <si>
    <t xml:space="preserve">MARGEN POR HORA TRABAJADA</t>
  </si>
  <si>
    <t xml:space="preserve">PORCENTAJE DE</t>
  </si>
  <si>
    <t xml:space="preserve">HORAS PROPIAS</t>
  </si>
  <si>
    <t xml:space="preserve">SUBCONTRATAS</t>
  </si>
  <si>
    <t xml:space="preserve">CARGA DE TRABAJO (Hombres durante el proyecto)</t>
  </si>
  <si>
    <t xml:space="preserve">GLOBAL</t>
  </si>
  <si>
    <t xml:space="preserve">ENDEUDAMIENTO INTERNO</t>
  </si>
  <si>
    <t xml:space="preserve">ENDEUDAMIENTO EXTERNO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</si>
</sst>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"/>
    <numFmt numFmtId="166" formatCode="0.00"/>
    <numFmt numFmtId="167" formatCode="0%"/>
    <numFmt numFmtId="168" formatCode="0.00%"/>
    <numFmt numFmtId="169" formatCode="#,##0.00"/>
    <numFmt numFmtId="170" formatCode="General"/>
    <numFmt numFmtId="171" formatCode="0.0%"/>
    <numFmt numFmtId="172" formatCode="#,##0.0"/>
    <numFmt numFmtId="173" formatCode="#,##0.000"/>
    <numFmt numFmtId="174" formatCode="0.000"/>
    <numFmt numFmtId="175" formatCode="0.0"/>
    <numFmt numFmtId="176" formatCode="_-* #,##0\ _p_t_a_-;\-* #,##0\ _p_t_a_-;_-* &quot;- &quot;_p_t_a_-;_-@_-"/>
    <numFmt numFmtId="177" formatCode="#,##0_ ;\-#,##0\ "/>
    <numFmt numFmtId="178" formatCode="mmm\-yy"/>
    <numFmt numFmtId="179" formatCode="dd/mm/yy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color rgb="FF000000"/>
      <name val="Arial"/>
      <family val="2"/>
    </font>
    <font>
      <sz val="9.2"/>
      <color rgb="FF000000"/>
      <name val="Arial"/>
      <family val="2"/>
    </font>
    <font>
      <b val="true"/>
      <sz val="9"/>
      <color rgb="FF000000"/>
      <name val="Comic Sans MS"/>
      <family val="2"/>
    </font>
    <font>
      <b val="true"/>
      <sz val="8.75"/>
      <color rgb="FF000000"/>
      <name val="Comic Sans MS"/>
      <family val="2"/>
    </font>
    <font>
      <sz val="10"/>
      <name val="Arial"/>
      <family val="2"/>
    </font>
    <font>
      <i val="true"/>
      <sz val="10.1"/>
      <color rgb="FF000000"/>
      <name val="Comic Sans MS"/>
      <family val="2"/>
    </font>
    <font>
      <b val="true"/>
      <sz val="9.75"/>
      <color rgb="FF000000"/>
      <name val="Comic Sans MS"/>
      <family val="2"/>
    </font>
    <font>
      <i val="true"/>
      <sz val="9.85"/>
      <color rgb="FF000000"/>
      <name val="Comic Sans MS"/>
      <family val="2"/>
    </font>
    <font>
      <b val="true"/>
      <i val="true"/>
      <sz val="15.25"/>
      <color rgb="FF000000"/>
      <name val="Comic Sans MS"/>
      <family val="2"/>
    </font>
    <font>
      <sz val="9.5"/>
      <color rgb="FF000000"/>
      <name val="Arial"/>
      <family val="2"/>
    </font>
    <font>
      <b val="true"/>
      <sz val="16.55"/>
      <color rgb="FF000000"/>
      <name val="Comic Sans MS"/>
      <family val="2"/>
    </font>
    <font>
      <b val="true"/>
      <sz val="11.5"/>
      <color rgb="FF000000"/>
      <name val="Comic Sans MS"/>
      <family val="2"/>
    </font>
    <font>
      <b val="true"/>
      <sz val="12.85"/>
      <color rgb="FF000000"/>
      <name val="Comic Sans MS"/>
      <family val="2"/>
    </font>
    <font>
      <u val="single"/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0C0C0"/>
        <bgColor rgb="FFB3B3B3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273093243390273"/>
          <c:y val="0.0593381940549635"/>
          <c:w val="0.966488956587967"/>
          <c:h val="0.747616376892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Plan_Financiero!$B$30</c:f>
              <c:strCache>
                <c:ptCount val="1"/>
                <c:pt idx="0">
                  <c:v>HORAS_PA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Plan_Financiero!$D$30:$O$30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Plan_Financiero!$B$29</c:f>
              <c:strCache>
                <c:ptCount val="1"/>
                <c:pt idx="0">
                  <c:v>HORAS_TE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Plan_Financiero!$D$29:$O$29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Plan_Financiero!$B$28</c:f>
              <c:strCache>
                <c:ptCount val="1"/>
                <c:pt idx="0">
                  <c:v>HORAS_IJ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Plan_Financiero!$D$28:$O$28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Plan_Financiero!$B$27</c:f>
              <c:strCache>
                <c:ptCount val="1"/>
                <c:pt idx="0">
                  <c:v>HORAS_IS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Plan_Financiero!$D$27:$O$27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Plan_Financiero!$B$26</c:f>
              <c:strCache>
                <c:ptCount val="1"/>
                <c:pt idx="0">
                  <c:v>HORAS_CO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Plan_Financiero!$D$26:$O$26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Plan_Financiero!$B$25</c:f>
              <c:strCache>
                <c:ptCount val="1"/>
                <c:pt idx="0">
                  <c:v>HORAS_DI</c:v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Plan_Financiero!$D$25:$O$25</c:f>
              <c:numCache>
                <c:formatCode>General</c:formatCode>
                <c:ptCount val="12"/>
              </c:numCache>
            </c:numRef>
          </c:val>
        </c:ser>
        <c:gapWidth val="150"/>
        <c:shape val="box"/>
        <c:axId val="5539146"/>
        <c:axId val="16426971"/>
        <c:axId val="0"/>
      </c:bar3DChart>
      <c:catAx>
        <c:axId val="55391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6426971"/>
        <c:crosses val="autoZero"/>
        <c:auto val="1"/>
        <c:lblAlgn val="ctr"/>
        <c:lblOffset val="100"/>
        <c:noMultiLvlLbl val="0"/>
      </c:catAx>
      <c:valAx>
        <c:axId val="1642697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3914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4468085106383"/>
          <c:y val="0.908013115571236"/>
          <c:w val="0.851064468005329"/>
          <c:h val="0.0771513353115727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87846049966239"/>
          <c:y val="0.0745797134153221"/>
          <c:w val="0.928989421562008"/>
          <c:h val="0.725262326526007"/>
        </c:manualLayout>
      </c:layout>
      <c:lineChart>
        <c:grouping val="standard"/>
        <c:varyColors val="0"/>
        <c:ser>
          <c:idx val="0"/>
          <c:order val="0"/>
          <c:tx>
            <c:strRef>
              <c:f>"COSTES"</c:f>
              <c:strCache>
                <c:ptCount val="1"/>
                <c:pt idx="0">
                  <c:v>COSTES</c:v>
                </c:pt>
              </c:strCache>
            </c:strRef>
          </c:tx>
          <c:spPr>
            <a:solidFill>
              <a:srgbClr val="000080"/>
            </a:solidFill>
            <a:ln w="381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Plan_Financiero!$D$23:$O$23</c:f>
              <c:multiLvlStrCache>
                <c:ptCount val="1"/>
                <c:lvl>
                  <c:pt idx="0">
                    <c:v>MES 12</c:v>
                  </c:pt>
                </c:lvl>
                <c:lvl>
                  <c:pt idx="0">
                    <c:v>MES 11</c:v>
                  </c:pt>
                </c:lvl>
                <c:lvl>
                  <c:pt idx="0">
                    <c:v>MES 10</c:v>
                  </c:pt>
                </c:lvl>
                <c:lvl>
                  <c:pt idx="0">
                    <c:v>MES 9</c:v>
                  </c:pt>
                </c:lvl>
                <c:lvl>
                  <c:pt idx="0">
                    <c:v>MES 8</c:v>
                  </c:pt>
                </c:lvl>
                <c:lvl>
                  <c:pt idx="0">
                    <c:v>MES 7</c:v>
                  </c:pt>
                </c:lvl>
                <c:lvl>
                  <c:pt idx="0">
                    <c:v>MES 6</c:v>
                  </c:pt>
                </c:lvl>
                <c:lvl>
                  <c:pt idx="0">
                    <c:v>MES 5</c:v>
                  </c:pt>
                </c:lvl>
                <c:lvl>
                  <c:pt idx="0">
                    <c:v>MES 4</c:v>
                  </c:pt>
                </c:lvl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</c:lvl>
              </c:multiLvlStrCache>
            </c:multiLvlStrRef>
          </c:cat>
          <c:val>
            <c:numRef>
              <c:f>Plan_Financiero!$D$46:$O$46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"INGRESOS"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ff00ff"/>
            </a:solidFill>
            <a:ln w="3816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Plan_Financiero!$D$23:$O$23</c:f>
              <c:multiLvlStrCache>
                <c:ptCount val="1"/>
                <c:lvl>
                  <c:pt idx="0">
                    <c:v>MES 12</c:v>
                  </c:pt>
                </c:lvl>
                <c:lvl>
                  <c:pt idx="0">
                    <c:v>MES 11</c:v>
                  </c:pt>
                </c:lvl>
                <c:lvl>
                  <c:pt idx="0">
                    <c:v>MES 10</c:v>
                  </c:pt>
                </c:lvl>
                <c:lvl>
                  <c:pt idx="0">
                    <c:v>MES 9</c:v>
                  </c:pt>
                </c:lvl>
                <c:lvl>
                  <c:pt idx="0">
                    <c:v>MES 8</c:v>
                  </c:pt>
                </c:lvl>
                <c:lvl>
                  <c:pt idx="0">
                    <c:v>MES 7</c:v>
                  </c:pt>
                </c:lvl>
                <c:lvl>
                  <c:pt idx="0">
                    <c:v>MES 6</c:v>
                  </c:pt>
                </c:lvl>
                <c:lvl>
                  <c:pt idx="0">
                    <c:v>MES 5</c:v>
                  </c:pt>
                </c:lvl>
                <c:lvl>
                  <c:pt idx="0">
                    <c:v>MES 4</c:v>
                  </c:pt>
                </c:lvl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</c:lvl>
              </c:multiLvlStrCache>
            </c:multiLvlStrRef>
          </c:cat>
          <c:val>
            <c:numRef>
              <c:f>Plan_Financiero!$D$50:$O$50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"MARGEN"</c:f>
              <c:strCache>
                <c:ptCount val="1"/>
                <c:pt idx="0">
                  <c:v>MARGEN</c:v>
                </c:pt>
              </c:strCache>
            </c:strRef>
          </c:tx>
          <c:spPr>
            <a:solidFill>
              <a:srgbClr val="ff0000"/>
            </a:solidFill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Plan_Financiero!$D$23:$O$23</c:f>
              <c:multiLvlStrCache>
                <c:ptCount val="1"/>
                <c:lvl>
                  <c:pt idx="0">
                    <c:v>MES 12</c:v>
                  </c:pt>
                </c:lvl>
                <c:lvl>
                  <c:pt idx="0">
                    <c:v>MES 11</c:v>
                  </c:pt>
                </c:lvl>
                <c:lvl>
                  <c:pt idx="0">
                    <c:v>MES 10</c:v>
                  </c:pt>
                </c:lvl>
                <c:lvl>
                  <c:pt idx="0">
                    <c:v>MES 9</c:v>
                  </c:pt>
                </c:lvl>
                <c:lvl>
                  <c:pt idx="0">
                    <c:v>MES 8</c:v>
                  </c:pt>
                </c:lvl>
                <c:lvl>
                  <c:pt idx="0">
                    <c:v>MES 7</c:v>
                  </c:pt>
                </c:lvl>
                <c:lvl>
                  <c:pt idx="0">
                    <c:v>MES 6</c:v>
                  </c:pt>
                </c:lvl>
                <c:lvl>
                  <c:pt idx="0">
                    <c:v>MES 5</c:v>
                  </c:pt>
                </c:lvl>
                <c:lvl>
                  <c:pt idx="0">
                    <c:v>MES 4</c:v>
                  </c:pt>
                </c:lvl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</c:lvl>
              </c:multiLvlStrCache>
            </c:multiLvlStrRef>
          </c:cat>
          <c:val>
            <c:numRef>
              <c:f>Plan_Financiero!$D$57:$O$57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872990"/>
        <c:axId val="97704517"/>
      </c:lineChart>
      <c:catAx>
        <c:axId val="68872990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704517"/>
        <c:crosses val="autoZero"/>
        <c:auto val="1"/>
        <c:lblAlgn val="ctr"/>
        <c:lblOffset val="100"/>
        <c:noMultiLvlLbl val="0"/>
      </c:catAx>
      <c:valAx>
        <c:axId val="9770451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872990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259842519685039"/>
          <c:y val="0.907462686567164"/>
          <c:w val="0.559055118110236"/>
          <c:h val="0.0776119402985075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97600469838074"/>
          <c:y val="0.357720758206195"/>
          <c:w val="0.150599882540482"/>
          <c:h val="0.1956773000462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9"/>
          <c:dPt>
            <c:idx val="0"/>
            <c:explosion val="9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explosion val="9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numFmt formatCode="0%" sourceLinked="0"/>
            <c:dLbl>
              <c:idx val="0"/>
              <c:numFmt formatCode="0%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omic Sans MS"/>
                      <a:ea typeface="Comic Sans M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%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omic Sans MS"/>
                      <a:ea typeface="Comic Sans M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omic Sans MS"/>
                    <a:ea typeface="Comic Sans M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Situación!$H$20,Situación!$L$20</c:f>
              <c:strCache>
                <c:ptCount val="2"/>
                <c:pt idx="0">
                  <c:v>CONSUMIDO</c:v>
                </c:pt>
                <c:pt idx="1">
                  <c:v>REMANENTE</c:v>
                </c:pt>
              </c:strCache>
            </c:strRef>
          </c:cat>
          <c:val>
            <c:numRef>
              <c:f>Situación!$I$53,Situación!$L$53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noFill/>
    <a:ln w="648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212189226519337"/>
          <c:y val="0.0472490550188996"/>
          <c:w val="0.736245395948435"/>
          <c:h val="0.749895002099958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"CONSUMIDO"</c:f>
              <c:strCache>
                <c:ptCount val="1"/>
                <c:pt idx="0">
                  <c:v>CONSUMIDO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Situación!$J$30,Situación!$J$37,Situación!$J$48,Situación!$J$50,Situación!$J$59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"REMANENTE"</c:f>
              <c:strCache>
                <c:ptCount val="1"/>
                <c:pt idx="0">
                  <c:v>REMANENTE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Situación!$M$30,Situación!$M$37,Situación!$M$50,Situación!$M$48,Situación!$M$59</c:f>
              <c:numCache>
                <c:formatCode>General</c:formatCode>
                <c:ptCount val="5"/>
              </c:numCache>
            </c:numRef>
          </c:val>
        </c:ser>
        <c:gapWidth val="150"/>
        <c:shape val="box"/>
        <c:axId val="34983533"/>
        <c:axId val="40627788"/>
        <c:axId val="0"/>
      </c:bar3DChart>
      <c:catAx>
        <c:axId val="349835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40627788"/>
        <c:crosses val="autoZero"/>
        <c:auto val="1"/>
        <c:lblAlgn val="ctr"/>
        <c:lblOffset val="100"/>
        <c:noMultiLvlLbl val="0"/>
      </c:catAx>
      <c:valAx>
        <c:axId val="40627788"/>
        <c:scaling>
          <c:orientation val="minMax"/>
        </c:scaling>
        <c:delete val="0"/>
        <c:axPos val="l"/>
        <c:minorGridlines>
          <c:spPr>
            <a:ln w="3240">
              <a:solidFill>
                <a:srgbClr val="000000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3498353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456760429062"/>
          <c:y val="0.825002333041703"/>
          <c:w val="0.451768826324362"/>
          <c:h val="0.0722225138524351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i="1" sz="1010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6636658264314"/>
          <c:y val="0.0387434554973822"/>
          <c:w val="0.776377385667987"/>
          <c:h val="0.742303664921466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"CONSUMIDAS"</c:f>
              <c:strCache>
                <c:ptCount val="1"/>
                <c:pt idx="0">
                  <c:v>CONSUMIDAS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Situación!$H$23:$H$28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"REMANENTE"</c:f>
              <c:strCache>
                <c:ptCount val="1"/>
                <c:pt idx="0">
                  <c:v>REMANENTE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Situación!$L$23:$L$28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50"/>
        <c:shape val="box"/>
        <c:axId val="70958995"/>
        <c:axId val="60153785"/>
        <c:axId val="0"/>
      </c:bar3DChart>
      <c:catAx>
        <c:axId val="70958995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60153785"/>
        <c:crosses val="autoZero"/>
        <c:auto val="1"/>
        <c:lblAlgn val="ctr"/>
        <c:lblOffset val="100"/>
        <c:noMultiLvlLbl val="0"/>
      </c:catAx>
      <c:valAx>
        <c:axId val="6015378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inorGridlines>
          <c:spPr>
            <a:ln w="3240">
              <a:solidFill>
                <a:srgbClr val="000000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709589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94117823507356"/>
          <c:y val="0.905818337804727"/>
          <c:w val="0.411765058779417"/>
          <c:h val="0.0775623268698061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i="1" sz="985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25560">
          <a:noFill/>
        </a:ln>
      </c:spPr>
    </c:sideWall>
    <c:backWall>
      <c:spPr>
        <a:solidFill>
          <a:srgbClr val="c0c0c0"/>
        </a:solidFill>
        <a:ln w="25560">
          <a:noFill/>
        </a:ln>
      </c:spPr>
    </c:backWall>
    <c:plotArea>
      <c:layout>
        <c:manualLayout>
          <c:layoutTarget val="inner"/>
          <c:xMode val="edge"/>
          <c:yMode val="edge"/>
          <c:x val="0.0307788698750832"/>
          <c:y val="0.0501651092531441"/>
          <c:w val="0.939499549673023"/>
          <c:h val="0.64118597625237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"DI"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Evolución!$H$23:$J$23,Evolución!$F$23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"CO"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Evolución!$H$24:$J$24,Evolución!$F$24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"IS"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Evolución!$H$25:$J$25,Evolución!$F$25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"IJ"</c:f>
              <c:strCache>
                <c:ptCount val="1"/>
                <c:pt idx="0">
                  <c:v>IJ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Evolución!$H$26:$J$26,Evolución!$F$26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Evolución!$H$27:$J$27,Evolución!$F$27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"PA"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Evolución!$H$28:$J$28,Evolución!$F$28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gapWidth val="150"/>
        <c:shape val="box"/>
        <c:axId val="69714867"/>
        <c:axId val="75845686"/>
        <c:axId val="0"/>
      </c:bar3DChart>
      <c:catAx>
        <c:axId val="69714867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i="1" sz="152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75845686"/>
        <c:crosses val="autoZero"/>
        <c:auto val="1"/>
        <c:lblAlgn val="ctr"/>
        <c:lblOffset val="100"/>
        <c:noMultiLvlLbl val="0"/>
      </c:catAx>
      <c:valAx>
        <c:axId val="75845686"/>
        <c:scaling>
          <c:orientation val="minMax"/>
        </c:scaling>
        <c:delete val="1"/>
        <c:axPos val="l"/>
        <c:majorGridlines>
          <c:spPr>
            <a:ln w="3240">
              <a:solidFill>
                <a:srgbClr val="000000"/>
              </a:solidFill>
              <a:prstDash val="lgDash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714867"/>
        <c:crossBetween val="between"/>
      </c:valAx>
    </c:plotArea>
    <c:legend>
      <c:legendPos val="b"/>
      <c:layout>
        <c:manualLayout>
          <c:xMode val="edge"/>
          <c:yMode val="edge"/>
          <c:x val="0.0054945054945055"/>
          <c:y val="0.819703382802057"/>
          <c:w val="0.720879466989703"/>
          <c:h val="0.0594795539033457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1" sz="1654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19008591677555"/>
          <c:y val="0.0851882962340753"/>
          <c:w val="0.856119095696243"/>
          <c:h val="0.594358112837743"/>
        </c:manualLayout>
      </c:layout>
      <c:areaChart>
        <c:grouping val="stacked"/>
        <c:ser>
          <c:idx val="0"/>
          <c:order val="0"/>
          <c:tx>
            <c:strRef>
              <c:f>"PERSONAL"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Evolución!$G$30:$J$30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"SUBCONTRATOS"</c:f>
              <c:strCache>
                <c:ptCount val="1"/>
                <c:pt idx="0">
                  <c:v>SUBCONTRATOS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Evolución!$G$37:$J$37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"OTROS"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Evolución!$G$50:$J$50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"CONTINGENCIAS"</c:f>
              <c:strCache>
                <c:ptCount val="1"/>
                <c:pt idx="0">
                  <c:v>CONTINGENCIAS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Evolución!$G$48:$J$48</c:f>
              <c:numCache>
                <c:formatCode>General</c:formatCode>
                <c:ptCount val="4"/>
              </c:numCache>
            </c:numRef>
          </c:val>
        </c:ser>
        <c:axId val="1138472"/>
        <c:axId val="95872430"/>
      </c:areaChart>
      <c:catAx>
        <c:axId val="1138472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i="1" sz="152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95872430"/>
        <c:crosses val="autoZero"/>
        <c:auto val="1"/>
        <c:lblAlgn val="ctr"/>
        <c:lblOffset val="100"/>
        <c:noMultiLvlLbl val="0"/>
      </c:catAx>
      <c:valAx>
        <c:axId val="9587243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prstDash val="lgDash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150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1138472"/>
        <c:crosses val="autoZero"/>
        <c:crossBetween val="midCat"/>
      </c:valAx>
      <c:spPr>
        <a:solidFill>
          <a:srgbClr val="c0c0c0"/>
        </a:solidFill>
        <a:ln w="25560">
          <a:noFill/>
        </a:ln>
      </c:spPr>
    </c:plotArea>
    <c:legend>
      <c:legendPos val="b"/>
      <c:layout>
        <c:manualLayout>
          <c:xMode val="edge"/>
          <c:yMode val="edge"/>
          <c:x val="0.00553097345132743"/>
          <c:y val="0.879631184990765"/>
          <c:w val="0.899336747729543"/>
          <c:h val="0.059259453679401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1" sz="1285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zero"/>
  </c:chart>
  <c:spPr>
    <a:solidFill>
      <a:srgbClr val="ffffff"/>
    </a:solidFill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28440</xdr:rowOff>
    </xdr:from>
    <xdr:to>
      <xdr:col>1</xdr:col>
      <xdr:colOff>351720</xdr:colOff>
      <xdr:row>2</xdr:row>
      <xdr:rowOff>56160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8440" y="28440"/>
          <a:ext cx="97812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9360</xdr:rowOff>
    </xdr:from>
    <xdr:to>
      <xdr:col>1</xdr:col>
      <xdr:colOff>618480</xdr:colOff>
      <xdr:row>2</xdr:row>
      <xdr:rowOff>27720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47520" y="9360"/>
          <a:ext cx="1145520" cy="50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24</xdr:row>
      <xdr:rowOff>0</xdr:rowOff>
    </xdr:from>
    <xdr:to>
      <xdr:col>9</xdr:col>
      <xdr:colOff>189720</xdr:colOff>
      <xdr:row>43</xdr:row>
      <xdr:rowOff>132480</xdr:rowOff>
    </xdr:to>
    <xdr:graphicFrame>
      <xdr:nvGraphicFramePr>
        <xdr:cNvPr id="2" name="Gráfico 2"/>
        <xdr:cNvGraphicFramePr/>
      </xdr:nvGraphicFramePr>
      <xdr:xfrm>
        <a:off x="824760" y="3886200"/>
        <a:ext cx="6617160" cy="32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47520</xdr:colOff>
      <xdr:row>24</xdr:row>
      <xdr:rowOff>0</xdr:rowOff>
    </xdr:from>
    <xdr:to>
      <xdr:col>17</xdr:col>
      <xdr:colOff>804600</xdr:colOff>
      <xdr:row>43</xdr:row>
      <xdr:rowOff>113760</xdr:rowOff>
    </xdr:to>
    <xdr:graphicFrame>
      <xdr:nvGraphicFramePr>
        <xdr:cNvPr id="3" name="Gráfico 4"/>
        <xdr:cNvGraphicFramePr/>
      </xdr:nvGraphicFramePr>
      <xdr:xfrm>
        <a:off x="8105760" y="3886200"/>
        <a:ext cx="6397560" cy="31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9360</xdr:colOff>
      <xdr:row>0</xdr:row>
      <xdr:rowOff>28440</xdr:rowOff>
    </xdr:from>
    <xdr:to>
      <xdr:col>1</xdr:col>
      <xdr:colOff>408600</xdr:colOff>
      <xdr:row>2</xdr:row>
      <xdr:rowOff>160920</xdr:rowOff>
    </xdr:to>
    <xdr:pic>
      <xdr:nvPicPr>
        <xdr:cNvPr id="4" name="Imagen 1" descr=""/>
        <xdr:cNvPicPr/>
      </xdr:nvPicPr>
      <xdr:blipFill>
        <a:blip r:embed="rId3"/>
        <a:stretch/>
      </xdr:blipFill>
      <xdr:spPr>
        <a:xfrm>
          <a:off x="9360" y="28440"/>
          <a:ext cx="1204920" cy="456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89</xdr:row>
      <xdr:rowOff>19080</xdr:rowOff>
    </xdr:from>
    <xdr:to>
      <xdr:col>6</xdr:col>
      <xdr:colOff>189720</xdr:colOff>
      <xdr:row>108</xdr:row>
      <xdr:rowOff>56520</xdr:rowOff>
    </xdr:to>
    <xdr:graphicFrame>
      <xdr:nvGraphicFramePr>
        <xdr:cNvPr id="5" name="Gráfico 8"/>
        <xdr:cNvGraphicFramePr/>
      </xdr:nvGraphicFramePr>
      <xdr:xfrm>
        <a:off x="390600" y="14430240"/>
        <a:ext cx="4290480" cy="311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57240</xdr:colOff>
      <xdr:row>87</xdr:row>
      <xdr:rowOff>19080</xdr:rowOff>
    </xdr:from>
    <xdr:to>
      <xdr:col>13</xdr:col>
      <xdr:colOff>208800</xdr:colOff>
      <xdr:row>108</xdr:row>
      <xdr:rowOff>46800</xdr:rowOff>
    </xdr:to>
    <xdr:graphicFrame>
      <xdr:nvGraphicFramePr>
        <xdr:cNvPr id="6" name="Gráfico 5"/>
        <xdr:cNvGraphicFramePr/>
      </xdr:nvGraphicFramePr>
      <xdr:xfrm>
        <a:off x="3742920" y="14106600"/>
        <a:ext cx="6255000" cy="34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314280</xdr:colOff>
      <xdr:row>64</xdr:row>
      <xdr:rowOff>142920</xdr:rowOff>
    </xdr:from>
    <xdr:to>
      <xdr:col>13</xdr:col>
      <xdr:colOff>208800</xdr:colOff>
      <xdr:row>86</xdr:row>
      <xdr:rowOff>18360</xdr:rowOff>
    </xdr:to>
    <xdr:graphicFrame>
      <xdr:nvGraphicFramePr>
        <xdr:cNvPr id="7" name="Gráfico 6"/>
        <xdr:cNvGraphicFramePr/>
      </xdr:nvGraphicFramePr>
      <xdr:xfrm>
        <a:off x="3999960" y="10506240"/>
        <a:ext cx="5997960" cy="34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66600</xdr:rowOff>
    </xdr:from>
    <xdr:to>
      <xdr:col>1</xdr:col>
      <xdr:colOff>389880</xdr:colOff>
      <xdr:row>2</xdr:row>
      <xdr:rowOff>151560</xdr:rowOff>
    </xdr:to>
    <xdr:pic>
      <xdr:nvPicPr>
        <xdr:cNvPr id="8" name="Imagen 1" descr=""/>
        <xdr:cNvPicPr/>
      </xdr:nvPicPr>
      <xdr:blipFill>
        <a:blip r:embed="rId4"/>
        <a:stretch/>
      </xdr:blipFill>
      <xdr:spPr>
        <a:xfrm>
          <a:off x="0" y="66600"/>
          <a:ext cx="1064160" cy="40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571680</xdr:colOff>
      <xdr:row>3</xdr:row>
      <xdr:rowOff>38160</xdr:rowOff>
    </xdr:from>
    <xdr:to>
      <xdr:col>34</xdr:col>
      <xdr:colOff>94680</xdr:colOff>
      <xdr:row>34</xdr:row>
      <xdr:rowOff>142200</xdr:rowOff>
    </xdr:to>
    <xdr:graphicFrame>
      <xdr:nvGraphicFramePr>
        <xdr:cNvPr id="9" name="Gráfico 5"/>
        <xdr:cNvGraphicFramePr/>
      </xdr:nvGraphicFramePr>
      <xdr:xfrm>
        <a:off x="14617080" y="638280"/>
        <a:ext cx="9192960" cy="512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523800</xdr:colOff>
      <xdr:row>38</xdr:row>
      <xdr:rowOff>38160</xdr:rowOff>
    </xdr:from>
    <xdr:to>
      <xdr:col>33</xdr:col>
      <xdr:colOff>751680</xdr:colOff>
      <xdr:row>69</xdr:row>
      <xdr:rowOff>161280</xdr:rowOff>
    </xdr:to>
    <xdr:graphicFrame>
      <xdr:nvGraphicFramePr>
        <xdr:cNvPr id="10" name="Gráfico 6"/>
        <xdr:cNvGraphicFramePr/>
      </xdr:nvGraphicFramePr>
      <xdr:xfrm>
        <a:off x="14569200" y="6305760"/>
        <a:ext cx="9092160" cy="51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38160</xdr:rowOff>
    </xdr:from>
    <xdr:to>
      <xdr:col>1</xdr:col>
      <xdr:colOff>275400</xdr:colOff>
      <xdr:row>2</xdr:row>
      <xdr:rowOff>28080</xdr:rowOff>
    </xdr:to>
    <xdr:pic>
      <xdr:nvPicPr>
        <xdr:cNvPr id="11" name="Imagen 1" descr=""/>
        <xdr:cNvPicPr/>
      </xdr:nvPicPr>
      <xdr:blipFill>
        <a:blip r:embed="rId3"/>
        <a:stretch/>
      </xdr:blipFill>
      <xdr:spPr>
        <a:xfrm>
          <a:off x="0" y="38160"/>
          <a:ext cx="949680" cy="42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</xdr:col>
      <xdr:colOff>304200</xdr:colOff>
      <xdr:row>2</xdr:row>
      <xdr:rowOff>75600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0" y="38160"/>
          <a:ext cx="938520" cy="361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79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O13" activeCellId="0" sqref="O13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8.29"/>
    <col collapsed="false" customWidth="true" hidden="false" outlineLevel="0" max="4" min="3" style="1" width="11.43"/>
    <col collapsed="false" customWidth="true" hidden="false" outlineLevel="0" max="5" min="5" style="1" width="9.57"/>
    <col collapsed="false" customWidth="true" hidden="false" outlineLevel="0" max="6" min="6" style="1" width="5"/>
    <col collapsed="false" customWidth="true" hidden="false" outlineLevel="0" max="7" min="7" style="1" width="10.71"/>
    <col collapsed="false" customWidth="true" hidden="false" outlineLevel="0" max="8" min="8" style="1" width="5"/>
    <col collapsed="false" customWidth="true" hidden="false" outlineLevel="0" max="9" min="9" style="1" width="10.42"/>
    <col collapsed="false" customWidth="true" hidden="false" outlineLevel="0" max="10" min="10" style="1" width="5"/>
    <col collapsed="false" customWidth="true" hidden="false" outlineLevel="0" max="11" min="11" style="1" width="10.71"/>
    <col collapsed="false" customWidth="true" hidden="false" outlineLevel="0" max="12" min="12" style="1" width="7.71"/>
    <col collapsed="false" customWidth="true" hidden="false" outlineLevel="0" max="13" min="13" style="1" width="10.42"/>
    <col collapsed="false" customWidth="true" hidden="false" outlineLevel="0" max="256" min="14" style="1" width="11.43"/>
  </cols>
  <sheetData>
    <row r="1" customFormat="false" ht="12.7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customFormat="false" ht="12.75" hidden="false" customHeight="false" outlineLevel="0" collapsed="false">
      <c r="A7" s="4" t="s">
        <v>1</v>
      </c>
      <c r="B7" s="4"/>
      <c r="C7" s="5"/>
      <c r="D7" s="5"/>
      <c r="E7" s="5"/>
      <c r="F7" s="5"/>
      <c r="H7" s="6" t="s">
        <v>2</v>
      </c>
      <c r="I7" s="6"/>
      <c r="J7" s="6"/>
      <c r="K7" s="5"/>
      <c r="L7" s="5"/>
      <c r="M7" s="5"/>
    </row>
    <row r="8" customFormat="false" ht="12.75" hidden="false" customHeight="false" outlineLevel="0" collapsed="false">
      <c r="A8" s="4" t="s">
        <v>3</v>
      </c>
      <c r="B8" s="4"/>
      <c r="C8" s="5"/>
      <c r="D8" s="5"/>
      <c r="E8" s="5"/>
      <c r="F8" s="5"/>
      <c r="H8" s="4" t="s">
        <v>4</v>
      </c>
      <c r="I8" s="4"/>
      <c r="J8" s="7"/>
      <c r="K8" s="5"/>
      <c r="L8" s="5"/>
      <c r="M8" s="5"/>
    </row>
    <row r="10" customFormat="false" ht="12.75" hidden="false" customHeight="false" outlineLevel="0" collapsed="false">
      <c r="A10" s="4" t="s">
        <v>5</v>
      </c>
      <c r="B10" s="4"/>
      <c r="C10" s="5"/>
      <c r="D10" s="5"/>
      <c r="E10" s="5"/>
      <c r="F10" s="5"/>
      <c r="H10" s="4" t="s">
        <v>6</v>
      </c>
      <c r="I10" s="4"/>
      <c r="J10" s="7"/>
      <c r="K10" s="5"/>
      <c r="L10" s="5"/>
      <c r="M10" s="5"/>
    </row>
    <row r="12" customFormat="false" ht="12.75" hidden="false" customHeight="false" outlineLevel="0" collapsed="false">
      <c r="H12" s="4" t="s">
        <v>7</v>
      </c>
      <c r="I12" s="4"/>
      <c r="J12" s="4"/>
      <c r="K12" s="4"/>
      <c r="L12" s="8" t="n">
        <f aca="false">M77</f>
        <v>0</v>
      </c>
      <c r="M12" s="9" t="s">
        <v>8</v>
      </c>
    </row>
    <row r="13" customFormat="false" ht="12.75" hidden="false" customHeight="false" outlineLevel="0" collapsed="false">
      <c r="H13" s="4" t="s">
        <v>9</v>
      </c>
      <c r="I13" s="4"/>
      <c r="L13" s="8" t="n">
        <f aca="false">E29</f>
        <v>0</v>
      </c>
      <c r="M13" s="9" t="s">
        <v>10</v>
      </c>
    </row>
    <row r="14" customFormat="false" ht="12.75" hidden="false" customHeight="false" outlineLevel="0" collapsed="false">
      <c r="H14" s="4" t="s">
        <v>11</v>
      </c>
      <c r="I14" s="4"/>
      <c r="L14" s="8" t="n">
        <f aca="false">G72*100</f>
        <v>20</v>
      </c>
      <c r="M14" s="9" t="s">
        <v>12</v>
      </c>
    </row>
    <row r="16" customFormat="false" ht="12.75" hidden="false" customHeight="false" outlineLevel="0" collapsed="false">
      <c r="A16" s="10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customFormat="false" ht="12.75" hidden="false" customHeight="false" outlineLevel="0" collapsed="false">
      <c r="B18" s="11" t="s">
        <v>14</v>
      </c>
    </row>
    <row r="20" customFormat="false" ht="12.75" hidden="false" customHeight="false" outlineLevel="0" collapsed="false">
      <c r="C20" s="12" t="s">
        <v>15</v>
      </c>
      <c r="E20" s="13" t="s">
        <v>16</v>
      </c>
      <c r="F20" s="14"/>
      <c r="G20" s="13" t="s">
        <v>17</v>
      </c>
      <c r="H20" s="14"/>
      <c r="I20" s="13" t="s">
        <v>18</v>
      </c>
      <c r="J20" s="14"/>
      <c r="K20" s="13" t="s">
        <v>19</v>
      </c>
      <c r="M20" s="13" t="s">
        <v>20</v>
      </c>
    </row>
    <row r="22" customFormat="false" ht="12.75" hidden="false" customHeight="false" outlineLevel="0" collapsed="false">
      <c r="C22" s="1" t="s">
        <v>21</v>
      </c>
      <c r="E22" s="15"/>
      <c r="G22" s="16" t="n">
        <v>79.98</v>
      </c>
      <c r="I22" s="16" t="n">
        <v>1.69</v>
      </c>
      <c r="K22" s="17" t="n">
        <v>0.02</v>
      </c>
      <c r="M22" s="18" t="n">
        <f aca="false">E22*G22*I22*(1+K22)</f>
        <v>0</v>
      </c>
    </row>
    <row r="23" customFormat="false" ht="12.75" hidden="false" customHeight="false" outlineLevel="0" collapsed="false">
      <c r="C23" s="1" t="s">
        <v>22</v>
      </c>
      <c r="E23" s="15"/>
      <c r="G23" s="16" t="n">
        <v>49.51</v>
      </c>
      <c r="I23" s="16" t="n">
        <v>1.69</v>
      </c>
      <c r="K23" s="17" t="n">
        <v>0.03</v>
      </c>
      <c r="M23" s="18" t="n">
        <f aca="false">E23*G23*I23*(1+K23)</f>
        <v>0</v>
      </c>
    </row>
    <row r="24" customFormat="false" ht="12.75" hidden="false" customHeight="false" outlineLevel="0" collapsed="false">
      <c r="C24" s="1" t="s">
        <v>23</v>
      </c>
      <c r="E24" s="15"/>
      <c r="G24" s="16" t="n">
        <v>35.04</v>
      </c>
      <c r="I24" s="16" t="n">
        <v>1.69</v>
      </c>
      <c r="K24" s="17" t="n">
        <v>0.04</v>
      </c>
      <c r="M24" s="18" t="n">
        <f aca="false">E24*G24*I24*(1+K24)</f>
        <v>0</v>
      </c>
    </row>
    <row r="25" customFormat="false" ht="12.75" hidden="false" customHeight="false" outlineLevel="0" collapsed="false">
      <c r="C25" s="1" t="s">
        <v>24</v>
      </c>
      <c r="E25" s="15"/>
      <c r="G25" s="16" t="n">
        <v>21.33</v>
      </c>
      <c r="I25" s="16" t="n">
        <v>1.69</v>
      </c>
      <c r="K25" s="17" t="n">
        <v>0.05</v>
      </c>
      <c r="M25" s="18" t="n">
        <f aca="false">E25*G25*I25*(1+K25)</f>
        <v>0</v>
      </c>
    </row>
    <row r="26" customFormat="false" ht="12.75" hidden="false" customHeight="false" outlineLevel="0" collapsed="false">
      <c r="C26" s="1" t="s">
        <v>25</v>
      </c>
      <c r="E26" s="15"/>
      <c r="G26" s="16" t="n">
        <v>17.52</v>
      </c>
      <c r="I26" s="16" t="n">
        <v>1.69</v>
      </c>
      <c r="K26" s="17" t="n">
        <v>0.05</v>
      </c>
      <c r="M26" s="18" t="n">
        <f aca="false">E26*G26*I26*(1+K26)</f>
        <v>0</v>
      </c>
    </row>
    <row r="27" customFormat="false" ht="12.75" hidden="false" customHeight="false" outlineLevel="0" collapsed="false">
      <c r="C27" s="1" t="s">
        <v>26</v>
      </c>
      <c r="E27" s="15"/>
      <c r="G27" s="16" t="n">
        <v>10.66</v>
      </c>
      <c r="I27" s="16" t="n">
        <v>1.69</v>
      </c>
      <c r="K27" s="17" t="n">
        <v>0.06</v>
      </c>
      <c r="M27" s="18" t="n">
        <f aca="false">E27*G27*I27*(1+K27)</f>
        <v>0</v>
      </c>
    </row>
    <row r="28" customFormat="false" ht="12.75" hidden="false" customHeight="false" outlineLevel="0" collapsed="false">
      <c r="G28" s="16"/>
      <c r="I28" s="16"/>
      <c r="K28" s="17"/>
      <c r="M28" s="18"/>
    </row>
    <row r="29" customFormat="false" ht="12.75" hidden="false" customHeight="false" outlineLevel="0" collapsed="false">
      <c r="C29" s="11" t="s">
        <v>27</v>
      </c>
      <c r="E29" s="1" t="n">
        <f aca="false">SUM(E22:E27)</f>
        <v>0</v>
      </c>
      <c r="G29" s="19" t="str">
        <f aca="false">IF(E29=0, "N/A", (G22*E22+G23*E23+G24*E24+G25*E25+G26*E26+G27*E27)/E29)</f>
        <v>N/A</v>
      </c>
      <c r="I29" s="19" t="str">
        <f aca="false">IF(E29=0, "N/A", (I22*E22+I23*E23+I24*E24+I25*E25+I26*E26+I27*E27)/E29)</f>
        <v>N/A</v>
      </c>
      <c r="J29" s="14"/>
      <c r="K29" s="20" t="str">
        <f aca="false">IF(E29=0, "N/A", (K22*E22+K23*E23+K24*E24+K25*E25+K26*E26+K27*E27)/E29)</f>
        <v>N/A</v>
      </c>
      <c r="M29" s="21" t="n">
        <f aca="false">SUM(M22:M27)</f>
        <v>0</v>
      </c>
    </row>
    <row r="31" customFormat="false" ht="12.75" hidden="false" customHeight="false" outlineLevel="0" collapsed="false">
      <c r="B31" s="11" t="s">
        <v>28</v>
      </c>
    </row>
    <row r="33" customFormat="false" ht="12.75" hidden="false" customHeight="false" outlineLevel="0" collapsed="false">
      <c r="C33" s="1" t="s">
        <v>29</v>
      </c>
      <c r="M33" s="15"/>
    </row>
    <row r="34" customFormat="false" ht="12.75" hidden="false" customHeight="false" outlineLevel="0" collapsed="false">
      <c r="C34" s="1" t="s">
        <v>30</v>
      </c>
      <c r="M34" s="22"/>
    </row>
    <row r="35" customFormat="false" ht="12.75" hidden="false" customHeight="false" outlineLevel="0" collapsed="false">
      <c r="M35" s="18"/>
    </row>
    <row r="36" customFormat="false" ht="12.75" hidden="false" customHeight="false" outlineLevel="0" collapsed="false">
      <c r="C36" s="11" t="s">
        <v>27</v>
      </c>
      <c r="K36" s="17" t="n">
        <v>0.08</v>
      </c>
      <c r="M36" s="21" t="n">
        <f aca="false">SUM(M33:M34)*(1+K36)</f>
        <v>0</v>
      </c>
    </row>
    <row r="38" customFormat="false" ht="12.75" hidden="false" customHeight="false" outlineLevel="0" collapsed="false">
      <c r="B38" s="11" t="s">
        <v>31</v>
      </c>
    </row>
    <row r="40" customFormat="false" ht="12.75" hidden="false" customHeight="false" outlineLevel="0" collapsed="false">
      <c r="C40" s="1" t="s">
        <v>32</v>
      </c>
      <c r="E40" s="1" t="n">
        <f aca="false">E29</f>
        <v>0</v>
      </c>
      <c r="G40" s="23" t="n">
        <v>2.34</v>
      </c>
      <c r="I40" s="16" t="n">
        <v>1</v>
      </c>
      <c r="J40" s="16"/>
      <c r="K40" s="17" t="n">
        <v>0.05</v>
      </c>
      <c r="M40" s="18" t="n">
        <f aca="false">E40*G40*I40*(1+K40)</f>
        <v>0</v>
      </c>
    </row>
    <row r="41" customFormat="false" ht="12.75" hidden="false" customHeight="false" outlineLevel="0" collapsed="false">
      <c r="C41" s="1" t="s">
        <v>33</v>
      </c>
      <c r="E41" s="1" t="n">
        <f aca="false">E29</f>
        <v>0</v>
      </c>
      <c r="G41" s="23" t="n">
        <v>0.75</v>
      </c>
      <c r="I41" s="16" t="n">
        <v>1</v>
      </c>
      <c r="J41" s="16"/>
      <c r="K41" s="17" t="n">
        <v>0.05</v>
      </c>
      <c r="M41" s="18" t="n">
        <f aca="false">E41*G41*I41*(1+K41)</f>
        <v>0</v>
      </c>
    </row>
    <row r="42" customFormat="false" ht="12.75" hidden="false" customHeight="false" outlineLevel="0" collapsed="false">
      <c r="C42" s="1" t="s">
        <v>34</v>
      </c>
      <c r="E42" s="1" t="n">
        <f aca="false">E29</f>
        <v>0</v>
      </c>
      <c r="G42" s="24"/>
      <c r="I42" s="16" t="n">
        <v>1</v>
      </c>
      <c r="J42" s="16"/>
      <c r="K42" s="17" t="n">
        <v>0.05</v>
      </c>
      <c r="M42" s="18" t="n">
        <f aca="false">E42*G42*I42*(1+K42)</f>
        <v>0</v>
      </c>
    </row>
    <row r="43" customFormat="false" ht="12.75" hidden="false" customHeight="false" outlineLevel="0" collapsed="false">
      <c r="G43" s="23"/>
      <c r="I43" s="16"/>
      <c r="J43" s="16"/>
      <c r="K43" s="16"/>
      <c r="M43" s="18"/>
    </row>
    <row r="44" customFormat="false" ht="12.75" hidden="false" customHeight="false" outlineLevel="0" collapsed="false">
      <c r="C44" s="11" t="s">
        <v>27</v>
      </c>
      <c r="G44" s="23" t="n">
        <f aca="false">SUM(G40:G42)</f>
        <v>3.09</v>
      </c>
      <c r="I44" s="16"/>
      <c r="J44" s="16"/>
      <c r="K44" s="16"/>
      <c r="M44" s="21" t="n">
        <f aca="false">SUM(M40:M42)</f>
        <v>0</v>
      </c>
    </row>
    <row r="46" customFormat="false" ht="12.75" hidden="false" customHeight="false" outlineLevel="0" collapsed="false">
      <c r="B46" s="11" t="s">
        <v>35</v>
      </c>
    </row>
    <row r="48" customFormat="false" ht="12.75" hidden="false" customHeight="false" outlineLevel="0" collapsed="false">
      <c r="C48" s="1" t="s">
        <v>36</v>
      </c>
      <c r="M48" s="22"/>
    </row>
    <row r="49" customFormat="false" ht="12.75" hidden="false" customHeight="false" outlineLevel="0" collapsed="false">
      <c r="C49" s="1" t="s">
        <v>37</v>
      </c>
      <c r="M49" s="22"/>
    </row>
    <row r="50" customFormat="false" ht="12.75" hidden="false" customHeight="false" outlineLevel="0" collapsed="false">
      <c r="C50" s="1" t="s">
        <v>38</v>
      </c>
      <c r="M50" s="22"/>
    </row>
    <row r="51" customFormat="false" ht="12.75" hidden="false" customHeight="false" outlineLevel="0" collapsed="false">
      <c r="M51" s="18"/>
    </row>
    <row r="52" customFormat="false" ht="12.75" hidden="false" customHeight="false" outlineLevel="0" collapsed="false">
      <c r="C52" s="11" t="s">
        <v>27</v>
      </c>
      <c r="K52" s="17" t="n">
        <v>0.03</v>
      </c>
      <c r="M52" s="21" t="n">
        <f aca="false">SUM(M48:M50)*(1+K52)</f>
        <v>0</v>
      </c>
    </row>
    <row r="55" customFormat="false" ht="12.75" hidden="false" customHeight="false" outlineLevel="0" collapsed="false">
      <c r="B55" s="11" t="s">
        <v>39</v>
      </c>
      <c r="C55" s="11"/>
      <c r="D55" s="11"/>
      <c r="E55" s="11"/>
      <c r="F55" s="11"/>
      <c r="G55" s="11"/>
      <c r="H55" s="11"/>
      <c r="I55" s="11"/>
      <c r="J55" s="11"/>
      <c r="K55" s="11"/>
      <c r="M55" s="25" t="n">
        <f aca="false">M29+M36+M44+M52</f>
        <v>0</v>
      </c>
    </row>
    <row r="58" customFormat="false" ht="12.75" hidden="false" customHeight="false" outlineLevel="0" collapsed="false">
      <c r="A58" s="10" t="s">
        <v>40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60" customFormat="false" ht="12.75" hidden="false" customHeight="false" outlineLevel="0" collapsed="false">
      <c r="B60" s="11" t="s">
        <v>41</v>
      </c>
    </row>
    <row r="62" customFormat="false" ht="12.75" hidden="false" customHeight="false" outlineLevel="0" collapsed="false">
      <c r="C62" s="26" t="s">
        <v>42</v>
      </c>
      <c r="D62" s="26"/>
      <c r="G62" s="13" t="s">
        <v>43</v>
      </c>
      <c r="I62" s="13" t="s">
        <v>44</v>
      </c>
      <c r="L62" s="27" t="s">
        <v>45</v>
      </c>
      <c r="M62" s="27"/>
    </row>
    <row r="63" customFormat="false" ht="12.75" hidden="false" customHeight="false" outlineLevel="0" collapsed="false">
      <c r="C63" s="28"/>
      <c r="D63" s="28"/>
    </row>
    <row r="64" customFormat="false" ht="12.75" hidden="false" customHeight="false" outlineLevel="0" collapsed="false">
      <c r="C64" s="29" t="s">
        <v>46</v>
      </c>
      <c r="D64" s="29"/>
      <c r="G64" s="30" t="n">
        <v>0.3</v>
      </c>
      <c r="I64" s="18" t="n">
        <f aca="false">M29</f>
        <v>0</v>
      </c>
      <c r="M64" s="18" t="n">
        <f aca="false">I64*G64</f>
        <v>0</v>
      </c>
    </row>
    <row r="65" customFormat="false" ht="12.75" hidden="false" customHeight="false" outlineLevel="0" collapsed="false">
      <c r="C65" s="29" t="s">
        <v>47</v>
      </c>
      <c r="D65" s="29"/>
      <c r="G65" s="30" t="n">
        <v>0.15</v>
      </c>
      <c r="I65" s="18" t="n">
        <f aca="false">M36</f>
        <v>0</v>
      </c>
      <c r="M65" s="18" t="n">
        <f aca="false">I65*G65</f>
        <v>0</v>
      </c>
    </row>
    <row r="66" customFormat="false" ht="12.75" hidden="false" customHeight="false" outlineLevel="0" collapsed="false">
      <c r="C66" s="29" t="s">
        <v>48</v>
      </c>
      <c r="D66" s="29"/>
      <c r="G66" s="30" t="n">
        <v>0.1</v>
      </c>
      <c r="I66" s="18" t="n">
        <f aca="false">M44</f>
        <v>0</v>
      </c>
      <c r="M66" s="18" t="n">
        <f aca="false">I66*G66</f>
        <v>0</v>
      </c>
    </row>
    <row r="67" customFormat="false" ht="12.75" hidden="false" customHeight="false" outlineLevel="0" collapsed="false">
      <c r="C67" s="29" t="s">
        <v>49</v>
      </c>
      <c r="D67" s="29"/>
      <c r="G67" s="30" t="n">
        <v>0.1</v>
      </c>
      <c r="I67" s="18" t="n">
        <f aca="false">M52</f>
        <v>0</v>
      </c>
      <c r="M67" s="18" t="n">
        <f aca="false">I67*G67</f>
        <v>0</v>
      </c>
    </row>
    <row r="68" customFormat="false" ht="12.75" hidden="false" customHeight="false" outlineLevel="0" collapsed="false">
      <c r="C68" s="28"/>
      <c r="D68" s="28"/>
      <c r="G68" s="17"/>
    </row>
    <row r="69" customFormat="false" ht="12.75" hidden="false" customHeight="false" outlineLevel="0" collapsed="false">
      <c r="C69" s="29" t="s">
        <v>50</v>
      </c>
      <c r="D69" s="29"/>
      <c r="G69" s="31" t="str">
        <f aca="false">IF(I69=0, "N/A", M69/I69)</f>
        <v>N/A</v>
      </c>
      <c r="I69" s="18" t="n">
        <f aca="false">M55</f>
        <v>0</v>
      </c>
      <c r="M69" s="21" t="n">
        <f aca="false">SUM(M64:M67)</f>
        <v>0</v>
      </c>
    </row>
    <row r="70" customFormat="false" ht="12.75" hidden="false" customHeight="false" outlineLevel="0" collapsed="false">
      <c r="G70" s="17"/>
    </row>
    <row r="71" customFormat="false" ht="12.75" hidden="false" customHeight="false" outlineLevel="0" collapsed="false">
      <c r="G71" s="17"/>
    </row>
    <row r="72" customFormat="false" ht="12.75" hidden="false" customHeight="false" outlineLevel="0" collapsed="false">
      <c r="C72" s="26" t="s">
        <v>51</v>
      </c>
      <c r="D72" s="26"/>
      <c r="G72" s="30" t="n">
        <v>0.2</v>
      </c>
      <c r="I72" s="18" t="n">
        <f aca="false">I69</f>
        <v>0</v>
      </c>
      <c r="M72" s="21" t="n">
        <f aca="false">G72*I72</f>
        <v>0</v>
      </c>
    </row>
    <row r="75" customFormat="false" ht="12.75" hidden="false" customHeight="false" outlineLevel="0" collapsed="false">
      <c r="B75" s="11" t="s">
        <v>52</v>
      </c>
    </row>
    <row r="77" customFormat="false" ht="12.75" hidden="false" customHeight="false" outlineLevel="0" collapsed="false">
      <c r="C77" s="11" t="s">
        <v>53</v>
      </c>
      <c r="M77" s="25" t="n">
        <f aca="false">M55+M72</f>
        <v>0</v>
      </c>
    </row>
    <row r="79" customFormat="false" ht="12.75" hidden="false" customHeight="false" outlineLevel="0" collapsed="false">
      <c r="C79" s="11" t="s">
        <v>54</v>
      </c>
      <c r="G79" s="30" t="n">
        <v>0.16</v>
      </c>
      <c r="M79" s="25" t="n">
        <f aca="false">M77*(1+G79)</f>
        <v>0</v>
      </c>
    </row>
  </sheetData>
  <mergeCells count="27">
    <mergeCell ref="C1:M2"/>
    <mergeCell ref="C4:M5"/>
    <mergeCell ref="A7:B7"/>
    <mergeCell ref="C7:F7"/>
    <mergeCell ref="H7:J7"/>
    <mergeCell ref="K7:M7"/>
    <mergeCell ref="A8:B8"/>
    <mergeCell ref="C8:F8"/>
    <mergeCell ref="H8:I8"/>
    <mergeCell ref="K8:M8"/>
    <mergeCell ref="A10:B10"/>
    <mergeCell ref="C10:F10"/>
    <mergeCell ref="H10:I10"/>
    <mergeCell ref="K10:M10"/>
    <mergeCell ref="H12:K12"/>
    <mergeCell ref="H13:I13"/>
    <mergeCell ref="H14:I14"/>
    <mergeCell ref="A16:M16"/>
    <mergeCell ref="A58:M58"/>
    <mergeCell ref="C62:D62"/>
    <mergeCell ref="L62:M62"/>
    <mergeCell ref="C64:D64"/>
    <mergeCell ref="C65:D65"/>
    <mergeCell ref="C66:D66"/>
    <mergeCell ref="C67:D67"/>
    <mergeCell ref="C69:D69"/>
    <mergeCell ref="C72:D72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15" activeCellId="0" sqref="U15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18.29"/>
    <col collapsed="false" customWidth="true" hidden="false" outlineLevel="0" max="3" min="3" style="1" width="3.57"/>
    <col collapsed="false" customWidth="true" hidden="false" outlineLevel="0" max="15" min="4" style="1" width="9.86"/>
    <col collapsed="false" customWidth="true" hidden="false" outlineLevel="0" max="16" min="16" style="1" width="2"/>
    <col collapsed="false" customWidth="true" hidden="false" outlineLevel="0" max="18" min="17" style="1" width="10.71"/>
    <col collapsed="false" customWidth="true" hidden="false" outlineLevel="0" max="256" min="19" style="1" width="11.43"/>
  </cols>
  <sheetData>
    <row r="1" customFormat="false" ht="20.25" hidden="false" customHeight="false" outlineLevel="0" collapsed="false">
      <c r="C1" s="32"/>
      <c r="D1" s="33"/>
      <c r="E1" s="33"/>
      <c r="F1" s="32"/>
      <c r="G1" s="33"/>
      <c r="H1" s="34" t="s">
        <v>55</v>
      </c>
      <c r="I1" s="33"/>
      <c r="J1" s="33"/>
      <c r="K1" s="33"/>
      <c r="L1" s="33"/>
      <c r="M1" s="33"/>
      <c r="N1" s="33"/>
      <c r="O1" s="33"/>
      <c r="P1" s="33"/>
      <c r="Q1" s="33"/>
      <c r="R1" s="33"/>
    </row>
    <row r="2" customFormat="false" ht="18" hidden="false" customHeight="false" outlineLevel="0" collapsed="false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4" customFormat="false" ht="12.75" hidden="false" customHeight="false" outlineLevel="0" collapsed="false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customFormat="false" ht="12.75" hidden="false" customHeight="false" outlineLevel="0" collapsed="false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</row>
    <row r="10" customFormat="false" ht="12.75" hidden="false" customHeight="false" outlineLevel="0" collapsed="false">
      <c r="A10" s="4" t="s">
        <v>5</v>
      </c>
      <c r="B10" s="4"/>
      <c r="C10" s="35" t="n">
        <f aca="false">Estimación!C10</f>
        <v>0</v>
      </c>
      <c r="D10" s="35"/>
      <c r="E10" s="35"/>
      <c r="F10" s="35"/>
      <c r="H10" s="4" t="s">
        <v>6</v>
      </c>
      <c r="I10" s="4"/>
      <c r="J10" s="35" t="n">
        <f aca="false">Estimación!K10</f>
        <v>0</v>
      </c>
      <c r="K10" s="35"/>
      <c r="L10" s="35"/>
      <c r="M10" s="35"/>
    </row>
    <row r="12" customFormat="false" ht="12.75" hidden="false" customHeight="false" outlineLevel="0" collapsed="false">
      <c r="A12" s="4" t="s">
        <v>56</v>
      </c>
      <c r="B12" s="4"/>
      <c r="C12" s="7"/>
      <c r="D12" s="5"/>
      <c r="E12" s="5"/>
      <c r="F12" s="5"/>
      <c r="M12" s="4" t="s">
        <v>57</v>
      </c>
      <c r="N12" s="4"/>
      <c r="Q12" s="8" t="n">
        <f aca="false">Estimación!L12</f>
        <v>0</v>
      </c>
      <c r="R12" s="9" t="s">
        <v>8</v>
      </c>
    </row>
    <row r="13" customFormat="false" ht="12.75" hidden="false" customHeight="false" outlineLevel="0" collapsed="false">
      <c r="M13" s="4" t="s">
        <v>9</v>
      </c>
      <c r="N13" s="4"/>
      <c r="Q13" s="8" t="n">
        <f aca="false">Estimación!L13</f>
        <v>0</v>
      </c>
      <c r="R13" s="9" t="s">
        <v>10</v>
      </c>
    </row>
    <row r="14" customFormat="false" ht="12.75" hidden="false" customHeight="false" outlineLevel="0" collapsed="false">
      <c r="M14" s="4" t="s">
        <v>11</v>
      </c>
      <c r="N14" s="4"/>
      <c r="Q14" s="8" t="n">
        <f aca="false">Estimación!L14</f>
        <v>20</v>
      </c>
      <c r="R14" s="9" t="s">
        <v>12</v>
      </c>
    </row>
    <row r="16" customFormat="false" ht="12.75" hidden="false" customHeight="false" outlineLevel="0" collapsed="false">
      <c r="M16" s="11" t="s">
        <v>58</v>
      </c>
      <c r="R16" s="36" t="n">
        <v>0.03</v>
      </c>
    </row>
    <row r="17" customFormat="false" ht="12.75" hidden="false" customHeight="false" outlineLevel="0" collapsed="false">
      <c r="M17" s="11" t="s">
        <v>59</v>
      </c>
      <c r="R17" s="37" t="n">
        <v>0.085</v>
      </c>
    </row>
    <row r="19" customFormat="false" ht="12.75" hidden="false" customHeight="false" outlineLevel="0" collapsed="false">
      <c r="A19" s="38" t="s">
        <v>60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2" customFormat="false" ht="12.75" hidden="false" customHeight="false" outlineLevel="0" collapsed="false">
      <c r="B22" s="12" t="s">
        <v>61</v>
      </c>
      <c r="D22" s="39" t="s">
        <v>62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Q22" s="39" t="s">
        <v>63</v>
      </c>
      <c r="R22" s="39"/>
    </row>
    <row r="23" customFormat="false" ht="12.75" hidden="false" customHeight="false" outlineLevel="0" collapsed="false">
      <c r="D23" s="40" t="s">
        <v>64</v>
      </c>
      <c r="E23" s="40" t="s">
        <v>65</v>
      </c>
      <c r="F23" s="40" t="s">
        <v>66</v>
      </c>
      <c r="G23" s="40" t="s">
        <v>67</v>
      </c>
      <c r="H23" s="40" t="s">
        <v>68</v>
      </c>
      <c r="I23" s="40" t="s">
        <v>69</v>
      </c>
      <c r="J23" s="40" t="s">
        <v>70</v>
      </c>
      <c r="K23" s="40" t="s">
        <v>71</v>
      </c>
      <c r="L23" s="40" t="s">
        <v>72</v>
      </c>
      <c r="M23" s="40" t="s">
        <v>73</v>
      </c>
      <c r="N23" s="40" t="s">
        <v>74</v>
      </c>
      <c r="O23" s="40" t="s">
        <v>75</v>
      </c>
      <c r="Q23" s="41" t="s">
        <v>76</v>
      </c>
      <c r="R23" s="41" t="s">
        <v>77</v>
      </c>
    </row>
    <row r="25" customFormat="false" ht="12.75" hidden="false" customHeight="false" outlineLevel="0" collapsed="false">
      <c r="B25" s="1" t="s">
        <v>78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8"/>
      <c r="Q25" s="18" t="n">
        <f aca="false">SUM(D25:O25)</f>
        <v>0</v>
      </c>
      <c r="R25" s="18" t="n">
        <f aca="false">Estimación!E22</f>
        <v>0</v>
      </c>
    </row>
    <row r="26" customFormat="false" ht="12.75" hidden="false" customHeight="false" outlineLevel="0" collapsed="false">
      <c r="B26" s="1" t="s">
        <v>79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8"/>
      <c r="Q26" s="18" t="n">
        <f aca="false">SUM(D26:O26)</f>
        <v>0</v>
      </c>
      <c r="R26" s="18" t="n">
        <f aca="false">Estimación!E23</f>
        <v>0</v>
      </c>
    </row>
    <row r="27" customFormat="false" ht="12.75" hidden="false" customHeight="false" outlineLevel="0" collapsed="false">
      <c r="B27" s="1" t="s">
        <v>80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8"/>
      <c r="Q27" s="18" t="n">
        <f aca="false">SUM(D27:O27)</f>
        <v>0</v>
      </c>
      <c r="R27" s="18" t="n">
        <f aca="false">Estimación!E24</f>
        <v>0</v>
      </c>
    </row>
    <row r="28" customFormat="false" ht="12.75" hidden="false" customHeight="false" outlineLevel="0" collapsed="false">
      <c r="B28" s="1" t="s">
        <v>81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8"/>
      <c r="Q28" s="18" t="n">
        <f aca="false">SUM(D28:O28)</f>
        <v>0</v>
      </c>
      <c r="R28" s="18" t="n">
        <f aca="false">Estimación!E25</f>
        <v>0</v>
      </c>
    </row>
    <row r="29" customFormat="false" ht="12.75" hidden="false" customHeight="false" outlineLevel="0" collapsed="false">
      <c r="B29" s="1" t="s">
        <v>82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8"/>
      <c r="Q29" s="18" t="n">
        <f aca="false">SUM(D29:O29)</f>
        <v>0</v>
      </c>
      <c r="R29" s="18" t="n">
        <f aca="false">Estimación!E26</f>
        <v>0</v>
      </c>
    </row>
    <row r="30" customFormat="false" ht="12.75" hidden="false" customHeight="false" outlineLevel="0" collapsed="false">
      <c r="B30" s="1" t="s">
        <v>83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8"/>
      <c r="Q30" s="18" t="n">
        <f aca="false">SUM(D30:O30)</f>
        <v>0</v>
      </c>
      <c r="R30" s="18" t="n">
        <f aca="false">Estimación!E27</f>
        <v>0</v>
      </c>
    </row>
    <row r="31" customFormat="false" ht="12.75" hidden="false" customHeight="false" outlineLevel="0" collapsed="false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customFormat="false" ht="12.75" hidden="false" customHeight="false" outlineLevel="0" collapsed="false">
      <c r="B32" s="11" t="s">
        <v>84</v>
      </c>
      <c r="D32" s="18" t="n">
        <f aca="false">SUM(D25:D30)</f>
        <v>0</v>
      </c>
      <c r="E32" s="18" t="n">
        <f aca="false">SUM(E25:E30)</f>
        <v>0</v>
      </c>
      <c r="F32" s="18" t="n">
        <f aca="false">SUM(F25:F30)</f>
        <v>0</v>
      </c>
      <c r="G32" s="18" t="n">
        <f aca="false">SUM(G25:G30)</f>
        <v>0</v>
      </c>
      <c r="H32" s="18" t="n">
        <f aca="false">SUM(H25:H30)</f>
        <v>0</v>
      </c>
      <c r="I32" s="18" t="n">
        <f aca="false">SUM(I25:I30)</f>
        <v>0</v>
      </c>
      <c r="J32" s="18" t="n">
        <f aca="false">SUM(J25:J30)</f>
        <v>0</v>
      </c>
      <c r="K32" s="18" t="n">
        <f aca="false">SUM(K25:K30)</f>
        <v>0</v>
      </c>
      <c r="L32" s="18" t="n">
        <f aca="false">SUM(L25:L30)</f>
        <v>0</v>
      </c>
      <c r="M32" s="18" t="n">
        <f aca="false">SUM(M25:M30)</f>
        <v>0</v>
      </c>
      <c r="N32" s="18" t="n">
        <f aca="false">SUM(N25:N30)</f>
        <v>0</v>
      </c>
      <c r="O32" s="18" t="n">
        <f aca="false">SUM(O25:O30)</f>
        <v>0</v>
      </c>
      <c r="P32" s="18"/>
      <c r="Q32" s="18" t="n">
        <f aca="false">SUM(Q25:Q30)</f>
        <v>0</v>
      </c>
      <c r="R32" s="18" t="n">
        <f aca="false">SUM(R25:R30)</f>
        <v>0</v>
      </c>
    </row>
    <row r="35" customFormat="false" ht="12.75" hidden="false" customHeight="false" outlineLevel="0" collapsed="false">
      <c r="B35" s="1" t="s">
        <v>85</v>
      </c>
      <c r="D35" s="18" t="n">
        <f aca="false">D25*Estimación!$G$22*Estimación!$I$22+D26*Estimación!$G$23*Estimación!$I$23+D27*Estimación!$G$24*Estimación!$I$24+Plan_Financiero!D28*Estimación!$G$25*Estimación!$I$25+Plan_Financiero!D29*Estimación!$G$26*Estimación!$I$26+Plan_Financiero!D30*Estimación!$G$27*Estimación!$I$27</f>
        <v>0</v>
      </c>
      <c r="E35" s="18" t="n">
        <f aca="false">E25*Estimación!$G$22*Estimación!$I$22+E26*Estimación!$G$23*Estimación!$I$23+E27*Estimación!$G$24*Estimación!$I$24+Plan_Financiero!E28*Estimación!$G$25*Estimación!$I$25+Plan_Financiero!E29*Estimación!$G$26*Estimación!$I$26+Plan_Financiero!E30*Estimación!$G$27*Estimación!$I$27</f>
        <v>0</v>
      </c>
      <c r="F35" s="18" t="n">
        <f aca="false">F25*Estimación!$G$22*Estimación!$I$22+F26*Estimación!$G$23*Estimación!$I$23+F27*Estimación!$G$24*Estimación!$I$24+Plan_Financiero!F28*Estimación!$G$25*Estimación!$I$25+Plan_Financiero!F29*Estimación!$G$26*Estimación!$I$26+Plan_Financiero!F30*Estimación!$G$27*Estimación!$I$27</f>
        <v>0</v>
      </c>
      <c r="G35" s="18" t="n">
        <f aca="false">G25*Estimación!$G$22*Estimación!$I$22+G26*Estimación!$G$23*Estimación!$I$23+G27*Estimación!$G$24*Estimación!$I$24+Plan_Financiero!G28*Estimación!$G$25*Estimación!$I$25+Plan_Financiero!G29*Estimación!$G$26*Estimación!$I$26+Plan_Financiero!G30*Estimación!$G$27*Estimación!$I$27</f>
        <v>0</v>
      </c>
      <c r="H35" s="18" t="n">
        <f aca="false">H25*Estimación!$G$22*Estimación!$I$22+H26*Estimación!$G$23*Estimación!$I$23+H27*Estimación!$G$24*Estimación!$I$24+Plan_Financiero!H28*Estimación!$G$25*Estimación!$I$25+Plan_Financiero!H29*Estimación!$G$26*Estimación!$I$26+Plan_Financiero!H30*Estimación!$G$27*Estimación!$I$27</f>
        <v>0</v>
      </c>
      <c r="I35" s="18" t="n">
        <f aca="false">I25*Estimación!$G$22*Estimación!$I$22+I26*Estimación!$G$23*Estimación!$I$23+I27*Estimación!$G$24*Estimación!$I$24+Plan_Financiero!I28*Estimación!$G$25*Estimación!$I$25+Plan_Financiero!I29*Estimación!$G$26*Estimación!$I$26+Plan_Financiero!I30*Estimación!$G$27*Estimación!$I$27</f>
        <v>0</v>
      </c>
      <c r="J35" s="18" t="n">
        <f aca="false">J25*Estimación!$G$22*Estimación!$I$22+J26*Estimación!$G$23*Estimación!$I$23+J27*Estimación!$G$24*Estimación!$I$24+Plan_Financiero!J28*Estimación!$G$25*Estimación!$I$25+Plan_Financiero!J29*Estimación!$G$26*Estimación!$I$26+Plan_Financiero!J30*Estimación!$G$27*Estimación!$I$27</f>
        <v>0</v>
      </c>
      <c r="K35" s="18" t="n">
        <f aca="false">K25*Estimación!$G$22*Estimación!$I$22+K26*Estimación!$G$23*Estimación!$I$23+K27*Estimación!$G$24*Estimación!$I$24+Plan_Financiero!K28*Estimación!$G$25*Estimación!$I$25+Plan_Financiero!K29*Estimación!$G$26*Estimación!$I$26+Plan_Financiero!K30*Estimación!$G$27*Estimación!$I$27</f>
        <v>0</v>
      </c>
      <c r="L35" s="18" t="n">
        <f aca="false">L25*Estimación!$G$22*Estimación!$I$22+L26*Estimación!$G$23*Estimación!$I$23+L27*Estimación!$G$24*Estimación!$I$24+Plan_Financiero!L28*Estimación!$G$25*Estimación!$I$25+Plan_Financiero!L29*Estimación!$G$26*Estimación!$I$26+Plan_Financiero!L30*Estimación!$G$27*Estimación!$I$27</f>
        <v>0</v>
      </c>
      <c r="M35" s="18" t="n">
        <f aca="false">M25*Estimación!$G$22*Estimación!$I$22+M26*Estimación!$G$23*Estimación!$I$23+M27*Estimación!$G$24*Estimación!$I$24+Plan_Financiero!M28*Estimación!$G$25*Estimación!$I$25+Plan_Financiero!M29*Estimación!$G$26*Estimación!$I$26+Plan_Financiero!M30*Estimación!$G$27*Estimación!$I$27</f>
        <v>0</v>
      </c>
      <c r="N35" s="18" t="n">
        <f aca="false">N25*Estimación!$G$22*Estimación!$I$22+N26*Estimación!$G$23*Estimación!$I$23+N27*Estimación!$G$24*Estimación!$I$24+Plan_Financiero!N28*Estimación!$G$25*Estimación!$I$25+Plan_Financiero!N29*Estimación!$G$26*Estimación!$I$26+Plan_Financiero!N30*Estimación!$G$27*Estimación!$I$27</f>
        <v>0</v>
      </c>
      <c r="O35" s="18" t="n">
        <f aca="false">O25*Estimación!$G$22*Estimación!$I$22+O26*Estimación!$G$23*Estimación!$I$23+O27*Estimación!$G$24*Estimación!$I$24+Plan_Financiero!O28*Estimación!$G$25*Estimación!$I$25+Plan_Financiero!O29*Estimación!$G$26*Estimación!$I$26+Plan_Financiero!O30*Estimación!$G$27*Estimación!$I$27</f>
        <v>0</v>
      </c>
      <c r="P35" s="18"/>
      <c r="Q35" s="18" t="n">
        <f aca="false">SUM(D35:O35)</f>
        <v>0</v>
      </c>
      <c r="R35" s="18" t="n">
        <f aca="false">Estimación!M22/(1+Estimación!K22)+Estimación!M23/(1+Estimación!K23)+Estimación!M24/(1+Estimación!K24)+Estimación!M25/(1+Estimación!K25)+Estimación!M26/(1+Estimación!K26)+Estimación!M27/(1+Estimación!K27)</f>
        <v>0</v>
      </c>
    </row>
    <row r="36" customFormat="false" ht="12.75" hidden="false" customHeight="false" outlineLevel="0" collapsed="false">
      <c r="B36" s="1" t="s">
        <v>86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8"/>
      <c r="Q36" s="18" t="n">
        <f aca="false">SUM(D36:O36)</f>
        <v>0</v>
      </c>
      <c r="R36" s="18" t="n">
        <f aca="false">Estimación!M36/(1+Estimación!K36)</f>
        <v>0</v>
      </c>
    </row>
    <row r="37" customFormat="false" ht="12.75" hidden="false" customHeight="false" outlineLevel="0" collapsed="false">
      <c r="B37" s="1" t="s">
        <v>87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8"/>
      <c r="Q37" s="18" t="n">
        <f aca="false">SUM(D37:O37)</f>
        <v>0</v>
      </c>
      <c r="R37" s="18" t="n">
        <f aca="false">Estimación!M48</f>
        <v>0</v>
      </c>
    </row>
    <row r="38" customFormat="false" ht="12.75" hidden="false" customHeight="false" outlineLevel="0" collapsed="false">
      <c r="B38" s="1" t="s">
        <v>88</v>
      </c>
      <c r="D38" s="42" t="str">
        <f aca="false">IF(Plan_Financiero!$Q$32=0,"",Estimación!$M$40/(1+Estimación!$K$40)*(Plan_Financiero!D32/Plan_Financiero!$Q$32))</f>
        <v/>
      </c>
      <c r="E38" s="42" t="str">
        <f aca="false">IF(Plan_Financiero!$Q$32=0,"",Estimación!$M$40/(1+Estimación!$K$40)*(Plan_Financiero!E32/Plan_Financiero!$Q$32))</f>
        <v/>
      </c>
      <c r="F38" s="42" t="str">
        <f aca="false">IF(Plan_Financiero!$Q$32=0,"",Estimación!$M$40/(1+Estimación!$K$40)*(Plan_Financiero!F32/Plan_Financiero!$Q$32))</f>
        <v/>
      </c>
      <c r="G38" s="42" t="str">
        <f aca="false">IF(Plan_Financiero!$Q$32=0,"",Estimación!$M$40/(1+Estimación!$K$40)*(Plan_Financiero!G32/Plan_Financiero!$Q$32))</f>
        <v/>
      </c>
      <c r="H38" s="42" t="str">
        <f aca="false">IF(Plan_Financiero!$Q$32=0,"",Estimación!$M$40/(1+Estimación!$K$40)*(Plan_Financiero!H32/Plan_Financiero!$Q$32))</f>
        <v/>
      </c>
      <c r="I38" s="42" t="str">
        <f aca="false">IF(Plan_Financiero!$Q$32=0,"",Estimación!$M$40/(1+Estimación!$K$40)*(Plan_Financiero!I32/Plan_Financiero!$Q$32))</f>
        <v/>
      </c>
      <c r="J38" s="42" t="str">
        <f aca="false">IF(Plan_Financiero!$Q$32=0,"",Estimación!$M$40/(1+Estimación!$K$40)*(Plan_Financiero!J32/Plan_Financiero!$Q$32))</f>
        <v/>
      </c>
      <c r="K38" s="42" t="str">
        <f aca="false">IF(Plan_Financiero!$Q$32=0,"",Estimación!$M$40/(1+Estimación!$K$40)*(Plan_Financiero!K32/Plan_Financiero!$Q$32))</f>
        <v/>
      </c>
      <c r="L38" s="42" t="str">
        <f aca="false">IF(Plan_Financiero!$Q$32=0,"",Estimación!$M$40/(1+Estimación!$K$40)*(Plan_Financiero!L32/Plan_Financiero!$Q$32))</f>
        <v/>
      </c>
      <c r="M38" s="42" t="str">
        <f aca="false">IF(Plan_Financiero!$Q$32=0,"",Estimación!$M$40/(1+Estimación!$K$40)*(Plan_Financiero!M32/Plan_Financiero!$Q$32))</f>
        <v/>
      </c>
      <c r="N38" s="42" t="str">
        <f aca="false">IF(Plan_Financiero!$Q$32=0,"",Estimación!$M$40/(1+Estimación!$K$40)*(Plan_Financiero!N32/Plan_Financiero!$Q$32))</f>
        <v/>
      </c>
      <c r="O38" s="42" t="str">
        <f aca="false">IF(Plan_Financiero!$Q$32=0,"",Estimación!$M$40/(1+Estimación!$K$40)*(Plan_Financiero!O32/Plan_Financiero!$Q$32))</f>
        <v/>
      </c>
      <c r="P38" s="18"/>
      <c r="Q38" s="18" t="n">
        <f aca="false">SUM(D38:O38)</f>
        <v>0</v>
      </c>
      <c r="R38" s="18" t="n">
        <f aca="false">Estimación!M40/(1+Estimación!K40)</f>
        <v>0</v>
      </c>
    </row>
    <row r="39" customFormat="false" ht="12.75" hidden="false" customHeight="false" outlineLevel="0" collapsed="false">
      <c r="B39" s="1" t="s">
        <v>89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8"/>
      <c r="Q39" s="18" t="n">
        <f aca="false">SUM(D39:O39)</f>
        <v>0</v>
      </c>
      <c r="R39" s="18" t="n">
        <f aca="false">Estimación!M41/(1+Estimación!K41)</f>
        <v>0</v>
      </c>
    </row>
    <row r="40" customFormat="false" ht="12.75" hidden="false" customHeight="false" outlineLevel="0" collapsed="false">
      <c r="B40" s="1" t="s">
        <v>90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8"/>
      <c r="Q40" s="18" t="n">
        <f aca="false">SUM(D40:O40)</f>
        <v>0</v>
      </c>
      <c r="R40" s="18" t="n">
        <f aca="false">Estimación!M42/(1+Estimación!K42)</f>
        <v>0</v>
      </c>
    </row>
    <row r="41" customFormat="false" ht="12.75" hidden="false" customHeight="false" outlineLevel="0" collapsed="false">
      <c r="B41" s="1" t="s">
        <v>91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8"/>
      <c r="Q41" s="18" t="n">
        <f aca="false">SUM(D41:O41)</f>
        <v>0</v>
      </c>
      <c r="R41" s="18" t="n">
        <f aca="false">Estimación!M49</f>
        <v>0</v>
      </c>
    </row>
    <row r="42" customFormat="false" ht="12.75" hidden="false" customHeight="false" outlineLevel="0" collapsed="false">
      <c r="B42" s="1" t="s">
        <v>92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8"/>
      <c r="Q42" s="18" t="n">
        <f aca="false">SUM(D42:O42)</f>
        <v>0</v>
      </c>
      <c r="R42" s="18" t="n">
        <f aca="false">Estimación!M50</f>
        <v>0</v>
      </c>
    </row>
    <row r="43" customFormat="false" ht="12.75" hidden="false" customHeight="false" outlineLevel="0" collapsed="false">
      <c r="B43" s="1" t="s">
        <v>93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8"/>
      <c r="Q43" s="18" t="n">
        <f aca="false">SUM(D43:O43)</f>
        <v>0</v>
      </c>
      <c r="R43" s="18" t="n">
        <f aca="false">Cierre!F49</f>
        <v>875.55</v>
      </c>
    </row>
    <row r="44" customFormat="false" ht="12.75" hidden="false" customHeight="false" outlineLevel="0" collapsed="false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customFormat="false" ht="12.75" hidden="false" customHeight="false" outlineLevel="0" collapsed="false">
      <c r="B45" s="11" t="s">
        <v>94</v>
      </c>
      <c r="D45" s="18" t="n">
        <f aca="false">SUM(D35:D43)</f>
        <v>0</v>
      </c>
      <c r="E45" s="18" t="n">
        <f aca="false">SUM(E35:E43)</f>
        <v>0</v>
      </c>
      <c r="F45" s="18" t="n">
        <f aca="false">SUM(F35:F43)</f>
        <v>0</v>
      </c>
      <c r="G45" s="18" t="n">
        <f aca="false">SUM(G35:G43)</f>
        <v>0</v>
      </c>
      <c r="H45" s="18" t="n">
        <f aca="false">SUM(H35:H43)</f>
        <v>0</v>
      </c>
      <c r="I45" s="18" t="n">
        <f aca="false">SUM(I35:I43)</f>
        <v>0</v>
      </c>
      <c r="J45" s="18" t="n">
        <f aca="false">SUM(J35:J43)</f>
        <v>0</v>
      </c>
      <c r="K45" s="18" t="n">
        <f aca="false">SUM(K35:K43)</f>
        <v>0</v>
      </c>
      <c r="L45" s="18" t="n">
        <f aca="false">SUM(L35:L43)</f>
        <v>0</v>
      </c>
      <c r="M45" s="18" t="n">
        <f aca="false">SUM(M35:M43)</f>
        <v>0</v>
      </c>
      <c r="N45" s="18" t="n">
        <f aca="false">SUM(N35:N43)</f>
        <v>0</v>
      </c>
      <c r="O45" s="18" t="n">
        <f aca="false">SUM(O35:O43)</f>
        <v>0</v>
      </c>
      <c r="P45" s="18"/>
      <c r="Q45" s="18" t="n">
        <f aca="false">SUM(D45:O45)</f>
        <v>0</v>
      </c>
      <c r="R45" s="18" t="n">
        <f aca="false">SUM(R35:R43)</f>
        <v>875.55</v>
      </c>
    </row>
    <row r="46" customFormat="false" ht="12.75" hidden="false" customHeight="false" outlineLevel="0" collapsed="false">
      <c r="B46" s="11" t="s">
        <v>95</v>
      </c>
      <c r="D46" s="18" t="n">
        <f aca="false">D45</f>
        <v>0</v>
      </c>
      <c r="E46" s="18" t="n">
        <f aca="false">E45+D46</f>
        <v>0</v>
      </c>
      <c r="F46" s="18" t="n">
        <f aca="false">F45+E46</f>
        <v>0</v>
      </c>
      <c r="G46" s="18" t="n">
        <f aca="false">G45+F46</f>
        <v>0</v>
      </c>
      <c r="H46" s="18" t="n">
        <f aca="false">H45+G46</f>
        <v>0</v>
      </c>
      <c r="I46" s="18" t="n">
        <f aca="false">I45+H46</f>
        <v>0</v>
      </c>
      <c r="J46" s="18" t="n">
        <f aca="false">J45+I46</f>
        <v>0</v>
      </c>
      <c r="K46" s="18" t="n">
        <f aca="false">K45+J46</f>
        <v>0</v>
      </c>
      <c r="L46" s="18" t="n">
        <f aca="false">L45+K46</f>
        <v>0</v>
      </c>
      <c r="M46" s="18" t="n">
        <f aca="false">M45+L46</f>
        <v>0</v>
      </c>
      <c r="N46" s="18" t="n">
        <f aca="false">N45+M46</f>
        <v>0</v>
      </c>
      <c r="O46" s="18" t="n">
        <f aca="false">O45+N46</f>
        <v>0</v>
      </c>
      <c r="P46" s="18"/>
      <c r="Q46" s="18"/>
      <c r="R46" s="18"/>
    </row>
    <row r="47" customFormat="false" ht="12.75" hidden="false" customHeight="false" outlineLevel="0" collapsed="false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customFormat="false" ht="12.75" hidden="false" customHeight="false" outlineLevel="0" collapsed="false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customFormat="false" ht="12.75" hidden="false" customHeight="false" outlineLevel="0" collapsed="false">
      <c r="B49" s="11" t="s">
        <v>96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8"/>
      <c r="Q49" s="18" t="n">
        <f aca="false">SUM(D49:O49)</f>
        <v>0</v>
      </c>
      <c r="R49" s="18" t="n">
        <f aca="false">Estimación!M77</f>
        <v>0</v>
      </c>
    </row>
    <row r="50" customFormat="false" ht="12.75" hidden="false" customHeight="false" outlineLevel="0" collapsed="false">
      <c r="B50" s="11" t="s">
        <v>97</v>
      </c>
      <c r="D50" s="18" t="n">
        <f aca="false">D49</f>
        <v>0</v>
      </c>
      <c r="E50" s="18" t="n">
        <f aca="false">D50+E49</f>
        <v>0</v>
      </c>
      <c r="F50" s="18" t="n">
        <f aca="false">E50+F49</f>
        <v>0</v>
      </c>
      <c r="G50" s="18" t="n">
        <f aca="false">F50+G49</f>
        <v>0</v>
      </c>
      <c r="H50" s="18" t="n">
        <f aca="false">G50+H49</f>
        <v>0</v>
      </c>
      <c r="I50" s="18" t="n">
        <f aca="false">H50+I49</f>
        <v>0</v>
      </c>
      <c r="J50" s="18" t="n">
        <f aca="false">I50+J49</f>
        <v>0</v>
      </c>
      <c r="K50" s="18" t="n">
        <f aca="false">J50+K49</f>
        <v>0</v>
      </c>
      <c r="L50" s="18" t="n">
        <f aca="false">K50+L49</f>
        <v>0</v>
      </c>
      <c r="M50" s="18" t="n">
        <f aca="false">L50+M49</f>
        <v>0</v>
      </c>
      <c r="N50" s="18" t="n">
        <f aca="false">M50+N49</f>
        <v>0</v>
      </c>
      <c r="O50" s="18" t="n">
        <f aca="false">N50+O49</f>
        <v>0</v>
      </c>
      <c r="P50" s="18"/>
      <c r="Q50" s="18"/>
      <c r="R50" s="18"/>
    </row>
    <row r="51" customFormat="false" ht="12.75" hidden="false" customHeight="false" outlineLevel="0" collapsed="false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customFormat="false" ht="12.75" hidden="false" customHeight="false" outlineLevel="0" collapsed="false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customFormat="false" ht="12.75" hidden="false" customHeight="false" outlineLevel="0" collapsed="false">
      <c r="A53" s="38" t="s">
        <v>98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customFormat="false" ht="12.75" hidden="false" customHeight="false" outlineLevel="0" collapsed="false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customFormat="false" ht="12.75" hidden="false" customHeight="false" outlineLevel="0" collapsed="false">
      <c r="B55" s="11" t="s">
        <v>99</v>
      </c>
      <c r="D55" s="18" t="n">
        <f aca="false">D49-D45</f>
        <v>0</v>
      </c>
      <c r="E55" s="18" t="n">
        <f aca="false">E49-E45</f>
        <v>0</v>
      </c>
      <c r="F55" s="18" t="n">
        <f aca="false">F49-F45</f>
        <v>0</v>
      </c>
      <c r="G55" s="18" t="n">
        <f aca="false">G49-G45</f>
        <v>0</v>
      </c>
      <c r="H55" s="18" t="n">
        <f aca="false">H49-H45</f>
        <v>0</v>
      </c>
      <c r="I55" s="18" t="n">
        <f aca="false">I49-I45</f>
        <v>0</v>
      </c>
      <c r="J55" s="18" t="n">
        <f aca="false">J49-J45</f>
        <v>0</v>
      </c>
      <c r="K55" s="18" t="n">
        <f aca="false">K49-K45</f>
        <v>0</v>
      </c>
      <c r="L55" s="18" t="n">
        <f aca="false">L49-L45</f>
        <v>0</v>
      </c>
      <c r="M55" s="18" t="n">
        <f aca="false">M49-M45</f>
        <v>0</v>
      </c>
      <c r="N55" s="18" t="n">
        <f aca="false">N49-N45</f>
        <v>0</v>
      </c>
      <c r="O55" s="18" t="n">
        <f aca="false">O49-O45</f>
        <v>0</v>
      </c>
      <c r="P55" s="18"/>
      <c r="Q55" s="18" t="n">
        <f aca="false">SUM(D55:O55)</f>
        <v>0</v>
      </c>
      <c r="R55" s="18" t="n">
        <f aca="false">Estimación!M77-Estimación!M55</f>
        <v>0</v>
      </c>
    </row>
    <row r="57" customFormat="false" ht="12.75" hidden="false" customHeight="false" outlineLevel="0" collapsed="false">
      <c r="B57" s="11" t="s">
        <v>100</v>
      </c>
      <c r="D57" s="18" t="n">
        <f aca="false">D55</f>
        <v>0</v>
      </c>
      <c r="E57" s="18" t="n">
        <f aca="false">E55+D57</f>
        <v>0</v>
      </c>
      <c r="F57" s="18" t="n">
        <f aca="false">F55+E57</f>
        <v>0</v>
      </c>
      <c r="G57" s="18" t="n">
        <f aca="false">G55+F57</f>
        <v>0</v>
      </c>
      <c r="H57" s="18" t="n">
        <f aca="false">H55+G57</f>
        <v>0</v>
      </c>
      <c r="I57" s="18" t="n">
        <f aca="false">I55+H57</f>
        <v>0</v>
      </c>
      <c r="J57" s="18" t="n">
        <f aca="false">J55+I57</f>
        <v>0</v>
      </c>
      <c r="K57" s="18" t="n">
        <f aca="false">K55+J57</f>
        <v>0</v>
      </c>
      <c r="L57" s="18" t="n">
        <f aca="false">L55+K57</f>
        <v>0</v>
      </c>
      <c r="M57" s="18" t="n">
        <f aca="false">M55+L57</f>
        <v>0</v>
      </c>
      <c r="N57" s="18" t="n">
        <f aca="false">N55+M57</f>
        <v>0</v>
      </c>
      <c r="O57" s="18" t="n">
        <f aca="false">O55+N57</f>
        <v>0</v>
      </c>
      <c r="Q57" s="18" t="n">
        <f aca="false">O57</f>
        <v>0</v>
      </c>
      <c r="R57" s="18" t="n">
        <f aca="false">R55</f>
        <v>0</v>
      </c>
    </row>
    <row r="59" customFormat="false" ht="12.75" hidden="false" customHeight="false" outlineLevel="0" collapsed="false">
      <c r="B59" s="11" t="s">
        <v>101</v>
      </c>
      <c r="D59" s="18" t="n">
        <f aca="false">D55/(1+$R$16/12)^1</f>
        <v>0</v>
      </c>
      <c r="E59" s="18" t="n">
        <f aca="false">E55/(1+$R$16/12)^2</f>
        <v>0</v>
      </c>
      <c r="F59" s="18" t="n">
        <f aca="false">F55/(1+$R$16/12)^3</f>
        <v>0</v>
      </c>
      <c r="G59" s="18" t="n">
        <f aca="false">G55/(1+$R$16/12)^4</f>
        <v>0</v>
      </c>
      <c r="H59" s="18" t="n">
        <f aca="false">H55/(1+$R$16/12)^5</f>
        <v>0</v>
      </c>
      <c r="I59" s="18" t="n">
        <f aca="false">I55/(1+$R$16/12)^6</f>
        <v>0</v>
      </c>
      <c r="J59" s="18" t="n">
        <f aca="false">J55/(1+$R$16/12)^7</f>
        <v>0</v>
      </c>
      <c r="K59" s="18" t="n">
        <f aca="false">K55/(1+$R$16/12)^8</f>
        <v>0</v>
      </c>
      <c r="L59" s="18" t="n">
        <f aca="false">L55/(1+$R$16/12)^9</f>
        <v>0</v>
      </c>
      <c r="M59" s="18" t="n">
        <f aca="false">M55/(1+$R$16/12)^10</f>
        <v>0</v>
      </c>
      <c r="N59" s="18" t="n">
        <f aca="false">N55/(1+$R$16/12)^11</f>
        <v>0</v>
      </c>
      <c r="O59" s="18" t="n">
        <f aca="false">O55/(1+$R$16/12)^12</f>
        <v>0</v>
      </c>
      <c r="P59" s="18"/>
      <c r="Q59" s="18"/>
      <c r="R59" s="18"/>
    </row>
    <row r="60" customFormat="false" ht="12.75" hidden="false" customHeight="false" outlineLevel="0" collapsed="false">
      <c r="B60" s="1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customFormat="false" ht="12.75" hidden="false" customHeight="false" outlineLevel="0" collapsed="false">
      <c r="B61" s="11" t="s">
        <v>102</v>
      </c>
      <c r="D61" s="18" t="n">
        <f aca="false">D59</f>
        <v>0</v>
      </c>
      <c r="E61" s="18" t="n">
        <f aca="false">E59+D61</f>
        <v>0</v>
      </c>
      <c r="F61" s="18" t="n">
        <f aca="false">F59+E61</f>
        <v>0</v>
      </c>
      <c r="G61" s="18" t="n">
        <f aca="false">G59+F61</f>
        <v>0</v>
      </c>
      <c r="H61" s="18" t="n">
        <f aca="false">H59+G61</f>
        <v>0</v>
      </c>
      <c r="I61" s="18" t="n">
        <f aca="false">I59+H61</f>
        <v>0</v>
      </c>
      <c r="J61" s="18" t="n">
        <f aca="false">J59+I61</f>
        <v>0</v>
      </c>
      <c r="K61" s="18" t="n">
        <f aca="false">K59+J61</f>
        <v>0</v>
      </c>
      <c r="L61" s="18" t="n">
        <f aca="false">L59+K61</f>
        <v>0</v>
      </c>
      <c r="M61" s="18" t="n">
        <f aca="false">M59+L61</f>
        <v>0</v>
      </c>
      <c r="N61" s="18" t="n">
        <f aca="false">N59+M61</f>
        <v>0</v>
      </c>
      <c r="O61" s="18" t="n">
        <f aca="false">O59+N61</f>
        <v>0</v>
      </c>
      <c r="P61" s="18"/>
      <c r="Q61" s="18"/>
      <c r="R61" s="18"/>
    </row>
    <row r="62" customFormat="false" ht="12.75" hidden="false" customHeight="false" outlineLevel="0" collapsed="false">
      <c r="B62" s="11"/>
    </row>
    <row r="63" customFormat="false" ht="12.75" hidden="false" customHeight="false" outlineLevel="0" collapsed="false">
      <c r="B63" s="11" t="s">
        <v>103</v>
      </c>
      <c r="D63" s="44" t="n">
        <f aca="false">IF(D45=0, 0, (D57/D45)*(12/1))</f>
        <v>0</v>
      </c>
      <c r="E63" s="44" t="n">
        <f aca="false">IF(E45=0, 0, (E57/E45)*(12/1))</f>
        <v>0</v>
      </c>
      <c r="F63" s="44" t="n">
        <f aca="false">IF(F45=0, 0, (F57/F45)*(12/1))</f>
        <v>0</v>
      </c>
      <c r="G63" s="44" t="n">
        <f aca="false">IF(G45=0, 0, (G57/G45)*(12/1))</f>
        <v>0</v>
      </c>
      <c r="H63" s="44" t="n">
        <f aca="false">IF(H45=0, 0, (H57/H45)*(12/1))</f>
        <v>0</v>
      </c>
      <c r="I63" s="44" t="n">
        <f aca="false">IF(I45=0, 0, (I57/I45)*(12/1))</f>
        <v>0</v>
      </c>
      <c r="J63" s="44" t="n">
        <f aca="false">IF(J45=0, 0, (J57/J45)*(12/1))</f>
        <v>0</v>
      </c>
      <c r="K63" s="44" t="n">
        <f aca="false">IF(K45=0, 0, (K57/K45)*(12/1))</f>
        <v>0</v>
      </c>
      <c r="L63" s="44" t="n">
        <f aca="false">IF(L45=0, 0, (L57/L45)*(12/1))</f>
        <v>0</v>
      </c>
      <c r="M63" s="44" t="n">
        <f aca="false">IF(M45=0, 0, (M57/M45)*(12/1))</f>
        <v>0</v>
      </c>
      <c r="N63" s="44" t="n">
        <f aca="false">IF(N45=0, 0, (N57/N45)*(12/1))</f>
        <v>0</v>
      </c>
      <c r="O63" s="44" t="n">
        <f aca="false">IF(O45=0, 0, (O57/O45)*(12/1))</f>
        <v>0</v>
      </c>
      <c r="Q63" s="44"/>
    </row>
    <row r="65" customFormat="false" ht="12.75" hidden="false" customHeight="false" outlineLevel="0" collapsed="false">
      <c r="B65" s="11" t="s">
        <v>104</v>
      </c>
      <c r="D65" s="44" t="n">
        <f aca="false">D63-$R$17*(1/12)</f>
        <v>-0.00708333333333333</v>
      </c>
      <c r="E65" s="44" t="n">
        <f aca="false">E63-$R$17*(2/12)</f>
        <v>-0.0141666666666667</v>
      </c>
      <c r="F65" s="44" t="n">
        <f aca="false">F63-$R$17*(3/12)</f>
        <v>-0.02125</v>
      </c>
      <c r="G65" s="44" t="n">
        <f aca="false">G63-$R$17*(4/12)</f>
        <v>-0.0283333333333333</v>
      </c>
      <c r="H65" s="44" t="n">
        <f aca="false">H63-$R$17*(5/12)</f>
        <v>-0.0354166666666667</v>
      </c>
      <c r="I65" s="44" t="n">
        <f aca="false">I63-$R$17*(6/12)</f>
        <v>-0.0425</v>
      </c>
      <c r="J65" s="44" t="n">
        <f aca="false">J63-$R$17*(7/12)</f>
        <v>-0.0495833333333333</v>
      </c>
      <c r="K65" s="44" t="n">
        <f aca="false">K63-$R$17*(8/12)</f>
        <v>-0.0566666666666667</v>
      </c>
      <c r="L65" s="44" t="n">
        <f aca="false">L63-$R$17*(9/12)</f>
        <v>-0.06375</v>
      </c>
      <c r="M65" s="44" t="n">
        <f aca="false">M63-$R$17*(10/12)</f>
        <v>-0.0708333333333334</v>
      </c>
      <c r="N65" s="44" t="n">
        <f aca="false">N63-$R$17*(11/12)</f>
        <v>-0.0779166666666667</v>
      </c>
      <c r="O65" s="44" t="n">
        <f aca="false">O63-$R$17*(12/12)</f>
        <v>-0.085</v>
      </c>
    </row>
  </sheetData>
  <mergeCells count="19"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C10:F10"/>
    <mergeCell ref="H10:I10"/>
    <mergeCell ref="J10:M10"/>
    <mergeCell ref="A12:B12"/>
    <mergeCell ref="D12:F12"/>
    <mergeCell ref="M12:N12"/>
    <mergeCell ref="M13:N13"/>
    <mergeCell ref="M14:N14"/>
    <mergeCell ref="D22:O22"/>
    <mergeCell ref="Q22:R22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8.640625" defaultRowHeight="12.75" zeroHeight="false" outlineLevelRow="0" outlineLevelCol="0"/>
  <cols>
    <col collapsed="false" customWidth="true" hidden="false" outlineLevel="0" max="256" min="1" style="1" width="11.43"/>
  </cols>
  <sheetData>
    <row r="1" customFormat="false" ht="12.75" hidden="false" customHeight="false" outlineLevel="0" collapsed="false">
      <c r="C1" s="2" t="s">
        <v>105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</row>
    <row r="10" customFormat="false" ht="12.75" hidden="false" customHeight="false" outlineLevel="0" collapsed="false">
      <c r="A10" s="4" t="s">
        <v>5</v>
      </c>
      <c r="B10" s="4"/>
      <c r="C10" s="35" t="n">
        <f aca="false">Estimación!C10</f>
        <v>0</v>
      </c>
      <c r="D10" s="35"/>
      <c r="E10" s="35"/>
      <c r="F10" s="35"/>
      <c r="H10" s="4" t="s">
        <v>6</v>
      </c>
      <c r="I10" s="4"/>
      <c r="J10" s="35" t="n">
        <f aca="false">Estimación!K10</f>
        <v>0</v>
      </c>
      <c r="K10" s="35"/>
      <c r="L10" s="35"/>
      <c r="M10" s="35"/>
    </row>
    <row r="12" customFormat="false" ht="12.75" hidden="false" customHeight="false" outlineLevel="0" collapsed="false">
      <c r="A12" s="4" t="s">
        <v>56</v>
      </c>
      <c r="B12" s="4"/>
      <c r="C12" s="35"/>
      <c r="D12" s="35"/>
      <c r="E12" s="35"/>
      <c r="F12" s="35"/>
      <c r="M12" s="4" t="s">
        <v>57</v>
      </c>
      <c r="N12" s="4"/>
      <c r="Q12" s="8" t="n">
        <f aca="false">Estimación!L12</f>
        <v>0</v>
      </c>
      <c r="R12" s="9" t="s">
        <v>8</v>
      </c>
    </row>
    <row r="13" customFormat="false" ht="12.75" hidden="false" customHeight="false" outlineLevel="0" collapsed="false">
      <c r="M13" s="4" t="s">
        <v>9</v>
      </c>
      <c r="N13" s="4"/>
      <c r="Q13" s="8" t="n">
        <f aca="false">Estimación!L13</f>
        <v>0</v>
      </c>
      <c r="R13" s="9" t="s">
        <v>10</v>
      </c>
    </row>
    <row r="14" customFormat="false" ht="12.75" hidden="false" customHeight="false" outlineLevel="0" collapsed="false">
      <c r="M14" s="4" t="s">
        <v>11</v>
      </c>
      <c r="N14" s="4"/>
      <c r="Q14" s="8" t="n">
        <f aca="false">Estimación!L14</f>
        <v>20</v>
      </c>
      <c r="R14" s="9" t="s">
        <v>12</v>
      </c>
    </row>
    <row r="16" customFormat="false" ht="12.75" hidden="false" customHeight="false" outlineLevel="0" collapsed="false">
      <c r="M16" s="11" t="s">
        <v>58</v>
      </c>
      <c r="R16" s="36" t="n">
        <v>0.03</v>
      </c>
    </row>
    <row r="17" customFormat="false" ht="12.75" hidden="false" customHeight="false" outlineLevel="0" collapsed="false">
      <c r="M17" s="11" t="s">
        <v>59</v>
      </c>
      <c r="R17" s="36" t="n">
        <v>0.085</v>
      </c>
    </row>
    <row r="19" customFormat="false" ht="12.75" hidden="false" customHeight="false" outlineLevel="0" collapsed="false">
      <c r="M19" s="11" t="s">
        <v>106</v>
      </c>
      <c r="R19" s="11" t="n">
        <f aca="false">Cierre!F68</f>
        <v>10</v>
      </c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3" customFormat="false" ht="12.75" hidden="false" customHeight="false" outlineLevel="0" collapsed="false">
      <c r="B23" s="11" t="s">
        <v>107</v>
      </c>
      <c r="J23" s="11" t="s">
        <v>108</v>
      </c>
    </row>
    <row r="46" customFormat="false" ht="12.75" hidden="false" customHeight="false" outlineLevel="0" collapsed="false">
      <c r="C46" s="11" t="s">
        <v>109</v>
      </c>
      <c r="D46" s="1" t="s">
        <v>110</v>
      </c>
      <c r="E46" s="45" t="n">
        <f aca="false">IF(R19=0,"N/A", Estimación!E22/(Indicadores!$R$19*160))</f>
        <v>0</v>
      </c>
      <c r="K46" s="11" t="s">
        <v>111</v>
      </c>
      <c r="N46" s="18" t="n">
        <f aca="false">-1*MIN(Plan_Financiero!D57:O57)</f>
        <v>-0</v>
      </c>
    </row>
    <row r="47" customFormat="false" ht="12.75" hidden="false" customHeight="false" outlineLevel="0" collapsed="false">
      <c r="C47" s="11" t="s">
        <v>112</v>
      </c>
      <c r="E47" s="45" t="str">
        <f aca="false">IF(R20=0,"N/A", Estimación!E23/(Indicadores!$R$19*160))</f>
        <v>N/A</v>
      </c>
      <c r="K47" s="11"/>
      <c r="N47" s="18"/>
    </row>
    <row r="48" customFormat="false" ht="12.75" hidden="false" customHeight="false" outlineLevel="0" collapsed="false">
      <c r="C48" s="11" t="s">
        <v>113</v>
      </c>
      <c r="E48" s="45" t="str">
        <f aca="false">IF(R21=0,"N/A", Estimación!E24/(Indicadores!$R$19*160))</f>
        <v>N/A</v>
      </c>
    </row>
    <row r="49" customFormat="false" ht="12.75" hidden="false" customHeight="false" outlineLevel="0" collapsed="false">
      <c r="C49" s="11" t="s">
        <v>114</v>
      </c>
      <c r="E49" s="45" t="str">
        <f aca="false">IF(R22=0,"N/A", Estimación!E25/(Indicadores!$R$19*160))</f>
        <v>N/A</v>
      </c>
    </row>
    <row r="50" customFormat="false" ht="12.75" hidden="false" customHeight="false" outlineLevel="0" collapsed="false">
      <c r="B50" s="11"/>
      <c r="C50" s="11" t="s">
        <v>115</v>
      </c>
      <c r="E50" s="45" t="str">
        <f aca="false">IF(R23=0,"N/A", Estimación!E26/(Indicadores!$R$19*160))</f>
        <v>N/A</v>
      </c>
      <c r="F50" s="46"/>
      <c r="I50" s="46"/>
      <c r="M50" s="46"/>
    </row>
    <row r="51" customFormat="false" ht="12.75" hidden="false" customHeight="false" outlineLevel="0" collapsed="false">
      <c r="C51" s="11" t="s">
        <v>116</v>
      </c>
      <c r="E51" s="45" t="str">
        <f aca="false">IF(R24=0,"N/A", Estimación!E27/(Indicadores!$R$19*160))</f>
        <v>N/A</v>
      </c>
    </row>
    <row r="52" customFormat="false" ht="12.75" hidden="false" customHeight="false" outlineLevel="0" collapsed="false">
      <c r="B52" s="11"/>
      <c r="F52" s="46"/>
      <c r="I52" s="46"/>
      <c r="M52" s="46"/>
    </row>
    <row r="53" customFormat="false" ht="12.75" hidden="false" customHeight="false" outlineLevel="0" collapsed="false">
      <c r="B53" s="11"/>
    </row>
    <row r="54" customFormat="false" ht="12.75" hidden="false" customHeight="false" outlineLevel="0" collapsed="false">
      <c r="B54" s="11"/>
      <c r="F54" s="46"/>
      <c r="G54" s="44"/>
      <c r="I54" s="46"/>
    </row>
    <row r="56" customFormat="false" ht="12.75" hidden="false" customHeight="false" outlineLevel="0" collapsed="false">
      <c r="B56" s="11"/>
      <c r="C56" s="11"/>
      <c r="D56" s="11"/>
      <c r="F56" s="18"/>
      <c r="G56" s="47"/>
      <c r="I56" s="18"/>
      <c r="J56" s="47"/>
    </row>
    <row r="57" customFormat="false" ht="12.75" hidden="false" customHeight="false" outlineLevel="0" collapsed="false">
      <c r="B57" s="11"/>
      <c r="C57" s="11"/>
      <c r="D57" s="11"/>
      <c r="F57" s="18"/>
      <c r="G57" s="47"/>
      <c r="I57" s="18"/>
      <c r="J57" s="47"/>
    </row>
    <row r="58" customFormat="false" ht="12.75" hidden="false" customHeight="false" outlineLevel="0" collapsed="false">
      <c r="B58" s="11"/>
      <c r="C58" s="11"/>
      <c r="D58" s="11"/>
      <c r="F58" s="18"/>
      <c r="G58" s="47"/>
      <c r="I58" s="18"/>
      <c r="J58" s="47"/>
    </row>
    <row r="60" customFormat="false" ht="12.75" hidden="false" customHeight="false" outlineLevel="0" collapsed="false">
      <c r="B60" s="11"/>
    </row>
    <row r="62" customFormat="false" ht="12.75" hidden="false" customHeight="false" outlineLevel="0" collapsed="false">
      <c r="F62" s="48"/>
      <c r="G62" s="48"/>
      <c r="H62" s="48"/>
      <c r="I62" s="48"/>
      <c r="J62" s="48"/>
      <c r="K62" s="48"/>
      <c r="L62" s="48"/>
      <c r="M62" s="48"/>
    </row>
    <row r="63" customFormat="false" ht="12.75" hidden="false" customHeight="false" outlineLevel="0" collapsed="false">
      <c r="F63" s="48"/>
      <c r="G63" s="48"/>
      <c r="H63" s="48"/>
      <c r="I63" s="48"/>
      <c r="J63" s="48"/>
      <c r="K63" s="48"/>
      <c r="L63" s="48"/>
      <c r="M63" s="48"/>
    </row>
    <row r="64" customFormat="false" ht="12.75" hidden="false" customHeight="false" outlineLevel="0" collapsed="false">
      <c r="F64" s="48"/>
      <c r="G64" s="48"/>
      <c r="H64" s="48"/>
      <c r="I64" s="48"/>
      <c r="J64" s="48"/>
      <c r="K64" s="48"/>
      <c r="L64" s="48"/>
      <c r="M64" s="48"/>
    </row>
    <row r="65" customFormat="false" ht="12.75" hidden="false" customHeight="false" outlineLevel="0" collapsed="false">
      <c r="F65" s="48"/>
      <c r="G65" s="48"/>
      <c r="H65" s="48"/>
      <c r="I65" s="48"/>
      <c r="J65" s="48"/>
      <c r="K65" s="48"/>
      <c r="L65" s="48"/>
      <c r="M65" s="48"/>
    </row>
    <row r="66" customFormat="false" ht="12.75" hidden="false" customHeight="false" outlineLevel="0" collapsed="false">
      <c r="F66" s="48"/>
      <c r="G66" s="48"/>
      <c r="H66" s="48"/>
      <c r="I66" s="48"/>
      <c r="J66" s="48"/>
      <c r="K66" s="48"/>
      <c r="L66" s="48"/>
      <c r="M66" s="48"/>
    </row>
    <row r="67" customFormat="false" ht="12.75" hidden="false" customHeight="false" outlineLevel="0" collapsed="false">
      <c r="F67" s="48"/>
      <c r="G67" s="48"/>
      <c r="H67" s="48"/>
      <c r="I67" s="48"/>
      <c r="J67" s="48"/>
      <c r="K67" s="48"/>
      <c r="L67" s="48"/>
      <c r="M67" s="48"/>
    </row>
    <row r="68" customFormat="false" ht="12.75" hidden="false" customHeight="false" outlineLevel="0" collapsed="false">
      <c r="C68" s="11"/>
      <c r="F68" s="48"/>
      <c r="G68" s="48"/>
      <c r="H68" s="48"/>
      <c r="I68" s="48"/>
      <c r="J68" s="48"/>
      <c r="K68" s="48"/>
      <c r="L68" s="48"/>
      <c r="M68" s="48"/>
    </row>
    <row r="70" customFormat="false" ht="12.75" hidden="false" customHeight="false" outlineLevel="0" collapsed="false">
      <c r="B70" s="11"/>
      <c r="F70" s="18"/>
      <c r="G70" s="44"/>
      <c r="I70" s="18"/>
      <c r="J70" s="44"/>
      <c r="M70" s="18"/>
    </row>
    <row r="72" customFormat="false" ht="12.75" hidden="false" customHeight="false" outlineLevel="0" collapsed="false">
      <c r="B72" s="11"/>
      <c r="F72" s="18"/>
      <c r="G72" s="44"/>
      <c r="I72" s="18"/>
      <c r="J72" s="44"/>
      <c r="M72" s="18"/>
    </row>
  </sheetData>
  <mergeCells count="20">
    <mergeCell ref="C1:R2"/>
    <mergeCell ref="C4:R5"/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C10:F10"/>
    <mergeCell ref="H10:I10"/>
    <mergeCell ref="J10:M10"/>
    <mergeCell ref="A12:B12"/>
    <mergeCell ref="C12:F12"/>
    <mergeCell ref="M12:N12"/>
    <mergeCell ref="M13:N13"/>
    <mergeCell ref="M14:N14"/>
    <mergeCell ref="A21:R21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4" activeCellId="0" sqref="O14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8.42"/>
    <col collapsed="false" customWidth="true" hidden="false" outlineLevel="0" max="6" min="3" style="1" width="11.43"/>
    <col collapsed="false" customWidth="true" hidden="false" outlineLevel="0" max="7" min="7" style="1" width="8.86"/>
    <col collapsed="false" customWidth="true" hidden="false" outlineLevel="0" max="10" min="8" style="1" width="11.43"/>
    <col collapsed="false" customWidth="true" hidden="false" outlineLevel="0" max="11" min="11" style="1" width="9.14"/>
    <col collapsed="false" customWidth="true" hidden="false" outlineLevel="0" max="256" min="12" style="1" width="11.43"/>
  </cols>
  <sheetData>
    <row r="1" customFormat="false" ht="12.75" hidden="false" customHeight="false" outlineLevel="0" collapsed="false">
      <c r="C1" s="2" t="s">
        <v>117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</row>
    <row r="10" customFormat="false" ht="12.75" hidden="false" customHeight="false" outlineLevel="0" collapsed="false">
      <c r="A10" s="4" t="s">
        <v>5</v>
      </c>
      <c r="B10" s="4"/>
      <c r="C10" s="35" t="n">
        <f aca="false">Estimación!C10</f>
        <v>0</v>
      </c>
      <c r="D10" s="35"/>
      <c r="E10" s="35"/>
      <c r="F10" s="35"/>
      <c r="H10" s="4" t="s">
        <v>6</v>
      </c>
      <c r="I10" s="4"/>
      <c r="J10" s="35" t="n">
        <f aca="false">Estimación!K10</f>
        <v>0</v>
      </c>
      <c r="K10" s="35"/>
      <c r="L10" s="35"/>
      <c r="M10" s="35"/>
    </row>
    <row r="12" customFormat="false" ht="12.75" hidden="false" customHeight="false" outlineLevel="0" collapsed="false">
      <c r="A12" s="4" t="s">
        <v>56</v>
      </c>
      <c r="B12" s="4"/>
      <c r="C12" s="7"/>
      <c r="D12" s="5"/>
      <c r="E12" s="5"/>
      <c r="F12" s="7"/>
      <c r="H12" s="4" t="s">
        <v>57</v>
      </c>
      <c r="I12" s="4"/>
      <c r="L12" s="8" t="n">
        <f aca="false">Estimación!L12</f>
        <v>0</v>
      </c>
      <c r="M12" s="9" t="s">
        <v>8</v>
      </c>
    </row>
    <row r="13" customFormat="false" ht="12.75" hidden="false" customHeight="false" outlineLevel="0" collapsed="false">
      <c r="H13" s="4" t="s">
        <v>9</v>
      </c>
      <c r="I13" s="4"/>
      <c r="L13" s="8" t="n">
        <f aca="false">Estimación!L13</f>
        <v>0</v>
      </c>
      <c r="M13" s="9" t="s">
        <v>10</v>
      </c>
    </row>
    <row r="14" customFormat="false" ht="12.75" hidden="false" customHeight="false" outlineLevel="0" collapsed="false">
      <c r="H14" s="4" t="s">
        <v>11</v>
      </c>
      <c r="I14" s="4"/>
      <c r="L14" s="8" t="n">
        <f aca="false">Estimación!L14</f>
        <v>20</v>
      </c>
      <c r="M14" s="9" t="s">
        <v>12</v>
      </c>
    </row>
    <row r="16" customFormat="false" ht="12.75" hidden="false" customHeight="false" outlineLevel="0" collapsed="false">
      <c r="A16" s="10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customFormat="false" ht="12.75" hidden="false" customHeight="false" outlineLevel="0" collapsed="false">
      <c r="B18" s="11" t="s">
        <v>14</v>
      </c>
    </row>
    <row r="20" customFormat="false" ht="12.75" hidden="false" customHeight="false" outlineLevel="0" collapsed="false">
      <c r="C20" s="12" t="s">
        <v>15</v>
      </c>
      <c r="E20" s="39" t="s">
        <v>63</v>
      </c>
      <c r="F20" s="39"/>
      <c r="G20" s="49"/>
      <c r="H20" s="39" t="s">
        <v>118</v>
      </c>
      <c r="I20" s="39"/>
      <c r="J20" s="39"/>
      <c r="K20" s="49"/>
      <c r="L20" s="39" t="s">
        <v>119</v>
      </c>
      <c r="M20" s="39"/>
    </row>
    <row r="21" customFormat="false" ht="12.75" hidden="false" customHeight="false" outlineLevel="0" collapsed="false">
      <c r="E21" s="41" t="s">
        <v>16</v>
      </c>
      <c r="F21" s="41" t="s">
        <v>20</v>
      </c>
      <c r="G21" s="50"/>
      <c r="H21" s="41" t="s">
        <v>16</v>
      </c>
      <c r="I21" s="41" t="s">
        <v>20</v>
      </c>
      <c r="J21" s="41" t="s">
        <v>12</v>
      </c>
      <c r="K21" s="50"/>
      <c r="L21" s="41"/>
      <c r="M21" s="41" t="s">
        <v>12</v>
      </c>
    </row>
    <row r="23" customFormat="false" ht="12.75" hidden="false" customHeight="false" outlineLevel="0" collapsed="false">
      <c r="C23" s="1" t="s">
        <v>21</v>
      </c>
      <c r="E23" s="1" t="n">
        <f aca="false">Estimación!E22</f>
        <v>0</v>
      </c>
      <c r="F23" s="18" t="n">
        <f aca="false">Estimación!E22*Estimación!G22*Estimación!I22</f>
        <v>0</v>
      </c>
      <c r="G23" s="51"/>
      <c r="H23" s="22"/>
      <c r="I23" s="18" t="n">
        <f aca="false">H23*Estimación!G22*Estimación!I22</f>
        <v>0</v>
      </c>
      <c r="J23" s="52" t="str">
        <f aca="false">IF(E23=0, "N/A", 100*H23/E23)</f>
        <v>N/A</v>
      </c>
      <c r="K23" s="16"/>
      <c r="L23" s="18" t="n">
        <f aca="false">E23-H23</f>
        <v>0</v>
      </c>
      <c r="M23" s="53" t="str">
        <f aca="false">IF(E23=0, "N/A", 100*L23/E23)</f>
        <v>N/A</v>
      </c>
    </row>
    <row r="24" customFormat="false" ht="12.75" hidden="false" customHeight="false" outlineLevel="0" collapsed="false">
      <c r="C24" s="1" t="s">
        <v>22</v>
      </c>
      <c r="E24" s="1" t="n">
        <f aca="false">Estimación!E23</f>
        <v>0</v>
      </c>
      <c r="F24" s="18" t="n">
        <f aca="false">Estimación!E23*Estimación!G23*Estimación!I23</f>
        <v>0</v>
      </c>
      <c r="G24" s="51"/>
      <c r="H24" s="22"/>
      <c r="I24" s="18" t="n">
        <f aca="false">H24*Estimación!G23*Estimación!I23</f>
        <v>0</v>
      </c>
      <c r="J24" s="52" t="str">
        <f aca="false">IF(E24=0, "N/A", 100*H24/E24)</f>
        <v>N/A</v>
      </c>
      <c r="K24" s="16"/>
      <c r="L24" s="18" t="n">
        <f aca="false">E24-H24</f>
        <v>0</v>
      </c>
      <c r="M24" s="53" t="str">
        <f aca="false">IF(E24=0, "N/A", 100*L24/E24)</f>
        <v>N/A</v>
      </c>
    </row>
    <row r="25" customFormat="false" ht="12.75" hidden="false" customHeight="false" outlineLevel="0" collapsed="false">
      <c r="C25" s="1" t="s">
        <v>23</v>
      </c>
      <c r="E25" s="1" t="n">
        <f aca="false">Estimación!E24</f>
        <v>0</v>
      </c>
      <c r="F25" s="18" t="n">
        <f aca="false">Estimación!E24*Estimación!G24*Estimación!I24</f>
        <v>0</v>
      </c>
      <c r="G25" s="51"/>
      <c r="H25" s="22"/>
      <c r="I25" s="18" t="n">
        <f aca="false">H25*Estimación!G24*Estimación!I24</f>
        <v>0</v>
      </c>
      <c r="J25" s="52" t="str">
        <f aca="false">IF(E25=0, "N/A", 100*H25/E25)</f>
        <v>N/A</v>
      </c>
      <c r="K25" s="16"/>
      <c r="L25" s="18" t="n">
        <f aca="false">E25-H25</f>
        <v>0</v>
      </c>
      <c r="M25" s="53" t="str">
        <f aca="false">IF(E25=0, "N/A", 100*L25/E25)</f>
        <v>N/A</v>
      </c>
    </row>
    <row r="26" customFormat="false" ht="12.75" hidden="false" customHeight="false" outlineLevel="0" collapsed="false">
      <c r="C26" s="1" t="s">
        <v>24</v>
      </c>
      <c r="E26" s="1" t="n">
        <f aca="false">Estimación!E25</f>
        <v>0</v>
      </c>
      <c r="F26" s="18" t="n">
        <f aca="false">Estimación!E25*Estimación!G25*Estimación!I25</f>
        <v>0</v>
      </c>
      <c r="G26" s="51"/>
      <c r="H26" s="22"/>
      <c r="I26" s="18" t="n">
        <f aca="false">H26*Estimación!G25*Estimación!I25</f>
        <v>0</v>
      </c>
      <c r="J26" s="52" t="str">
        <f aca="false">IF(E26=0, "N/A", 100*H26/E26)</f>
        <v>N/A</v>
      </c>
      <c r="K26" s="16"/>
      <c r="L26" s="18" t="n">
        <f aca="false">E26-H26</f>
        <v>0</v>
      </c>
      <c r="M26" s="53" t="str">
        <f aca="false">IF(E26=0, "N/A", 100*L26/E26)</f>
        <v>N/A</v>
      </c>
    </row>
    <row r="27" customFormat="false" ht="12.75" hidden="false" customHeight="false" outlineLevel="0" collapsed="false">
      <c r="C27" s="1" t="s">
        <v>25</v>
      </c>
      <c r="E27" s="1" t="n">
        <f aca="false">Estimación!E26</f>
        <v>0</v>
      </c>
      <c r="F27" s="18" t="n">
        <f aca="false">Estimación!E26*Estimación!G26*Estimación!I26</f>
        <v>0</v>
      </c>
      <c r="G27" s="51"/>
      <c r="H27" s="22"/>
      <c r="I27" s="18" t="n">
        <f aca="false">H27*Estimación!G26*Estimación!I26</f>
        <v>0</v>
      </c>
      <c r="J27" s="52" t="str">
        <f aca="false">IF(E27=0, "N/A", 100*H27/E27)</f>
        <v>N/A</v>
      </c>
      <c r="K27" s="16"/>
      <c r="L27" s="18" t="n">
        <f aca="false">E27-H27</f>
        <v>0</v>
      </c>
      <c r="M27" s="53" t="str">
        <f aca="false">IF(E27=0, "N/A", 100*L27/E27)</f>
        <v>N/A</v>
      </c>
    </row>
    <row r="28" customFormat="false" ht="12.75" hidden="false" customHeight="false" outlineLevel="0" collapsed="false">
      <c r="C28" s="1" t="s">
        <v>26</v>
      </c>
      <c r="E28" s="1" t="n">
        <f aca="false">Estimación!E27</f>
        <v>0</v>
      </c>
      <c r="F28" s="18" t="n">
        <f aca="false">Estimación!E27*Estimación!G27*Estimación!I27</f>
        <v>0</v>
      </c>
      <c r="G28" s="51"/>
      <c r="H28" s="22"/>
      <c r="I28" s="18" t="n">
        <f aca="false">H28*Estimación!G27*Estimación!I27</f>
        <v>0</v>
      </c>
      <c r="J28" s="52" t="str">
        <f aca="false">IF(E28=0, "N/A", 100*H28/E28)</f>
        <v>N/A</v>
      </c>
      <c r="K28" s="16"/>
      <c r="L28" s="18" t="n">
        <f aca="false">E28-H28</f>
        <v>0</v>
      </c>
      <c r="M28" s="53" t="str">
        <f aca="false">IF(E28=0, "N/A", 100*L28/E28)</f>
        <v>N/A</v>
      </c>
    </row>
    <row r="29" customFormat="false" ht="12.75" hidden="false" customHeight="false" outlineLevel="0" collapsed="false">
      <c r="F29" s="18"/>
      <c r="G29" s="51"/>
      <c r="H29" s="18"/>
      <c r="I29" s="18"/>
      <c r="J29" s="52"/>
      <c r="K29" s="16"/>
      <c r="L29" s="18"/>
      <c r="M29" s="53"/>
    </row>
    <row r="30" customFormat="false" ht="12.75" hidden="false" customHeight="false" outlineLevel="0" collapsed="false">
      <c r="C30" s="11" t="s">
        <v>27</v>
      </c>
      <c r="E30" s="1" t="n">
        <f aca="false">Estimación!E29</f>
        <v>0</v>
      </c>
      <c r="F30" s="18" t="n">
        <f aca="false">SUM(F23:F28)</f>
        <v>0</v>
      </c>
      <c r="G30" s="51"/>
      <c r="H30" s="18" t="n">
        <f aca="false">SUM(H23:H28)</f>
        <v>0</v>
      </c>
      <c r="I30" s="18" t="n">
        <f aca="false">SUM(I23:I28)</f>
        <v>0</v>
      </c>
      <c r="J30" s="52" t="str">
        <f aca="false">IF(E30=0, "N/A", 100*H30/E30)</f>
        <v>N/A</v>
      </c>
      <c r="K30" s="16"/>
      <c r="L30" s="18" t="n">
        <f aca="false">E30-H30</f>
        <v>0</v>
      </c>
      <c r="M30" s="53" t="str">
        <f aca="false">IF(E30=0, "N/A", 100*L30/E30)</f>
        <v>N/A</v>
      </c>
    </row>
    <row r="32" customFormat="false" ht="12.75" hidden="false" customHeight="false" outlineLevel="0" collapsed="false">
      <c r="B32" s="11" t="s">
        <v>28</v>
      </c>
    </row>
    <row r="34" customFormat="false" ht="12.75" hidden="false" customHeight="false" outlineLevel="0" collapsed="false">
      <c r="C34" s="1" t="s">
        <v>29</v>
      </c>
      <c r="F34" s="18" t="n">
        <f aca="false">Estimación!M33</f>
        <v>0</v>
      </c>
      <c r="I34" s="15"/>
      <c r="J34" s="52" t="str">
        <f aca="false">IF(F34=0, "N/A", 100*I34/F34)</f>
        <v>N/A</v>
      </c>
      <c r="L34" s="18" t="n">
        <f aca="false">F34-I34</f>
        <v>0</v>
      </c>
      <c r="M34" s="52" t="str">
        <f aca="false">IF(J34="N/A", "N/A", 100-J34)</f>
        <v>N/A</v>
      </c>
    </row>
    <row r="35" customFormat="false" ht="12.75" hidden="false" customHeight="false" outlineLevel="0" collapsed="false">
      <c r="C35" s="1" t="s">
        <v>30</v>
      </c>
      <c r="F35" s="18" t="n">
        <f aca="false">Estimación!M34</f>
        <v>0</v>
      </c>
      <c r="I35" s="15"/>
      <c r="J35" s="52" t="str">
        <f aca="false">IF(F35=0, "N/A", 100*I35/F35)</f>
        <v>N/A</v>
      </c>
      <c r="L35" s="18" t="n">
        <f aca="false">F35-I35</f>
        <v>0</v>
      </c>
      <c r="M35" s="52" t="str">
        <f aca="false">IF(J35="N/A", "N/A", 100-J35)</f>
        <v>N/A</v>
      </c>
    </row>
    <row r="36" customFormat="false" ht="12.75" hidden="false" customHeight="false" outlineLevel="0" collapsed="false">
      <c r="F36" s="18"/>
      <c r="J36" s="52"/>
      <c r="L36" s="18"/>
      <c r="M36" s="52"/>
    </row>
    <row r="37" customFormat="false" ht="12.75" hidden="false" customHeight="false" outlineLevel="0" collapsed="false">
      <c r="C37" s="11" t="s">
        <v>27</v>
      </c>
      <c r="F37" s="18" t="n">
        <f aca="false">SUM(F34:F35)</f>
        <v>0</v>
      </c>
      <c r="I37" s="1" t="n">
        <f aca="false">SUM(I34:I35)</f>
        <v>0</v>
      </c>
      <c r="J37" s="52" t="str">
        <f aca="false">IF(F37=0, "N/A", 100*I37/F37)</f>
        <v>N/A</v>
      </c>
      <c r="K37" s="16"/>
      <c r="L37" s="18" t="n">
        <f aca="false">F37-I37</f>
        <v>0</v>
      </c>
      <c r="M37" s="52" t="str">
        <f aca="false">IF(J37="N/A", "N/A", 100-J37)</f>
        <v>N/A</v>
      </c>
    </row>
    <row r="39" customFormat="false" ht="12.75" hidden="false" customHeight="false" outlineLevel="0" collapsed="false">
      <c r="B39" s="11" t="s">
        <v>120</v>
      </c>
    </row>
    <row r="41" customFormat="false" ht="12.75" hidden="false" customHeight="false" outlineLevel="0" collapsed="false">
      <c r="C41" s="1" t="s">
        <v>121</v>
      </c>
      <c r="F41" s="18" t="n">
        <f aca="false">Estimación!E40*Estimación!G40*Estimación!I40</f>
        <v>0</v>
      </c>
      <c r="G41" s="48"/>
      <c r="I41" s="22" t="n">
        <f aca="false">IF(J30="N/A", 0,F41*J30/100)</f>
        <v>0</v>
      </c>
      <c r="J41" s="52" t="str">
        <f aca="false">IF(F41=0, "N/A", 100*I41/F41)</f>
        <v>N/A</v>
      </c>
      <c r="K41" s="16"/>
      <c r="L41" s="18" t="n">
        <f aca="false">F41-I41</f>
        <v>0</v>
      </c>
      <c r="M41" s="53" t="str">
        <f aca="false">IF(F41=0, "N/A", 100*L41/F41)</f>
        <v>N/A</v>
      </c>
    </row>
    <row r="42" customFormat="false" ht="12.75" hidden="false" customHeight="false" outlineLevel="0" collapsed="false">
      <c r="C42" s="1" t="s">
        <v>122</v>
      </c>
      <c r="F42" s="18" t="n">
        <f aca="false">Estimación!E41*Estimación!G41*Estimación!I41</f>
        <v>0</v>
      </c>
      <c r="G42" s="48"/>
      <c r="I42" s="22"/>
      <c r="J42" s="52" t="str">
        <f aca="false">IF(F42=0, "N/A", 100*I42/F42)</f>
        <v>N/A</v>
      </c>
      <c r="K42" s="16"/>
      <c r="L42" s="18" t="n">
        <f aca="false">F42-I42</f>
        <v>0</v>
      </c>
      <c r="M42" s="53" t="str">
        <f aca="false">IF(F42=0, "N/A", 100*L42/F42)</f>
        <v>N/A</v>
      </c>
    </row>
    <row r="43" customFormat="false" ht="12.75" hidden="false" customHeight="false" outlineLevel="0" collapsed="false">
      <c r="C43" s="1" t="s">
        <v>34</v>
      </c>
      <c r="F43" s="18" t="n">
        <f aca="false">Estimación!E42*Estimación!G42*Estimación!I42</f>
        <v>0</v>
      </c>
      <c r="G43" s="48"/>
      <c r="I43" s="22"/>
      <c r="J43" s="52" t="str">
        <f aca="false">IF(F43=0, "N/A", 100*I43/F43)</f>
        <v>N/A</v>
      </c>
      <c r="K43" s="16"/>
      <c r="L43" s="18" t="n">
        <f aca="false">F43-I43</f>
        <v>0</v>
      </c>
      <c r="M43" s="53" t="str">
        <f aca="false">IF(F43=0, "N/A", 100*L43/F43)</f>
        <v>N/A</v>
      </c>
    </row>
    <row r="44" customFormat="false" ht="12.75" hidden="false" customHeight="false" outlineLevel="0" collapsed="false">
      <c r="C44" s="1" t="s">
        <v>36</v>
      </c>
      <c r="F44" s="18" t="n">
        <f aca="false">Estimación!M48</f>
        <v>0</v>
      </c>
      <c r="G44" s="48"/>
      <c r="I44" s="22"/>
      <c r="J44" s="52" t="str">
        <f aca="false">IF(F44=0, "N/A", 100*I44/F44)</f>
        <v>N/A</v>
      </c>
      <c r="K44" s="16"/>
      <c r="L44" s="18" t="n">
        <f aca="false">F44-I44</f>
        <v>0</v>
      </c>
      <c r="M44" s="53" t="str">
        <f aca="false">IF(F44=0, "N/A", 100*L44/F44)</f>
        <v>N/A</v>
      </c>
    </row>
    <row r="45" customFormat="false" ht="12.75" hidden="false" customHeight="false" outlineLevel="0" collapsed="false">
      <c r="C45" s="1" t="s">
        <v>37</v>
      </c>
      <c r="F45" s="18" t="n">
        <f aca="false">Estimación!M49</f>
        <v>0</v>
      </c>
      <c r="G45" s="48"/>
      <c r="I45" s="22"/>
      <c r="J45" s="52" t="str">
        <f aca="false">IF(F45=0, "N/A", 100*I45/F45)</f>
        <v>N/A</v>
      </c>
      <c r="K45" s="16"/>
      <c r="L45" s="18" t="n">
        <f aca="false">F45-I45</f>
        <v>0</v>
      </c>
      <c r="M45" s="53" t="str">
        <f aca="false">IF(F45=0, "N/A", 100*L45/F45)</f>
        <v>N/A</v>
      </c>
    </row>
    <row r="46" customFormat="false" ht="12.75" hidden="false" customHeight="false" outlineLevel="0" collapsed="false">
      <c r="C46" s="1" t="s">
        <v>38</v>
      </c>
      <c r="F46" s="18" t="n">
        <f aca="false">Estimación!M50</f>
        <v>0</v>
      </c>
      <c r="I46" s="22"/>
      <c r="J46" s="52" t="str">
        <f aca="false">IF(F46=0, "N/A", 100*I46/F46)</f>
        <v>N/A</v>
      </c>
      <c r="L46" s="18" t="n">
        <f aca="false">F46-I46</f>
        <v>0</v>
      </c>
      <c r="M46" s="53" t="str">
        <f aca="false">IF(F46=0, "N/A", 100*L46/F46)</f>
        <v>N/A</v>
      </c>
    </row>
    <row r="47" customFormat="false" ht="12.75" hidden="false" customHeight="false" outlineLevel="0" collapsed="false">
      <c r="B47" s="11"/>
      <c r="F47" s="18"/>
      <c r="J47" s="52"/>
      <c r="L47" s="18"/>
      <c r="M47" s="53"/>
    </row>
    <row r="48" customFormat="false" ht="12.75" hidden="false" customHeight="false" outlineLevel="0" collapsed="false">
      <c r="C48" s="1" t="s">
        <v>123</v>
      </c>
      <c r="F48" s="18" t="n">
        <f aca="false">F23*Estimación!K22+F24*Estimación!K23+Situación!F25*Estimación!K24+Situación!F26*Estimación!K25+Situación!F27*Estimación!K26+Situación!F28*Estimación!K27+F37*Estimación!K36+F41*Estimación!K40+Situación!F42*Estimación!K41+Situación!F43*Estimación!K42+SUM(F44:F46)*Estimación!K52</f>
        <v>0</v>
      </c>
      <c r="I48" s="15" t="n">
        <v>0</v>
      </c>
      <c r="J48" s="52" t="str">
        <f aca="false">IF(F48=0, "N/A", 100*I48/F48)</f>
        <v>N/A</v>
      </c>
      <c r="L48" s="18" t="n">
        <f aca="false">F48-I48</f>
        <v>0</v>
      </c>
      <c r="M48" s="53" t="str">
        <f aca="false">IF(F48=0, "N/A", 100*L48/F48)</f>
        <v>N/A</v>
      </c>
    </row>
    <row r="49" customFormat="false" ht="12.75" hidden="false" customHeight="false" outlineLevel="0" collapsed="false">
      <c r="L49" s="18"/>
      <c r="M49" s="53"/>
    </row>
    <row r="50" customFormat="false" ht="12.75" hidden="false" customHeight="false" outlineLevel="0" collapsed="false">
      <c r="C50" s="11" t="s">
        <v>27</v>
      </c>
      <c r="F50" s="18" t="n">
        <f aca="false">SUM(F41:F48)</f>
        <v>0</v>
      </c>
      <c r="I50" s="18" t="n">
        <f aca="false">SUM(I41:I48)</f>
        <v>0</v>
      </c>
      <c r="J50" s="52" t="str">
        <f aca="false">IF(F50=0, "N/A", 100*I50/F50)</f>
        <v>N/A</v>
      </c>
      <c r="L50" s="18" t="n">
        <f aca="false">F50-I50</f>
        <v>0</v>
      </c>
      <c r="M50" s="53" t="str">
        <f aca="false">IF(F50=0, "N/A", 100*L50/F50)</f>
        <v>N/A</v>
      </c>
    </row>
    <row r="51" customFormat="false" ht="12.75" hidden="false" customHeight="false" outlineLevel="0" collapsed="false">
      <c r="L51" s="18"/>
      <c r="M51" s="46"/>
    </row>
    <row r="52" customFormat="false" ht="12.75" hidden="false" customHeight="false" outlineLevel="0" collapsed="false">
      <c r="L52" s="18"/>
      <c r="M52" s="46"/>
    </row>
    <row r="53" customFormat="false" ht="12.75" hidden="false" customHeight="false" outlineLevel="0" collapsed="false">
      <c r="B53" s="11" t="s">
        <v>39</v>
      </c>
      <c r="C53" s="11"/>
      <c r="F53" s="18" t="n">
        <f aca="false">F30+F37+F50</f>
        <v>0</v>
      </c>
      <c r="I53" s="18" t="n">
        <f aca="false">I30+I37+I50</f>
        <v>0</v>
      </c>
      <c r="J53" s="52" t="str">
        <f aca="false">IF(F53=0, "N/A", 100*I53/F53)</f>
        <v>N/A</v>
      </c>
      <c r="K53" s="16"/>
      <c r="L53" s="18" t="n">
        <f aca="false">F53-I53</f>
        <v>0</v>
      </c>
      <c r="M53" s="53" t="str">
        <f aca="false">IF(F53=0, "N/A", 100*L53/F53)</f>
        <v>N/A</v>
      </c>
    </row>
    <row r="56" customFormat="false" ht="12.75" hidden="false" customHeight="false" outlineLevel="0" collapsed="false">
      <c r="A56" s="10" t="s">
        <v>124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customFormat="false" ht="12.75" hidden="false" customHeight="false" outlineLevel="0" collapsed="false">
      <c r="B57" s="11"/>
      <c r="C57" s="11"/>
      <c r="D57" s="11"/>
      <c r="E57" s="11"/>
      <c r="F57" s="11"/>
      <c r="G57" s="11"/>
      <c r="H57" s="11"/>
      <c r="I57" s="11"/>
      <c r="J57" s="11"/>
      <c r="K57" s="11"/>
      <c r="M57" s="54"/>
    </row>
    <row r="59" customFormat="false" ht="12.75" hidden="false" customHeight="false" outlineLevel="0" collapsed="false">
      <c r="B59" s="1" t="s">
        <v>125</v>
      </c>
      <c r="F59" s="18" t="n">
        <f aca="false">Estimación!M77</f>
        <v>0</v>
      </c>
      <c r="I59" s="55"/>
      <c r="J59" s="52" t="str">
        <f aca="false">IF(F59=0, "N/A", 100*I59/F59)</f>
        <v>N/A</v>
      </c>
      <c r="L59" s="18" t="n">
        <f aca="false">F59-I59</f>
        <v>0</v>
      </c>
      <c r="M59" s="52" t="str">
        <f aca="false">IF(J59="N/A", "N/A", 100-J59)</f>
        <v>N/A</v>
      </c>
    </row>
    <row r="60" customFormat="false" ht="12.75" hidden="false" customHeight="false" outlineLevel="0" collapsed="false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customFormat="false" ht="12.75" hidden="false" customHeight="false" outlineLevel="0" collapsed="false">
      <c r="B61" s="1" t="s">
        <v>43</v>
      </c>
      <c r="F61" s="18" t="n">
        <f aca="false">F59-F53</f>
        <v>0</v>
      </c>
      <c r="G61" s="57" t="str">
        <f aca="false">IF(F53=0,"N/A",(F59/F53)-1)</f>
        <v>N/A</v>
      </c>
    </row>
    <row r="62" customFormat="false" ht="12.75" hidden="false" customHeight="false" outlineLevel="0" collapsed="false">
      <c r="B62" s="11"/>
    </row>
    <row r="64" customFormat="false" ht="12.75" hidden="false" customHeight="false" outlineLevel="0" collapsed="false">
      <c r="A64" s="10" t="s">
        <v>126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customFormat="false" ht="12.75" hidden="false" customHeight="false" outlineLevel="0" collapsed="false">
      <c r="C65" s="28"/>
      <c r="D65" s="28"/>
    </row>
    <row r="66" customFormat="false" ht="12.75" hidden="false" customHeight="false" outlineLevel="0" collapsed="false">
      <c r="B66" s="58" t="s">
        <v>127</v>
      </c>
      <c r="C66" s="58"/>
      <c r="D66" s="58"/>
      <c r="E66" s="58"/>
      <c r="F66" s="16"/>
      <c r="H66" s="18"/>
      <c r="M66" s="18"/>
    </row>
    <row r="67" customFormat="false" ht="12.75" hidden="false" customHeight="false" outlineLevel="0" collapsed="false">
      <c r="B67" s="11"/>
      <c r="C67" s="4" t="s">
        <v>128</v>
      </c>
      <c r="D67" s="4"/>
      <c r="E67" s="11"/>
      <c r="F67" s="16"/>
      <c r="H67" s="18"/>
      <c r="M67" s="18"/>
    </row>
    <row r="68" customFormat="false" ht="12.75" hidden="false" customHeight="false" outlineLevel="0" collapsed="false">
      <c r="C68" s="29"/>
      <c r="D68" s="29"/>
      <c r="F68" s="16"/>
      <c r="H68" s="18"/>
      <c r="M68" s="18"/>
    </row>
    <row r="69" customFormat="false" ht="12.75" hidden="false" customHeight="false" outlineLevel="0" collapsed="false">
      <c r="C69" s="29"/>
      <c r="D69" s="29"/>
      <c r="F69" s="16"/>
      <c r="H69" s="18"/>
      <c r="M69" s="18"/>
    </row>
    <row r="70" customFormat="false" ht="12.75" hidden="false" customHeight="false" outlineLevel="0" collapsed="false">
      <c r="C70" s="28"/>
      <c r="D70" s="28"/>
      <c r="F70" s="16"/>
    </row>
    <row r="71" customFormat="false" ht="12.75" hidden="false" customHeight="false" outlineLevel="0" collapsed="false">
      <c r="C71" s="29"/>
      <c r="D71" s="29"/>
      <c r="F71" s="59"/>
      <c r="H71" s="18"/>
      <c r="M71" s="60"/>
    </row>
    <row r="74" customFormat="false" ht="12.75" hidden="false" customHeight="false" outlineLevel="0" collapsed="false">
      <c r="C74" s="61"/>
      <c r="D74" s="61"/>
      <c r="F74" s="16"/>
      <c r="H74" s="18"/>
      <c r="M74" s="60"/>
    </row>
    <row r="77" customFormat="false" ht="12.75" hidden="false" customHeight="false" outlineLevel="0" collapsed="false">
      <c r="B77" s="11"/>
    </row>
    <row r="79" customFormat="false" ht="12.75" hidden="false" customHeight="false" outlineLevel="0" collapsed="false">
      <c r="C79" s="11"/>
      <c r="M79" s="54"/>
    </row>
    <row r="88" customFormat="false" ht="12.75" hidden="false" customHeight="false" outlineLevel="0" collapsed="false">
      <c r="B88" s="58" t="s">
        <v>129</v>
      </c>
      <c r="C88" s="58"/>
      <c r="D88" s="58"/>
      <c r="E88" s="58"/>
    </row>
    <row r="89" customFormat="false" ht="12.75" hidden="false" customHeight="false" outlineLevel="0" collapsed="false">
      <c r="B89" s="11"/>
      <c r="C89" s="4" t="s">
        <v>130</v>
      </c>
      <c r="D89" s="4"/>
      <c r="E89" s="11"/>
    </row>
  </sheetData>
  <mergeCells count="31">
    <mergeCell ref="C1:M2"/>
    <mergeCell ref="C4:M5"/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C10:F10"/>
    <mergeCell ref="H10:I10"/>
    <mergeCell ref="J10:M10"/>
    <mergeCell ref="A12:B12"/>
    <mergeCell ref="D12:E12"/>
    <mergeCell ref="H12:I12"/>
    <mergeCell ref="H13:I13"/>
    <mergeCell ref="H14:I14"/>
    <mergeCell ref="A16:M16"/>
    <mergeCell ref="E20:F20"/>
    <mergeCell ref="H20:J20"/>
    <mergeCell ref="L20:M20"/>
    <mergeCell ref="A56:M56"/>
    <mergeCell ref="A64:M64"/>
    <mergeCell ref="C67:D67"/>
    <mergeCell ref="C68:D68"/>
    <mergeCell ref="C69:D69"/>
    <mergeCell ref="C71:D71"/>
    <mergeCell ref="C74:D74"/>
    <mergeCell ref="C89:D89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5.71"/>
    <col collapsed="false" customWidth="true" hidden="false" outlineLevel="0" max="4" min="3" style="1" width="11.43"/>
    <col collapsed="false" customWidth="true" hidden="false" outlineLevel="0" max="5" min="5" style="1" width="9.29"/>
    <col collapsed="false" customWidth="true" hidden="false" outlineLevel="0" max="6" min="6" style="1" width="11.14"/>
    <col collapsed="false" customWidth="true" hidden="false" outlineLevel="0" max="7" min="7" style="1" width="2.16"/>
    <col collapsed="false" customWidth="true" hidden="false" outlineLevel="0" max="19" min="8" style="1" width="9.71"/>
    <col collapsed="false" customWidth="true" hidden="false" outlineLevel="0" max="20" min="20" style="1" width="2.29"/>
    <col collapsed="false" customWidth="true" hidden="false" outlineLevel="0" max="21" min="21" style="1" width="10.14"/>
    <col collapsed="false" customWidth="true" hidden="false" outlineLevel="0" max="22" min="22" style="1" width="9.57"/>
    <col collapsed="false" customWidth="true" hidden="false" outlineLevel="0" max="256" min="23" style="1" width="11.43"/>
  </cols>
  <sheetData>
    <row r="1" customFormat="false" ht="17.25" hidden="false" customHeight="true" outlineLevel="0" collapsed="false">
      <c r="C1" s="62" t="s">
        <v>131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63"/>
      <c r="Q1" s="63"/>
      <c r="R1" s="63"/>
      <c r="S1" s="63"/>
      <c r="T1" s="33"/>
      <c r="U1" s="33"/>
      <c r="V1" s="33"/>
    </row>
    <row r="2" customFormat="false" ht="17.25" hidden="false" customHeight="true" outlineLevel="0" collapsed="false"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3"/>
      <c r="R2" s="63"/>
      <c r="S2" s="63"/>
      <c r="T2" s="33"/>
      <c r="U2" s="33"/>
      <c r="V2" s="33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/>
      <c r="O4" s="9"/>
      <c r="P4" s="9"/>
      <c r="Q4" s="9"/>
      <c r="R4" s="9"/>
      <c r="S4" s="9"/>
      <c r="T4" s="64"/>
      <c r="U4" s="64"/>
      <c r="V4" s="64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/>
      <c r="O5" s="9"/>
      <c r="P5" s="9"/>
      <c r="Q5" s="9"/>
      <c r="R5" s="9"/>
      <c r="S5" s="9"/>
      <c r="T5" s="64"/>
      <c r="U5" s="64"/>
      <c r="V5" s="64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  <c r="N7" s="7"/>
      <c r="O7" s="7"/>
      <c r="P7" s="7"/>
      <c r="Q7" s="7"/>
      <c r="R7" s="7"/>
      <c r="S7" s="7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  <c r="N8" s="7"/>
      <c r="O8" s="7"/>
      <c r="P8" s="7"/>
      <c r="Q8" s="7"/>
      <c r="R8" s="7"/>
      <c r="S8" s="7"/>
    </row>
    <row r="10" customFormat="false" ht="12.75" hidden="false" customHeight="false" outlineLevel="0" collapsed="false">
      <c r="A10" s="4" t="s">
        <v>5</v>
      </c>
      <c r="B10" s="4"/>
      <c r="C10" s="7"/>
      <c r="D10" s="35" t="n">
        <f aca="false">Estimación!C10</f>
        <v>0</v>
      </c>
      <c r="E10" s="35"/>
      <c r="F10" s="7"/>
      <c r="H10" s="4" t="s">
        <v>6</v>
      </c>
      <c r="I10" s="4"/>
      <c r="J10" s="35" t="n">
        <f aca="false">Estimación!K10</f>
        <v>0</v>
      </c>
      <c r="K10" s="35"/>
      <c r="L10" s="35"/>
      <c r="M10" s="35"/>
      <c r="N10" s="7"/>
      <c r="O10" s="7"/>
      <c r="P10" s="7"/>
      <c r="Q10" s="7"/>
      <c r="R10" s="7"/>
      <c r="S10" s="7"/>
    </row>
    <row r="12" customFormat="false" ht="12.75" hidden="false" customHeight="false" outlineLevel="0" collapsed="false">
      <c r="A12" s="4" t="s">
        <v>56</v>
      </c>
      <c r="B12" s="4"/>
      <c r="C12" s="4"/>
      <c r="D12" s="65" t="s">
        <v>132</v>
      </c>
      <c r="E12" s="65"/>
      <c r="F12" s="7"/>
      <c r="N12" s="7"/>
      <c r="O12" s="7"/>
      <c r="P12" s="7"/>
      <c r="Q12" s="4" t="s">
        <v>57</v>
      </c>
      <c r="R12" s="4"/>
      <c r="U12" s="8" t="n">
        <f aca="false">Estimación!L12</f>
        <v>0</v>
      </c>
      <c r="V12" s="9" t="s">
        <v>8</v>
      </c>
    </row>
    <row r="13" customFormat="false" ht="12.75" hidden="false" customHeight="false" outlineLevel="0" collapsed="false">
      <c r="N13" s="7"/>
      <c r="O13" s="7"/>
      <c r="P13" s="7"/>
      <c r="Q13" s="4" t="s">
        <v>9</v>
      </c>
      <c r="R13" s="4"/>
      <c r="U13" s="8" t="n">
        <f aca="false">Estimación!L13</f>
        <v>0</v>
      </c>
      <c r="V13" s="9" t="s">
        <v>10</v>
      </c>
    </row>
    <row r="14" customFormat="false" ht="12.75" hidden="false" customHeight="false" outlineLevel="0" collapsed="false">
      <c r="N14" s="7"/>
      <c r="O14" s="7"/>
      <c r="P14" s="7"/>
      <c r="Q14" s="4" t="s">
        <v>11</v>
      </c>
      <c r="R14" s="4"/>
      <c r="U14" s="8" t="n">
        <f aca="false">Estimación!L14</f>
        <v>20</v>
      </c>
      <c r="V14" s="9" t="s">
        <v>12</v>
      </c>
    </row>
    <row r="16" customFormat="false" ht="12.75" hidden="false" customHeight="false" outlineLevel="0" collapsed="false">
      <c r="A16" s="38" t="s">
        <v>13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8" customFormat="false" ht="12.75" hidden="false" customHeight="false" outlineLevel="0" collapsed="false">
      <c r="B18" s="11" t="s">
        <v>14</v>
      </c>
    </row>
    <row r="20" customFormat="false" ht="12.75" hidden="false" customHeight="false" outlineLevel="0" collapsed="false">
      <c r="C20" s="12" t="s">
        <v>15</v>
      </c>
      <c r="E20" s="39" t="s">
        <v>63</v>
      </c>
      <c r="F20" s="39"/>
      <c r="G20" s="49"/>
      <c r="H20" s="27" t="s">
        <v>133</v>
      </c>
      <c r="I20" s="27"/>
      <c r="J20" s="27"/>
      <c r="K20" s="27"/>
      <c r="L20" s="27"/>
      <c r="M20" s="27"/>
      <c r="N20" s="27"/>
      <c r="O20" s="66"/>
      <c r="P20" s="66"/>
      <c r="Q20" s="66"/>
      <c r="R20" s="66"/>
      <c r="S20" s="66"/>
      <c r="U20" s="39" t="s">
        <v>119</v>
      </c>
      <c r="V20" s="39"/>
    </row>
    <row r="21" customFormat="false" ht="12.75" hidden="false" customHeight="false" outlineLevel="0" collapsed="false">
      <c r="E21" s="41" t="s">
        <v>16</v>
      </c>
      <c r="F21" s="41" t="s">
        <v>20</v>
      </c>
      <c r="G21" s="50"/>
      <c r="H21" s="41" t="s">
        <v>64</v>
      </c>
      <c r="I21" s="41" t="s">
        <v>65</v>
      </c>
      <c r="J21" s="41" t="s">
        <v>66</v>
      </c>
      <c r="K21" s="41" t="s">
        <v>67</v>
      </c>
      <c r="L21" s="41" t="s">
        <v>68</v>
      </c>
      <c r="M21" s="41" t="s">
        <v>69</v>
      </c>
      <c r="N21" s="41" t="s">
        <v>70</v>
      </c>
      <c r="O21" s="41" t="s">
        <v>71</v>
      </c>
      <c r="P21" s="41" t="s">
        <v>72</v>
      </c>
      <c r="Q21" s="41" t="s">
        <v>73</v>
      </c>
      <c r="R21" s="41" t="s">
        <v>74</v>
      </c>
      <c r="S21" s="41" t="s">
        <v>75</v>
      </c>
      <c r="U21" s="41" t="s">
        <v>134</v>
      </c>
      <c r="V21" s="41" t="s">
        <v>12</v>
      </c>
    </row>
    <row r="23" customFormat="false" ht="12.75" hidden="false" customHeight="false" outlineLevel="0" collapsed="false">
      <c r="C23" s="1" t="s">
        <v>21</v>
      </c>
      <c r="E23" s="1" t="n">
        <f aca="false">Estimación!E22</f>
        <v>0</v>
      </c>
      <c r="F23" s="18" t="n">
        <f aca="false">Estimación!E22*Estimación!G22*Estimación!I22</f>
        <v>0</v>
      </c>
      <c r="G23" s="51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U23" s="46" t="n">
        <f aca="false">F23-MAX(H23:S23)</f>
        <v>0</v>
      </c>
      <c r="V23" s="68" t="str">
        <f aca="false">IF(F23=0,"N/A",U23/F23)</f>
        <v>N/A</v>
      </c>
    </row>
    <row r="24" customFormat="false" ht="12.75" hidden="false" customHeight="false" outlineLevel="0" collapsed="false">
      <c r="C24" s="1" t="s">
        <v>22</v>
      </c>
      <c r="E24" s="1" t="n">
        <f aca="false">Estimación!E23</f>
        <v>0</v>
      </c>
      <c r="F24" s="18" t="n">
        <f aca="false">Estimación!E23*Estimación!G23*Estimación!I23</f>
        <v>0</v>
      </c>
      <c r="G24" s="51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U24" s="46" t="n">
        <f aca="false">F24-MAX(H24:S24)</f>
        <v>0</v>
      </c>
      <c r="V24" s="68" t="str">
        <f aca="false">IF(F24=0,"N/A",U24/F24)</f>
        <v>N/A</v>
      </c>
    </row>
    <row r="25" customFormat="false" ht="12.75" hidden="false" customHeight="false" outlineLevel="0" collapsed="false">
      <c r="C25" s="1" t="s">
        <v>23</v>
      </c>
      <c r="E25" s="1" t="n">
        <f aca="false">Estimación!E24</f>
        <v>0</v>
      </c>
      <c r="F25" s="18" t="n">
        <f aca="false">Estimación!E24*Estimación!G24*Estimación!I24</f>
        <v>0</v>
      </c>
      <c r="G25" s="51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U25" s="46" t="n">
        <f aca="false">F25-MAX(H25:S25)</f>
        <v>0</v>
      </c>
      <c r="V25" s="68" t="str">
        <f aca="false">IF(F25=0,"N/A",U25/F25)</f>
        <v>N/A</v>
      </c>
    </row>
    <row r="26" customFormat="false" ht="12.75" hidden="false" customHeight="false" outlineLevel="0" collapsed="false">
      <c r="C26" s="1" t="s">
        <v>24</v>
      </c>
      <c r="E26" s="1" t="n">
        <f aca="false">Estimación!E25</f>
        <v>0</v>
      </c>
      <c r="F26" s="18" t="n">
        <f aca="false">Estimación!E25*Estimación!G25*Estimación!I25</f>
        <v>0</v>
      </c>
      <c r="G26" s="51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U26" s="46" t="n">
        <f aca="false">F26-MAX(H26:S26)</f>
        <v>0</v>
      </c>
      <c r="V26" s="68" t="str">
        <f aca="false">IF(F26=0,"N/A",U26/F26)</f>
        <v>N/A</v>
      </c>
    </row>
    <row r="27" customFormat="false" ht="12.75" hidden="false" customHeight="false" outlineLevel="0" collapsed="false">
      <c r="C27" s="1" t="s">
        <v>25</v>
      </c>
      <c r="E27" s="1" t="n">
        <f aca="false">Estimación!E26</f>
        <v>0</v>
      </c>
      <c r="F27" s="18" t="n">
        <f aca="false">Estimación!E26*Estimación!G26*Estimación!I26</f>
        <v>0</v>
      </c>
      <c r="G27" s="51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U27" s="46" t="n">
        <f aca="false">F27-MAX(H27:S27)</f>
        <v>0</v>
      </c>
      <c r="V27" s="68" t="str">
        <f aca="false">IF(F27=0,"N/A",U27/F27)</f>
        <v>N/A</v>
      </c>
    </row>
    <row r="28" customFormat="false" ht="12.75" hidden="false" customHeight="false" outlineLevel="0" collapsed="false">
      <c r="C28" s="1" t="s">
        <v>26</v>
      </c>
      <c r="E28" s="1" t="n">
        <f aca="false">Estimación!E27</f>
        <v>0</v>
      </c>
      <c r="F28" s="18" t="n">
        <f aca="false">Estimación!E27*Estimación!G27*Estimación!I27</f>
        <v>0</v>
      </c>
      <c r="G28" s="51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U28" s="46" t="n">
        <f aca="false">F28-MAX(H28:S28)</f>
        <v>0</v>
      </c>
      <c r="V28" s="68" t="str">
        <f aca="false">IF(F28=0,"N/A",U28/F28)</f>
        <v>N/A</v>
      </c>
    </row>
    <row r="29" customFormat="false" ht="12.75" hidden="false" customHeight="false" outlineLevel="0" collapsed="false">
      <c r="F29" s="18"/>
      <c r="G29" s="51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U29" s="46"/>
      <c r="V29" s="68"/>
    </row>
    <row r="30" customFormat="false" ht="12.75" hidden="false" customHeight="false" outlineLevel="0" collapsed="false">
      <c r="C30" s="11" t="s">
        <v>27</v>
      </c>
      <c r="E30" s="1" t="n">
        <f aca="false">Estimación!E29</f>
        <v>0</v>
      </c>
      <c r="F30" s="18" t="n">
        <f aca="false">SUM(F23:F28)</f>
        <v>0</v>
      </c>
      <c r="G30" s="51"/>
      <c r="H30" s="46" t="n">
        <f aca="false">SUM(H23:H28)</f>
        <v>0</v>
      </c>
      <c r="I30" s="46" t="n">
        <f aca="false">MAX(SUM(I23:I28),H30)</f>
        <v>0</v>
      </c>
      <c r="J30" s="46" t="n">
        <f aca="false">MAX(SUM(J23:J28),I30)</f>
        <v>0</v>
      </c>
      <c r="K30" s="46" t="n">
        <f aca="false">MAX(SUM(K23:K28),J30)</f>
        <v>0</v>
      </c>
      <c r="L30" s="46" t="n">
        <f aca="false">MAX(SUM(L23:L28),K30)</f>
        <v>0</v>
      </c>
      <c r="M30" s="46" t="n">
        <f aca="false">MAX(SUM(M23:M28),L30)</f>
        <v>0</v>
      </c>
      <c r="N30" s="46" t="n">
        <f aca="false">MAX(SUM(N23:N28),M30)</f>
        <v>0</v>
      </c>
      <c r="O30" s="46" t="n">
        <f aca="false">MAX(SUM(O23:O28),N30)</f>
        <v>0</v>
      </c>
      <c r="P30" s="46" t="n">
        <f aca="false">MAX(SUM(P23:P28),O30)</f>
        <v>0</v>
      </c>
      <c r="Q30" s="46" t="n">
        <f aca="false">MAX(SUM(Q23:Q28),P30)</f>
        <v>0</v>
      </c>
      <c r="R30" s="46" t="n">
        <f aca="false">MAX(SUM(R23:R28),Q30)</f>
        <v>0</v>
      </c>
      <c r="S30" s="46" t="n">
        <f aca="false">MAX(SUM(S23:S28),R30)</f>
        <v>0</v>
      </c>
      <c r="U30" s="46" t="n">
        <f aca="false">F30-MAX(H30:S30)</f>
        <v>0</v>
      </c>
      <c r="V30" s="68" t="str">
        <f aca="false">IF(F30=0,"N/A",U30/F30)</f>
        <v>N/A</v>
      </c>
    </row>
    <row r="31" customFormat="false" ht="12.75" hidden="false" customHeight="false" outlineLevel="0" collapsed="false"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U31" s="46"/>
      <c r="V31" s="68"/>
    </row>
    <row r="32" customFormat="false" ht="12.75" hidden="false" customHeight="false" outlineLevel="0" collapsed="false">
      <c r="B32" s="11" t="s">
        <v>28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U32" s="46"/>
      <c r="V32" s="68"/>
    </row>
    <row r="33" customFormat="false" ht="12.75" hidden="false" customHeight="false" outlineLevel="0" collapsed="false"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U33" s="46"/>
      <c r="V33" s="68"/>
    </row>
    <row r="34" customFormat="false" ht="12.75" hidden="false" customHeight="false" outlineLevel="0" collapsed="false">
      <c r="C34" s="1" t="s">
        <v>29</v>
      </c>
      <c r="F34" s="18" t="n">
        <f aca="false">Estimación!M33</f>
        <v>0</v>
      </c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U34" s="46" t="n">
        <f aca="false">F34-MAX(H34:S34)</f>
        <v>0</v>
      </c>
      <c r="V34" s="68" t="str">
        <f aca="false">IF(F34=0,"N/A",U34/F34)</f>
        <v>N/A</v>
      </c>
    </row>
    <row r="35" customFormat="false" ht="12.75" hidden="false" customHeight="false" outlineLevel="0" collapsed="false">
      <c r="C35" s="1" t="s">
        <v>30</v>
      </c>
      <c r="F35" s="18" t="n">
        <f aca="false">Estimación!M34</f>
        <v>0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U35" s="46" t="n">
        <f aca="false">F35-MAX(H35:S35)</f>
        <v>0</v>
      </c>
      <c r="V35" s="68" t="str">
        <f aca="false">IF(F35=0,"N/A",U35/F35)</f>
        <v>N/A</v>
      </c>
    </row>
    <row r="36" customFormat="false" ht="12.75" hidden="false" customHeight="false" outlineLevel="0" collapsed="false">
      <c r="F36" s="18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U36" s="46"/>
      <c r="V36" s="68"/>
    </row>
    <row r="37" customFormat="false" ht="12.75" hidden="false" customHeight="false" outlineLevel="0" collapsed="false">
      <c r="C37" s="11" t="s">
        <v>27</v>
      </c>
      <c r="F37" s="18" t="n">
        <f aca="false">SUM(F34:F35)</f>
        <v>0</v>
      </c>
      <c r="H37" s="46" t="n">
        <f aca="false">SUM(H34:H35)</f>
        <v>0</v>
      </c>
      <c r="I37" s="46" t="n">
        <f aca="false">MAX(SUM(I34:I35),H37)</f>
        <v>0</v>
      </c>
      <c r="J37" s="46" t="n">
        <f aca="false">MAX(SUM(J34:J35),I37)</f>
        <v>0</v>
      </c>
      <c r="K37" s="46" t="n">
        <f aca="false">MAX(SUM(K34:K35),J37)</f>
        <v>0</v>
      </c>
      <c r="L37" s="46" t="n">
        <f aca="false">MAX(SUM(L34:L35),K37)</f>
        <v>0</v>
      </c>
      <c r="M37" s="46" t="n">
        <f aca="false">MAX(SUM(M34:M35),L37)</f>
        <v>0</v>
      </c>
      <c r="N37" s="46" t="n">
        <f aca="false">MAX(SUM(N34:N35),M37)</f>
        <v>0</v>
      </c>
      <c r="O37" s="46" t="n">
        <f aca="false">MAX(SUM(O34:O35),N37)</f>
        <v>0</v>
      </c>
      <c r="P37" s="46" t="n">
        <f aca="false">MAX(SUM(P34:P35),O37)</f>
        <v>0</v>
      </c>
      <c r="Q37" s="46" t="n">
        <f aca="false">MAX(SUM(Q34:Q35),P37)</f>
        <v>0</v>
      </c>
      <c r="R37" s="46" t="n">
        <f aca="false">MAX(SUM(R34:R35),Q37)</f>
        <v>0</v>
      </c>
      <c r="S37" s="46" t="n">
        <f aca="false">MAX(SUM(S34:S35),R37)</f>
        <v>0</v>
      </c>
      <c r="U37" s="46" t="n">
        <f aca="false">F37-MAX(H37:S37)</f>
        <v>0</v>
      </c>
      <c r="V37" s="68" t="str">
        <f aca="false">IF(F37=0,"N/A",U37/F37)</f>
        <v>N/A</v>
      </c>
    </row>
    <row r="38" customFormat="false" ht="12.75" hidden="false" customHeight="false" outlineLevel="0" collapsed="false"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U38" s="46"/>
      <c r="V38" s="68"/>
    </row>
    <row r="39" customFormat="false" ht="12.75" hidden="false" customHeight="false" outlineLevel="0" collapsed="false">
      <c r="B39" s="11" t="s">
        <v>120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U39" s="46"/>
      <c r="V39" s="68"/>
    </row>
    <row r="40" customFormat="false" ht="12.75" hidden="false" customHeight="false" outlineLevel="0" collapsed="false"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U40" s="46"/>
      <c r="V40" s="68"/>
    </row>
    <row r="41" customFormat="false" ht="12.75" hidden="false" customHeight="false" outlineLevel="0" collapsed="false">
      <c r="C41" s="1" t="s">
        <v>121</v>
      </c>
      <c r="F41" s="18" t="n">
        <f aca="false">Estimación!E40*Estimación!G40*Estimación!I40</f>
        <v>0</v>
      </c>
      <c r="G41" s="48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U41" s="46" t="n">
        <f aca="false">F41-MAX(H41:S41)</f>
        <v>0</v>
      </c>
      <c r="V41" s="68" t="str">
        <f aca="false">IF(F41=0,"N/A",U41/F41)</f>
        <v>N/A</v>
      </c>
    </row>
    <row r="42" customFormat="false" ht="12.75" hidden="false" customHeight="false" outlineLevel="0" collapsed="false">
      <c r="C42" s="1" t="s">
        <v>33</v>
      </c>
      <c r="F42" s="18" t="n">
        <f aca="false">Estimación!E41*Estimación!G41*Estimación!I41</f>
        <v>0</v>
      </c>
      <c r="G42" s="48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U42" s="46" t="n">
        <f aca="false">F42-MAX(H42:S42)</f>
        <v>0</v>
      </c>
      <c r="V42" s="68" t="str">
        <f aca="false">IF(F42=0,"N/A",U42/F42)</f>
        <v>N/A</v>
      </c>
    </row>
    <row r="43" customFormat="false" ht="12.75" hidden="false" customHeight="false" outlineLevel="0" collapsed="false">
      <c r="C43" s="1" t="s">
        <v>34</v>
      </c>
      <c r="F43" s="18" t="n">
        <f aca="false">Estimación!E42*Estimación!G42*Estimación!I42</f>
        <v>0</v>
      </c>
      <c r="G43" s="48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U43" s="46" t="n">
        <f aca="false">F43-MAX(H43:S43)</f>
        <v>0</v>
      </c>
      <c r="V43" s="68" t="str">
        <f aca="false">IF(F43=0,"N/A",U43/F43)</f>
        <v>N/A</v>
      </c>
      <c r="X43" s="1" t="s">
        <v>135</v>
      </c>
    </row>
    <row r="44" customFormat="false" ht="12.75" hidden="false" customHeight="false" outlineLevel="0" collapsed="false">
      <c r="C44" s="1" t="s">
        <v>36</v>
      </c>
      <c r="F44" s="18" t="n">
        <f aca="false">Estimación!M48</f>
        <v>0</v>
      </c>
      <c r="G44" s="48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U44" s="46" t="n">
        <f aca="false">F44-MAX(H44:S44)</f>
        <v>0</v>
      </c>
      <c r="V44" s="68" t="str">
        <f aca="false">IF(F44=0,"N/A",U44/F44)</f>
        <v>N/A</v>
      </c>
    </row>
    <row r="45" customFormat="false" ht="12.75" hidden="false" customHeight="false" outlineLevel="0" collapsed="false">
      <c r="C45" s="1" t="s">
        <v>37</v>
      </c>
      <c r="F45" s="18" t="n">
        <f aca="false">Estimación!M49</f>
        <v>0</v>
      </c>
      <c r="G45" s="48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U45" s="46" t="n">
        <f aca="false">F45-MAX(H45:S45)</f>
        <v>0</v>
      </c>
      <c r="V45" s="68" t="str">
        <f aca="false">IF(F45=0,"N/A",U45/F45)</f>
        <v>N/A</v>
      </c>
    </row>
    <row r="46" customFormat="false" ht="12.75" hidden="false" customHeight="false" outlineLevel="0" collapsed="false">
      <c r="C46" s="1" t="s">
        <v>38</v>
      </c>
      <c r="F46" s="18" t="n">
        <f aca="false">Estimación!M50</f>
        <v>0</v>
      </c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U46" s="46" t="n">
        <f aca="false">F46-MAX(H46:S46)</f>
        <v>0</v>
      </c>
      <c r="V46" s="68" t="str">
        <f aca="false">IF(F46=0,"N/A",U46/F46)</f>
        <v>N/A</v>
      </c>
    </row>
    <row r="47" customFormat="false" ht="12.75" hidden="false" customHeight="false" outlineLevel="0" collapsed="false">
      <c r="B47" s="11"/>
      <c r="F47" s="18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U47" s="46"/>
      <c r="V47" s="68"/>
    </row>
    <row r="48" customFormat="false" ht="12.75" hidden="false" customHeight="false" outlineLevel="0" collapsed="false">
      <c r="C48" s="1" t="s">
        <v>123</v>
      </c>
      <c r="F48" s="18" t="n">
        <f aca="false">F23*Estimación!K22+F24*Estimación!K23+Evolución!F25*Estimación!K24+Evolución!F26*Estimación!K25+Evolución!F27*Estimación!K26+Evolución!F28*Estimación!K27+F37*Estimación!K36+F41*Estimación!K40+Evolución!F42*Estimación!K41+Evolución!F43*Estimación!K42+SUM(F44:F46)*Estimación!K52</f>
        <v>0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U48" s="46" t="n">
        <f aca="false">F48-MAX(H48:S48)</f>
        <v>0</v>
      </c>
      <c r="V48" s="68" t="str">
        <f aca="false">IF(F48=0,"N/A",U48/F48)</f>
        <v>N/A</v>
      </c>
    </row>
    <row r="49" customFormat="false" ht="12.75" hidden="false" customHeight="false" outlineLevel="0" collapsed="false"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U49" s="46"/>
      <c r="V49" s="68"/>
    </row>
    <row r="50" customFormat="false" ht="12.75" hidden="false" customHeight="false" outlineLevel="0" collapsed="false">
      <c r="C50" s="11" t="s">
        <v>27</v>
      </c>
      <c r="F50" s="18" t="n">
        <f aca="false">SUM(F41:F48)</f>
        <v>0</v>
      </c>
      <c r="H50" s="46" t="n">
        <f aca="false">SUM(H41:H48)</f>
        <v>0</v>
      </c>
      <c r="I50" s="46" t="n">
        <f aca="false">MAX(SUM(I41:I48),H50)</f>
        <v>0</v>
      </c>
      <c r="J50" s="46" t="n">
        <f aca="false">MAX(SUM(J41:J48),I50)</f>
        <v>0</v>
      </c>
      <c r="K50" s="46" t="n">
        <f aca="false">MAX(SUM(K41:K48),J50)</f>
        <v>0</v>
      </c>
      <c r="L50" s="46" t="n">
        <f aca="false">MAX(SUM(L41:L48),K50)</f>
        <v>0</v>
      </c>
      <c r="M50" s="46" t="n">
        <f aca="false">MAX(SUM(M41:M48),L50)</f>
        <v>0</v>
      </c>
      <c r="N50" s="46" t="n">
        <f aca="false">MAX(SUM(N41:N48),M50)</f>
        <v>0</v>
      </c>
      <c r="O50" s="46" t="n">
        <f aca="false">MAX(SUM(O41:O48),N50)</f>
        <v>0</v>
      </c>
      <c r="P50" s="46" t="n">
        <f aca="false">MAX(SUM(P41:P48),O50)</f>
        <v>0</v>
      </c>
      <c r="Q50" s="46" t="n">
        <f aca="false">MAX(SUM(Q41:Q48),P50)</f>
        <v>0</v>
      </c>
      <c r="R50" s="46" t="n">
        <f aca="false">MAX(SUM(R41:R48),Q50)</f>
        <v>0</v>
      </c>
      <c r="S50" s="46" t="n">
        <f aca="false">MAX(SUM(S41:S48),R50)</f>
        <v>0</v>
      </c>
      <c r="U50" s="46" t="n">
        <f aca="false">F50-MAX(H50:S50)</f>
        <v>0</v>
      </c>
      <c r="V50" s="68" t="str">
        <f aca="false">IF(F50=0,"N/A",U50/F50)</f>
        <v>N/A</v>
      </c>
    </row>
    <row r="51" customFormat="false" ht="12.75" hidden="false" customHeight="false" outlineLevel="0" collapsed="false"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U51" s="46"/>
      <c r="V51" s="68"/>
    </row>
    <row r="52" customFormat="false" ht="12.75" hidden="false" customHeight="false" outlineLevel="0" collapsed="false"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U52" s="46"/>
      <c r="V52" s="68"/>
    </row>
    <row r="53" customFormat="false" ht="12.75" hidden="false" customHeight="false" outlineLevel="0" collapsed="false">
      <c r="B53" s="11" t="s">
        <v>39</v>
      </c>
      <c r="C53" s="11"/>
      <c r="F53" s="69" t="n">
        <f aca="false">F30+F37+F50</f>
        <v>0</v>
      </c>
      <c r="G53" s="11"/>
      <c r="H53" s="70" t="n">
        <f aca="false">H30+H37+H50</f>
        <v>0</v>
      </c>
      <c r="I53" s="70" t="n">
        <f aca="false">I30+I37+I50</f>
        <v>0</v>
      </c>
      <c r="J53" s="70" t="n">
        <f aca="false">J30+J37+J50</f>
        <v>0</v>
      </c>
      <c r="K53" s="70" t="n">
        <f aca="false">K30+K37+K50</f>
        <v>0</v>
      </c>
      <c r="L53" s="70" t="n">
        <f aca="false">L30+L37+L50</f>
        <v>0</v>
      </c>
      <c r="M53" s="70" t="n">
        <f aca="false">M30+M37+M50</f>
        <v>0</v>
      </c>
      <c r="N53" s="70" t="n">
        <f aca="false">N30+N37+N50</f>
        <v>0</v>
      </c>
      <c r="O53" s="70" t="n">
        <f aca="false">O30+O37+O50</f>
        <v>0</v>
      </c>
      <c r="P53" s="70" t="n">
        <f aca="false">P30+P37+P50</f>
        <v>0</v>
      </c>
      <c r="Q53" s="70" t="n">
        <f aca="false">Q30+Q37+Q50</f>
        <v>0</v>
      </c>
      <c r="R53" s="70" t="n">
        <f aca="false">R30+R37+R50</f>
        <v>0</v>
      </c>
      <c r="S53" s="70" t="n">
        <f aca="false">S30+S37+S50</f>
        <v>0</v>
      </c>
      <c r="U53" s="70" t="n">
        <f aca="false">F53-MAX(H53:S53)</f>
        <v>0</v>
      </c>
      <c r="V53" s="71" t="str">
        <f aca="false">IF(F53=0,"N/A",U53/F53)</f>
        <v>N/A</v>
      </c>
      <c r="X53" s="1" t="s">
        <v>50</v>
      </c>
    </row>
    <row r="54" customFormat="false" ht="12.75" hidden="false" customHeight="false" outlineLevel="0" collapsed="false">
      <c r="V54" s="14"/>
    </row>
    <row r="55" customFormat="false" ht="12.75" hidden="false" customHeight="false" outlineLevel="0" collapsed="false">
      <c r="V55" s="14"/>
    </row>
    <row r="56" customFormat="false" ht="12.75" hidden="false" customHeight="false" outlineLevel="0" collapsed="false">
      <c r="A56" s="38" t="s">
        <v>124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1"/>
    </row>
    <row r="57" customFormat="false" ht="12.75" hidden="false" customHeight="false" outlineLevel="0" collapsed="false">
      <c r="B57" s="11"/>
      <c r="C57" s="11"/>
      <c r="D57" s="11"/>
      <c r="E57" s="11"/>
      <c r="F57" s="11"/>
      <c r="G57" s="11"/>
      <c r="H57" s="11"/>
      <c r="I57" s="11"/>
      <c r="J57" s="11"/>
      <c r="K57" s="11"/>
      <c r="M57" s="72"/>
      <c r="N57" s="72"/>
      <c r="O57" s="72"/>
      <c r="P57" s="72"/>
      <c r="Q57" s="72"/>
      <c r="R57" s="72"/>
      <c r="S57" s="72"/>
      <c r="V57" s="14"/>
    </row>
    <row r="58" customFormat="false" ht="12.75" hidden="false" customHeight="false" outlineLevel="0" collapsed="false">
      <c r="V58" s="14"/>
    </row>
    <row r="59" customFormat="false" ht="12.75" hidden="false" customHeight="false" outlineLevel="0" collapsed="false">
      <c r="B59" s="1" t="s">
        <v>125</v>
      </c>
      <c r="F59" s="18" t="n">
        <f aca="false">Estimación!M77</f>
        <v>0</v>
      </c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U59" s="46" t="n">
        <f aca="false">F59-MAX(H59:S59)</f>
        <v>0</v>
      </c>
      <c r="V59" s="68" t="str">
        <f aca="false">IF(F59=0,"N/A",U59/F59)</f>
        <v>N/A</v>
      </c>
    </row>
    <row r="60" customFormat="false" ht="12.75" hidden="false" customHeight="false" outlineLevel="0" collapsed="false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V60" s="14"/>
    </row>
    <row r="61" customFormat="false" ht="12.75" hidden="false" customHeight="false" outlineLevel="0" collapsed="false">
      <c r="B61" s="1" t="s">
        <v>136</v>
      </c>
      <c r="F61" s="18" t="n">
        <f aca="false">F59-F53</f>
        <v>0</v>
      </c>
      <c r="G61" s="73"/>
      <c r="H61" s="46" t="n">
        <f aca="false">$F$59-H53</f>
        <v>0</v>
      </c>
      <c r="I61" s="46" t="n">
        <f aca="false">$F$59-I53</f>
        <v>0</v>
      </c>
      <c r="J61" s="46" t="n">
        <f aca="false">$F$59-J53</f>
        <v>0</v>
      </c>
      <c r="K61" s="46" t="n">
        <f aca="false">$F$59-K53</f>
        <v>0</v>
      </c>
      <c r="L61" s="46" t="n">
        <f aca="false">$F$59-L53</f>
        <v>0</v>
      </c>
      <c r="M61" s="46" t="n">
        <f aca="false">$F$59-M53</f>
        <v>0</v>
      </c>
      <c r="N61" s="46" t="n">
        <f aca="false">$F$59-N53</f>
        <v>0</v>
      </c>
      <c r="O61" s="46" t="n">
        <f aca="false">$F$59-O53</f>
        <v>0</v>
      </c>
      <c r="P61" s="46" t="n">
        <f aca="false">$F$59-P53</f>
        <v>0</v>
      </c>
      <c r="Q61" s="46" t="n">
        <f aca="false">$F$59-Q53</f>
        <v>0</v>
      </c>
      <c r="R61" s="46" t="n">
        <f aca="false">$F$59-R53</f>
        <v>0</v>
      </c>
      <c r="S61" s="46" t="n">
        <f aca="false">$F$59-S53</f>
        <v>0</v>
      </c>
      <c r="U61" s="46" t="n">
        <f aca="false">MIN(H61:S61)</f>
        <v>0</v>
      </c>
      <c r="V61" s="68"/>
    </row>
    <row r="62" customFormat="false" ht="12.75" hidden="false" customHeight="false" outlineLevel="0" collapsed="false">
      <c r="B62" s="11"/>
      <c r="F62" s="68" t="str">
        <f aca="false">IF($F$53=0,"N/A",F61/$F$53)</f>
        <v>N/A</v>
      </c>
      <c r="G62" s="68"/>
      <c r="H62" s="68" t="str">
        <f aca="false">IF($F$53=0,"N/A",H61/$F$53)</f>
        <v>N/A</v>
      </c>
      <c r="I62" s="68" t="str">
        <f aca="false">IF($F$53=0,"N/A",I61/$F$53)</f>
        <v>N/A</v>
      </c>
      <c r="J62" s="68" t="str">
        <f aca="false">IF($F$53=0,"N/A",J61/$F$53)</f>
        <v>N/A</v>
      </c>
      <c r="K62" s="68" t="str">
        <f aca="false">IF($F$53=0,"N/A",K61/$F$53)</f>
        <v>N/A</v>
      </c>
      <c r="L62" s="68" t="str">
        <f aca="false">IF($F$53=0,"N/A",L61/$F$53)</f>
        <v>N/A</v>
      </c>
      <c r="M62" s="68" t="str">
        <f aca="false">IF($F$53=0,"N/A",M61/$F$53)</f>
        <v>N/A</v>
      </c>
      <c r="N62" s="68" t="str">
        <f aca="false">IF($F$53=0,"N/A",N61/$F$53)</f>
        <v>N/A</v>
      </c>
      <c r="O62" s="68" t="str">
        <f aca="false">IF($F$53=0,"N/A",O61/$F$53)</f>
        <v>N/A</v>
      </c>
      <c r="P62" s="68" t="str">
        <f aca="false">IF($F$53=0,"N/A",P61/$F$53)</f>
        <v>N/A</v>
      </c>
      <c r="Q62" s="68" t="str">
        <f aca="false">IF($F$53=0,"N/A",Q61/$F$53)</f>
        <v>N/A</v>
      </c>
      <c r="R62" s="68" t="str">
        <f aca="false">IF($F$53=0,"N/A",R61/$F$53)</f>
        <v>N/A</v>
      </c>
      <c r="S62" s="68" t="str">
        <f aca="false">IF($F$53=0,"N/A",S61/$F$53)</f>
        <v>N/A</v>
      </c>
      <c r="U62" s="46"/>
      <c r="V62" s="68" t="n">
        <f aca="false">MIN(H62:M62)</f>
        <v>0</v>
      </c>
    </row>
    <row r="64" customFormat="false" ht="12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8"/>
      <c r="O64" s="58"/>
      <c r="P64" s="58"/>
      <c r="Q64" s="58"/>
      <c r="R64" s="58"/>
      <c r="S64" s="58"/>
    </row>
    <row r="65" customFormat="false" ht="12.75" hidden="false" customHeight="false" outlineLevel="0" collapsed="false">
      <c r="C65" s="28"/>
      <c r="D65" s="28"/>
    </row>
    <row r="66" customFormat="false" ht="12.75" hidden="false" customHeight="false" outlineLevel="0" collapsed="false">
      <c r="B66" s="58"/>
      <c r="C66" s="58"/>
      <c r="D66" s="58"/>
      <c r="E66" s="58"/>
      <c r="F66" s="16"/>
      <c r="H66" s="18"/>
      <c r="M66" s="18"/>
      <c r="N66" s="18"/>
      <c r="O66" s="18"/>
      <c r="P66" s="18"/>
      <c r="Q66" s="18"/>
      <c r="R66" s="18"/>
      <c r="S66" s="18"/>
    </row>
    <row r="67" customFormat="false" ht="12.75" hidden="false" customHeight="false" outlineLevel="0" collapsed="false">
      <c r="B67" s="11"/>
      <c r="C67" s="4"/>
      <c r="D67" s="4"/>
      <c r="E67" s="11"/>
      <c r="F67" s="16"/>
      <c r="H67" s="18"/>
      <c r="M67" s="18"/>
      <c r="N67" s="18"/>
      <c r="O67" s="18"/>
      <c r="P67" s="18"/>
      <c r="Q67" s="18"/>
      <c r="R67" s="18"/>
      <c r="S67" s="18"/>
    </row>
    <row r="68" customFormat="false" ht="12.75" hidden="false" customHeight="false" outlineLevel="0" collapsed="false">
      <c r="C68" s="29"/>
      <c r="D68" s="29"/>
      <c r="F68" s="16"/>
      <c r="H68" s="18"/>
      <c r="M68" s="18"/>
      <c r="N68" s="18"/>
      <c r="O68" s="18"/>
      <c r="P68" s="18"/>
      <c r="Q68" s="18"/>
      <c r="R68" s="18"/>
      <c r="S68" s="18"/>
    </row>
    <row r="69" customFormat="false" ht="12.75" hidden="false" customHeight="false" outlineLevel="0" collapsed="false">
      <c r="C69" s="29"/>
      <c r="D69" s="29"/>
      <c r="F69" s="16"/>
      <c r="H69" s="18"/>
      <c r="M69" s="18"/>
      <c r="N69" s="18"/>
      <c r="O69" s="18"/>
      <c r="P69" s="18"/>
      <c r="Q69" s="18"/>
      <c r="R69" s="18"/>
      <c r="S69" s="18"/>
    </row>
    <row r="70" customFormat="false" ht="12.75" hidden="false" customHeight="false" outlineLevel="0" collapsed="false">
      <c r="C70" s="28"/>
      <c r="D70" s="28"/>
      <c r="F70" s="16"/>
    </row>
    <row r="71" customFormat="false" ht="12.75" hidden="false" customHeight="false" outlineLevel="0" collapsed="false">
      <c r="C71" s="29"/>
      <c r="D71" s="29"/>
      <c r="F71" s="74"/>
      <c r="H71" s="18"/>
      <c r="M71" s="69"/>
      <c r="N71" s="69"/>
      <c r="O71" s="69"/>
      <c r="P71" s="69"/>
      <c r="Q71" s="69"/>
      <c r="R71" s="69"/>
      <c r="S71" s="69"/>
    </row>
    <row r="74" customFormat="false" ht="12.75" hidden="false" customHeight="false" outlineLevel="0" collapsed="false">
      <c r="C74" s="75"/>
      <c r="D74" s="75"/>
      <c r="F74" s="16"/>
      <c r="H74" s="18"/>
      <c r="M74" s="69"/>
      <c r="N74" s="69"/>
      <c r="O74" s="69"/>
      <c r="P74" s="69"/>
      <c r="Q74" s="69"/>
      <c r="R74" s="69"/>
      <c r="S74" s="69"/>
    </row>
    <row r="77" customFormat="false" ht="12.75" hidden="false" customHeight="false" outlineLevel="0" collapsed="false">
      <c r="B77" s="11"/>
    </row>
    <row r="79" customFormat="false" ht="12.75" hidden="false" customHeight="false" outlineLevel="0" collapsed="false">
      <c r="C79" s="11"/>
      <c r="M79" s="72"/>
      <c r="N79" s="72"/>
      <c r="O79" s="72"/>
      <c r="P79" s="72"/>
      <c r="Q79" s="72"/>
      <c r="R79" s="72"/>
      <c r="S79" s="72"/>
    </row>
    <row r="88" customFormat="false" ht="12.75" hidden="false" customHeight="false" outlineLevel="0" collapsed="false">
      <c r="B88" s="58"/>
      <c r="C88" s="58"/>
      <c r="D88" s="58"/>
      <c r="E88" s="58"/>
    </row>
    <row r="89" customFormat="false" ht="12.75" hidden="false" customHeight="false" outlineLevel="0" collapsed="false">
      <c r="B89" s="11"/>
      <c r="C89" s="4"/>
      <c r="D89" s="4"/>
      <c r="E89" s="11"/>
    </row>
  </sheetData>
  <mergeCells count="29">
    <mergeCell ref="C1:N2"/>
    <mergeCell ref="C4:M5"/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D10:E10"/>
    <mergeCell ref="H10:I10"/>
    <mergeCell ref="J10:M10"/>
    <mergeCell ref="A12:C12"/>
    <mergeCell ref="D12:E12"/>
    <mergeCell ref="Q12:R12"/>
    <mergeCell ref="Q13:R13"/>
    <mergeCell ref="Q14:R14"/>
    <mergeCell ref="E20:F20"/>
    <mergeCell ref="H20:N20"/>
    <mergeCell ref="U20:V20"/>
    <mergeCell ref="A64:M64"/>
    <mergeCell ref="C67:D67"/>
    <mergeCell ref="C68:D68"/>
    <mergeCell ref="C69:D69"/>
    <mergeCell ref="C71:D71"/>
    <mergeCell ref="C74:D74"/>
    <mergeCell ref="C89:D89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10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50" activeCellId="0" sqref="L50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7.57"/>
    <col collapsed="false" customWidth="true" hidden="false" outlineLevel="0" max="4" min="3" style="1" width="11.43"/>
    <col collapsed="false" customWidth="true" hidden="false" outlineLevel="0" max="5" min="5" style="1" width="9.86"/>
    <col collapsed="false" customWidth="true" hidden="false" outlineLevel="0" max="6" min="6" style="1" width="11.43"/>
    <col collapsed="false" customWidth="true" hidden="false" outlineLevel="0" max="7" min="7" style="1" width="7.29"/>
    <col collapsed="false" customWidth="true" hidden="false" outlineLevel="0" max="8" min="8" style="1" width="9.86"/>
    <col collapsed="false" customWidth="true" hidden="false" outlineLevel="0" max="10" min="9" style="1" width="11.43"/>
    <col collapsed="false" customWidth="true" hidden="false" outlineLevel="0" max="11" min="11" style="1" width="6.71"/>
    <col collapsed="false" customWidth="true" hidden="false" outlineLevel="0" max="12" min="12" style="1" width="12.71"/>
    <col collapsed="false" customWidth="true" hidden="false" outlineLevel="0" max="13" min="13" style="1" width="12.86"/>
    <col collapsed="false" customWidth="true" hidden="false" outlineLevel="0" max="256" min="14" style="1" width="11.43"/>
  </cols>
  <sheetData>
    <row r="1" customFormat="false" ht="12.75" hidden="false" customHeight="false" outlineLevel="0" collapsed="false">
      <c r="C1" s="2" t="s">
        <v>137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76" t="n">
        <v>1</v>
      </c>
      <c r="K7" s="76"/>
      <c r="L7" s="76"/>
      <c r="M7" s="76"/>
      <c r="N7" s="76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76" t="n">
        <f aca="false">Estimación!K8</f>
        <v>0</v>
      </c>
      <c r="K8" s="76"/>
      <c r="L8" s="76"/>
      <c r="M8" s="76"/>
      <c r="N8" s="76"/>
    </row>
    <row r="10" customFormat="false" ht="12.75" hidden="false" customHeight="false" outlineLevel="0" collapsed="false">
      <c r="L10" s="13" t="s">
        <v>138</v>
      </c>
      <c r="M10" s="13" t="s">
        <v>139</v>
      </c>
      <c r="N10" s="13"/>
    </row>
    <row r="11" customFormat="false" ht="12.75" hidden="false" customHeight="false" outlineLevel="0" collapsed="false">
      <c r="A11" s="6" t="s">
        <v>56</v>
      </c>
      <c r="B11" s="6"/>
      <c r="C11" s="6"/>
      <c r="D11" s="77" t="n">
        <v>44683</v>
      </c>
      <c r="E11" s="77"/>
      <c r="F11" s="7"/>
      <c r="H11" s="4" t="s">
        <v>57</v>
      </c>
      <c r="I11" s="4"/>
      <c r="L11" s="8" t="n">
        <f aca="false">Estimación!L12</f>
        <v>0</v>
      </c>
      <c r="M11" s="8" t="n">
        <f aca="false">I60</f>
        <v>2760000</v>
      </c>
      <c r="N11" s="9" t="s">
        <v>8</v>
      </c>
    </row>
    <row r="12" customFormat="false" ht="12.75" hidden="false" customHeight="false" outlineLevel="0" collapsed="false">
      <c r="H12" s="4" t="s">
        <v>9</v>
      </c>
      <c r="I12" s="4"/>
      <c r="L12" s="8" t="n">
        <f aca="false">Estimación!L13</f>
        <v>0</v>
      </c>
      <c r="M12" s="8" t="n">
        <f aca="false">H31</f>
        <v>13700</v>
      </c>
      <c r="N12" s="9" t="s">
        <v>10</v>
      </c>
    </row>
    <row r="13" customFormat="false" ht="12.75" hidden="false" customHeight="false" outlineLevel="0" collapsed="false">
      <c r="H13" s="4" t="s">
        <v>11</v>
      </c>
      <c r="I13" s="4"/>
      <c r="L13" s="78" t="n">
        <f aca="false">Estimación!L14/100</f>
        <v>0.2</v>
      </c>
      <c r="M13" s="78" t="n">
        <f aca="false">J62</f>
        <v>2.15568489086887</v>
      </c>
      <c r="N13" s="9" t="s">
        <v>12</v>
      </c>
    </row>
    <row r="14" customFormat="false" ht="12.75" hidden="false" customHeight="false" outlineLevel="0" collapsed="false">
      <c r="H14" s="58" t="s">
        <v>5</v>
      </c>
      <c r="I14" s="58"/>
      <c r="L14" s="79" t="n">
        <f aca="false">Estimación!C10</f>
        <v>0</v>
      </c>
      <c r="M14" s="79" t="s">
        <v>140</v>
      </c>
      <c r="N14" s="9" t="s">
        <v>141</v>
      </c>
    </row>
    <row r="15" customFormat="false" ht="12.75" hidden="false" customHeight="false" outlineLevel="0" collapsed="false">
      <c r="H15" s="58" t="s">
        <v>6</v>
      </c>
      <c r="I15" s="58"/>
      <c r="L15" s="79" t="n">
        <f aca="false">Estimación!J10</f>
        <v>0</v>
      </c>
      <c r="M15" s="79" t="s">
        <v>142</v>
      </c>
      <c r="N15" s="9" t="s">
        <v>141</v>
      </c>
    </row>
    <row r="17" customFormat="false" ht="12.75" hidden="false" customHeight="false" outlineLevel="0" collapsed="false">
      <c r="A17" s="10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9" customFormat="false" ht="12.75" hidden="false" customHeight="false" outlineLevel="0" collapsed="false">
      <c r="B19" s="11" t="s">
        <v>14</v>
      </c>
    </row>
    <row r="21" customFormat="false" ht="12.75" hidden="false" customHeight="false" outlineLevel="0" collapsed="false">
      <c r="C21" s="12" t="s">
        <v>15</v>
      </c>
      <c r="E21" s="39" t="s">
        <v>63</v>
      </c>
      <c r="F21" s="39"/>
      <c r="G21" s="49"/>
      <c r="H21" s="39" t="s">
        <v>143</v>
      </c>
      <c r="I21" s="39"/>
      <c r="J21" s="39"/>
      <c r="K21" s="49"/>
      <c r="L21" s="39" t="s">
        <v>144</v>
      </c>
      <c r="M21" s="39"/>
      <c r="N21" s="39"/>
    </row>
    <row r="22" customFormat="false" ht="12.75" hidden="false" customHeight="false" outlineLevel="0" collapsed="false">
      <c r="E22" s="41" t="s">
        <v>16</v>
      </c>
      <c r="F22" s="41" t="s">
        <v>20</v>
      </c>
      <c r="G22" s="50"/>
      <c r="H22" s="41" t="s">
        <v>16</v>
      </c>
      <c r="I22" s="41" t="s">
        <v>20</v>
      </c>
      <c r="J22" s="41" t="s">
        <v>12</v>
      </c>
      <c r="K22" s="50"/>
      <c r="L22" s="41" t="s">
        <v>145</v>
      </c>
      <c r="M22" s="41" t="s">
        <v>20</v>
      </c>
      <c r="N22" s="41" t="s">
        <v>12</v>
      </c>
    </row>
    <row r="24" customFormat="false" ht="12.75" hidden="false" customHeight="false" outlineLevel="0" collapsed="false">
      <c r="C24" s="1" t="s">
        <v>21</v>
      </c>
      <c r="E24" s="22" t="n">
        <v>652</v>
      </c>
      <c r="F24" s="18" t="n">
        <v>27.5</v>
      </c>
      <c r="G24" s="51"/>
      <c r="H24" s="22" t="n">
        <f aca="false">700</f>
        <v>700</v>
      </c>
      <c r="I24" s="18" t="n">
        <f aca="false">H24*Estimación!G22*Estimación!I22</f>
        <v>94616.34</v>
      </c>
      <c r="J24" s="52" t="n">
        <f aca="false">IF(E24=0,"N/A",100*H24/E24)</f>
        <v>107.361963190184</v>
      </c>
      <c r="K24" s="16"/>
      <c r="L24" s="18" t="n">
        <f aca="false">H24-E24</f>
        <v>48</v>
      </c>
      <c r="M24" s="18" t="n">
        <f aca="false">I24-F24</f>
        <v>94588.84</v>
      </c>
      <c r="N24" s="68" t="n">
        <f aca="false">IF(E24=0,"N/A",L24/E24)</f>
        <v>0.0736196319018405</v>
      </c>
    </row>
    <row r="25" customFormat="false" ht="12.75" hidden="false" customHeight="false" outlineLevel="0" collapsed="false">
      <c r="C25" s="1" t="s">
        <v>22</v>
      </c>
      <c r="E25" s="22" t="n">
        <v>3924</v>
      </c>
      <c r="F25" s="18" t="n">
        <v>24</v>
      </c>
      <c r="G25" s="51"/>
      <c r="H25" s="22" t="n">
        <f aca="false">4500</f>
        <v>4500</v>
      </c>
      <c r="I25" s="18" t="n">
        <f aca="false">H25*Estimación!G23*Estimación!I23</f>
        <v>376523.55</v>
      </c>
      <c r="J25" s="52" t="n">
        <f aca="false">IF(E25=0,"N/A",100*H25/E25)</f>
        <v>114.678899082569</v>
      </c>
      <c r="K25" s="16"/>
      <c r="L25" s="18" t="n">
        <f aca="false">H25-E25</f>
        <v>576</v>
      </c>
      <c r="M25" s="18" t="n">
        <f aca="false">I25-F25</f>
        <v>376499.55</v>
      </c>
      <c r="N25" s="68" t="n">
        <f aca="false">IF(E25=0,"N/A",L25/E25)</f>
        <v>0.146788990825688</v>
      </c>
    </row>
    <row r="26" customFormat="false" ht="12.75" hidden="false" customHeight="false" outlineLevel="0" collapsed="false">
      <c r="C26" s="1" t="s">
        <v>23</v>
      </c>
      <c r="E26" s="22" t="n">
        <f aca="false">936 + 528</f>
        <v>1464</v>
      </c>
      <c r="F26" s="18" t="n">
        <v>27.5</v>
      </c>
      <c r="G26" s="51"/>
      <c r="H26" s="22" t="n">
        <v>3000</v>
      </c>
      <c r="I26" s="18" t="n">
        <f aca="false">H26*Estimación!G24*Estimación!I24</f>
        <v>177652.8</v>
      </c>
      <c r="J26" s="52" t="n">
        <f aca="false">IF(E26=0,"N/A",100*H26/E26)</f>
        <v>204.918032786885</v>
      </c>
      <c r="K26" s="16"/>
      <c r="L26" s="18" t="n">
        <f aca="false">H26-E26</f>
        <v>1536</v>
      </c>
      <c r="M26" s="18" t="n">
        <f aca="false">I26-F26</f>
        <v>177625.3</v>
      </c>
      <c r="N26" s="68" t="n">
        <f aca="false">IF(E26=0,"N/A",L26/E26)</f>
        <v>1.04918032786885</v>
      </c>
    </row>
    <row r="27" customFormat="false" ht="12.75" hidden="false" customHeight="false" outlineLevel="0" collapsed="false">
      <c r="C27" s="1" t="s">
        <v>24</v>
      </c>
      <c r="E27" s="22" t="n">
        <v>4408</v>
      </c>
      <c r="F27" s="18" t="n">
        <v>20</v>
      </c>
      <c r="G27" s="51"/>
      <c r="H27" s="22" t="n">
        <v>5500</v>
      </c>
      <c r="I27" s="18" t="n">
        <f aca="false">H27*Estimación!G25*Estimación!I25</f>
        <v>198262.35</v>
      </c>
      <c r="J27" s="52" t="n">
        <f aca="false">IF(E27=0,"N/A",100*H27/E27)</f>
        <v>124.773139745917</v>
      </c>
      <c r="K27" s="16"/>
      <c r="L27" s="18" t="n">
        <f aca="false">H27-E27</f>
        <v>1092</v>
      </c>
      <c r="M27" s="18" t="n">
        <f aca="false">I27-F27</f>
        <v>198242.35</v>
      </c>
      <c r="N27" s="68" t="n">
        <f aca="false">IF(E27=0,"N/A",L27/E27)</f>
        <v>0.247731397459165</v>
      </c>
    </row>
    <row r="28" customFormat="false" ht="12.75" hidden="false" customHeight="false" outlineLevel="0" collapsed="false">
      <c r="C28" s="1" t="s">
        <v>25</v>
      </c>
      <c r="E28" s="22" t="n">
        <v>0</v>
      </c>
      <c r="F28" s="18" t="n">
        <v>18</v>
      </c>
      <c r="G28" s="51"/>
      <c r="H28" s="80" t="n">
        <v>0</v>
      </c>
      <c r="I28" s="18" t="n">
        <f aca="false">H28*Estimación!G26*Estimación!I26</f>
        <v>0</v>
      </c>
      <c r="J28" s="52" t="str">
        <f aca="false">IF(E28=0,"N/A",100*H28/E28)</f>
        <v>N/A</v>
      </c>
      <c r="K28" s="16"/>
      <c r="L28" s="18" t="n">
        <f aca="false">H28-E28</f>
        <v>0</v>
      </c>
      <c r="M28" s="18" t="n">
        <f aca="false">I28-F28</f>
        <v>-18</v>
      </c>
      <c r="N28" s="68" t="str">
        <f aca="false">IF(E28=0,"N/A",L28/E28)</f>
        <v>N/A</v>
      </c>
    </row>
    <row r="29" customFormat="false" ht="12.75" hidden="false" customHeight="false" outlineLevel="0" collapsed="false">
      <c r="C29" s="1" t="s">
        <v>26</v>
      </c>
      <c r="E29" s="80" t="n">
        <v>0</v>
      </c>
      <c r="F29" s="18" t="n">
        <v>15</v>
      </c>
      <c r="G29" s="51"/>
      <c r="H29" s="80" t="n">
        <v>0</v>
      </c>
      <c r="I29" s="18" t="n">
        <f aca="false">H29*Estimación!G27*Estimación!I27</f>
        <v>0</v>
      </c>
      <c r="J29" s="52" t="str">
        <f aca="false">IF(E29=0,"N/A",100*H29/E29)</f>
        <v>N/A</v>
      </c>
      <c r="K29" s="16"/>
      <c r="L29" s="18" t="n">
        <f aca="false">H29-E29</f>
        <v>0</v>
      </c>
      <c r="M29" s="18" t="n">
        <f aca="false">I29-F29</f>
        <v>-15</v>
      </c>
      <c r="N29" s="68" t="str">
        <f aca="false">IF(E29=0,"N/A",L29/E29)</f>
        <v>N/A</v>
      </c>
    </row>
    <row r="30" customFormat="false" ht="12.75" hidden="false" customHeight="false" outlineLevel="0" collapsed="false">
      <c r="F30" s="18"/>
      <c r="G30" s="51"/>
      <c r="H30" s="18"/>
      <c r="I30" s="18"/>
      <c r="J30" s="52"/>
      <c r="K30" s="16"/>
      <c r="L30" s="18"/>
      <c r="M30" s="18"/>
      <c r="N30" s="68"/>
    </row>
    <row r="31" customFormat="false" ht="12.75" hidden="false" customHeight="false" outlineLevel="0" collapsed="false">
      <c r="C31" s="11" t="s">
        <v>27</v>
      </c>
      <c r="E31" s="1" t="n">
        <f aca="false">Estimación!E29</f>
        <v>0</v>
      </c>
      <c r="F31" s="18" t="n">
        <f aca="false">SUM(F24:F29)</f>
        <v>132</v>
      </c>
      <c r="G31" s="51"/>
      <c r="H31" s="18" t="n">
        <f aca="false">SUM(H24:H29)</f>
        <v>13700</v>
      </c>
      <c r="I31" s="18" t="n">
        <f aca="false">SUM(I24:I29)</f>
        <v>847055.04</v>
      </c>
      <c r="J31" s="52" t="str">
        <f aca="false">IF(E31=0,"N/A",100*H31/E31)</f>
        <v>N/A</v>
      </c>
      <c r="K31" s="16"/>
      <c r="L31" s="18" t="n">
        <f aca="false">H31-E31</f>
        <v>13700</v>
      </c>
      <c r="M31" s="18" t="n">
        <f aca="false">I31-F31</f>
        <v>846923.04</v>
      </c>
      <c r="N31" s="68" t="str">
        <f aca="false">IF(E31=0,"N/A",L31/E31)</f>
        <v>N/A</v>
      </c>
    </row>
    <row r="33" customFormat="false" ht="12.75" hidden="false" customHeight="false" outlineLevel="0" collapsed="false">
      <c r="B33" s="11" t="s">
        <v>28</v>
      </c>
    </row>
    <row r="35" customFormat="false" ht="12.75" hidden="false" customHeight="false" outlineLevel="0" collapsed="false">
      <c r="C35" s="1" t="s">
        <v>29</v>
      </c>
      <c r="F35" s="18" t="n">
        <f aca="false">Estimación!M33</f>
        <v>0</v>
      </c>
      <c r="I35" s="22" t="n">
        <v>0</v>
      </c>
      <c r="J35" s="52" t="str">
        <f aca="false">IF(F35=0,"N/A",100*I35/F35)</f>
        <v>N/A</v>
      </c>
      <c r="L35" s="18"/>
      <c r="M35" s="18" t="n">
        <f aca="false">I35-F35</f>
        <v>0</v>
      </c>
      <c r="N35" s="68" t="str">
        <f aca="false">IF(F35=0,"N/A",M35/F35)</f>
        <v>N/A</v>
      </c>
    </row>
    <row r="36" customFormat="false" ht="12.75" hidden="false" customHeight="false" outlineLevel="0" collapsed="false">
      <c r="C36" s="1" t="s">
        <v>30</v>
      </c>
      <c r="F36" s="18" t="n">
        <f aca="false">Estimación!M34</f>
        <v>0</v>
      </c>
      <c r="I36" s="22" t="n">
        <v>0</v>
      </c>
      <c r="J36" s="52" t="str">
        <f aca="false">IF(F36=0,"N/A",100*I36/F36)</f>
        <v>N/A</v>
      </c>
      <c r="L36" s="18"/>
      <c r="M36" s="18" t="n">
        <f aca="false">I36-F36</f>
        <v>0</v>
      </c>
      <c r="N36" s="68" t="str">
        <f aca="false">IF(F36=0,"N/A",M36/F36)</f>
        <v>N/A</v>
      </c>
    </row>
    <row r="37" customFormat="false" ht="12.75" hidden="false" customHeight="false" outlineLevel="0" collapsed="false">
      <c r="F37" s="18"/>
      <c r="J37" s="52" t="str">
        <f aca="false">IF(F37=0,"N/A",100*I37/F37)</f>
        <v>N/A</v>
      </c>
      <c r="L37" s="18"/>
      <c r="M37" s="18"/>
      <c r="N37" s="68"/>
    </row>
    <row r="38" customFormat="false" ht="12.75" hidden="false" customHeight="false" outlineLevel="0" collapsed="false">
      <c r="C38" s="11" t="s">
        <v>27</v>
      </c>
      <c r="F38" s="18" t="n">
        <f aca="false">SUM(F35:F36)</f>
        <v>0</v>
      </c>
      <c r="I38" s="18" t="n">
        <f aca="false">SUM(I35:I36)</f>
        <v>0</v>
      </c>
      <c r="J38" s="52" t="str">
        <f aca="false">IF(F38=0,"N/A",100*I38/F38)</f>
        <v>N/A</v>
      </c>
      <c r="K38" s="16"/>
      <c r="L38" s="18"/>
      <c r="M38" s="18" t="n">
        <f aca="false">I38-F38</f>
        <v>0</v>
      </c>
      <c r="N38" s="68" t="str">
        <f aca="false">IF(F38=0,"N/A",M38/F38)</f>
        <v>N/A</v>
      </c>
    </row>
    <row r="39" customFormat="false" ht="12.75" hidden="false" customHeight="false" outlineLevel="0" collapsed="false">
      <c r="J39" s="52" t="str">
        <f aca="false">IF(F39=0,"N/A",100*I39/F39)</f>
        <v>N/A</v>
      </c>
      <c r="N39" s="68"/>
    </row>
    <row r="40" customFormat="false" ht="12.75" hidden="false" customHeight="false" outlineLevel="0" collapsed="false">
      <c r="B40" s="11" t="s">
        <v>120</v>
      </c>
      <c r="J40" s="52" t="str">
        <f aca="false">IF(F40=0,"N/A",100*I40/F40)</f>
        <v>N/A</v>
      </c>
      <c r="N40" s="68"/>
    </row>
    <row r="41" customFormat="false" ht="12.75" hidden="false" customHeight="false" outlineLevel="0" collapsed="false">
      <c r="J41" s="52" t="str">
        <f aca="false">IF(F41=0,"N/A",100*I41/F41)</f>
        <v>N/A</v>
      </c>
      <c r="N41" s="68"/>
    </row>
    <row r="42" customFormat="false" ht="12.75" hidden="false" customHeight="false" outlineLevel="0" collapsed="false">
      <c r="C42" s="1" t="s">
        <v>121</v>
      </c>
      <c r="F42" s="18" t="n">
        <v>7000</v>
      </c>
      <c r="G42" s="48"/>
      <c r="I42" s="22" t="n">
        <v>6500</v>
      </c>
      <c r="J42" s="52" t="n">
        <f aca="false">IF(F42=0,"N/A",100*I42/F42)</f>
        <v>92.8571428571429</v>
      </c>
      <c r="K42" s="16"/>
      <c r="L42" s="18"/>
      <c r="M42" s="18" t="n">
        <f aca="false">I42-F42</f>
        <v>-500</v>
      </c>
      <c r="N42" s="68" t="n">
        <f aca="false">IF(F42=0,"N/A",M42/F42)</f>
        <v>-0.0714285714285714</v>
      </c>
    </row>
    <row r="43" customFormat="false" ht="12.75" hidden="false" customHeight="false" outlineLevel="0" collapsed="false">
      <c r="C43" s="1" t="s">
        <v>33</v>
      </c>
      <c r="F43" s="18" t="n">
        <v>500</v>
      </c>
      <c r="G43" s="48"/>
      <c r="I43" s="22" t="n">
        <v>400</v>
      </c>
      <c r="J43" s="52" t="n">
        <f aca="false">IF(F43=0,"N/A",100*I43/F43)</f>
        <v>80</v>
      </c>
      <c r="K43" s="16"/>
      <c r="L43" s="18"/>
      <c r="M43" s="18" t="n">
        <f aca="false">I43-F43</f>
        <v>-100</v>
      </c>
      <c r="N43" s="68" t="n">
        <f aca="false">IF(F43=0,"N/A",M43/F43)</f>
        <v>-0.2</v>
      </c>
    </row>
    <row r="44" customFormat="false" ht="12.75" hidden="false" customHeight="false" outlineLevel="0" collapsed="false">
      <c r="C44" s="1" t="s">
        <v>34</v>
      </c>
      <c r="F44" s="18" t="n">
        <v>2000</v>
      </c>
      <c r="G44" s="48"/>
      <c r="I44" s="22" t="n">
        <v>2500</v>
      </c>
      <c r="J44" s="52" t="n">
        <f aca="false">IF(F44=0,"N/A",100*I44/F44)</f>
        <v>125</v>
      </c>
      <c r="K44" s="16"/>
      <c r="L44" s="18"/>
      <c r="M44" s="18" t="n">
        <f aca="false">I44-F44</f>
        <v>500</v>
      </c>
      <c r="N44" s="68" t="n">
        <f aca="false">IF(F44=0,"N/A",M44/F44)</f>
        <v>0.25</v>
      </c>
    </row>
    <row r="45" customFormat="false" ht="12.75" hidden="false" customHeight="false" outlineLevel="0" collapsed="false">
      <c r="C45" s="1" t="s">
        <v>36</v>
      </c>
      <c r="F45" s="18" t="n">
        <v>14000</v>
      </c>
      <c r="G45" s="48"/>
      <c r="I45" s="80" t="n">
        <v>15000</v>
      </c>
      <c r="J45" s="52" t="n">
        <f aca="false">IF(F45=0,"N/A",100*I45/F45)</f>
        <v>107.142857142857</v>
      </c>
      <c r="K45" s="16"/>
      <c r="L45" s="18"/>
      <c r="M45" s="18" t="n">
        <f aca="false">I45-F45</f>
        <v>1000</v>
      </c>
      <c r="N45" s="68" t="n">
        <f aca="false">IF(F45=0,"N/A",M45/F45)</f>
        <v>0.0714285714285714</v>
      </c>
    </row>
    <row r="46" customFormat="false" ht="12.75" hidden="false" customHeight="false" outlineLevel="0" collapsed="false">
      <c r="C46" s="1" t="s">
        <v>37</v>
      </c>
      <c r="F46" s="18" t="n">
        <v>2000</v>
      </c>
      <c r="G46" s="48"/>
      <c r="I46" s="22" t="n">
        <v>1500</v>
      </c>
      <c r="J46" s="52" t="n">
        <f aca="false">IF(F46=0,"N/A",100*I46/F46)</f>
        <v>75</v>
      </c>
      <c r="K46" s="16"/>
      <c r="L46" s="18"/>
      <c r="M46" s="18" t="n">
        <f aca="false">I46-F46</f>
        <v>-500</v>
      </c>
      <c r="N46" s="68" t="n">
        <f aca="false">IF(F46=0,"N/A",M46/F46)</f>
        <v>-0.25</v>
      </c>
    </row>
    <row r="47" customFormat="false" ht="12.75" hidden="false" customHeight="false" outlineLevel="0" collapsed="false">
      <c r="C47" s="1" t="s">
        <v>38</v>
      </c>
      <c r="F47" s="18" t="n">
        <v>1500</v>
      </c>
      <c r="I47" s="22" t="n">
        <v>1000</v>
      </c>
      <c r="J47" s="52" t="n">
        <f aca="false">IF(F47=0,"N/A",100*I47/F47)</f>
        <v>66.6666666666667</v>
      </c>
      <c r="L47" s="18"/>
      <c r="M47" s="18" t="n">
        <f aca="false">I47-F47</f>
        <v>-500</v>
      </c>
      <c r="N47" s="68" t="n">
        <f aca="false">IF(F47=0,"N/A",M47/F47)</f>
        <v>-0.333333333333333</v>
      </c>
    </row>
    <row r="48" customFormat="false" ht="12.75" hidden="false" customHeight="false" outlineLevel="0" collapsed="false">
      <c r="B48" s="11"/>
      <c r="F48" s="18"/>
      <c r="J48" s="52" t="str">
        <f aca="false">IF(F48=0,"N/A",100*I48/F48)</f>
        <v>N/A</v>
      </c>
      <c r="L48" s="18"/>
      <c r="M48" s="18"/>
      <c r="N48" s="68"/>
    </row>
    <row r="49" customFormat="false" ht="12.75" hidden="false" customHeight="false" outlineLevel="0" collapsed="false">
      <c r="C49" s="1" t="s">
        <v>123</v>
      </c>
      <c r="F49" s="18" t="n">
        <f aca="false">F24*Estimación!K22+Situación!F25*Estimación!K24+Situación!F26*Estimación!K25+Situación!F27*Estimación!K26+Situación!F28*Estimación!K27+F38*Estimación!K36+F42*Estimación!K40+Situación!F42*Estimación!K41+Situación!F43*Estimación!K42+SUM(F45:F47)*Estimación!K52</f>
        <v>875.55</v>
      </c>
      <c r="I49" s="15" t="n">
        <v>657</v>
      </c>
      <c r="J49" s="52" t="n">
        <f aca="false">IF(F49=0,"N/A",100*I49/F49)</f>
        <v>75.0385471989035</v>
      </c>
      <c r="L49" s="18"/>
      <c r="M49" s="18" t="n">
        <f aca="false">I49-F49</f>
        <v>-218.55</v>
      </c>
      <c r="N49" s="68" t="n">
        <f aca="false">IF(F49=0,"N/A",M49/F49)</f>
        <v>-0.249614528010965</v>
      </c>
    </row>
    <row r="50" customFormat="false" ht="12.75" hidden="false" customHeight="false" outlineLevel="0" collapsed="false">
      <c r="J50" s="52" t="str">
        <f aca="false">IF(F50=0,"N/A",100*I50/F50)</f>
        <v>N/A</v>
      </c>
      <c r="L50" s="18"/>
      <c r="M50" s="18"/>
      <c r="N50" s="68"/>
    </row>
    <row r="51" customFormat="false" ht="12.75" hidden="false" customHeight="false" outlineLevel="0" collapsed="false">
      <c r="C51" s="11" t="s">
        <v>27</v>
      </c>
      <c r="F51" s="18" t="n">
        <f aca="false">SUM(F42:F49)</f>
        <v>27875.55</v>
      </c>
      <c r="I51" s="18" t="n">
        <f aca="false">SUM(I42:I49)</f>
        <v>27557</v>
      </c>
      <c r="J51" s="52" t="n">
        <f aca="false">IF(F51=0,"N/A",100*I51/F51)</f>
        <v>98.8572422786277</v>
      </c>
      <c r="L51" s="18"/>
      <c r="M51" s="18" t="n">
        <f aca="false">I51-F51</f>
        <v>-318.549999999999</v>
      </c>
      <c r="N51" s="68" t="n">
        <f aca="false">IF(F51=0,"N/A",M51/F51)</f>
        <v>-0.0114275772137231</v>
      </c>
    </row>
    <row r="52" customFormat="false" ht="12.75" hidden="false" customHeight="false" outlineLevel="0" collapsed="false">
      <c r="L52" s="18"/>
      <c r="M52" s="18"/>
      <c r="N52" s="68"/>
    </row>
    <row r="53" customFormat="false" ht="12.75" hidden="false" customHeight="false" outlineLevel="0" collapsed="false">
      <c r="L53" s="18"/>
      <c r="M53" s="18"/>
      <c r="N53" s="68"/>
    </row>
    <row r="54" customFormat="false" ht="12.75" hidden="false" customHeight="false" outlineLevel="0" collapsed="false">
      <c r="B54" s="11" t="s">
        <v>39</v>
      </c>
      <c r="C54" s="11"/>
      <c r="F54" s="18" t="n">
        <f aca="false">F31+F38+F51</f>
        <v>28007.55</v>
      </c>
      <c r="I54" s="18" t="n">
        <f aca="false">I31+I38+I51</f>
        <v>874612.04</v>
      </c>
      <c r="J54" s="53" t="n">
        <f aca="false">IF(F54=0,"N/A",100*I54/F54)</f>
        <v>3122.77239530055</v>
      </c>
      <c r="K54" s="16"/>
      <c r="L54" s="18"/>
      <c r="M54" s="18" t="n">
        <f aca="false">I54-F54</f>
        <v>846604.49</v>
      </c>
      <c r="N54" s="68" t="n">
        <f aca="false">IF(F54=0,"N/A",M54/F54)</f>
        <v>30.2277239530055</v>
      </c>
    </row>
    <row r="57" customFormat="false" ht="12.75" hidden="false" customHeight="false" outlineLevel="0" collapsed="false">
      <c r="A57" s="10" t="s">
        <v>124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customFormat="false" ht="12.75" hidden="false" customHeight="false" outlineLevel="0" collapsed="false">
      <c r="B58" s="11"/>
      <c r="C58" s="11"/>
      <c r="D58" s="11"/>
      <c r="E58" s="11"/>
      <c r="F58" s="11"/>
      <c r="G58" s="11"/>
      <c r="H58" s="11"/>
      <c r="I58" s="11"/>
      <c r="J58" s="11"/>
      <c r="K58" s="11"/>
      <c r="N58" s="72"/>
    </row>
    <row r="60" customFormat="false" ht="12.75" hidden="false" customHeight="false" outlineLevel="0" collapsed="false">
      <c r="B60" s="11" t="s">
        <v>125</v>
      </c>
      <c r="F60" s="18" t="n">
        <v>3500000</v>
      </c>
      <c r="I60" s="55" t="n">
        <v>2760000</v>
      </c>
      <c r="J60" s="52" t="n">
        <f aca="false">IF(F60=0,"N/A",100*I60/F60)</f>
        <v>78.8571428571429</v>
      </c>
      <c r="L60" s="18"/>
      <c r="M60" s="18" t="n">
        <f aca="false">I60-F60</f>
        <v>-740000</v>
      </c>
      <c r="N60" s="68" t="n">
        <f aca="false">IF(F60=0,"N/A",M60/F60)</f>
        <v>-0.211428571428571</v>
      </c>
    </row>
    <row r="61" customFormat="false" ht="12.75" hidden="false" customHeight="false" outlineLevel="0" collapsed="false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81"/>
    </row>
    <row r="62" customFormat="false" ht="12.75" hidden="false" customHeight="false" outlineLevel="0" collapsed="false">
      <c r="B62" s="11" t="s">
        <v>43</v>
      </c>
      <c r="F62" s="18" t="n">
        <f aca="false">F60-F54</f>
        <v>3471992.45</v>
      </c>
      <c r="G62" s="57" t="n">
        <f aca="false">IF(F54=0,"N/A",F62/F54)</f>
        <v>123.966303728816</v>
      </c>
      <c r="I62" s="82" t="n">
        <f aca="false">I60-I54</f>
        <v>1885387.96</v>
      </c>
      <c r="J62" s="68" t="n">
        <f aca="false">IF(I54=0,"N/A",I62/I54)</f>
        <v>2.15568489086887</v>
      </c>
      <c r="L62" s="82"/>
      <c r="M62" s="18" t="n">
        <f aca="false">I62-F62</f>
        <v>-1586604.49</v>
      </c>
      <c r="N62" s="68" t="n">
        <f aca="false">IF(F62=0,"N/A",M62/F62)</f>
        <v>-0.456972332989952</v>
      </c>
    </row>
    <row r="66" customFormat="false" ht="12.75" hidden="false" customHeight="false" outlineLevel="0" collapsed="false">
      <c r="A66" s="10" t="s">
        <v>146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8" customFormat="false" ht="12.75" hidden="false" customHeight="false" outlineLevel="0" collapsed="false">
      <c r="B68" s="11" t="s">
        <v>147</v>
      </c>
      <c r="F68" s="15" t="n">
        <v>10</v>
      </c>
      <c r="G68" s="14" t="s">
        <v>148</v>
      </c>
    </row>
    <row r="71" customFormat="false" ht="12.75" hidden="false" customHeight="false" outlineLevel="0" collapsed="false">
      <c r="B71" s="11" t="s">
        <v>149</v>
      </c>
      <c r="C71" s="11"/>
      <c r="F71" s="53" t="str">
        <f aca="false">IF(Cierre!E31=0,"N/A",(F54-Cierre!F38-Cierre!F45-Cierre!F38*Estimación!K36-Cierre!F45*Estimación!K52)/Cierre!E31)</f>
        <v>N/A</v>
      </c>
      <c r="I71" s="53" t="n">
        <f aca="false">IF(Cierre!H31=0,"N/A",(I54-I38-I38*Estimación!K36-Cierre!I45-Cierre!I45*Estimación!K52)/Cierre!H31)</f>
        <v>62.7125576642336</v>
      </c>
      <c r="M71" s="46" t="e">
        <f aca="false">I71-F71</f>
        <v>#VALUE!</v>
      </c>
    </row>
    <row r="73" customFormat="false" ht="12.75" hidden="false" customHeight="false" outlineLevel="0" collapsed="false">
      <c r="B73" s="11" t="s">
        <v>150</v>
      </c>
      <c r="F73" s="46" t="e">
        <f aca="false">(F60-(F38*(1+Estimación!K36)-Cierre!F45*(1+Estimación!K52))*(1+Cierre!G62))/Cierre!E31</f>
        <v>#DIV/0!</v>
      </c>
      <c r="I73" s="46" t="n">
        <f aca="false">(I60-(I38*(1+Estimación!K36)-Cierre!I45*(1+Estimación!K52))*(1+Cierre!J62))/Cierre!H31</f>
        <v>205.018637340432</v>
      </c>
      <c r="M73" s="46" t="e">
        <f aca="false">I73-F73</f>
        <v>#DIV/0!</v>
      </c>
    </row>
    <row r="74" customFormat="false" ht="12.75" hidden="false" customHeight="false" outlineLevel="0" collapsed="false">
      <c r="B74" s="11"/>
    </row>
    <row r="75" customFormat="false" ht="12.75" hidden="false" customHeight="false" outlineLevel="0" collapsed="false">
      <c r="B75" s="11" t="s">
        <v>151</v>
      </c>
      <c r="F75" s="46" t="e">
        <f aca="false">F73-F71</f>
        <v>#DIV/0!</v>
      </c>
      <c r="G75" s="44"/>
      <c r="I75" s="46" t="n">
        <f aca="false">I73-I71</f>
        <v>142.306079676199</v>
      </c>
    </row>
    <row r="77" customFormat="false" ht="12.75" hidden="false" customHeight="false" outlineLevel="0" collapsed="false">
      <c r="B77" s="11" t="s">
        <v>152</v>
      </c>
      <c r="C77" s="11"/>
      <c r="D77" s="11" t="s">
        <v>153</v>
      </c>
      <c r="F77" s="18" t="e">
        <f aca="false">F31*(1+Estimación!K29)</f>
        <v>#VALUE!</v>
      </c>
      <c r="G77" s="83" t="e">
        <f aca="false">IF(F54=0,"N/A",F77/F54)</f>
        <v>#VALUE!</v>
      </c>
      <c r="I77" s="18" t="e">
        <f aca="false">I31*(1+Estimación!K29)</f>
        <v>#VALUE!</v>
      </c>
      <c r="J77" s="47" t="e">
        <f aca="false">I77/$I$54</f>
        <v>#VALUE!</v>
      </c>
    </row>
    <row r="78" customFormat="false" ht="12.75" hidden="false" customHeight="false" outlineLevel="0" collapsed="false">
      <c r="B78" s="11"/>
      <c r="C78" s="11"/>
      <c r="D78" s="11" t="s">
        <v>154</v>
      </c>
      <c r="F78" s="18" t="n">
        <f aca="false">F38*(1+Estimación!K36)</f>
        <v>0</v>
      </c>
      <c r="G78" s="83" t="n">
        <f aca="false">IF(F54=0,"N/A",F78/F54)</f>
        <v>0</v>
      </c>
      <c r="I78" s="18" t="n">
        <f aca="false">I38*(1+Estimación!K36)</f>
        <v>0</v>
      </c>
      <c r="J78" s="83" t="n">
        <f aca="false">IF($I$54=0,"N/A",I78/$I$54)</f>
        <v>0</v>
      </c>
    </row>
    <row r="79" customFormat="false" ht="12.75" hidden="false" customHeight="false" outlineLevel="0" collapsed="false">
      <c r="B79" s="11"/>
      <c r="C79" s="11"/>
      <c r="D79" s="11" t="s">
        <v>87</v>
      </c>
      <c r="F79" s="18" t="n">
        <f aca="false">F45*(1+Estimación!K52)</f>
        <v>14420</v>
      </c>
      <c r="G79" s="83" t="n">
        <f aca="false">IF(F54=0,"N/A",F79/F54)</f>
        <v>0.514861171362722</v>
      </c>
      <c r="I79" s="18" t="n">
        <f aca="false">I45*(1+Estimación!K52)</f>
        <v>15450</v>
      </c>
      <c r="J79" s="83" t="n">
        <f aca="false">IF($I$54=0,"N/A",I79/$I$54)</f>
        <v>0.0176649752043203</v>
      </c>
    </row>
    <row r="81" customFormat="false" ht="12.75" hidden="false" customHeight="false" outlineLevel="0" collapsed="false">
      <c r="B81" s="11" t="s">
        <v>155</v>
      </c>
    </row>
    <row r="83" customFormat="false" ht="12.75" hidden="false" customHeight="false" outlineLevel="0" collapsed="false">
      <c r="C83" s="1" t="s">
        <v>21</v>
      </c>
      <c r="F83" s="84" t="n">
        <f aca="false">IF($F$68=0,"N/A",E24/(160*$F$68))</f>
        <v>0.4075</v>
      </c>
      <c r="G83" s="48"/>
      <c r="H83" s="48"/>
      <c r="I83" s="84" t="n">
        <f aca="false">IF($F$68=0,"N/A",H24/(160*$F$68))</f>
        <v>0.4375</v>
      </c>
      <c r="J83" s="48"/>
      <c r="K83" s="48"/>
      <c r="L83" s="48"/>
      <c r="M83" s="48" t="n">
        <f aca="false">I83-F83</f>
        <v>0.03</v>
      </c>
    </row>
    <row r="84" customFormat="false" ht="12.75" hidden="false" customHeight="false" outlineLevel="0" collapsed="false">
      <c r="C84" s="1" t="s">
        <v>22</v>
      </c>
      <c r="F84" s="84" t="n">
        <f aca="false">IF($F$68=0,"N/A",E25/(160*$F$68))</f>
        <v>2.4525</v>
      </c>
      <c r="G84" s="48"/>
      <c r="H84" s="48"/>
      <c r="I84" s="84" t="n">
        <f aca="false">IF($F$68=0,"N/A",H25/(160*$F$68))</f>
        <v>2.8125</v>
      </c>
      <c r="J84" s="48"/>
      <c r="K84" s="48"/>
      <c r="L84" s="48"/>
      <c r="M84" s="48" t="n">
        <f aca="false">I84-F84</f>
        <v>0.36</v>
      </c>
    </row>
    <row r="85" customFormat="false" ht="12.75" hidden="false" customHeight="false" outlineLevel="0" collapsed="false">
      <c r="C85" s="1" t="s">
        <v>23</v>
      </c>
      <c r="F85" s="84" t="n">
        <f aca="false">IF($F$68=0,"N/A",E26/(160*$F$68))</f>
        <v>0.915</v>
      </c>
      <c r="G85" s="48"/>
      <c r="H85" s="48"/>
      <c r="I85" s="84" t="n">
        <f aca="false">IF($F$68=0,"N/A",H26/(160*$F$68))</f>
        <v>1.875</v>
      </c>
      <c r="J85" s="48"/>
      <c r="K85" s="48"/>
      <c r="L85" s="48"/>
      <c r="M85" s="48" t="n">
        <f aca="false">I85-F85</f>
        <v>0.96</v>
      </c>
    </row>
    <row r="86" customFormat="false" ht="12.75" hidden="false" customHeight="false" outlineLevel="0" collapsed="false">
      <c r="C86" s="1" t="s">
        <v>24</v>
      </c>
      <c r="F86" s="84" t="n">
        <f aca="false">IF($F$68=0,"N/A",E27/(160*$F$68))</f>
        <v>2.755</v>
      </c>
      <c r="G86" s="48"/>
      <c r="H86" s="48"/>
      <c r="I86" s="84" t="n">
        <f aca="false">IF($F$68=0,"N/A",H27/(160*$F$68))</f>
        <v>3.4375</v>
      </c>
      <c r="J86" s="48"/>
      <c r="K86" s="48"/>
      <c r="L86" s="48"/>
      <c r="M86" s="48" t="n">
        <f aca="false">I86-F86</f>
        <v>0.6825</v>
      </c>
    </row>
    <row r="87" customFormat="false" ht="12.75" hidden="false" customHeight="false" outlineLevel="0" collapsed="false">
      <c r="C87" s="1" t="s">
        <v>25</v>
      </c>
      <c r="F87" s="84" t="n">
        <f aca="false">IF($F$68=0,"N/A",E28/(160*$F$68))</f>
        <v>0</v>
      </c>
      <c r="G87" s="48"/>
      <c r="H87" s="48"/>
      <c r="I87" s="84" t="n">
        <f aca="false">IF($F$68=0,"N/A",H28/(160*$F$68))</f>
        <v>0</v>
      </c>
      <c r="J87" s="48"/>
      <c r="K87" s="48"/>
      <c r="L87" s="48"/>
      <c r="M87" s="48" t="n">
        <f aca="false">I87-F87</f>
        <v>0</v>
      </c>
    </row>
    <row r="88" customFormat="false" ht="12.75" hidden="false" customHeight="false" outlineLevel="0" collapsed="false">
      <c r="C88" s="1" t="s">
        <v>26</v>
      </c>
      <c r="F88" s="84" t="n">
        <f aca="false">IF($F$68=0,"N/A",E29/(160*$F$68))</f>
        <v>0</v>
      </c>
      <c r="G88" s="48"/>
      <c r="H88" s="48"/>
      <c r="I88" s="84" t="n">
        <f aca="false">IF($F$68=0,"N/A",H29/(160*$F$68))</f>
        <v>0</v>
      </c>
      <c r="J88" s="48"/>
      <c r="K88" s="48"/>
      <c r="L88" s="48"/>
      <c r="M88" s="48" t="n">
        <f aca="false">I88-F88</f>
        <v>0</v>
      </c>
    </row>
    <row r="89" customFormat="false" ht="12.75" hidden="false" customHeight="false" outlineLevel="0" collapsed="false">
      <c r="F89" s="48"/>
      <c r="G89" s="48"/>
      <c r="H89" s="48"/>
      <c r="I89" s="48"/>
      <c r="J89" s="48"/>
      <c r="K89" s="48"/>
      <c r="L89" s="48"/>
      <c r="M89" s="48"/>
    </row>
    <row r="90" customFormat="false" ht="12.75" hidden="false" customHeight="false" outlineLevel="0" collapsed="false">
      <c r="C90" s="11" t="s">
        <v>156</v>
      </c>
      <c r="F90" s="48" t="n">
        <f aca="false">SUM(F83:F88)</f>
        <v>6.53</v>
      </c>
      <c r="G90" s="48"/>
      <c r="H90" s="48"/>
      <c r="I90" s="48" t="n">
        <f aca="false">SUM(I83:I88)</f>
        <v>8.5625</v>
      </c>
      <c r="J90" s="48"/>
      <c r="K90" s="48"/>
      <c r="L90" s="48"/>
      <c r="M90" s="48" t="n">
        <f aca="false">I90-F90</f>
        <v>2.0325</v>
      </c>
    </row>
    <row r="92" customFormat="false" ht="12.75" hidden="false" customHeight="false" outlineLevel="0" collapsed="false">
      <c r="B92" s="11" t="s">
        <v>157</v>
      </c>
      <c r="F92" s="18" t="n">
        <f aca="false">F54-F94</f>
        <v>10507.55</v>
      </c>
      <c r="G92" s="68" t="n">
        <f aca="false">IF(F54=0,"N/A",F92/F54)</f>
        <v>0.37516848135592</v>
      </c>
      <c r="I92" s="18" t="n">
        <f aca="false">I54-I94</f>
        <v>857112.04</v>
      </c>
      <c r="J92" s="68" t="n">
        <f aca="false">IF(I54=0,"N/A",I92/I54)</f>
        <v>0.979991128409346</v>
      </c>
      <c r="M92" s="18" t="n">
        <f aca="false">I92-F92</f>
        <v>846604.49</v>
      </c>
    </row>
    <row r="94" customFormat="false" ht="12.75" hidden="false" customHeight="false" outlineLevel="0" collapsed="false">
      <c r="B94" s="11" t="s">
        <v>158</v>
      </c>
      <c r="F94" s="18" t="n">
        <f aca="false">F38+F45+F46+F47</f>
        <v>17500</v>
      </c>
      <c r="G94" s="68" t="n">
        <f aca="false">IF(F54=0,"N/A",F94/F54)</f>
        <v>0.62483151864408</v>
      </c>
      <c r="I94" s="18" t="n">
        <f aca="false">I38+I45+I46+I47</f>
        <v>17500</v>
      </c>
      <c r="J94" s="68" t="n">
        <f aca="false">IF(I54=0,"N/A",I94/I54)</f>
        <v>0.0200088715906541</v>
      </c>
      <c r="M94" s="18" t="n">
        <f aca="false">I94-F94</f>
        <v>0</v>
      </c>
    </row>
    <row r="102" customFormat="false" ht="12.75" hidden="false" customHeight="false" outlineLevel="0" collapsed="false">
      <c r="M102" s="85"/>
    </row>
  </sheetData>
  <mergeCells count="21">
    <mergeCell ref="C1:N2"/>
    <mergeCell ref="C4:N5"/>
    <mergeCell ref="A7:B7"/>
    <mergeCell ref="C7:F7"/>
    <mergeCell ref="H7:I7"/>
    <mergeCell ref="J7:N7"/>
    <mergeCell ref="A8:B8"/>
    <mergeCell ref="C8:F8"/>
    <mergeCell ref="H8:I8"/>
    <mergeCell ref="J8:N8"/>
    <mergeCell ref="A11:C11"/>
    <mergeCell ref="D11:E11"/>
    <mergeCell ref="H11:I11"/>
    <mergeCell ref="H12:I12"/>
    <mergeCell ref="H13:I13"/>
    <mergeCell ref="A17:N17"/>
    <mergeCell ref="E21:F21"/>
    <mergeCell ref="H21:J21"/>
    <mergeCell ref="L21:N21"/>
    <mergeCell ref="A57:N57"/>
    <mergeCell ref="A66:N66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1999-07-18T10:25:34Z</dcterms:created>
  <dc:creator>Alberto Domingo</dc:creator>
  <dc:description/>
  <dc:language>en-GB</dc:language>
  <cp:lastModifiedBy/>
  <dcterms:modified xsi:type="dcterms:W3CDTF">2023-05-08T23:50:51Z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