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ducción\Ingeniería\Templates\Carpeta Presupuestos\xx Cliente\Ixxx-xxxx - Descripción\InnTech\Ingeniería\Cotizaciones al Cliente\"/>
    </mc:Choice>
  </mc:AlternateContent>
  <bookViews>
    <workbookView xWindow="0" yWindow="0" windowWidth="20490" windowHeight="6615" tabRatio="735" activeTab="6"/>
  </bookViews>
  <sheets>
    <sheet name="1.- RQ del Cliente" sheetId="13" r:id="rId1"/>
    <sheet name="Elio_1" sheetId="19" r:id="rId2"/>
    <sheet name="2.- Entregables del Soft" sheetId="18" r:id="rId3"/>
    <sheet name="Elio_2" sheetId="20" r:id="rId4"/>
    <sheet name="3.- Medición del Soft" sheetId="11" r:id="rId5"/>
    <sheet name="Elio_3" sheetId="21" r:id="rId6"/>
    <sheet name="4.- Cotización Proyecto" sheetId="17" r:id="rId7"/>
  </sheets>
  <definedNames>
    <definedName name="Cantidad_Colaboradores">'3.- Medición del Soft'!$C$59</definedName>
    <definedName name="Costo_Colaborador">'3.- Medición del Soft'!$C$70</definedName>
    <definedName name="Costo_Soft">'3.- Medición del Soft'!$C$73</definedName>
    <definedName name="Días_Laborales_Al_Mes">'3.- Medición del Soft'!$C$55</definedName>
    <definedName name="Doc_FI21">'4.- Cotización Proyecto'!$H$108</definedName>
    <definedName name="Doc_ST21">'4.- Cotización Proyecto'!$H$104</definedName>
    <definedName name="Doc_Total">'4.- Cotización Proyecto'!$H$109</definedName>
    <definedName name="FIObra_ARS">'4.- Cotización Proyecto'!$H$229</definedName>
    <definedName name="FIObra_USD">'4.- Cotización Proyecto'!$I$229</definedName>
    <definedName name="Hard_FI12">'4.- Cotización Proyecto'!$H$73</definedName>
    <definedName name="Hard_ST12">'4.- Cotización Proyecto'!$H$69</definedName>
    <definedName name="Hard_Total">'4.- Cotización Proyecto'!$H$74</definedName>
    <definedName name="Horas_Soft">'3.- Medición del Soft'!$C$66</definedName>
    <definedName name="Hs_Diarias_Laborales">'3.- Medición del Soft'!$C$57</definedName>
    <definedName name="IIBB">'4.- Cotización Proyecto'!$G$225</definedName>
    <definedName name="Resumen">'4.- Cotización Proyecto'!$H$199</definedName>
    <definedName name="ServExt_FI31">'4.- Cotización Proyecto'!$H$143</definedName>
    <definedName name="ServExt_ST31">'4.- Cotización Proyecto'!$H$139</definedName>
    <definedName name="ServExt_Total">'4.- Cotización Proyecto'!$H$144</definedName>
    <definedName name="Soft_FI11">'4.- Cotización Proyecto'!$H$40</definedName>
    <definedName name="Soft_ST11">'4.- Cotización Proyecto'!$H$36</definedName>
    <definedName name="Soft_Total">'4.- Cotización Proyecto'!$H$41</definedName>
    <definedName name="Tasa_de_Entrega">'3.- Medición del Soft'!$C$53</definedName>
    <definedName name="TC">'4.- Cotización Proyecto'!$H$4</definedName>
    <definedName name="TotalObra_ARS">'4.- Cotización Proyecto'!$H$227</definedName>
    <definedName name="TotalObra_USD">'4.- Cotización Proyecto'!$I$227</definedName>
    <definedName name="Viaticos_FI41">'4.- Cotización Proyecto'!$H$162</definedName>
    <definedName name="Viaticos_FI42">'4.- Cotización Proyecto'!$H$179</definedName>
    <definedName name="Viaticos_FI43">'4.- Cotización Proyecto'!$H$196</definedName>
    <definedName name="Viaticos_ST41">'4.- Cotización Proyecto'!$H$158</definedName>
    <definedName name="Viaticos_ST42">'4.- Cotización Proyecto'!$H$175</definedName>
    <definedName name="Viaticos_ST43">'4.- Cotización Proyecto'!$H$192</definedName>
    <definedName name="Viaticos_Total1">'4.- Cotización Proyecto'!$H$163</definedName>
    <definedName name="Viaticos_Total2">'4.- Cotización Proyecto'!$H$180</definedName>
    <definedName name="Viaticos_Total3">'4.- Cotización Proyecto'!$H$197</definedName>
  </definedNames>
  <calcPr calcId="162913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1" l="1"/>
  <c r="E166" i="17"/>
  <c r="G79" i="17"/>
  <c r="H79" i="17" s="1"/>
  <c r="G80" i="17"/>
  <c r="H80" i="17" s="1"/>
  <c r="E21" i="21"/>
  <c r="H6" i="11" l="1"/>
  <c r="H7" i="11"/>
  <c r="H8" i="11"/>
  <c r="H9" i="11"/>
  <c r="H10" i="11"/>
  <c r="H11" i="11"/>
  <c r="H12" i="11"/>
  <c r="H13" i="11"/>
  <c r="H14" i="11"/>
  <c r="H2" i="21" l="1"/>
  <c r="M7" i="21" s="1"/>
  <c r="I2" i="21"/>
  <c r="H3" i="21"/>
  <c r="I3" i="21"/>
  <c r="H4" i="21"/>
  <c r="I4" i="21"/>
  <c r="H7" i="21"/>
  <c r="I7" i="21"/>
  <c r="M8" i="21" s="1"/>
  <c r="N8" i="21" s="1"/>
  <c r="H8" i="21"/>
  <c r="I8" i="21"/>
  <c r="H9" i="21"/>
  <c r="I9" i="21"/>
  <c r="F12" i="21"/>
  <c r="G12" i="21"/>
  <c r="H12" i="21"/>
  <c r="I12" i="21"/>
  <c r="F13" i="21"/>
  <c r="G13" i="21"/>
  <c r="H13" i="21"/>
  <c r="I13" i="21"/>
  <c r="F14" i="21"/>
  <c r="G14" i="21"/>
  <c r="G21" i="21" s="1"/>
  <c r="H14" i="21"/>
  <c r="M9" i="21" s="1"/>
  <c r="N9" i="21" s="1"/>
  <c r="I14" i="21"/>
  <c r="F17" i="21"/>
  <c r="G17" i="21"/>
  <c r="H17" i="21"/>
  <c r="M10" i="21" s="1"/>
  <c r="N10" i="21" s="1"/>
  <c r="I17" i="21"/>
  <c r="F18" i="21"/>
  <c r="G18" i="21"/>
  <c r="H18" i="21"/>
  <c r="I18" i="21"/>
  <c r="F19" i="21"/>
  <c r="G19" i="21"/>
  <c r="H19" i="21"/>
  <c r="I19" i="21"/>
  <c r="C21" i="21"/>
  <c r="D21" i="21"/>
  <c r="F21" i="21"/>
  <c r="F3" i="20"/>
  <c r="F4" i="20"/>
  <c r="F5" i="20"/>
  <c r="F6" i="20"/>
  <c r="F7" i="20"/>
  <c r="D194" i="19"/>
  <c r="F194" i="19"/>
  <c r="G194" i="19"/>
  <c r="H194" i="19"/>
  <c r="I194" i="19"/>
  <c r="J194" i="19"/>
  <c r="K194" i="19"/>
  <c r="N7" i="21" l="1"/>
  <c r="M12" i="21"/>
  <c r="P12" i="21" s="1"/>
  <c r="C62" i="11"/>
  <c r="F66" i="11" l="1"/>
  <c r="C64" i="11"/>
  <c r="C66" i="11" s="1"/>
  <c r="F11" i="17" l="1"/>
  <c r="G11" i="17" s="1"/>
  <c r="H11" i="17" s="1"/>
  <c r="G166" i="17"/>
  <c r="H166" i="17" s="1"/>
  <c r="I6" i="11" l="1"/>
  <c r="I7" i="11"/>
  <c r="I8" i="11"/>
  <c r="I9" i="11"/>
  <c r="I10" i="11"/>
  <c r="I11" i="11"/>
  <c r="I12" i="11"/>
  <c r="I13" i="11"/>
  <c r="I14" i="11"/>
  <c r="H15" i="11"/>
  <c r="I15" i="11" s="1"/>
  <c r="H16" i="11"/>
  <c r="I16" i="11" s="1"/>
  <c r="H17" i="11"/>
  <c r="I17" i="11" s="1"/>
  <c r="H18" i="11"/>
  <c r="I18" i="11" s="1"/>
  <c r="G24" i="17" l="1"/>
  <c r="G185" i="17"/>
  <c r="H185" i="17" s="1"/>
  <c r="G184" i="17"/>
  <c r="H184" i="17" s="1"/>
  <c r="G186" i="17"/>
  <c r="H186" i="17" s="1"/>
  <c r="G172" i="17"/>
  <c r="H172" i="17" s="1"/>
  <c r="H175" i="17" s="1"/>
  <c r="H150" i="17"/>
  <c r="G123" i="17"/>
  <c r="H123" i="17" s="1"/>
  <c r="G122" i="17"/>
  <c r="H122" i="17" s="1"/>
  <c r="G121" i="17"/>
  <c r="H121" i="17" s="1"/>
  <c r="G120" i="17"/>
  <c r="H120" i="17" s="1"/>
  <c r="G119" i="17"/>
  <c r="H119" i="17" s="1"/>
  <c r="G118" i="17"/>
  <c r="H118" i="17" s="1"/>
  <c r="G90" i="17"/>
  <c r="H90" i="17" s="1"/>
  <c r="G89" i="17"/>
  <c r="H89" i="17" s="1"/>
  <c r="G88" i="17"/>
  <c r="H88" i="17" s="1"/>
  <c r="G87" i="17"/>
  <c r="H87" i="17" s="1"/>
  <c r="G86" i="17"/>
  <c r="H86" i="17" s="1"/>
  <c r="G85" i="17"/>
  <c r="H85" i="17" s="1"/>
  <c r="G54" i="17"/>
  <c r="H54" i="17" s="1"/>
  <c r="G53" i="17"/>
  <c r="H53" i="17" s="1"/>
  <c r="G52" i="17"/>
  <c r="H52" i="17" s="1"/>
  <c r="G51" i="17"/>
  <c r="H51" i="17" s="1"/>
  <c r="G50" i="17"/>
  <c r="H50" i="17" s="1"/>
  <c r="G49" i="17"/>
  <c r="H49" i="17" s="1"/>
  <c r="E25" i="18"/>
  <c r="G15" i="17" l="1"/>
  <c r="G17" i="17"/>
  <c r="G18" i="17"/>
  <c r="G19" i="17"/>
  <c r="H19" i="17" s="1"/>
  <c r="G20" i="17"/>
  <c r="G16" i="17"/>
  <c r="E66" i="11"/>
  <c r="C203" i="17"/>
  <c r="C74" i="17"/>
  <c r="G63" i="17"/>
  <c r="H63" i="17" s="1"/>
  <c r="G62" i="17"/>
  <c r="H62" i="17" s="1"/>
  <c r="G61" i="17"/>
  <c r="H61" i="17" s="1"/>
  <c r="G60" i="17"/>
  <c r="H60" i="17" s="1"/>
  <c r="G59" i="17"/>
  <c r="H59" i="17" s="1"/>
  <c r="G58" i="17"/>
  <c r="H58" i="17" s="1"/>
  <c r="G57" i="17"/>
  <c r="H57" i="17" s="1"/>
  <c r="G56" i="17"/>
  <c r="H56" i="17" s="1"/>
  <c r="G55" i="17"/>
  <c r="H55" i="17" s="1"/>
  <c r="G48" i="17"/>
  <c r="H48" i="17" s="1"/>
  <c r="G47" i="17"/>
  <c r="H47" i="17" s="1"/>
  <c r="G46" i="17"/>
  <c r="H46" i="17" s="1"/>
  <c r="G45" i="17"/>
  <c r="H45" i="17" s="1"/>
  <c r="G44" i="17"/>
  <c r="H44" i="17" s="1"/>
  <c r="B206" i="17"/>
  <c r="C25" i="13"/>
  <c r="C207" i="17"/>
  <c r="C109" i="17"/>
  <c r="G98" i="17"/>
  <c r="H98" i="17" s="1"/>
  <c r="G97" i="17"/>
  <c r="H97" i="17" s="1"/>
  <c r="G96" i="17"/>
  <c r="H96" i="17" s="1"/>
  <c r="G95" i="17"/>
  <c r="H95" i="17" s="1"/>
  <c r="G94" i="17"/>
  <c r="H94" i="17" s="1"/>
  <c r="G93" i="17"/>
  <c r="H93" i="17" s="1"/>
  <c r="G92" i="17"/>
  <c r="H92" i="17" s="1"/>
  <c r="G91" i="17"/>
  <c r="H91" i="17" s="1"/>
  <c r="G84" i="17"/>
  <c r="H84" i="17" s="1"/>
  <c r="G83" i="17"/>
  <c r="H83" i="17" s="1"/>
  <c r="G82" i="17"/>
  <c r="H82" i="17" s="1"/>
  <c r="G81" i="17"/>
  <c r="H81" i="17" s="1"/>
  <c r="H15" i="17" l="1"/>
  <c r="H18" i="17"/>
  <c r="H16" i="17"/>
  <c r="H20" i="17"/>
  <c r="H17" i="17"/>
  <c r="G65" i="17"/>
  <c r="H65" i="17" s="1"/>
  <c r="G100" i="17"/>
  <c r="H100" i="17" s="1"/>
  <c r="G66" i="17" l="1"/>
  <c r="H66" i="17" s="1"/>
  <c r="G101" i="17"/>
  <c r="H101" i="17" s="1"/>
  <c r="H104" i="17" s="1"/>
  <c r="I218" i="17"/>
  <c r="H151" i="17"/>
  <c r="H149" i="17"/>
  <c r="H152" i="17"/>
  <c r="H153" i="17"/>
  <c r="C163" i="17"/>
  <c r="C217" i="17" s="1"/>
  <c r="C180" i="17"/>
  <c r="C218" i="17" s="1"/>
  <c r="G183" i="17"/>
  <c r="H183" i="17" s="1"/>
  <c r="G187" i="17"/>
  <c r="H187" i="17" s="1"/>
  <c r="C197" i="17"/>
  <c r="C219" i="17" s="1"/>
  <c r="G115" i="17"/>
  <c r="H115" i="17" s="1"/>
  <c r="G116" i="17"/>
  <c r="H116" i="17" s="1"/>
  <c r="G117" i="17"/>
  <c r="H117" i="17" s="1"/>
  <c r="G124" i="17"/>
  <c r="H124" i="17" s="1"/>
  <c r="G125" i="17"/>
  <c r="H125" i="17" s="1"/>
  <c r="G126" i="17"/>
  <c r="H126" i="17" s="1"/>
  <c r="G127" i="17"/>
  <c r="H127" i="17" s="1"/>
  <c r="G128" i="17"/>
  <c r="H128" i="17" s="1"/>
  <c r="G129" i="17"/>
  <c r="H129" i="17" s="1"/>
  <c r="G130" i="17"/>
  <c r="H130" i="17" s="1"/>
  <c r="G131" i="17"/>
  <c r="H131" i="17" s="1"/>
  <c r="G132" i="17"/>
  <c r="H132" i="17" s="1"/>
  <c r="G133" i="17"/>
  <c r="H133" i="17" s="1"/>
  <c r="G114" i="17"/>
  <c r="H114" i="17" s="1"/>
  <c r="B216" i="17"/>
  <c r="B211" i="17"/>
  <c r="C202" i="17"/>
  <c r="B201" i="17"/>
  <c r="C144" i="17"/>
  <c r="C212" i="17" s="1"/>
  <c r="C41" i="17"/>
  <c r="G30" i="17"/>
  <c r="G29" i="17"/>
  <c r="G28" i="17"/>
  <c r="G27" i="17"/>
  <c r="G26" i="17"/>
  <c r="G25" i="17"/>
  <c r="H24" i="17"/>
  <c r="G23" i="17"/>
  <c r="H23" i="17" s="1"/>
  <c r="G22" i="17"/>
  <c r="H22" i="17" s="1"/>
  <c r="G21" i="17"/>
  <c r="H21" i="17" s="1"/>
  <c r="G14" i="17"/>
  <c r="H14" i="17" s="1"/>
  <c r="G13" i="17"/>
  <c r="H13" i="17" s="1"/>
  <c r="G12" i="17"/>
  <c r="H12" i="17" s="1"/>
  <c r="G189" i="17" l="1"/>
  <c r="H189" i="17" s="1"/>
  <c r="H192" i="17" s="1"/>
  <c r="I219" i="17" s="1"/>
  <c r="G155" i="17"/>
  <c r="H155" i="17" s="1"/>
  <c r="H158" i="17" s="1"/>
  <c r="G135" i="17"/>
  <c r="H135" i="17" s="1"/>
  <c r="G106" i="17"/>
  <c r="G107" i="17" s="1"/>
  <c r="H69" i="17"/>
  <c r="G105" i="17"/>
  <c r="I207" i="17"/>
  <c r="G176" i="17"/>
  <c r="I217" i="17" l="1"/>
  <c r="I216" i="17" s="1"/>
  <c r="G136" i="17"/>
  <c r="H136" i="17" s="1"/>
  <c r="H139" i="17" s="1"/>
  <c r="G70" i="17"/>
  <c r="G71" i="17"/>
  <c r="G72" i="17" s="1"/>
  <c r="H108" i="17"/>
  <c r="H109" i="17" s="1"/>
  <c r="H207" i="17" s="1"/>
  <c r="I203" i="17"/>
  <c r="G160" i="17"/>
  <c r="G161" i="17" s="1"/>
  <c r="G159" i="17"/>
  <c r="G177" i="17"/>
  <c r="G178" i="17" s="1"/>
  <c r="G194" i="17"/>
  <c r="G195" i="17" s="1"/>
  <c r="G193" i="17"/>
  <c r="H196" i="17" l="1"/>
  <c r="H197" i="17" s="1"/>
  <c r="H162" i="17"/>
  <c r="H163" i="17" s="1"/>
  <c r="H179" i="17"/>
  <c r="H180" i="17" s="1"/>
  <c r="H73" i="17"/>
  <c r="H74" i="17" s="1"/>
  <c r="H203" i="17" s="1"/>
  <c r="J207" i="17"/>
  <c r="I212" i="17"/>
  <c r="I211" i="17" s="1"/>
  <c r="H206" i="17"/>
  <c r="H76" i="17"/>
  <c r="G140" i="17"/>
  <c r="G141" i="17"/>
  <c r="G142" i="17" s="1"/>
  <c r="J219" i="17" l="1"/>
  <c r="J217" i="17"/>
  <c r="J218" i="17"/>
  <c r="J203" i="17"/>
  <c r="H143" i="17"/>
  <c r="H144" i="17" s="1"/>
  <c r="J206" i="17"/>
  <c r="H218" i="17"/>
  <c r="H217" i="17"/>
  <c r="H219" i="17"/>
  <c r="J216" i="17" l="1"/>
  <c r="J212" i="17"/>
  <c r="J211" i="17" s="1"/>
  <c r="H216" i="17"/>
  <c r="H146" i="17"/>
  <c r="H111" i="17" l="1"/>
  <c r="H212" i="17"/>
  <c r="H211" i="17" s="1"/>
  <c r="H19" i="11" l="1"/>
  <c r="I19" i="11" s="1"/>
  <c r="H20" i="11"/>
  <c r="I20" i="11" s="1"/>
  <c r="H21" i="11"/>
  <c r="I21" i="11" s="1"/>
  <c r="H22" i="11"/>
  <c r="I22" i="11" s="1"/>
  <c r="H23" i="11"/>
  <c r="I23" i="11" s="1"/>
  <c r="H24" i="11"/>
  <c r="I24" i="11" s="1"/>
  <c r="H25" i="11"/>
  <c r="I25" i="11" s="1"/>
  <c r="H66" i="11"/>
  <c r="E45" i="11"/>
  <c r="I26" i="11" l="1"/>
  <c r="C47" i="11" s="1"/>
  <c r="I206" i="17"/>
  <c r="J15" i="11" l="1"/>
  <c r="J23" i="11"/>
  <c r="E28" i="17" s="1"/>
  <c r="H28" i="17" s="1"/>
  <c r="J25" i="11"/>
  <c r="E30" i="17" s="1"/>
  <c r="H30" i="17" s="1"/>
  <c r="J22" i="11"/>
  <c r="E27" i="17" s="1"/>
  <c r="H27" i="17" s="1"/>
  <c r="J8" i="11"/>
  <c r="J16" i="11"/>
  <c r="J24" i="11"/>
  <c r="E29" i="17" s="1"/>
  <c r="H29" i="17" s="1"/>
  <c r="J17" i="11"/>
  <c r="J9" i="11"/>
  <c r="J10" i="11"/>
  <c r="J18" i="11"/>
  <c r="J6" i="11"/>
  <c r="J14" i="11"/>
  <c r="J11" i="11"/>
  <c r="J19" i="11"/>
  <c r="J13" i="11"/>
  <c r="J21" i="11"/>
  <c r="E26" i="17" s="1"/>
  <c r="H26" i="17" s="1"/>
  <c r="J12" i="11"/>
  <c r="J20" i="11"/>
  <c r="E25" i="17" s="1"/>
  <c r="H25" i="17" s="1"/>
  <c r="J7" i="11"/>
  <c r="G32" i="17" l="1"/>
  <c r="H32" i="17" s="1"/>
  <c r="G33" i="17" s="1"/>
  <c r="H33" i="17" s="1"/>
  <c r="H36" i="17" s="1"/>
  <c r="J26" i="11"/>
  <c r="G38" i="17" l="1"/>
  <c r="G39" i="17" s="1"/>
  <c r="I202" i="17"/>
  <c r="I201" i="17" s="1"/>
  <c r="G37" i="17"/>
  <c r="H40" i="17" l="1"/>
  <c r="H41" i="17" s="1"/>
  <c r="H8" i="17" s="1"/>
  <c r="J202" i="17" l="1"/>
  <c r="J201" i="17" s="1"/>
  <c r="H229" i="17" s="1"/>
  <c r="I229" i="17" s="1"/>
  <c r="H202" i="17"/>
  <c r="H201" i="17" s="1"/>
  <c r="H199" i="17" s="1"/>
  <c r="H224" i="17" s="1"/>
  <c r="G226" i="17" l="1"/>
  <c r="G225" i="17"/>
  <c r="H227" i="17" l="1"/>
  <c r="I227" i="17" s="1"/>
</calcChain>
</file>

<file path=xl/sharedStrings.xml><?xml version="1.0" encoding="utf-8"?>
<sst xmlns="http://schemas.openxmlformats.org/spreadsheetml/2006/main" count="1330" uniqueCount="326">
  <si>
    <t>RQ-020</t>
  </si>
  <si>
    <t>RQ-019</t>
  </si>
  <si>
    <t>RQ-018</t>
  </si>
  <si>
    <t>RQ-017</t>
  </si>
  <si>
    <t>RQ-016</t>
  </si>
  <si>
    <t>RQ-015</t>
  </si>
  <si>
    <t>RQ-014</t>
  </si>
  <si>
    <t>RQ-013</t>
  </si>
  <si>
    <t>RQ-012</t>
  </si>
  <si>
    <t>RQ-011</t>
  </si>
  <si>
    <t>RQ-010</t>
  </si>
  <si>
    <t>RQ-009</t>
  </si>
  <si>
    <t>RQ-008</t>
  </si>
  <si>
    <t>RQ-007</t>
  </si>
  <si>
    <t>RQ-006</t>
  </si>
  <si>
    <t>RQ-005</t>
  </si>
  <si>
    <t>RQ-004</t>
  </si>
  <si>
    <t>RQ-003</t>
  </si>
  <si>
    <t>RQ-002</t>
  </si>
  <si>
    <t>RQ-001</t>
  </si>
  <si>
    <t>Responsable</t>
  </si>
  <si>
    <t>Estado actual</t>
  </si>
  <si>
    <t>Versión</t>
  </si>
  <si>
    <t>Completado </t>
  </si>
  <si>
    <t>Cancelado </t>
  </si>
  <si>
    <t>Activo</t>
  </si>
  <si>
    <t>Identificador</t>
  </si>
  <si>
    <t>Entregable</t>
  </si>
  <si>
    <t>Alta</t>
  </si>
  <si>
    <t>Media</t>
  </si>
  <si>
    <t>Baja</t>
  </si>
  <si>
    <t>Medición del Software</t>
  </si>
  <si>
    <t>Fecha de Estado</t>
  </si>
  <si>
    <t>Cuenta</t>
  </si>
  <si>
    <t>Complejidad</t>
  </si>
  <si>
    <t>* 0 (poca influencia) a 5 (esencial)</t>
  </si>
  <si>
    <t>Copias de Seguridad y de recuperación</t>
  </si>
  <si>
    <t>Comunicación de datos</t>
  </si>
  <si>
    <t>Proceso distribuido</t>
  </si>
  <si>
    <t>Rendimiento crítico</t>
  </si>
  <si>
    <t>Transacciones de entrada con múltiples pantallas</t>
  </si>
  <si>
    <t>Procesamiento interno complejo</t>
  </si>
  <si>
    <t>Incluye el Diseño la conversión e instalación</t>
  </si>
  <si>
    <t>Código reutilizable</t>
  </si>
  <si>
    <t>Factores de Ajuste (Fi):</t>
  </si>
  <si>
    <t>Días laborales</t>
  </si>
  <si>
    <t>Función de Transacción (Interacción con el Usuario)</t>
  </si>
  <si>
    <t>Función de Datos (Almacenamiento)</t>
  </si>
  <si>
    <t>EI</t>
  </si>
  <si>
    <t>EO</t>
  </si>
  <si>
    <t>EQ</t>
  </si>
  <si>
    <t>ILF</t>
  </si>
  <si>
    <t>EIF</t>
  </si>
  <si>
    <t>Entrada de datos en línea</t>
  </si>
  <si>
    <t>Configuración del equipamiento</t>
  </si>
  <si>
    <t>Facilidad de Uso y Cambios</t>
  </si>
  <si>
    <t>Actualizaciones en línea</t>
  </si>
  <si>
    <t>Fi</t>
  </si>
  <si>
    <t>Colaborador/es</t>
  </si>
  <si>
    <t>Componente Funcional</t>
  </si>
  <si>
    <t>Estimación de Esfuerzo y Personal necesarios</t>
  </si>
  <si>
    <t>PFSA</t>
  </si>
  <si>
    <t>Tipo de CF</t>
  </si>
  <si>
    <t>Componente Funcional
(CF)</t>
  </si>
  <si>
    <t>External Output</t>
  </si>
  <si>
    <t>External Input</t>
  </si>
  <si>
    <t>External Inquiries</t>
  </si>
  <si>
    <t>Internal Logical File</t>
  </si>
  <si>
    <t>External Interface File</t>
  </si>
  <si>
    <t>Ponderación *</t>
  </si>
  <si>
    <t>Soporta el Sistema múltiples instalaciones en dif. Org.</t>
  </si>
  <si>
    <t>PFA</t>
  </si>
  <si>
    <t>PFA (c/redondeo)</t>
  </si>
  <si>
    <t>Meses</t>
  </si>
  <si>
    <t>COSTO SOFTWARE</t>
  </si>
  <si>
    <t>PF sin ajuste:</t>
  </si>
  <si>
    <t>Tomando:</t>
  </si>
  <si>
    <t xml:space="preserve">Varios e imprevisto </t>
  </si>
  <si>
    <t xml:space="preserve">Interes Financiacion 30 Dias 75% del monto total de Material </t>
  </si>
  <si>
    <t>Item</t>
  </si>
  <si>
    <t xml:space="preserve">Materiales  / descripcion </t>
  </si>
  <si>
    <t>Unid.</t>
  </si>
  <si>
    <t>Cant.</t>
  </si>
  <si>
    <t>Unit /(US$ )</t>
  </si>
  <si>
    <t xml:space="preserve"> Unit/ (AR$) </t>
  </si>
  <si>
    <t>Cost 1  (AR$)</t>
  </si>
  <si>
    <t>2.1</t>
  </si>
  <si>
    <t>%</t>
  </si>
  <si>
    <t>Costo Admin</t>
  </si>
  <si>
    <t xml:space="preserve">Utilidades Netas </t>
  </si>
  <si>
    <t xml:space="preserve">Imp. Gnanacias Sobre UN </t>
  </si>
  <si>
    <t>1.1</t>
  </si>
  <si>
    <t>3.1</t>
  </si>
  <si>
    <t xml:space="preserve">VIATICOS </t>
  </si>
  <si>
    <t>4.1</t>
  </si>
  <si>
    <t xml:space="preserve">Hospedaje </t>
  </si>
  <si>
    <t>4.2</t>
  </si>
  <si>
    <t>Movilidad</t>
  </si>
  <si>
    <t>4.3</t>
  </si>
  <si>
    <t>……</t>
  </si>
  <si>
    <t xml:space="preserve">RESUMEN </t>
  </si>
  <si>
    <t xml:space="preserve">Sub Total </t>
  </si>
  <si>
    <t>IIBB</t>
  </si>
  <si>
    <t xml:space="preserve">TOTAL  OBRA </t>
  </si>
  <si>
    <t xml:space="preserve">FI DE OBRA </t>
  </si>
  <si>
    <t>SERVICIOS EXTERNOS</t>
  </si>
  <si>
    <t>Servicios Profesionales Externos</t>
  </si>
  <si>
    <t>Total Cargas 2-1</t>
  </si>
  <si>
    <t>SubTotal 2-1</t>
  </si>
  <si>
    <t>SubTotal 1-1</t>
  </si>
  <si>
    <t>Total Cargas 1-1</t>
  </si>
  <si>
    <t>SubTotal 3-1</t>
  </si>
  <si>
    <t>Total Cargas 3-1</t>
  </si>
  <si>
    <t>TC</t>
  </si>
  <si>
    <t>5.1</t>
  </si>
  <si>
    <t>5.2</t>
  </si>
  <si>
    <t>5.3</t>
  </si>
  <si>
    <t>5.4</t>
  </si>
  <si>
    <t>SubTotal 4-1</t>
  </si>
  <si>
    <t>Total Cargas 4-1</t>
  </si>
  <si>
    <t>SubTotal 4-2</t>
  </si>
  <si>
    <t>Total Cargas 4-2</t>
  </si>
  <si>
    <t>SubTotal 4-3</t>
  </si>
  <si>
    <t>Total Cargas 4-3</t>
  </si>
  <si>
    <t>Total</t>
  </si>
  <si>
    <t>Agregado</t>
  </si>
  <si>
    <t>Proyecto:</t>
  </si>
  <si>
    <t>Requerimientos del Cliente</t>
  </si>
  <si>
    <t>Descripción</t>
  </si>
  <si>
    <t>1.2</t>
  </si>
  <si>
    <t>Hardware</t>
  </si>
  <si>
    <t>Software</t>
  </si>
  <si>
    <t>ENTREGABLES DEL DESARROLLO DEL SOFTWARE</t>
  </si>
  <si>
    <t>DOCUMENTACION</t>
  </si>
  <si>
    <t>Documentación</t>
  </si>
  <si>
    <t>SOFTWARE Y HARDWARE</t>
  </si>
  <si>
    <t>SubTotal 1-2</t>
  </si>
  <si>
    <t>Total Cargas 1-2</t>
  </si>
  <si>
    <t>SW-001</t>
  </si>
  <si>
    <t>SW-002</t>
  </si>
  <si>
    <t>SW-003</t>
  </si>
  <si>
    <t>SW-004</t>
  </si>
  <si>
    <t>SW-005</t>
  </si>
  <si>
    <t>SW-006</t>
  </si>
  <si>
    <t>SW-007</t>
  </si>
  <si>
    <t>SW-008</t>
  </si>
  <si>
    <t>SW-009</t>
  </si>
  <si>
    <t>SW-010</t>
  </si>
  <si>
    <t>SW-011</t>
  </si>
  <si>
    <t>SW-012</t>
  </si>
  <si>
    <t>SW-013</t>
  </si>
  <si>
    <t>SW-014</t>
  </si>
  <si>
    <t>SW-015</t>
  </si>
  <si>
    <t>SW-016</t>
  </si>
  <si>
    <t>SW-017</t>
  </si>
  <si>
    <t>SW-018</t>
  </si>
  <si>
    <t>SW-019</t>
  </si>
  <si>
    <t>SW-020</t>
  </si>
  <si>
    <t>Fecha Cotización:</t>
  </si>
  <si>
    <t>PM</t>
  </si>
  <si>
    <t>GT</t>
  </si>
  <si>
    <t>Prog</t>
  </si>
  <si>
    <t>* Un Punto de Función se define como una función comercial de usuario final</t>
  </si>
  <si>
    <t>Proceso Funcional</t>
  </si>
  <si>
    <t>PF
s/Complejidad</t>
  </si>
  <si>
    <t>PF según Complejidad</t>
  </si>
  <si>
    <t>Tipo de Función</t>
  </si>
  <si>
    <t>* Referencia: 50 PF/ME (1 colaborador) según IFPUG para Lenguajes de 5ta Gen (contienen herramientas visuales para ayudar a desarrollar un programa); si no, tomar el PF Medido</t>
  </si>
  <si>
    <t>Factor de Ajuste</t>
  </si>
  <si>
    <t>Ponderación</t>
  </si>
  <si>
    <t>Hs</t>
  </si>
  <si>
    <t>PF
sin Ajuste</t>
  </si>
  <si>
    <t>Norma: IFPUG ISO_20926</t>
  </si>
  <si>
    <t>Un</t>
  </si>
  <si>
    <t>Amortización Notebook Emilio</t>
  </si>
  <si>
    <t>Amortización Notebook Agustín</t>
  </si>
  <si>
    <t>(usar este valor en Desarrollo del Software o usarlo como referencia mínima)</t>
  </si>
  <si>
    <t>Negociación</t>
  </si>
  <si>
    <t>Plazo de entrega:</t>
  </si>
  <si>
    <t>Cronograma de pagos:</t>
  </si>
  <si>
    <t>Condiciones del Servicio:</t>
  </si>
  <si>
    <t>Pantallas donde el Usuario ingresa datos</t>
  </si>
  <si>
    <t>External Query</t>
  </si>
  <si>
    <t>Informes, gráficos, listados de datos</t>
  </si>
  <si>
    <t xml:space="preserve">Recuperar y mostrar datos al Usuario - BUSCAR - </t>
  </si>
  <si>
    <t>Archivos desde el punto de vista lógico, no como en un SO; pueden ser tablas en las bases de datos</t>
  </si>
  <si>
    <t>Datos referenciados a otros sistemas o datos mantenidos por otros sistemas (pero usados por el actual)</t>
  </si>
  <si>
    <t>Ejemplos:</t>
  </si>
  <si>
    <t>Buscar</t>
  </si>
  <si>
    <t>Actualizar</t>
  </si>
  <si>
    <t>Insertar</t>
  </si>
  <si>
    <t>Listar</t>
  </si>
  <si>
    <t>Eliminar</t>
  </si>
  <si>
    <t>Informes o Reportes</t>
  </si>
  <si>
    <t>Tablas de BD</t>
  </si>
  <si>
    <t>Entradas/Salidas/Archivos/Peticiones complejas (interfaz c/usuario)</t>
  </si>
  <si>
    <t>USD/Hs:</t>
  </si>
  <si>
    <t>Colaborador/es:</t>
  </si>
  <si>
    <t>ESFUERZO:</t>
  </si>
  <si>
    <t>Estimación de COSTOS del Desarrollo del Software</t>
  </si>
  <si>
    <t>* Promedio 27,00 USD al 8/2/22</t>
  </si>
  <si>
    <t>Productividad:</t>
  </si>
  <si>
    <t>PF/Mes</t>
  </si>
  <si>
    <t>Horas laborales para el Desarrollo del Software, trabajando de:</t>
  </si>
  <si>
    <t>hs diarias con</t>
  </si>
  <si>
    <t>1 Colaborador</t>
  </si>
  <si>
    <t>Días trabajados al mes:</t>
  </si>
  <si>
    <t>Hs diarias trabajadas:</t>
  </si>
  <si>
    <t>SI</t>
  </si>
  <si>
    <t>-</t>
  </si>
  <si>
    <t>Analog.</t>
  </si>
  <si>
    <t>TIT</t>
  </si>
  <si>
    <t>1021B</t>
  </si>
  <si>
    <t>1021A</t>
  </si>
  <si>
    <t>1001B</t>
  </si>
  <si>
    <t>1001A</t>
  </si>
  <si>
    <t>PIT</t>
  </si>
  <si>
    <t>FIT</t>
  </si>
  <si>
    <t>Prop.</t>
  </si>
  <si>
    <t>Duro</t>
  </si>
  <si>
    <t>Vál. Mot</t>
  </si>
  <si>
    <t>VDF</t>
  </si>
  <si>
    <t>Bombas</t>
  </si>
  <si>
    <t>Agua Caliente</t>
  </si>
  <si>
    <t>AIT</t>
  </si>
  <si>
    <t>LS</t>
  </si>
  <si>
    <t>LIT</t>
  </si>
  <si>
    <t>1780C</t>
  </si>
  <si>
    <t>1780B</t>
  </si>
  <si>
    <t>1780A</t>
  </si>
  <si>
    <t>DOL</t>
  </si>
  <si>
    <t>1012B</t>
  </si>
  <si>
    <t>1012A</t>
  </si>
  <si>
    <t>1013B</t>
  </si>
  <si>
    <t>1013A</t>
  </si>
  <si>
    <t>1011B</t>
  </si>
  <si>
    <t>1011A</t>
  </si>
  <si>
    <t>1015B</t>
  </si>
  <si>
    <t>1015A</t>
  </si>
  <si>
    <t>Quimicos</t>
  </si>
  <si>
    <t>1008B</t>
  </si>
  <si>
    <t>1008A</t>
  </si>
  <si>
    <t>Lechada de Cal</t>
  </si>
  <si>
    <t>1006B</t>
  </si>
  <si>
    <t>1006A</t>
  </si>
  <si>
    <t>1004B</t>
  </si>
  <si>
    <t>1004A</t>
  </si>
  <si>
    <t>1003B</t>
  </si>
  <si>
    <t>1003A</t>
  </si>
  <si>
    <t>1002B</t>
  </si>
  <si>
    <t>1002A</t>
  </si>
  <si>
    <t>ON-OFF</t>
  </si>
  <si>
    <t>Agua Industrial</t>
  </si>
  <si>
    <t>Comunicación SCADA</t>
  </si>
  <si>
    <t>Cantidad Pantallas</t>
  </si>
  <si>
    <t>Alarmas</t>
  </si>
  <si>
    <t>Forzado</t>
  </si>
  <si>
    <t xml:space="preserve">PID </t>
  </si>
  <si>
    <t>Enclavamientos</t>
  </si>
  <si>
    <t>Tipo</t>
  </si>
  <si>
    <t>Control</t>
  </si>
  <si>
    <t>Procesos Funcionales de cada Equipo</t>
  </si>
  <si>
    <t>TAG</t>
  </si>
  <si>
    <t>Equipo</t>
  </si>
  <si>
    <t>Proceso</t>
  </si>
  <si>
    <t>PID</t>
  </si>
  <si>
    <t>Enclavamiento</t>
  </si>
  <si>
    <t>Instrumento</t>
  </si>
  <si>
    <t>Válvula</t>
  </si>
  <si>
    <t>Bomba</t>
  </si>
  <si>
    <t>Pruebas</t>
  </si>
  <si>
    <t>HMI</t>
  </si>
  <si>
    <t>Programacion PLC</t>
  </si>
  <si>
    <t>Documentacion</t>
  </si>
  <si>
    <t>Columna1</t>
  </si>
  <si>
    <t>Instrumentos</t>
  </si>
  <si>
    <t>Valvulas</t>
  </si>
  <si>
    <t>Horas Prog Esp</t>
  </si>
  <si>
    <t>Horas Prog Basicas</t>
  </si>
  <si>
    <t>Pantallas</t>
  </si>
  <si>
    <t>CANT</t>
  </si>
  <si>
    <t xml:space="preserve"> </t>
  </si>
  <si>
    <t>,</t>
  </si>
  <si>
    <t>Lechada Cal</t>
  </si>
  <si>
    <t>Lechada de Cal. Ver documento 710485-17300-I-ET-0001.pdf</t>
  </si>
  <si>
    <t>Lechada de Cal. Ver apartado REFERENCIAS del documento 710485-17300-I-ET-0001.pdf</t>
  </si>
  <si>
    <t>Agua Industrial. Ver documento 710485-17300-I-ET-0002.pdf</t>
  </si>
  <si>
    <t>Agua Industrial. Ver apartado REFERENCIAS del documento 710485-17300-I-ET-0002.pdf</t>
  </si>
  <si>
    <t>Agua Caliente. Ver documento 710485-17300-I-ET-0003.pdf</t>
  </si>
  <si>
    <t>Agua Caliente. Ver apartado REFERENCIAS del documento 710485-17300-I-ET-0003.pdf</t>
  </si>
  <si>
    <t>Químicos. Ver documento 710485-17300-I-ET-0004.pdf</t>
  </si>
  <si>
    <t>Químicos. Ver apartado REFERENCIAS del documento 710485-17300-I-ET-0004.pdf</t>
  </si>
  <si>
    <t>I022-0101 - Tableros de Control para Lechada de Cal, Agua Industrial, Agua Caliente y Químicos</t>
  </si>
  <si>
    <t>Enclavamiento Bombas</t>
  </si>
  <si>
    <t>Control PID</t>
  </si>
  <si>
    <t>PID Bombas</t>
  </si>
  <si>
    <t>Alarmero</t>
  </si>
  <si>
    <t>Presentación</t>
  </si>
  <si>
    <t>COT-I022-0101-A</t>
  </si>
  <si>
    <t>* Duro &lt;&gt; Por Comunicación</t>
  </si>
  <si>
    <t>Desarrollo del Software</t>
  </si>
  <si>
    <t>Enclavamiento Válvulas Motorizadas</t>
  </si>
  <si>
    <t>Válvulas Motorizadas</t>
  </si>
  <si>
    <t>PID Válvulas Motorizadas</t>
  </si>
  <si>
    <t>Instrumentos (FIT, LIT, PIT, LS, TIT y AIT)</t>
  </si>
  <si>
    <t>TOTAL hs x Elemento</t>
  </si>
  <si>
    <t>Planilla de DBs</t>
  </si>
  <si>
    <t>Manual de Usuario</t>
  </si>
  <si>
    <t>Comentarios en Software</t>
  </si>
  <si>
    <t>(incluye Software con comentarios, Planilla de DBs y Manual de Usuario)</t>
  </si>
  <si>
    <t>Filosofía de Control</t>
  </si>
  <si>
    <t>Trazabilidad del Software</t>
  </si>
  <si>
    <t>Backup</t>
  </si>
  <si>
    <t>Informes de testing</t>
  </si>
  <si>
    <t>Traslado (2 Tanques por quincena)</t>
  </si>
  <si>
    <t>Ltrs</t>
  </si>
  <si>
    <t>Limitaciones (aspectos del proyecto que no podrán cubrirse):</t>
  </si>
  <si>
    <t>Restricciones (incluyen el tiempo, los costos y los riesgos):</t>
  </si>
  <si>
    <t>InnTech S.A.</t>
  </si>
  <si>
    <t>Puesta En Marcha</t>
  </si>
  <si>
    <t>Recuperación programa actual PLC</t>
  </si>
  <si>
    <t>Recuperación programa actual SCADA</t>
  </si>
  <si>
    <t>Traslado (Visita de Obra = 3Km * 2 = 6 Km)</t>
  </si>
  <si>
    <t>Traslado (Recuperación PLC y SCADA = 3Km * 2 = 6 Km)</t>
  </si>
  <si>
    <t>Traslado (PEM 2 días = 3Km * 4 = 12 Km)</t>
  </si>
  <si>
    <t>Alquiler de móvil (Alq / días de uso)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</si>
</sst>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&quot;$&quot;\ * #,##0.00_-;\-&quot;$&quot;\ * #,##0.00_-;_-&quot;$&quot;\ * &quot;-&quot;??_-;_-@_-"/>
    <numFmt numFmtId="165" formatCode="_-[$USD]\ * #,##0.00_-;\-[$USD]\ * #,##0.00_-;_-[$USD]\ * &quot;-&quot;??_-;_-@_-"/>
    <numFmt numFmtId="166" formatCode="_ &quot;$&quot;\ * #,##0.00_ ;_ &quot;$&quot;\ * \-#,##0.00_ ;_ &quot;$&quot;\ * &quot;-&quot;??_ ;_ @_ "/>
    <numFmt numFmtId="167" formatCode="0.0%"/>
    <numFmt numFmtId="168" formatCode="[$-F800]dddd\,\ mmmm\ dd\,\ yy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8"/>
      <color theme="1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theme="5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thin">
        <color theme="1"/>
      </bottom>
      <diagonal/>
    </border>
  </borders>
  <cellStyleXfs count="8">
    <xf numFmtId="0" fontId="0" fillId="0" borderId="0"/>
    <xf numFmtId="0" fontId="2" fillId="0" borderId="0">
      <alignment horizontal="center" vertical="center"/>
    </xf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7" fillId="9" borderId="0" applyNumberFormat="0" applyBorder="0" applyAlignment="0" applyProtection="0"/>
    <xf numFmtId="0" fontId="18" fillId="10" borderId="0" applyNumberFormat="0" applyBorder="0" applyAlignment="0" applyProtection="0"/>
  </cellStyleXfs>
  <cellXfs count="154">
    <xf numFmtId="0" fontId="0" fillId="0" borderId="0" xfId="0"/>
    <xf numFmtId="0" fontId="3" fillId="0" borderId="0" xfId="1" applyFont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" fillId="5" borderId="2" xfId="0" applyFont="1" applyFill="1" applyBorder="1" applyAlignment="1">
      <alignment vertical="center"/>
    </xf>
    <xf numFmtId="164" fontId="1" fillId="5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8" fillId="0" borderId="0" xfId="0" applyNumberFormat="1" applyFont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Font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165" fontId="1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9" fontId="0" fillId="0" borderId="0" xfId="3" applyFont="1" applyAlignment="1">
      <alignment vertical="center"/>
    </xf>
    <xf numFmtId="9" fontId="0" fillId="0" borderId="0" xfId="3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164" fontId="0" fillId="0" borderId="0" xfId="0" applyNumberFormat="1" applyFont="1" applyAlignment="1">
      <alignment vertical="center"/>
    </xf>
    <xf numFmtId="0" fontId="0" fillId="0" borderId="0" xfId="0" applyFont="1" applyFill="1" applyAlignment="1">
      <alignment vertical="center"/>
    </xf>
    <xf numFmtId="49" fontId="11" fillId="0" borderId="0" xfId="0" applyNumberFormat="1" applyFont="1" applyAlignment="1">
      <alignment vertical="center" wrapText="1"/>
    </xf>
    <xf numFmtId="165" fontId="0" fillId="0" borderId="0" xfId="4" applyNumberFormat="1" applyFont="1" applyAlignment="1">
      <alignment vertical="center"/>
    </xf>
    <xf numFmtId="166" fontId="0" fillId="0" borderId="0" xfId="4" applyFont="1" applyFill="1" applyAlignment="1">
      <alignment vertical="center"/>
    </xf>
    <xf numFmtId="166" fontId="0" fillId="0" borderId="0" xfId="4" applyFont="1" applyAlignment="1">
      <alignment vertical="center"/>
    </xf>
    <xf numFmtId="0" fontId="0" fillId="0" borderId="0" xfId="3" applyNumberFormat="1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9" fontId="10" fillId="0" borderId="0" xfId="3" applyFont="1" applyAlignment="1">
      <alignment vertical="center" wrapText="1"/>
    </xf>
    <xf numFmtId="166" fontId="11" fillId="0" borderId="0" xfId="0" applyNumberFormat="1" applyFont="1" applyAlignment="1">
      <alignment vertical="center" wrapText="1"/>
    </xf>
    <xf numFmtId="164" fontId="11" fillId="0" borderId="0" xfId="0" applyNumberFormat="1" applyFont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0" fillId="0" borderId="9" xfId="0" applyFont="1" applyBorder="1" applyAlignment="1">
      <alignment vertical="center"/>
    </xf>
    <xf numFmtId="0" fontId="0" fillId="0" borderId="9" xfId="0" applyFont="1" applyBorder="1" applyAlignment="1">
      <alignment horizontal="center" vertical="center"/>
    </xf>
    <xf numFmtId="166" fontId="0" fillId="0" borderId="9" xfId="4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1" fillId="0" borderId="0" xfId="0" applyFont="1" applyBorder="1" applyAlignment="1">
      <alignment vertical="center" wrapText="1"/>
    </xf>
    <xf numFmtId="166" fontId="0" fillId="0" borderId="0" xfId="4" applyFont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166" fontId="1" fillId="2" borderId="0" xfId="4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Font="1" applyFill="1" applyBorder="1" applyAlignment="1">
      <alignment vertical="center"/>
    </xf>
    <xf numFmtId="167" fontId="0" fillId="0" borderId="0" xfId="3" applyNumberFormat="1" applyFont="1" applyAlignment="1">
      <alignment horizontal="center" vertical="center"/>
    </xf>
    <xf numFmtId="167" fontId="0" fillId="0" borderId="0" xfId="3" applyNumberFormat="1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66" fontId="1" fillId="2" borderId="0" xfId="4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166" fontId="1" fillId="2" borderId="6" xfId="4" applyFont="1" applyFill="1" applyBorder="1" applyAlignment="1">
      <alignment vertical="center"/>
    </xf>
    <xf numFmtId="0" fontId="12" fillId="0" borderId="0" xfId="0" applyFont="1" applyAlignment="1">
      <alignment vertical="center" wrapText="1"/>
    </xf>
    <xf numFmtId="0" fontId="4" fillId="0" borderId="0" xfId="0" applyNumberFormat="1" applyFont="1" applyFill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166" fontId="11" fillId="0" borderId="0" xfId="4" applyFont="1" applyAlignment="1">
      <alignment vertical="center" wrapText="1"/>
    </xf>
    <xf numFmtId="9" fontId="0" fillId="0" borderId="9" xfId="3" applyFont="1" applyBorder="1" applyAlignment="1">
      <alignment horizontal="center" vertical="center"/>
    </xf>
    <xf numFmtId="166" fontId="0" fillId="0" borderId="0" xfId="4" applyFont="1" applyAlignment="1">
      <alignment horizontal="right" vertical="center"/>
    </xf>
    <xf numFmtId="166" fontId="0" fillId="0" borderId="0" xfId="4" applyNumberFormat="1" applyFont="1" applyAlignment="1">
      <alignment horizontal="right" vertical="center"/>
    </xf>
    <xf numFmtId="164" fontId="0" fillId="0" borderId="0" xfId="2" applyFont="1" applyAlignment="1">
      <alignment vertical="center"/>
    </xf>
    <xf numFmtId="43" fontId="0" fillId="0" borderId="0" xfId="0" applyNumberFormat="1" applyFont="1" applyAlignment="1">
      <alignment vertical="center"/>
    </xf>
    <xf numFmtId="166" fontId="0" fillId="0" borderId="0" xfId="4" applyNumberFormat="1" applyFont="1" applyAlignment="1">
      <alignment vertical="center"/>
    </xf>
    <xf numFmtId="164" fontId="0" fillId="0" borderId="0" xfId="2" applyFont="1" applyAlignment="1">
      <alignment horizontal="right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166" fontId="1" fillId="6" borderId="0" xfId="4" applyFont="1" applyFill="1" applyAlignment="1">
      <alignment vertical="center"/>
    </xf>
    <xf numFmtId="0" fontId="11" fillId="0" borderId="0" xfId="0" applyFont="1" applyFill="1" applyAlignment="1">
      <alignment vertical="center" wrapText="1"/>
    </xf>
    <xf numFmtId="166" fontId="0" fillId="0" borderId="0" xfId="0" applyNumberFormat="1" applyFont="1" applyFill="1" applyAlignment="1">
      <alignment vertical="center"/>
    </xf>
    <xf numFmtId="166" fontId="0" fillId="6" borderId="0" xfId="0" applyNumberFormat="1" applyFont="1" applyFill="1" applyAlignment="1">
      <alignment vertical="center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166" fontId="1" fillId="0" borderId="0" xfId="4" applyFont="1" applyAlignment="1">
      <alignment vertical="center"/>
    </xf>
    <xf numFmtId="166" fontId="6" fillId="0" borderId="0" xfId="4" applyFont="1" applyAlignment="1">
      <alignment vertical="center"/>
    </xf>
    <xf numFmtId="166" fontId="0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2" fontId="0" fillId="0" borderId="0" xfId="0" applyNumberFormat="1" applyFont="1" applyAlignment="1">
      <alignment horizontal="center" vertical="center"/>
    </xf>
    <xf numFmtId="9" fontId="0" fillId="2" borderId="0" xfId="3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7" borderId="6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horizontal="center" vertical="center"/>
    </xf>
    <xf numFmtId="166" fontId="1" fillId="7" borderId="6" xfId="4" applyFont="1" applyFill="1" applyBorder="1" applyAlignment="1">
      <alignment vertical="center"/>
    </xf>
    <xf numFmtId="165" fontId="1" fillId="7" borderId="6" xfId="2" applyNumberFormat="1" applyFont="1" applyFill="1" applyBorder="1" applyAlignment="1">
      <alignment vertical="center"/>
    </xf>
    <xf numFmtId="0" fontId="16" fillId="7" borderId="0" xfId="0" applyFont="1" applyFill="1" applyAlignment="1">
      <alignment horizontal="right" vertical="center"/>
    </xf>
    <xf numFmtId="4" fontId="0" fillId="3" borderId="0" xfId="0" applyNumberForma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4" fontId="1" fillId="3" borderId="0" xfId="0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165" fontId="16" fillId="7" borderId="0" xfId="0" applyNumberFormat="1" applyFont="1" applyFill="1" applyAlignment="1">
      <alignment horizontal="righ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0" fontId="0" fillId="0" borderId="0" xfId="3" applyNumberFormat="1" applyFont="1" applyAlignment="1">
      <alignment horizontal="center" vertical="center"/>
    </xf>
    <xf numFmtId="10" fontId="0" fillId="0" borderId="0" xfId="0" applyNumberFormat="1" applyFont="1" applyAlignment="1">
      <alignment horizontal="center"/>
    </xf>
    <xf numFmtId="0" fontId="0" fillId="0" borderId="0" xfId="0" applyBorder="1" applyAlignment="1">
      <alignment horizontal="right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17" fillId="9" borderId="1" xfId="6" applyBorder="1" applyAlignment="1">
      <alignment horizontal="center" vertical="center"/>
    </xf>
    <xf numFmtId="0" fontId="17" fillId="9" borderId="0" xfId="6" applyAlignment="1">
      <alignment horizontal="center"/>
    </xf>
    <xf numFmtId="0" fontId="17" fillId="9" borderId="0" xfId="6"/>
    <xf numFmtId="0" fontId="18" fillId="10" borderId="0" xfId="7"/>
    <xf numFmtId="0" fontId="19" fillId="11" borderId="0" xfId="0" applyFont="1" applyFill="1" applyBorder="1"/>
    <xf numFmtId="0" fontId="19" fillId="0" borderId="0" xfId="0" applyFont="1"/>
    <xf numFmtId="0" fontId="19" fillId="11" borderId="0" xfId="0" applyFont="1" applyFill="1"/>
    <xf numFmtId="0" fontId="20" fillId="0" borderId="10" xfId="0" applyFont="1" applyBorder="1"/>
    <xf numFmtId="0" fontId="0" fillId="0" borderId="0" xfId="0" applyFont="1"/>
    <xf numFmtId="164" fontId="0" fillId="0" borderId="0" xfId="0" applyNumberFormat="1"/>
    <xf numFmtId="0" fontId="0" fillId="0" borderId="11" xfId="0" applyBorder="1"/>
    <xf numFmtId="164" fontId="0" fillId="0" borderId="0" xfId="2" applyFont="1"/>
    <xf numFmtId="49" fontId="21" fillId="0" borderId="0" xfId="0" applyNumberFormat="1" applyFont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</cellXfs>
  <cellStyles count="8">
    <cellStyle name="Bueno" xfId="6" builtinId="26"/>
    <cellStyle name="Hipervínculo 2" xfId="5"/>
    <cellStyle name="Moneda" xfId="2" builtinId="4"/>
    <cellStyle name="Moneda 2" xfId="4"/>
    <cellStyle name="Neutral 2" xfId="7"/>
    <cellStyle name="Normal" xfId="0" builtinId="0"/>
    <cellStyle name="Normal 2" xfId="1"/>
    <cellStyle name="Porcentaje" xfId="3" builtinId="5"/>
  </cellStyles>
  <dxfs count="7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5"/>
        </top>
        <bottom style="thin">
          <color theme="5"/>
        </bottom>
      </border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-0.249977111117893"/>
        <name val="Calibri"/>
        <scheme val="minor"/>
      </font>
    </dxf>
    <dxf>
      <numFmt numFmtId="0" formatCode="General"/>
    </dxf>
    <dxf>
      <numFmt numFmtId="0" formatCode="General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numFmt numFmtId="2" formatCode="0.00"/>
      <alignment horizontal="right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30" formatCode="@"/>
      <alignment horizontal="left" vertical="center" textRotation="0" wrapText="1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130971</xdr:colOff>
      <xdr:row>46</xdr:row>
      <xdr:rowOff>35720</xdr:rowOff>
    </xdr:from>
    <xdr:to>
      <xdr:col>3</xdr:col>
      <xdr:colOff>3431501</xdr:colOff>
      <xdr:row>47</xdr:row>
      <xdr:rowOff>140458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3016E3A-B73B-4C50-BFCF-C57671641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5565" y="9179720"/>
          <a:ext cx="3295238" cy="295238"/>
        </a:xfrm>
        <a:prstGeom prst="rect">
          <a:avLst/>
        </a:prstGeom>
      </xdr:spPr>
    </xdr:pic>
    <xdr:clientData/>
  </xdr:twoCellAnchor>
  <xdr:twoCellAnchor editAs="oneCell">
    <xdr:from>
      <xdr:col>18</xdr:col>
      <xdr:colOff>202390</xdr:colOff>
      <xdr:row>1</xdr:row>
      <xdr:rowOff>35719</xdr:rowOff>
    </xdr:from>
    <xdr:to>
      <xdr:col>26</xdr:col>
      <xdr:colOff>714884</xdr:colOff>
      <xdr:row>22</xdr:row>
      <xdr:rowOff>137575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1CE7845-0EAD-45F7-ADD1-3F8363783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073723" y="226219"/>
          <a:ext cx="6386244" cy="4303439"/>
        </a:xfrm>
        <a:prstGeom prst="rect">
          <a:avLst/>
        </a:prstGeom>
      </xdr:spPr>
    </xdr:pic>
    <xdr:clientData/>
  </xdr:twoCellAnchor>
  <xdr:twoCellAnchor editAs="oneCell">
    <xdr:from>
      <xdr:col>19</xdr:col>
      <xdr:colOff>113756</xdr:colOff>
      <xdr:row>23</xdr:row>
      <xdr:rowOff>71442</xdr:rowOff>
    </xdr:from>
    <xdr:to>
      <xdr:col>25</xdr:col>
      <xdr:colOff>707917</xdr:colOff>
      <xdr:row>33</xdr:row>
      <xdr:rowOff>118799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A3C6822-D095-4B02-9999-B17461133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704756" y="4654025"/>
          <a:ext cx="4986244" cy="21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600628</xdr:colOff>
      <xdr:row>49</xdr:row>
      <xdr:rowOff>56884</xdr:rowOff>
    </xdr:from>
    <xdr:to>
      <xdr:col>15</xdr:col>
      <xdr:colOff>138597</xdr:colOff>
      <xdr:row>68</xdr:row>
      <xdr:rowOff>113551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04AB93B-2A9D-4CF4-8D32-4A850BAFE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2295" y="9782967"/>
          <a:ext cx="4776719" cy="3866667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49</xdr:row>
      <xdr:rowOff>0</xdr:rowOff>
    </xdr:from>
    <xdr:to>
      <xdr:col>17</xdr:col>
      <xdr:colOff>2319179</xdr:colOff>
      <xdr:row>65</xdr:row>
      <xdr:rowOff>304381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0BF31FD-2B7B-4959-9F0D-7D4314C2C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685000" y="9726083"/>
          <a:ext cx="5504762" cy="33523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MatrizRQ" displayName="MatrizRQ" ref="B4:C25" totalsRowCount="1" headerRowDxfId="74" dataDxfId="73">
  <autoFilter ref="B4:C24"/>
  <tableColumns count="2">
    <tableColumn id="1" name="Identificador" totalsRowLabel="Total" dataDxfId="72" totalsRowDxfId="71"/>
    <tableColumn id="2" name="Descripción" totalsRowFunction="count" dataDxfId="70" totalsRowDxfId="69"/>
  </tableColumns>
  <tableStyleInfo name="TableStyleMedium11" showFirstColumn="0" showLastColumn="0" showRowStripes="1" showColumnStripes="0"/>
</table>
</file>

<file path=xl/tables/table10.xml><?xml version="1.0" encoding="utf-8"?>
<table xmlns="http://schemas.openxmlformats.org/spreadsheetml/2006/main" id="10" name="Tabla11" displayName="Tabla11" ref="A16:I19" totalsRowShown="0" headerRowDxfId="10" headerRowBorderDxfId="9" tableBorderDxfId="8">
  <tableColumns count="9">
    <tableColumn id="1" name="Agua Caliente"/>
    <tableColumn id="2" name=" "/>
    <tableColumn id="3" name="CANT"/>
    <tableColumn id="4" name="Enclavamientos"/>
    <tableColumn id="5" name="PID"/>
    <tableColumn id="6" name="Alarmas">
      <calculatedColumnFormula>+C17*5</calculatedColumnFormula>
    </tableColumn>
    <tableColumn id="7" name="Pantallas">
      <calculatedColumnFormula>+C17*2</calculatedColumnFormula>
    </tableColumn>
    <tableColumn id="8" name="Horas Prog Basicas" dataDxfId="7">
      <calculatedColumnFormula>+Tabla11[[#This Row],[CANT]]*Elio_2!F3</calculatedColumnFormula>
    </tableColumn>
    <tableColumn id="9" name="Horas Prog Esp" dataDxfId="6">
      <calculatedColumnFormula>+Tabla11[[#This Row],[Enclavamientos]]*Elio_2!$F$6+Tabla11[[#This Row],[PID]]*Elio_2!$F$7</calculatedColumnFormula>
    </tableColumn>
  </tableColumns>
  <tableStyleInfo name="TableStyleLight3" showFirstColumn="0" showLastColumn="0" showRowStripes="1" showColumnStripes="0"/>
</table>
</file>

<file path=xl/tables/table2.xml><?xml version="1.0" encoding="utf-8"?>
<table xmlns="http://schemas.openxmlformats.org/spreadsheetml/2006/main" id="5" name="MatrizCF" displayName="MatrizCF" ref="B4:K25" totalsRowCount="1" headerRowDxfId="68" dataDxfId="67">
  <autoFilter ref="B4:K24"/>
  <tableColumns count="10">
    <tableColumn id="8" name="Entregable" dataDxfId="66" totalsRowDxfId="65"/>
    <tableColumn id="10" name="Versión" totalsRowLabel="Total" dataDxfId="64" totalsRowDxfId="63"/>
    <tableColumn id="2" name="Proceso Funcional" dataDxfId="62" totalsRowDxfId="61"/>
    <tableColumn id="3" name="Componente Funcional_x000a_(CF)" totalsRowFunction="count" dataDxfId="60" totalsRowDxfId="59"/>
    <tableColumn id="4" name="Tipo de CF" dataDxfId="58" totalsRowDxfId="57"/>
    <tableColumn id="5" name="Complejidad" dataDxfId="56" totalsRowDxfId="55"/>
    <tableColumn id="1" name="Cuenta" dataDxfId="54" totalsRowDxfId="53"/>
    <tableColumn id="6" name="Estado actual" dataDxfId="52" totalsRowDxfId="51"/>
    <tableColumn id="7" name="Fecha de Estado" dataDxfId="50" totalsRowDxfId="49"/>
    <tableColumn id="9" name="Responsable" dataDxfId="48" totalsRowDxfId="47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" name="Tabla12" displayName="Tabla12" ref="A2:F7" totalsRowShown="0">
  <tableColumns count="6">
    <tableColumn id="1" name="Columna1"/>
    <tableColumn id="2" name="Documentacion"/>
    <tableColumn id="3" name="Programacion PLC"/>
    <tableColumn id="4" name="HMI"/>
    <tableColumn id="5" name="Pruebas"/>
    <tableColumn id="6" name="TOTAL hs x Elemento" dataDxfId="46">
      <calculatedColumnFormula>SUBTOTAL(109,A3:E3)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PFSA" displayName="PFSA" ref="C5:J26" totalsRowCount="1" headerRowDxfId="45">
  <autoFilter ref="C5:J25"/>
  <tableColumns count="8">
    <tableColumn id="7" name="Proceso Funcional" dataDxfId="44"/>
    <tableColumn id="1" name="Componente Funcional" dataDxfId="43" totalsRowDxfId="42"/>
    <tableColumn id="2" name="Tipo de Función" dataDxfId="41" totalsRowDxfId="40"/>
    <tableColumn id="4" name="Complejidad" dataDxfId="39" totalsRowDxfId="38"/>
    <tableColumn id="3" name="Cuenta" totalsRowLabel="PFSA" dataDxfId="37" totalsRowDxfId="36"/>
    <tableColumn id="5" name="PF_x000a_s/Complejidad" dataDxfId="35" totalsRowDxfId="34">
      <calculatedColumnFormula>IF(PFSA[[#This Row],[Complejidad]]=0,0,VLOOKUP(PFSA[[#This Row],[Tipo de Función]],IFPUG[#All],MATCH(PFSA[[#This Row],[Complejidad]],IFPUG[#Headers],0),FALSE))</calculatedColumnFormula>
    </tableColumn>
    <tableColumn id="6" name="PF_x000a_sin Ajuste" totalsRowFunction="sum" dataDxfId="33" totalsRowDxfId="32">
      <calculatedColumnFormula>+PFSA[[#This Row],[Cuenta]]*PFSA[[#This Row],[PF
s/Complejidad]]</calculatedColumnFormula>
    </tableColumn>
    <tableColumn id="8" name="Ponderación" totalsRowFunction="sum" dataDxfId="31" totalsRowDxfId="30" dataCellStyle="Porcentaje">
      <calculatedColumnFormula>+(PFSA[[#This Row],[PF
sin Ajuste]])/PFSA[[#Totals],[PF
sin Ajuste]]</calculatedColumnFormula>
    </tableColumn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3" name="FdA" displayName="FdA" ref="D30:E45" totalsRowCount="1" headerRowDxfId="29">
  <autoFilter ref="D30:E44"/>
  <tableColumns count="2">
    <tableColumn id="1" name="Factor de Ajuste" totalsRowLabel="Fi" dataDxfId="28" totalsRowDxfId="27"/>
    <tableColumn id="2" name="Ponderación *" totalsRowFunction="sum" dataDxfId="26" totalsRowDxfId="25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4" name="IFPUG" displayName="IFPUG" ref="L6:O11" totalsRowShown="0" headerRowDxfId="24" dataDxfId="23">
  <autoFilter ref="L6:O11"/>
  <tableColumns count="4">
    <tableColumn id="1" name="Tipo de Función" dataDxfId="22"/>
    <tableColumn id="2" name="Baja" dataDxfId="21"/>
    <tableColumn id="3" name="Media" dataDxfId="20"/>
    <tableColumn id="4" name="Alta" dataDxfId="19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7" name="Tabla8" displayName="Tabla8" ref="A1:I4" totalsRowShown="0">
  <tableColumns count="9">
    <tableColumn id="1" name="Agua Industrial"/>
    <tableColumn id="2" name=" "/>
    <tableColumn id="3" name="CANT"/>
    <tableColumn id="4" name="Enclavamientos"/>
    <tableColumn id="5" name="PID"/>
    <tableColumn id="6" name="Alarmas"/>
    <tableColumn id="7" name="Pantallas"/>
    <tableColumn id="8" name="Horas Prog Basicas" dataDxfId="18">
      <calculatedColumnFormula>+Tabla8[[#This Row],[CANT]]*Elio_2!F3</calculatedColumnFormula>
    </tableColumn>
    <tableColumn id="9" name="Horas Prog Esp" dataDxfId="17">
      <calculatedColumnFormula>+Tabla8[[#This Row],[Enclavamientos]]*Elio_2!$F$6+Tabla8[[#This Row],[PID]]*Elio_2!$F$7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id="8" name="Tabla9" displayName="Tabla9" ref="A6:I9" totalsRowShown="0">
  <tableColumns count="9">
    <tableColumn id="1" name="Lechada Cal"/>
    <tableColumn id="2" name=" "/>
    <tableColumn id="3" name="CANT"/>
    <tableColumn id="4" name="Enclavamientos"/>
    <tableColumn id="5" name="PID"/>
    <tableColumn id="6" name="Alarmas"/>
    <tableColumn id="7" name="Pantallas"/>
    <tableColumn id="8" name="Horas Prog Basicas" dataDxfId="16">
      <calculatedColumnFormula>+Tabla9[[#This Row],[CANT]]*Elio_2!F3</calculatedColumnFormula>
    </tableColumn>
    <tableColumn id="9" name="Horas Prog Esp" dataDxfId="15">
      <calculatedColumnFormula>+Tabla9[[#This Row],[Enclavamientos]]*Elio_2!$F$6+Tabla9[[#This Row],[PID]]*Elio_2!$F$7</calculatedColumnFormula>
    </tableColumn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id="9" name="Tabla10" displayName="Tabla10" ref="A11:I14" totalsRowShown="0" headerRowBorderDxfId="14" tableBorderDxfId="13">
  <tableColumns count="9">
    <tableColumn id="1" name="Quimicos"/>
    <tableColumn id="2" name=" "/>
    <tableColumn id="3" name="CANT"/>
    <tableColumn id="4" name="Enclavamientos"/>
    <tableColumn id="5" name="PID"/>
    <tableColumn id="6" name="Alarmas"/>
    <tableColumn id="7" name="Pantallas"/>
    <tableColumn id="8" name="Horas Prog Basicas" dataDxfId="12">
      <calculatedColumnFormula>+Tabla10[[#This Row],[CANT]]*Elio_2!F3</calculatedColumnFormula>
    </tableColumn>
    <tableColumn id="9" name="Horas Prog Esp" dataDxfId="11">
      <calculatedColumnFormula>+Tabla10[[#This Row],[Enclavamientos]]*Elio_2!$F$6+Tabla10[[#This Row],[PID]]*Elio_2!$F$7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5"/>
  <sheetViews>
    <sheetView topLeftCell="A13" zoomScale="80" zoomScaleNormal="80" workbookViewId="0">
      <selection activeCell="C13" sqref="C13:C17"/>
    </sheetView>
  </sheetViews>
  <sheetFormatPr baseColWidth="10" defaultRowHeight="15" outlineLevelRow="1" x14ac:dyDescent="0.25"/>
  <cols>
    <col min="1" max="1" width="5.7109375" style="2" customWidth="1"/>
    <col min="2" max="2" width="15.7109375" style="2" customWidth="1"/>
    <col min="3" max="3" width="135.7109375" style="2" customWidth="1"/>
    <col min="4" max="16384" width="11.42578125" style="2"/>
  </cols>
  <sheetData>
    <row r="1" spans="2:3" ht="45" customHeight="1" thickBot="1" x14ac:dyDescent="0.3">
      <c r="B1" s="127" t="s">
        <v>126</v>
      </c>
      <c r="C1" s="33" t="s">
        <v>292</v>
      </c>
    </row>
    <row r="2" spans="2:3" ht="15.75" thickTop="1" x14ac:dyDescent="0.25"/>
    <row r="3" spans="2:3" ht="30" customHeight="1" thickBot="1" x14ac:dyDescent="0.3">
      <c r="B3" s="142" t="s">
        <v>127</v>
      </c>
      <c r="C3" s="143"/>
    </row>
    <row r="4" spans="2:3" s="12" customFormat="1" ht="30" customHeight="1" outlineLevel="1" thickTop="1" x14ac:dyDescent="0.25">
      <c r="B4" s="12" t="s">
        <v>26</v>
      </c>
      <c r="C4" s="12" t="s">
        <v>128</v>
      </c>
    </row>
    <row r="5" spans="2:3" ht="60" customHeight="1" outlineLevel="1" x14ac:dyDescent="0.25">
      <c r="B5" s="13" t="s">
        <v>19</v>
      </c>
      <c r="C5" s="32" t="s">
        <v>284</v>
      </c>
    </row>
    <row r="6" spans="2:3" ht="60" customHeight="1" outlineLevel="1" x14ac:dyDescent="0.25">
      <c r="B6" s="13" t="s">
        <v>18</v>
      </c>
      <c r="C6" s="32" t="s">
        <v>285</v>
      </c>
    </row>
    <row r="7" spans="2:3" ht="60" customHeight="1" outlineLevel="1" x14ac:dyDescent="0.25">
      <c r="B7" s="13" t="s">
        <v>17</v>
      </c>
      <c r="C7" s="32" t="s">
        <v>286</v>
      </c>
    </row>
    <row r="8" spans="2:3" ht="60" customHeight="1" outlineLevel="1" x14ac:dyDescent="0.25">
      <c r="B8" s="13" t="s">
        <v>16</v>
      </c>
      <c r="C8" s="32" t="s">
        <v>287</v>
      </c>
    </row>
    <row r="9" spans="2:3" ht="60" customHeight="1" outlineLevel="1" x14ac:dyDescent="0.25">
      <c r="B9" s="13" t="s">
        <v>15</v>
      </c>
      <c r="C9" s="32" t="s">
        <v>288</v>
      </c>
    </row>
    <row r="10" spans="2:3" ht="60" customHeight="1" outlineLevel="1" x14ac:dyDescent="0.25">
      <c r="B10" s="13" t="s">
        <v>14</v>
      </c>
      <c r="C10" s="32" t="s">
        <v>289</v>
      </c>
    </row>
    <row r="11" spans="2:3" ht="60" customHeight="1" outlineLevel="1" x14ac:dyDescent="0.25">
      <c r="B11" s="13" t="s">
        <v>13</v>
      </c>
      <c r="C11" s="32" t="s">
        <v>290</v>
      </c>
    </row>
    <row r="12" spans="2:3" ht="60" customHeight="1" outlineLevel="1" x14ac:dyDescent="0.25">
      <c r="B12" s="13" t="s">
        <v>12</v>
      </c>
      <c r="C12" s="32" t="s">
        <v>291</v>
      </c>
    </row>
    <row r="13" spans="2:3" ht="60" customHeight="1" outlineLevel="1" x14ac:dyDescent="0.25">
      <c r="B13" s="13" t="s">
        <v>11</v>
      </c>
      <c r="C13" s="32" t="s">
        <v>316</v>
      </c>
    </row>
    <row r="14" spans="2:3" ht="60" customHeight="1" outlineLevel="1" x14ac:dyDescent="0.25">
      <c r="B14" s="13" t="s">
        <v>10</v>
      </c>
      <c r="C14" s="32" t="s">
        <v>317</v>
      </c>
    </row>
    <row r="15" spans="2:3" ht="60" customHeight="1" outlineLevel="1" x14ac:dyDescent="0.25">
      <c r="B15" s="13" t="s">
        <v>9</v>
      </c>
      <c r="C15" s="141" t="s">
        <v>180</v>
      </c>
    </row>
    <row r="16" spans="2:3" ht="60" customHeight="1" outlineLevel="1" x14ac:dyDescent="0.25">
      <c r="B16" s="13" t="s">
        <v>8</v>
      </c>
      <c r="C16" s="141" t="s">
        <v>178</v>
      </c>
    </row>
    <row r="17" spans="2:3" ht="60" customHeight="1" outlineLevel="1" x14ac:dyDescent="0.25">
      <c r="B17" s="13" t="s">
        <v>7</v>
      </c>
      <c r="C17" s="141" t="s">
        <v>179</v>
      </c>
    </row>
    <row r="18" spans="2:3" ht="60" customHeight="1" outlineLevel="1" x14ac:dyDescent="0.25">
      <c r="B18" s="13" t="s">
        <v>6</v>
      </c>
      <c r="C18" s="32"/>
    </row>
    <row r="19" spans="2:3" ht="60" customHeight="1" outlineLevel="1" x14ac:dyDescent="0.25">
      <c r="B19" s="13" t="s">
        <v>5</v>
      </c>
      <c r="C19" s="32"/>
    </row>
    <row r="20" spans="2:3" ht="60" customHeight="1" outlineLevel="1" x14ac:dyDescent="0.25">
      <c r="B20" s="13" t="s">
        <v>4</v>
      </c>
      <c r="C20" s="141"/>
    </row>
    <row r="21" spans="2:3" ht="60" customHeight="1" outlineLevel="1" x14ac:dyDescent="0.25">
      <c r="B21" s="13" t="s">
        <v>3</v>
      </c>
      <c r="C21" s="141"/>
    </row>
    <row r="22" spans="2:3" ht="60" customHeight="1" outlineLevel="1" x14ac:dyDescent="0.25">
      <c r="B22" s="13" t="s">
        <v>2</v>
      </c>
      <c r="C22" s="32"/>
    </row>
    <row r="23" spans="2:3" ht="60" customHeight="1" outlineLevel="1" x14ac:dyDescent="0.25">
      <c r="B23" s="13" t="s">
        <v>1</v>
      </c>
      <c r="C23" s="32"/>
    </row>
    <row r="24" spans="2:3" ht="60" customHeight="1" outlineLevel="1" x14ac:dyDescent="0.25">
      <c r="B24" s="13" t="s">
        <v>0</v>
      </c>
      <c r="C24" s="32"/>
    </row>
    <row r="25" spans="2:3" x14ac:dyDescent="0.25">
      <c r="B25" s="10" t="s">
        <v>124</v>
      </c>
      <c r="C25" s="12">
        <f>SUBTOTAL(103,MatrizRQ[Descripción])</f>
        <v>13</v>
      </c>
    </row>
  </sheetData>
  <mergeCells count="1">
    <mergeCell ref="B3:C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zoomScale="85" zoomScaleNormal="85" workbookViewId="0">
      <pane ySplit="2" topLeftCell="A3" activePane="bottomLeft" state="frozen"/>
      <selection pane="bottomLeft" activeCell="E15" sqref="E15:E19"/>
    </sheetView>
  </sheetViews>
  <sheetFormatPr baseColWidth="10" defaultRowHeight="15" x14ac:dyDescent="0.25"/>
  <cols>
    <col min="1" max="1" width="17" style="7" bestFit="1" customWidth="1"/>
    <col min="2" max="2" width="12.85546875" style="7" bestFit="1" customWidth="1"/>
    <col min="3" max="5" width="11.42578125" style="7"/>
    <col min="6" max="6" width="14.85546875" style="7" bestFit="1" customWidth="1"/>
    <col min="7" max="9" width="14.85546875" style="7" customWidth="1"/>
    <col min="10" max="10" width="17.42578125" style="7" bestFit="1" customWidth="1"/>
    <col min="11" max="11" width="20" style="7" bestFit="1" customWidth="1"/>
    <col min="12" max="16384" width="11.42578125" style="7"/>
  </cols>
  <sheetData>
    <row r="1" spans="1:11" s="3" customFormat="1" x14ac:dyDescent="0.25">
      <c r="A1" s="144" t="s">
        <v>264</v>
      </c>
      <c r="B1" s="144" t="s">
        <v>263</v>
      </c>
      <c r="C1" s="144" t="s">
        <v>262</v>
      </c>
      <c r="D1" s="144" t="s">
        <v>261</v>
      </c>
      <c r="E1" s="144"/>
      <c r="F1" s="144"/>
      <c r="G1" s="144"/>
      <c r="H1" s="144"/>
      <c r="I1" s="144"/>
      <c r="J1" s="144"/>
      <c r="K1" s="144"/>
    </row>
    <row r="2" spans="1:11" s="3" customFormat="1" x14ac:dyDescent="0.25">
      <c r="A2" s="144"/>
      <c r="B2" s="144"/>
      <c r="C2" s="144"/>
      <c r="D2" s="3" t="s">
        <v>260</v>
      </c>
      <c r="E2" s="3" t="s">
        <v>259</v>
      </c>
      <c r="F2" s="3" t="s">
        <v>258</v>
      </c>
      <c r="G2" s="3" t="s">
        <v>257</v>
      </c>
      <c r="H2" s="3" t="s">
        <v>256</v>
      </c>
      <c r="I2" s="3" t="s">
        <v>255</v>
      </c>
      <c r="J2" s="3" t="s">
        <v>254</v>
      </c>
      <c r="K2" s="3" t="s">
        <v>253</v>
      </c>
    </row>
    <row r="3" spans="1:11" x14ac:dyDescent="0.25">
      <c r="A3" s="7" t="s">
        <v>252</v>
      </c>
    </row>
    <row r="4" spans="1:11" x14ac:dyDescent="0.25">
      <c r="B4" s="7" t="s">
        <v>222</v>
      </c>
    </row>
    <row r="5" spans="1:11" x14ac:dyDescent="0.25">
      <c r="C5" s="7" t="s">
        <v>250</v>
      </c>
      <c r="D5" s="7" t="s">
        <v>219</v>
      </c>
      <c r="E5" s="7" t="s">
        <v>221</v>
      </c>
      <c r="F5" s="7">
        <v>2</v>
      </c>
      <c r="G5" s="7">
        <v>1</v>
      </c>
      <c r="H5" s="7" t="s">
        <v>209</v>
      </c>
      <c r="I5" s="7">
        <v>5</v>
      </c>
      <c r="J5" s="7">
        <v>2</v>
      </c>
      <c r="K5" s="7" t="s">
        <v>208</v>
      </c>
    </row>
    <row r="6" spans="1:11" x14ac:dyDescent="0.25">
      <c r="C6" s="7" t="s">
        <v>249</v>
      </c>
      <c r="D6" s="7" t="s">
        <v>219</v>
      </c>
      <c r="E6" s="7" t="s">
        <v>221</v>
      </c>
      <c r="F6" s="7">
        <v>2</v>
      </c>
      <c r="G6" s="7">
        <v>1</v>
      </c>
      <c r="H6" s="7" t="s">
        <v>209</v>
      </c>
      <c r="I6" s="7">
        <v>5</v>
      </c>
      <c r="J6" s="7">
        <v>2</v>
      </c>
      <c r="K6" s="7" t="s">
        <v>208</v>
      </c>
    </row>
    <row r="7" spans="1:11" x14ac:dyDescent="0.25">
      <c r="C7" s="7" t="s">
        <v>248</v>
      </c>
      <c r="D7" s="7" t="s">
        <v>219</v>
      </c>
      <c r="E7" s="7" t="s">
        <v>230</v>
      </c>
      <c r="F7" s="7">
        <v>3</v>
      </c>
      <c r="G7" s="7">
        <v>0</v>
      </c>
      <c r="H7" s="7" t="s">
        <v>209</v>
      </c>
      <c r="I7" s="7">
        <v>5</v>
      </c>
      <c r="J7" s="7">
        <v>2</v>
      </c>
      <c r="K7" s="7" t="s">
        <v>208</v>
      </c>
    </row>
    <row r="8" spans="1:11" x14ac:dyDescent="0.25">
      <c r="C8" s="7" t="s">
        <v>247</v>
      </c>
      <c r="D8" s="7" t="s">
        <v>219</v>
      </c>
      <c r="E8" s="7" t="s">
        <v>230</v>
      </c>
      <c r="F8" s="7">
        <v>3</v>
      </c>
      <c r="G8" s="7">
        <v>0</v>
      </c>
      <c r="H8" s="7" t="s">
        <v>209</v>
      </c>
      <c r="I8" s="7">
        <v>5</v>
      </c>
      <c r="J8" s="7">
        <v>2</v>
      </c>
      <c r="K8" s="7" t="s">
        <v>208</v>
      </c>
    </row>
    <row r="9" spans="1:11" x14ac:dyDescent="0.25">
      <c r="C9" s="7" t="s">
        <v>246</v>
      </c>
      <c r="D9" s="7" t="s">
        <v>219</v>
      </c>
      <c r="E9" s="7" t="s">
        <v>221</v>
      </c>
      <c r="F9" s="7">
        <v>2</v>
      </c>
      <c r="G9" s="7">
        <v>1</v>
      </c>
      <c r="H9" s="7" t="s">
        <v>209</v>
      </c>
      <c r="I9" s="7">
        <v>5</v>
      </c>
      <c r="J9" s="7">
        <v>2</v>
      </c>
      <c r="K9" s="7" t="s">
        <v>208</v>
      </c>
    </row>
    <row r="10" spans="1:11" x14ac:dyDescent="0.25">
      <c r="C10" s="7" t="s">
        <v>245</v>
      </c>
      <c r="D10" s="7" t="s">
        <v>219</v>
      </c>
      <c r="E10" s="7" t="s">
        <v>221</v>
      </c>
      <c r="F10" s="7">
        <v>2</v>
      </c>
      <c r="G10" s="7">
        <v>1</v>
      </c>
      <c r="H10" s="7" t="s">
        <v>209</v>
      </c>
      <c r="I10" s="7">
        <v>5</v>
      </c>
      <c r="J10" s="7">
        <v>2</v>
      </c>
      <c r="K10" s="7" t="s">
        <v>208</v>
      </c>
    </row>
    <row r="11" spans="1:11" x14ac:dyDescent="0.25">
      <c r="C11" s="7" t="s">
        <v>244</v>
      </c>
      <c r="D11" s="7" t="s">
        <v>219</v>
      </c>
      <c r="E11" s="7" t="s">
        <v>230</v>
      </c>
      <c r="F11" s="7">
        <v>2</v>
      </c>
      <c r="G11" s="7">
        <v>0</v>
      </c>
      <c r="H11" s="7" t="s">
        <v>209</v>
      </c>
      <c r="I11" s="7">
        <v>5</v>
      </c>
      <c r="J11" s="7">
        <v>2</v>
      </c>
      <c r="K11" s="7" t="s">
        <v>208</v>
      </c>
    </row>
    <row r="12" spans="1:11" x14ac:dyDescent="0.25">
      <c r="C12" s="7" t="s">
        <v>243</v>
      </c>
      <c r="D12" s="7" t="s">
        <v>219</v>
      </c>
      <c r="E12" s="7" t="s">
        <v>230</v>
      </c>
      <c r="F12" s="7">
        <v>2</v>
      </c>
      <c r="G12" s="7">
        <v>0</v>
      </c>
      <c r="H12" s="7" t="s">
        <v>209</v>
      </c>
      <c r="I12" s="7">
        <v>5</v>
      </c>
      <c r="J12" s="7">
        <v>2</v>
      </c>
      <c r="K12" s="7" t="s">
        <v>208</v>
      </c>
    </row>
    <row r="13" spans="1:11" x14ac:dyDescent="0.25">
      <c r="B13" s="7" t="s">
        <v>220</v>
      </c>
    </row>
    <row r="14" spans="1:11" x14ac:dyDescent="0.25">
      <c r="C14" s="7">
        <v>300</v>
      </c>
      <c r="D14" s="7" t="s">
        <v>219</v>
      </c>
      <c r="E14" s="7" t="s">
        <v>251</v>
      </c>
      <c r="F14" s="7">
        <v>1</v>
      </c>
      <c r="G14" s="7">
        <v>0</v>
      </c>
      <c r="H14" s="7" t="s">
        <v>209</v>
      </c>
      <c r="I14" s="7">
        <v>3</v>
      </c>
      <c r="J14" s="7">
        <v>2</v>
      </c>
      <c r="K14" s="7" t="s">
        <v>208</v>
      </c>
    </row>
    <row r="15" spans="1:11" x14ac:dyDescent="0.25">
      <c r="C15" s="7">
        <v>1103</v>
      </c>
      <c r="D15" s="7" t="s">
        <v>219</v>
      </c>
      <c r="E15" s="7" t="s">
        <v>210</v>
      </c>
      <c r="F15" s="7">
        <v>0</v>
      </c>
      <c r="G15" s="7">
        <v>1</v>
      </c>
      <c r="H15" s="7" t="s">
        <v>209</v>
      </c>
      <c r="I15" s="7">
        <v>3</v>
      </c>
      <c r="J15" s="7">
        <v>2</v>
      </c>
      <c r="K15" s="7" t="s">
        <v>208</v>
      </c>
    </row>
    <row r="16" spans="1:11" x14ac:dyDescent="0.25">
      <c r="C16" s="7">
        <v>1105</v>
      </c>
      <c r="D16" s="7" t="s">
        <v>219</v>
      </c>
      <c r="E16" s="7" t="s">
        <v>210</v>
      </c>
      <c r="F16" s="7">
        <v>0</v>
      </c>
      <c r="G16" s="7">
        <v>1</v>
      </c>
      <c r="H16" s="7" t="s">
        <v>209</v>
      </c>
      <c r="I16" s="7">
        <v>3</v>
      </c>
      <c r="J16" s="7">
        <v>2</v>
      </c>
      <c r="K16" s="7" t="s">
        <v>208</v>
      </c>
    </row>
    <row r="17" spans="2:11" x14ac:dyDescent="0.25">
      <c r="C17" s="7">
        <v>1106</v>
      </c>
      <c r="D17" s="7" t="s">
        <v>219</v>
      </c>
      <c r="E17" s="7" t="s">
        <v>210</v>
      </c>
      <c r="F17" s="7">
        <v>0</v>
      </c>
      <c r="G17" s="7">
        <v>1</v>
      </c>
      <c r="H17" s="7" t="s">
        <v>209</v>
      </c>
      <c r="I17" s="7">
        <v>3</v>
      </c>
      <c r="J17" s="7">
        <v>2</v>
      </c>
      <c r="K17" s="7" t="s">
        <v>208</v>
      </c>
    </row>
    <row r="18" spans="2:11" x14ac:dyDescent="0.25">
      <c r="C18" s="7">
        <v>1107</v>
      </c>
      <c r="D18" s="7" t="s">
        <v>219</v>
      </c>
      <c r="E18" s="7" t="s">
        <v>210</v>
      </c>
      <c r="F18" s="7">
        <v>0</v>
      </c>
      <c r="G18" s="7">
        <v>1</v>
      </c>
      <c r="H18" s="7" t="s">
        <v>209</v>
      </c>
      <c r="I18" s="7">
        <v>3</v>
      </c>
      <c r="J18" s="7">
        <v>2</v>
      </c>
      <c r="K18" s="7" t="s">
        <v>208</v>
      </c>
    </row>
    <row r="19" spans="2:11" x14ac:dyDescent="0.25">
      <c r="C19" s="7">
        <v>1108</v>
      </c>
      <c r="D19" s="7" t="s">
        <v>219</v>
      </c>
      <c r="E19" s="7" t="s">
        <v>210</v>
      </c>
      <c r="F19" s="7">
        <v>0</v>
      </c>
      <c r="G19" s="7">
        <v>1</v>
      </c>
      <c r="H19" s="7" t="s">
        <v>209</v>
      </c>
      <c r="I19" s="7">
        <v>3</v>
      </c>
      <c r="J19" s="7">
        <v>2</v>
      </c>
      <c r="K19" s="7" t="s">
        <v>208</v>
      </c>
    </row>
    <row r="20" spans="2:11" x14ac:dyDescent="0.25">
      <c r="B20" s="7" t="s">
        <v>217</v>
      </c>
    </row>
    <row r="21" spans="2:11" x14ac:dyDescent="0.25">
      <c r="C21" s="7">
        <v>1101</v>
      </c>
      <c r="E21" s="7" t="s">
        <v>210</v>
      </c>
      <c r="F21" s="7" t="s">
        <v>209</v>
      </c>
      <c r="G21" s="7" t="s">
        <v>209</v>
      </c>
      <c r="H21" s="7" t="s">
        <v>208</v>
      </c>
      <c r="I21" s="7">
        <v>5</v>
      </c>
      <c r="J21" s="7">
        <v>2</v>
      </c>
      <c r="K21" s="7" t="s">
        <v>208</v>
      </c>
    </row>
    <row r="22" spans="2:11" x14ac:dyDescent="0.25">
      <c r="C22" s="7">
        <v>1102</v>
      </c>
      <c r="E22" s="7" t="s">
        <v>210</v>
      </c>
      <c r="F22" s="7" t="s">
        <v>209</v>
      </c>
      <c r="G22" s="7" t="s">
        <v>209</v>
      </c>
      <c r="H22" s="7" t="s">
        <v>208</v>
      </c>
      <c r="I22" s="7">
        <v>5</v>
      </c>
      <c r="J22" s="7">
        <v>2</v>
      </c>
      <c r="K22" s="7" t="s">
        <v>208</v>
      </c>
    </row>
    <row r="23" spans="2:11" x14ac:dyDescent="0.25">
      <c r="C23" s="7">
        <v>1103</v>
      </c>
      <c r="E23" s="7" t="s">
        <v>210</v>
      </c>
      <c r="F23" s="7" t="s">
        <v>209</v>
      </c>
      <c r="G23" s="7" t="s">
        <v>209</v>
      </c>
      <c r="H23" s="7" t="s">
        <v>208</v>
      </c>
      <c r="I23" s="7">
        <v>5</v>
      </c>
      <c r="J23" s="7">
        <v>2</v>
      </c>
      <c r="K23" s="7" t="s">
        <v>208</v>
      </c>
    </row>
    <row r="24" spans="2:11" x14ac:dyDescent="0.25">
      <c r="C24" s="7">
        <v>1104</v>
      </c>
      <c r="E24" s="7" t="s">
        <v>210</v>
      </c>
      <c r="F24" s="7" t="s">
        <v>209</v>
      </c>
      <c r="G24" s="7" t="s">
        <v>209</v>
      </c>
      <c r="H24" s="7" t="s">
        <v>208</v>
      </c>
      <c r="I24" s="7">
        <v>5</v>
      </c>
      <c r="J24" s="7">
        <v>2</v>
      </c>
      <c r="K24" s="7" t="s">
        <v>208</v>
      </c>
    </row>
    <row r="25" spans="2:11" x14ac:dyDescent="0.25">
      <c r="C25" s="7">
        <v>1105</v>
      </c>
      <c r="E25" s="7" t="s">
        <v>210</v>
      </c>
      <c r="F25" s="7" t="s">
        <v>209</v>
      </c>
      <c r="G25" s="7" t="s">
        <v>209</v>
      </c>
      <c r="H25" s="7" t="s">
        <v>208</v>
      </c>
      <c r="I25" s="7">
        <v>5</v>
      </c>
      <c r="J25" s="7">
        <v>2</v>
      </c>
      <c r="K25" s="7" t="s">
        <v>208</v>
      </c>
    </row>
    <row r="26" spans="2:11" x14ac:dyDescent="0.25">
      <c r="C26" s="7">
        <v>1106</v>
      </c>
      <c r="E26" s="7" t="s">
        <v>210</v>
      </c>
      <c r="F26" s="7" t="s">
        <v>209</v>
      </c>
      <c r="G26" s="7" t="s">
        <v>209</v>
      </c>
      <c r="H26" s="7" t="s">
        <v>208</v>
      </c>
      <c r="I26" s="7">
        <v>5</v>
      </c>
      <c r="J26" s="7">
        <v>2</v>
      </c>
      <c r="K26" s="7" t="s">
        <v>208</v>
      </c>
    </row>
    <row r="27" spans="2:11" x14ac:dyDescent="0.25">
      <c r="C27" s="7">
        <v>1107</v>
      </c>
      <c r="E27" s="7" t="s">
        <v>210</v>
      </c>
      <c r="F27" s="7" t="s">
        <v>209</v>
      </c>
      <c r="G27" s="7" t="s">
        <v>209</v>
      </c>
      <c r="H27" s="7" t="s">
        <v>208</v>
      </c>
      <c r="I27" s="7">
        <v>5</v>
      </c>
      <c r="J27" s="7">
        <v>2</v>
      </c>
      <c r="K27" s="7" t="s">
        <v>208</v>
      </c>
    </row>
    <row r="28" spans="2:11" x14ac:dyDescent="0.25">
      <c r="C28" s="7">
        <v>1108</v>
      </c>
      <c r="E28" s="7" t="s">
        <v>210</v>
      </c>
      <c r="F28" s="7" t="s">
        <v>209</v>
      </c>
      <c r="G28" s="7" t="s">
        <v>209</v>
      </c>
      <c r="H28" s="7" t="s">
        <v>208</v>
      </c>
      <c r="I28" s="7">
        <v>5</v>
      </c>
      <c r="J28" s="7">
        <v>2</v>
      </c>
      <c r="K28" s="7" t="s">
        <v>208</v>
      </c>
    </row>
    <row r="29" spans="2:11" x14ac:dyDescent="0.25">
      <c r="B29" s="7" t="s">
        <v>226</v>
      </c>
    </row>
    <row r="30" spans="2:11" x14ac:dyDescent="0.25">
      <c r="C30" s="7">
        <v>1500</v>
      </c>
      <c r="E30" s="7" t="s">
        <v>210</v>
      </c>
      <c r="F30" s="7" t="s">
        <v>209</v>
      </c>
      <c r="G30" s="7" t="s">
        <v>209</v>
      </c>
      <c r="H30" s="7" t="s">
        <v>208</v>
      </c>
      <c r="I30" s="7">
        <v>5</v>
      </c>
      <c r="J30" s="7">
        <v>2</v>
      </c>
      <c r="K30" s="7" t="s">
        <v>208</v>
      </c>
    </row>
    <row r="31" spans="2:11" x14ac:dyDescent="0.25">
      <c r="C31" s="7">
        <v>1003</v>
      </c>
      <c r="E31" s="7" t="s">
        <v>210</v>
      </c>
      <c r="F31" s="7" t="s">
        <v>209</v>
      </c>
      <c r="G31" s="7" t="s">
        <v>209</v>
      </c>
      <c r="H31" s="7" t="s">
        <v>208</v>
      </c>
      <c r="I31" s="7">
        <v>5</v>
      </c>
      <c r="J31" s="7">
        <v>2</v>
      </c>
      <c r="K31" s="7" t="s">
        <v>208</v>
      </c>
    </row>
    <row r="32" spans="2:11" x14ac:dyDescent="0.25">
      <c r="B32" s="7" t="s">
        <v>216</v>
      </c>
    </row>
    <row r="33" spans="1:11" x14ac:dyDescent="0.25">
      <c r="C33" s="7" t="s">
        <v>250</v>
      </c>
      <c r="E33" s="7" t="s">
        <v>210</v>
      </c>
      <c r="F33" s="7" t="s">
        <v>209</v>
      </c>
      <c r="G33" s="7" t="s">
        <v>209</v>
      </c>
      <c r="H33" s="7" t="s">
        <v>208</v>
      </c>
      <c r="I33" s="7">
        <v>5</v>
      </c>
      <c r="J33" s="7">
        <v>2</v>
      </c>
      <c r="K33" s="7" t="s">
        <v>208</v>
      </c>
    </row>
    <row r="34" spans="1:11" x14ac:dyDescent="0.25">
      <c r="C34" s="7" t="s">
        <v>249</v>
      </c>
      <c r="E34" s="7" t="s">
        <v>210</v>
      </c>
      <c r="F34" s="7" t="s">
        <v>209</v>
      </c>
      <c r="G34" s="7" t="s">
        <v>209</v>
      </c>
      <c r="H34" s="7" t="s">
        <v>208</v>
      </c>
      <c r="I34" s="7">
        <v>5</v>
      </c>
      <c r="J34" s="7">
        <v>2</v>
      </c>
      <c r="K34" s="7" t="s">
        <v>208</v>
      </c>
    </row>
    <row r="35" spans="1:11" x14ac:dyDescent="0.25">
      <c r="C35" s="7" t="s">
        <v>248</v>
      </c>
      <c r="E35" s="7" t="s">
        <v>210</v>
      </c>
      <c r="F35" s="7" t="s">
        <v>209</v>
      </c>
      <c r="G35" s="7" t="s">
        <v>209</v>
      </c>
      <c r="H35" s="7" t="s">
        <v>208</v>
      </c>
      <c r="I35" s="7">
        <v>5</v>
      </c>
      <c r="J35" s="7">
        <v>2</v>
      </c>
      <c r="K35" s="7" t="s">
        <v>208</v>
      </c>
    </row>
    <row r="36" spans="1:11" x14ac:dyDescent="0.25">
      <c r="C36" s="7" t="s">
        <v>247</v>
      </c>
      <c r="E36" s="7" t="s">
        <v>210</v>
      </c>
      <c r="F36" s="7" t="s">
        <v>209</v>
      </c>
      <c r="G36" s="7" t="s">
        <v>209</v>
      </c>
      <c r="H36" s="7" t="s">
        <v>208</v>
      </c>
      <c r="I36" s="7">
        <v>5</v>
      </c>
      <c r="J36" s="7">
        <v>2</v>
      </c>
      <c r="K36" s="7" t="s">
        <v>208</v>
      </c>
    </row>
    <row r="37" spans="1:11" x14ac:dyDescent="0.25">
      <c r="C37" s="7" t="s">
        <v>246</v>
      </c>
      <c r="E37" s="7" t="s">
        <v>210</v>
      </c>
      <c r="F37" s="7" t="s">
        <v>209</v>
      </c>
      <c r="G37" s="7" t="s">
        <v>209</v>
      </c>
      <c r="H37" s="7" t="s">
        <v>208</v>
      </c>
      <c r="I37" s="7">
        <v>5</v>
      </c>
      <c r="J37" s="7">
        <v>2</v>
      </c>
      <c r="K37" s="7" t="s">
        <v>208</v>
      </c>
    </row>
    <row r="38" spans="1:11" x14ac:dyDescent="0.25">
      <c r="C38" s="7" t="s">
        <v>245</v>
      </c>
      <c r="E38" s="7" t="s">
        <v>210</v>
      </c>
      <c r="F38" s="7" t="s">
        <v>209</v>
      </c>
      <c r="G38" s="7" t="s">
        <v>209</v>
      </c>
      <c r="H38" s="7" t="s">
        <v>208</v>
      </c>
      <c r="I38" s="7">
        <v>5</v>
      </c>
      <c r="J38" s="7">
        <v>2</v>
      </c>
      <c r="K38" s="7" t="s">
        <v>208</v>
      </c>
    </row>
    <row r="39" spans="1:11" x14ac:dyDescent="0.25">
      <c r="C39" s="7" t="s">
        <v>244</v>
      </c>
      <c r="E39" s="7" t="s">
        <v>210</v>
      </c>
      <c r="F39" s="7" t="s">
        <v>209</v>
      </c>
      <c r="G39" s="7" t="s">
        <v>209</v>
      </c>
      <c r="H39" s="7" t="s">
        <v>208</v>
      </c>
      <c r="I39" s="7">
        <v>5</v>
      </c>
      <c r="J39" s="7">
        <v>2</v>
      </c>
      <c r="K39" s="7" t="s">
        <v>208</v>
      </c>
    </row>
    <row r="40" spans="1:11" x14ac:dyDescent="0.25">
      <c r="C40" s="7" t="s">
        <v>243</v>
      </c>
      <c r="E40" s="7" t="s">
        <v>210</v>
      </c>
      <c r="F40" s="7" t="s">
        <v>209</v>
      </c>
      <c r="G40" s="7" t="s">
        <v>209</v>
      </c>
      <c r="H40" s="7" t="s">
        <v>208</v>
      </c>
      <c r="I40" s="7">
        <v>5</v>
      </c>
      <c r="J40" s="7">
        <v>2</v>
      </c>
      <c r="K40" s="7" t="s">
        <v>208</v>
      </c>
    </row>
    <row r="41" spans="1:11" x14ac:dyDescent="0.25">
      <c r="A41" s="7" t="s">
        <v>242</v>
      </c>
    </row>
    <row r="42" spans="1:11" x14ac:dyDescent="0.25">
      <c r="B42" s="7" t="s">
        <v>222</v>
      </c>
    </row>
    <row r="43" spans="1:11" x14ac:dyDescent="0.25">
      <c r="C43" s="7">
        <v>1007</v>
      </c>
      <c r="D43" s="7" t="s">
        <v>219</v>
      </c>
      <c r="E43" s="7" t="s">
        <v>230</v>
      </c>
      <c r="F43" s="7">
        <v>0</v>
      </c>
      <c r="G43" s="7">
        <v>0</v>
      </c>
      <c r="H43" s="7" t="s">
        <v>209</v>
      </c>
      <c r="I43" s="7">
        <v>5</v>
      </c>
      <c r="J43" s="7">
        <v>2</v>
      </c>
      <c r="K43" s="7" t="s">
        <v>208</v>
      </c>
    </row>
    <row r="44" spans="1:11" x14ac:dyDescent="0.25">
      <c r="C44" s="7" t="s">
        <v>241</v>
      </c>
      <c r="D44" s="7" t="s">
        <v>219</v>
      </c>
      <c r="E44" s="7" t="s">
        <v>230</v>
      </c>
      <c r="F44" s="7">
        <v>1</v>
      </c>
      <c r="G44" s="7">
        <v>0</v>
      </c>
      <c r="H44" s="7" t="s">
        <v>209</v>
      </c>
      <c r="I44" s="7">
        <v>5</v>
      </c>
      <c r="J44" s="7">
        <v>2</v>
      </c>
      <c r="K44" s="7" t="s">
        <v>208</v>
      </c>
    </row>
    <row r="45" spans="1:11" x14ac:dyDescent="0.25">
      <c r="C45" s="7" t="s">
        <v>240</v>
      </c>
      <c r="D45" s="7" t="s">
        <v>219</v>
      </c>
      <c r="E45" s="7" t="s">
        <v>230</v>
      </c>
      <c r="F45" s="7">
        <v>1</v>
      </c>
      <c r="G45" s="7">
        <v>0</v>
      </c>
      <c r="H45" s="7" t="s">
        <v>209</v>
      </c>
      <c r="I45" s="7">
        <v>5</v>
      </c>
      <c r="J45" s="7">
        <v>2</v>
      </c>
      <c r="K45" s="7" t="s">
        <v>208</v>
      </c>
    </row>
    <row r="46" spans="1:11" x14ac:dyDescent="0.25">
      <c r="C46" s="7">
        <v>1009</v>
      </c>
      <c r="D46" s="7" t="s">
        <v>219</v>
      </c>
      <c r="E46" s="7" t="s">
        <v>230</v>
      </c>
      <c r="F46" s="7">
        <v>0</v>
      </c>
      <c r="G46" s="7">
        <v>0</v>
      </c>
      <c r="H46" s="7" t="s">
        <v>209</v>
      </c>
      <c r="I46" s="7">
        <v>5</v>
      </c>
      <c r="J46" s="7">
        <v>2</v>
      </c>
      <c r="K46" s="7" t="s">
        <v>208</v>
      </c>
    </row>
    <row r="47" spans="1:11" x14ac:dyDescent="0.25">
      <c r="C47" s="7">
        <v>1401</v>
      </c>
      <c r="D47" s="7" t="s">
        <v>219</v>
      </c>
      <c r="E47" s="7" t="s">
        <v>230</v>
      </c>
      <c r="F47" s="7">
        <v>0</v>
      </c>
      <c r="G47" s="7">
        <v>0</v>
      </c>
      <c r="H47" s="7" t="s">
        <v>209</v>
      </c>
      <c r="I47" s="7">
        <v>5</v>
      </c>
      <c r="J47" s="7">
        <v>2</v>
      </c>
      <c r="K47" s="7" t="s">
        <v>208</v>
      </c>
    </row>
    <row r="48" spans="1:11" x14ac:dyDescent="0.25">
      <c r="B48" s="7" t="s">
        <v>217</v>
      </c>
    </row>
    <row r="49" spans="1:11" x14ac:dyDescent="0.25">
      <c r="C49" s="7">
        <v>1011</v>
      </c>
      <c r="D49" s="7" t="s">
        <v>209</v>
      </c>
      <c r="E49" s="7" t="s">
        <v>210</v>
      </c>
      <c r="F49" s="7" t="s">
        <v>209</v>
      </c>
      <c r="H49" s="7" t="s">
        <v>208</v>
      </c>
      <c r="I49" s="7">
        <v>5</v>
      </c>
      <c r="J49" s="7">
        <v>2</v>
      </c>
      <c r="K49" s="7" t="s">
        <v>208</v>
      </c>
    </row>
    <row r="50" spans="1:11" x14ac:dyDescent="0.25">
      <c r="B50" s="7" t="s">
        <v>226</v>
      </c>
    </row>
    <row r="51" spans="1:11" x14ac:dyDescent="0.25">
      <c r="C51" s="7">
        <v>1008</v>
      </c>
      <c r="D51" s="7" t="s">
        <v>209</v>
      </c>
      <c r="E51" s="7" t="s">
        <v>210</v>
      </c>
      <c r="F51" s="7" t="s">
        <v>209</v>
      </c>
      <c r="G51" s="7" t="s">
        <v>209</v>
      </c>
      <c r="H51" s="7" t="s">
        <v>208</v>
      </c>
      <c r="I51" s="7">
        <v>5</v>
      </c>
      <c r="J51" s="7">
        <v>2</v>
      </c>
      <c r="K51" s="7" t="s">
        <v>208</v>
      </c>
    </row>
    <row r="52" spans="1:11" x14ac:dyDescent="0.25">
      <c r="B52" s="7" t="s">
        <v>216</v>
      </c>
    </row>
    <row r="53" spans="1:11" x14ac:dyDescent="0.25">
      <c r="C53" s="7" t="s">
        <v>241</v>
      </c>
      <c r="E53" s="7" t="s">
        <v>210</v>
      </c>
      <c r="F53" s="7" t="s">
        <v>209</v>
      </c>
      <c r="G53" s="7" t="s">
        <v>209</v>
      </c>
      <c r="H53" s="7" t="s">
        <v>208</v>
      </c>
      <c r="I53" s="7">
        <v>5</v>
      </c>
      <c r="J53" s="7">
        <v>2</v>
      </c>
      <c r="K53" s="7" t="s">
        <v>208</v>
      </c>
    </row>
    <row r="54" spans="1:11" x14ac:dyDescent="0.25">
      <c r="C54" s="7" t="s">
        <v>240</v>
      </c>
      <c r="E54" s="7" t="s">
        <v>210</v>
      </c>
      <c r="F54" s="7" t="s">
        <v>209</v>
      </c>
      <c r="G54" s="7" t="s">
        <v>209</v>
      </c>
      <c r="H54" s="7" t="s">
        <v>208</v>
      </c>
      <c r="I54" s="7">
        <v>5</v>
      </c>
      <c r="J54" s="7">
        <v>2</v>
      </c>
      <c r="K54" s="7" t="s">
        <v>208</v>
      </c>
    </row>
    <row r="55" spans="1:11" x14ac:dyDescent="0.25">
      <c r="A55" s="7" t="s">
        <v>239</v>
      </c>
    </row>
    <row r="56" spans="1:11" x14ac:dyDescent="0.25">
      <c r="B56" s="7" t="s">
        <v>222</v>
      </c>
    </row>
    <row r="57" spans="1:11" x14ac:dyDescent="0.25">
      <c r="C57" s="7" t="s">
        <v>238</v>
      </c>
      <c r="D57" s="7" t="s">
        <v>219</v>
      </c>
      <c r="E57" s="7" t="s">
        <v>230</v>
      </c>
      <c r="F57" s="7">
        <v>2</v>
      </c>
      <c r="G57" s="7">
        <v>1</v>
      </c>
      <c r="H57" s="7" t="s">
        <v>209</v>
      </c>
      <c r="I57" s="7">
        <v>5</v>
      </c>
      <c r="J57" s="7">
        <v>2</v>
      </c>
      <c r="K57" s="7" t="s">
        <v>208</v>
      </c>
    </row>
    <row r="58" spans="1:11" x14ac:dyDescent="0.25">
      <c r="C58" s="7" t="s">
        <v>237</v>
      </c>
      <c r="D58" s="7" t="s">
        <v>219</v>
      </c>
      <c r="E58" s="7" t="s">
        <v>230</v>
      </c>
      <c r="F58" s="7">
        <v>2</v>
      </c>
      <c r="G58" s="7">
        <v>1</v>
      </c>
      <c r="H58" s="7" t="s">
        <v>209</v>
      </c>
      <c r="I58" s="7">
        <v>5</v>
      </c>
      <c r="J58" s="7">
        <v>2</v>
      </c>
      <c r="K58" s="7" t="s">
        <v>208</v>
      </c>
    </row>
    <row r="59" spans="1:11" x14ac:dyDescent="0.25">
      <c r="C59" s="7">
        <v>1018</v>
      </c>
      <c r="D59" s="7" t="s">
        <v>219</v>
      </c>
      <c r="E59" s="7" t="s">
        <v>230</v>
      </c>
      <c r="F59" s="7">
        <v>0</v>
      </c>
      <c r="G59" s="7">
        <v>0</v>
      </c>
      <c r="H59" s="7" t="s">
        <v>209</v>
      </c>
      <c r="I59" s="7">
        <v>5</v>
      </c>
      <c r="J59" s="7">
        <v>2</v>
      </c>
      <c r="K59" s="7" t="s">
        <v>208</v>
      </c>
    </row>
    <row r="60" spans="1:11" x14ac:dyDescent="0.25">
      <c r="C60" s="7">
        <v>1014</v>
      </c>
      <c r="D60" s="7" t="s">
        <v>219</v>
      </c>
      <c r="E60" s="7" t="s">
        <v>230</v>
      </c>
      <c r="F60" s="7">
        <v>0</v>
      </c>
      <c r="G60" s="7">
        <v>0</v>
      </c>
      <c r="H60" s="7" t="s">
        <v>209</v>
      </c>
      <c r="I60" s="7">
        <v>5</v>
      </c>
      <c r="J60" s="7">
        <v>2</v>
      </c>
      <c r="K60" s="7" t="s">
        <v>208</v>
      </c>
    </row>
    <row r="61" spans="1:11" x14ac:dyDescent="0.25">
      <c r="C61" s="7" t="s">
        <v>236</v>
      </c>
      <c r="D61" s="7" t="s">
        <v>219</v>
      </c>
      <c r="E61" s="7" t="s">
        <v>230</v>
      </c>
      <c r="F61" s="7">
        <v>2</v>
      </c>
      <c r="G61" s="7">
        <v>0</v>
      </c>
      <c r="H61" s="7" t="s">
        <v>209</v>
      </c>
      <c r="I61" s="7">
        <v>5</v>
      </c>
      <c r="J61" s="7">
        <v>2</v>
      </c>
      <c r="K61" s="7" t="s">
        <v>208</v>
      </c>
    </row>
    <row r="62" spans="1:11" x14ac:dyDescent="0.25">
      <c r="C62" s="7" t="s">
        <v>235</v>
      </c>
      <c r="D62" s="7" t="s">
        <v>219</v>
      </c>
      <c r="E62" s="7" t="s">
        <v>230</v>
      </c>
      <c r="F62" s="7">
        <v>2</v>
      </c>
      <c r="G62" s="7">
        <v>0</v>
      </c>
      <c r="H62" s="7" t="s">
        <v>209</v>
      </c>
      <c r="I62" s="7">
        <v>5</v>
      </c>
      <c r="J62" s="7">
        <v>2</v>
      </c>
      <c r="K62" s="7" t="s">
        <v>208</v>
      </c>
    </row>
    <row r="63" spans="1:11" x14ac:dyDescent="0.25">
      <c r="C63" s="7" t="s">
        <v>234</v>
      </c>
      <c r="D63" s="7" t="s">
        <v>219</v>
      </c>
      <c r="E63" s="7" t="s">
        <v>230</v>
      </c>
      <c r="F63" s="7">
        <v>2</v>
      </c>
      <c r="G63" s="7">
        <v>1</v>
      </c>
      <c r="H63" s="7" t="s">
        <v>209</v>
      </c>
      <c r="I63" s="7">
        <v>5</v>
      </c>
      <c r="J63" s="7">
        <v>2</v>
      </c>
      <c r="K63" s="7" t="s">
        <v>208</v>
      </c>
    </row>
    <row r="64" spans="1:11" x14ac:dyDescent="0.25">
      <c r="C64" s="7" t="s">
        <v>233</v>
      </c>
      <c r="D64" s="7" t="s">
        <v>219</v>
      </c>
      <c r="E64" s="7" t="s">
        <v>230</v>
      </c>
      <c r="F64" s="7">
        <v>2</v>
      </c>
      <c r="G64" s="7">
        <v>1</v>
      </c>
      <c r="H64" s="7" t="s">
        <v>209</v>
      </c>
      <c r="I64" s="7">
        <v>5</v>
      </c>
      <c r="J64" s="7">
        <v>2</v>
      </c>
      <c r="K64" s="7" t="s">
        <v>208</v>
      </c>
    </row>
    <row r="65" spans="2:11" x14ac:dyDescent="0.25">
      <c r="C65" s="7">
        <v>1019</v>
      </c>
      <c r="D65" s="7" t="s">
        <v>219</v>
      </c>
      <c r="E65" s="7" t="s">
        <v>230</v>
      </c>
      <c r="F65" s="7">
        <v>0</v>
      </c>
      <c r="G65" s="7">
        <v>0</v>
      </c>
      <c r="H65" s="7" t="s">
        <v>209</v>
      </c>
      <c r="I65" s="7">
        <v>5</v>
      </c>
      <c r="J65" s="7">
        <v>2</v>
      </c>
      <c r="K65" s="7" t="s">
        <v>208</v>
      </c>
    </row>
    <row r="66" spans="2:11" x14ac:dyDescent="0.25">
      <c r="C66" s="7">
        <v>1018</v>
      </c>
      <c r="D66" s="7" t="s">
        <v>219</v>
      </c>
      <c r="E66" s="7" t="s">
        <v>230</v>
      </c>
      <c r="F66" s="7">
        <v>1</v>
      </c>
      <c r="G66" s="7">
        <v>0</v>
      </c>
      <c r="H66" s="7" t="s">
        <v>209</v>
      </c>
      <c r="I66" s="7">
        <v>5</v>
      </c>
      <c r="J66" s="7">
        <v>2</v>
      </c>
      <c r="K66" s="7" t="s">
        <v>208</v>
      </c>
    </row>
    <row r="67" spans="2:11" x14ac:dyDescent="0.25">
      <c r="C67" s="7" t="s">
        <v>232</v>
      </c>
      <c r="D67" s="7" t="s">
        <v>219</v>
      </c>
      <c r="E67" s="7" t="s">
        <v>230</v>
      </c>
      <c r="F67" s="7">
        <v>1</v>
      </c>
      <c r="G67" s="7">
        <v>0</v>
      </c>
      <c r="H67" s="7" t="s">
        <v>209</v>
      </c>
      <c r="I67" s="7">
        <v>5</v>
      </c>
      <c r="J67" s="7">
        <v>2</v>
      </c>
      <c r="K67" s="7" t="s">
        <v>208</v>
      </c>
    </row>
    <row r="68" spans="2:11" x14ac:dyDescent="0.25">
      <c r="C68" s="7" t="s">
        <v>231</v>
      </c>
      <c r="D68" s="7" t="s">
        <v>219</v>
      </c>
      <c r="E68" s="7" t="s">
        <v>230</v>
      </c>
      <c r="F68" s="7">
        <v>1</v>
      </c>
      <c r="G68" s="7">
        <v>0</v>
      </c>
      <c r="H68" s="7" t="s">
        <v>209</v>
      </c>
      <c r="I68" s="7">
        <v>5</v>
      </c>
      <c r="J68" s="7">
        <v>2</v>
      </c>
      <c r="K68" s="7" t="s">
        <v>208</v>
      </c>
    </row>
    <row r="69" spans="2:11" x14ac:dyDescent="0.25">
      <c r="C69" s="7">
        <v>1016</v>
      </c>
      <c r="D69" s="7" t="s">
        <v>219</v>
      </c>
      <c r="E69" s="7" t="s">
        <v>230</v>
      </c>
      <c r="F69" s="7">
        <v>1</v>
      </c>
      <c r="G69" s="7">
        <v>0</v>
      </c>
      <c r="H69" s="7" t="s">
        <v>209</v>
      </c>
      <c r="I69" s="7">
        <v>5</v>
      </c>
      <c r="J69" s="7">
        <v>2</v>
      </c>
      <c r="K69" s="7" t="s">
        <v>208</v>
      </c>
    </row>
    <row r="70" spans="2:11" x14ac:dyDescent="0.25">
      <c r="C70" s="7">
        <v>1017</v>
      </c>
      <c r="D70" s="7" t="s">
        <v>219</v>
      </c>
      <c r="E70" s="7" t="s">
        <v>230</v>
      </c>
      <c r="F70" s="7">
        <v>1</v>
      </c>
      <c r="G70" s="7">
        <v>0</v>
      </c>
      <c r="H70" s="7" t="s">
        <v>209</v>
      </c>
      <c r="I70" s="7">
        <v>5</v>
      </c>
      <c r="J70" s="7">
        <v>2</v>
      </c>
      <c r="K70" s="7" t="s">
        <v>208</v>
      </c>
    </row>
    <row r="71" spans="2:11" x14ac:dyDescent="0.25">
      <c r="C71" s="7">
        <v>1001</v>
      </c>
      <c r="D71" s="7" t="s">
        <v>219</v>
      </c>
      <c r="E71" s="7" t="s">
        <v>230</v>
      </c>
      <c r="F71" s="7">
        <v>2</v>
      </c>
      <c r="G71" s="7">
        <v>0</v>
      </c>
      <c r="H71" s="7" t="s">
        <v>209</v>
      </c>
      <c r="I71" s="7">
        <v>5</v>
      </c>
      <c r="J71" s="7">
        <v>2</v>
      </c>
      <c r="K71" s="7" t="s">
        <v>208</v>
      </c>
    </row>
    <row r="72" spans="2:11" x14ac:dyDescent="0.25">
      <c r="B72" s="7" t="s">
        <v>220</v>
      </c>
    </row>
    <row r="73" spans="2:11" x14ac:dyDescent="0.25">
      <c r="C73" s="7">
        <v>7308</v>
      </c>
      <c r="D73" s="7" t="s">
        <v>219</v>
      </c>
      <c r="E73" s="7" t="s">
        <v>218</v>
      </c>
      <c r="F73" s="7">
        <v>1</v>
      </c>
      <c r="G73" s="7">
        <v>1</v>
      </c>
      <c r="H73" s="7" t="s">
        <v>209</v>
      </c>
      <c r="I73" s="7">
        <v>3</v>
      </c>
      <c r="J73" s="7">
        <v>2</v>
      </c>
      <c r="K73" s="7" t="s">
        <v>208</v>
      </c>
    </row>
    <row r="74" spans="2:11" x14ac:dyDescent="0.25">
      <c r="C74" s="7">
        <v>7309</v>
      </c>
      <c r="D74" s="7" t="s">
        <v>219</v>
      </c>
      <c r="E74" s="7" t="s">
        <v>218</v>
      </c>
      <c r="F74" s="7">
        <v>0</v>
      </c>
      <c r="G74" s="7">
        <v>1</v>
      </c>
      <c r="H74" s="7" t="s">
        <v>209</v>
      </c>
      <c r="I74" s="7">
        <v>3</v>
      </c>
      <c r="J74" s="7">
        <v>2</v>
      </c>
      <c r="K74" s="7" t="s">
        <v>208</v>
      </c>
    </row>
    <row r="75" spans="2:11" x14ac:dyDescent="0.25">
      <c r="C75" s="7">
        <v>7314</v>
      </c>
      <c r="D75" s="7" t="s">
        <v>219</v>
      </c>
      <c r="E75" s="7" t="s">
        <v>218</v>
      </c>
      <c r="F75" s="7">
        <v>1</v>
      </c>
      <c r="G75" s="7">
        <v>1</v>
      </c>
      <c r="H75" s="7" t="s">
        <v>209</v>
      </c>
      <c r="I75" s="7">
        <v>3</v>
      </c>
      <c r="J75" s="7">
        <v>2</v>
      </c>
      <c r="K75" s="7" t="s">
        <v>208</v>
      </c>
    </row>
    <row r="76" spans="2:11" x14ac:dyDescent="0.25">
      <c r="C76" s="7">
        <v>7322</v>
      </c>
      <c r="D76" s="7" t="s">
        <v>219</v>
      </c>
      <c r="E76" s="7" t="s">
        <v>218</v>
      </c>
      <c r="F76" s="7">
        <v>0</v>
      </c>
      <c r="G76" s="7">
        <v>1</v>
      </c>
      <c r="H76" s="7" t="s">
        <v>209</v>
      </c>
      <c r="I76" s="7">
        <v>3</v>
      </c>
      <c r="J76" s="7">
        <v>2</v>
      </c>
      <c r="K76" s="7" t="s">
        <v>208</v>
      </c>
    </row>
    <row r="77" spans="2:11" x14ac:dyDescent="0.25">
      <c r="C77" s="7">
        <v>7323</v>
      </c>
      <c r="D77" s="7" t="s">
        <v>219</v>
      </c>
      <c r="E77" s="7" t="s">
        <v>218</v>
      </c>
      <c r="F77" s="7">
        <v>1</v>
      </c>
      <c r="G77" s="7">
        <v>1</v>
      </c>
      <c r="H77" s="7" t="s">
        <v>209</v>
      </c>
      <c r="I77" s="7">
        <v>3</v>
      </c>
      <c r="J77" s="7">
        <v>2</v>
      </c>
      <c r="K77" s="7" t="s">
        <v>208</v>
      </c>
    </row>
    <row r="78" spans="2:11" x14ac:dyDescent="0.25">
      <c r="C78" s="7" t="s">
        <v>229</v>
      </c>
      <c r="D78" s="7" t="s">
        <v>219</v>
      </c>
      <c r="E78" s="7" t="s">
        <v>218</v>
      </c>
      <c r="F78" s="7">
        <v>1</v>
      </c>
      <c r="G78" s="7">
        <v>0</v>
      </c>
      <c r="H78" s="7" t="s">
        <v>209</v>
      </c>
      <c r="I78" s="7">
        <v>3</v>
      </c>
      <c r="J78" s="7">
        <v>2</v>
      </c>
      <c r="K78" s="7" t="s">
        <v>208</v>
      </c>
    </row>
    <row r="79" spans="2:11" x14ac:dyDescent="0.25">
      <c r="C79" s="7" t="s">
        <v>228</v>
      </c>
      <c r="D79" s="7" t="s">
        <v>219</v>
      </c>
      <c r="E79" s="7" t="s">
        <v>218</v>
      </c>
      <c r="F79" s="7">
        <v>1</v>
      </c>
      <c r="G79" s="7">
        <v>0</v>
      </c>
      <c r="H79" s="7" t="s">
        <v>209</v>
      </c>
      <c r="I79" s="7">
        <v>3</v>
      </c>
      <c r="J79" s="7">
        <v>2</v>
      </c>
      <c r="K79" s="7" t="s">
        <v>208</v>
      </c>
    </row>
    <row r="80" spans="2:11" x14ac:dyDescent="0.25">
      <c r="C80" s="7" t="s">
        <v>227</v>
      </c>
      <c r="D80" s="7" t="s">
        <v>219</v>
      </c>
      <c r="E80" s="7" t="s">
        <v>218</v>
      </c>
      <c r="F80" s="7">
        <v>1</v>
      </c>
      <c r="G80" s="7">
        <v>0</v>
      </c>
      <c r="H80" s="7" t="s">
        <v>209</v>
      </c>
      <c r="I80" s="7">
        <v>3</v>
      </c>
      <c r="J80" s="7">
        <v>2</v>
      </c>
      <c r="K80" s="7" t="s">
        <v>208</v>
      </c>
    </row>
    <row r="82" spans="2:11" x14ac:dyDescent="0.25">
      <c r="B82" s="7" t="s">
        <v>217</v>
      </c>
    </row>
    <row r="83" spans="2:11" x14ac:dyDescent="0.25">
      <c r="C83" s="7">
        <v>7308</v>
      </c>
      <c r="E83" s="7" t="s">
        <v>210</v>
      </c>
      <c r="F83" s="7" t="s">
        <v>209</v>
      </c>
      <c r="G83" s="7" t="s">
        <v>209</v>
      </c>
      <c r="H83" s="7" t="s">
        <v>208</v>
      </c>
      <c r="I83" s="7">
        <v>5</v>
      </c>
      <c r="J83" s="7">
        <v>2</v>
      </c>
      <c r="K83" s="7" t="s">
        <v>208</v>
      </c>
    </row>
    <row r="84" spans="2:11" x14ac:dyDescent="0.25">
      <c r="C84" s="7">
        <v>7310</v>
      </c>
      <c r="E84" s="7" t="s">
        <v>210</v>
      </c>
      <c r="F84" s="7" t="s">
        <v>209</v>
      </c>
      <c r="G84" s="7" t="s">
        <v>209</v>
      </c>
      <c r="H84" s="7" t="s">
        <v>208</v>
      </c>
      <c r="I84" s="7">
        <v>5</v>
      </c>
      <c r="J84" s="7">
        <v>2</v>
      </c>
      <c r="K84" s="7" t="s">
        <v>208</v>
      </c>
    </row>
    <row r="85" spans="2:11" x14ac:dyDescent="0.25">
      <c r="C85" s="7">
        <v>7309</v>
      </c>
      <c r="E85" s="7" t="s">
        <v>210</v>
      </c>
      <c r="F85" s="7" t="s">
        <v>209</v>
      </c>
      <c r="G85" s="7" t="s">
        <v>209</v>
      </c>
      <c r="H85" s="7" t="s">
        <v>208</v>
      </c>
      <c r="I85" s="7">
        <v>5</v>
      </c>
      <c r="J85" s="7">
        <v>2</v>
      </c>
      <c r="K85" s="7" t="s">
        <v>208</v>
      </c>
    </row>
    <row r="86" spans="2:11" x14ac:dyDescent="0.25">
      <c r="C86" s="7">
        <v>7322</v>
      </c>
      <c r="E86" s="7" t="s">
        <v>210</v>
      </c>
      <c r="F86" s="7" t="s">
        <v>209</v>
      </c>
      <c r="G86" s="7" t="s">
        <v>209</v>
      </c>
      <c r="H86" s="7" t="s">
        <v>208</v>
      </c>
      <c r="I86" s="7">
        <v>5</v>
      </c>
      <c r="J86" s="7">
        <v>2</v>
      </c>
      <c r="K86" s="7" t="s">
        <v>208</v>
      </c>
    </row>
    <row r="87" spans="2:11" x14ac:dyDescent="0.25">
      <c r="C87" s="7">
        <v>7323</v>
      </c>
      <c r="E87" s="7" t="s">
        <v>210</v>
      </c>
      <c r="F87" s="7" t="s">
        <v>209</v>
      </c>
      <c r="G87" s="7" t="s">
        <v>209</v>
      </c>
      <c r="H87" s="7" t="s">
        <v>208</v>
      </c>
      <c r="I87" s="7">
        <v>5</v>
      </c>
      <c r="J87" s="7">
        <v>2</v>
      </c>
      <c r="K87" s="7" t="s">
        <v>208</v>
      </c>
    </row>
    <row r="88" spans="2:11" x14ac:dyDescent="0.25">
      <c r="C88" s="7">
        <v>7313</v>
      </c>
      <c r="E88" s="7" t="s">
        <v>210</v>
      </c>
      <c r="F88" s="7" t="s">
        <v>209</v>
      </c>
      <c r="G88" s="7" t="s">
        <v>209</v>
      </c>
      <c r="H88" s="7" t="s">
        <v>208</v>
      </c>
      <c r="I88" s="7">
        <v>5</v>
      </c>
      <c r="J88" s="7">
        <v>2</v>
      </c>
      <c r="K88" s="7" t="s">
        <v>208</v>
      </c>
    </row>
    <row r="89" spans="2:11" x14ac:dyDescent="0.25">
      <c r="C89" s="7">
        <v>7312</v>
      </c>
      <c r="E89" s="7" t="s">
        <v>210</v>
      </c>
      <c r="F89" s="7" t="s">
        <v>209</v>
      </c>
      <c r="G89" s="7" t="s">
        <v>209</v>
      </c>
      <c r="H89" s="7" t="s">
        <v>208</v>
      </c>
      <c r="I89" s="7">
        <v>5</v>
      </c>
      <c r="J89" s="7">
        <v>2</v>
      </c>
      <c r="K89" s="7" t="s">
        <v>208</v>
      </c>
    </row>
    <row r="90" spans="2:11" x14ac:dyDescent="0.25">
      <c r="C90" s="7">
        <v>7316</v>
      </c>
      <c r="E90" s="7" t="s">
        <v>210</v>
      </c>
      <c r="F90" s="7" t="s">
        <v>209</v>
      </c>
      <c r="G90" s="7" t="s">
        <v>209</v>
      </c>
      <c r="H90" s="7" t="s">
        <v>208</v>
      </c>
      <c r="I90" s="7">
        <v>5</v>
      </c>
      <c r="J90" s="7">
        <v>2</v>
      </c>
      <c r="K90" s="7" t="s">
        <v>208</v>
      </c>
    </row>
    <row r="91" spans="2:11" x14ac:dyDescent="0.25">
      <c r="C91" s="7">
        <v>7317</v>
      </c>
      <c r="E91" s="7" t="s">
        <v>210</v>
      </c>
      <c r="F91" s="7" t="s">
        <v>209</v>
      </c>
      <c r="G91" s="7" t="s">
        <v>209</v>
      </c>
      <c r="H91" s="7" t="s">
        <v>208</v>
      </c>
      <c r="I91" s="7">
        <v>5</v>
      </c>
      <c r="J91" s="7">
        <v>2</v>
      </c>
      <c r="K91" s="7" t="s">
        <v>208</v>
      </c>
    </row>
    <row r="92" spans="2:11" x14ac:dyDescent="0.25">
      <c r="B92" s="7" t="s">
        <v>226</v>
      </c>
    </row>
    <row r="93" spans="2:11" x14ac:dyDescent="0.25">
      <c r="C93" s="7">
        <v>7311</v>
      </c>
      <c r="E93" s="7" t="s">
        <v>210</v>
      </c>
      <c r="F93" s="7" t="s">
        <v>209</v>
      </c>
      <c r="G93" s="7" t="s">
        <v>209</v>
      </c>
      <c r="H93" s="7" t="s">
        <v>208</v>
      </c>
      <c r="I93" s="7">
        <v>5</v>
      </c>
      <c r="J93" s="7">
        <v>2</v>
      </c>
      <c r="K93" s="7" t="s">
        <v>208</v>
      </c>
    </row>
    <row r="94" spans="2:11" x14ac:dyDescent="0.25">
      <c r="C94" s="7">
        <v>7314</v>
      </c>
      <c r="E94" s="7" t="s">
        <v>210</v>
      </c>
      <c r="F94" s="7" t="s">
        <v>209</v>
      </c>
      <c r="G94" s="7" t="s">
        <v>209</v>
      </c>
      <c r="H94" s="7" t="s">
        <v>208</v>
      </c>
      <c r="I94" s="7">
        <v>6</v>
      </c>
      <c r="J94" s="7">
        <v>2</v>
      </c>
      <c r="K94" s="7" t="s">
        <v>208</v>
      </c>
    </row>
    <row r="95" spans="2:11" x14ac:dyDescent="0.25">
      <c r="C95" s="7">
        <v>7312</v>
      </c>
      <c r="E95" s="7" t="s">
        <v>210</v>
      </c>
      <c r="F95" s="7" t="s">
        <v>209</v>
      </c>
      <c r="G95" s="7" t="s">
        <v>209</v>
      </c>
      <c r="H95" s="7" t="s">
        <v>208</v>
      </c>
      <c r="I95" s="7">
        <v>7</v>
      </c>
      <c r="J95" s="7">
        <v>2</v>
      </c>
      <c r="K95" s="7" t="s">
        <v>208</v>
      </c>
    </row>
    <row r="96" spans="2:11" x14ac:dyDescent="0.25">
      <c r="C96" s="7">
        <v>7313</v>
      </c>
      <c r="E96" s="7" t="s">
        <v>210</v>
      </c>
      <c r="F96" s="7" t="s">
        <v>209</v>
      </c>
      <c r="G96" s="7" t="s">
        <v>209</v>
      </c>
      <c r="H96" s="7" t="s">
        <v>208</v>
      </c>
      <c r="I96" s="7">
        <v>8</v>
      </c>
      <c r="J96" s="7">
        <v>2</v>
      </c>
      <c r="K96" s="7" t="s">
        <v>208</v>
      </c>
    </row>
    <row r="97" spans="2:11" x14ac:dyDescent="0.25">
      <c r="C97" s="7">
        <v>1780</v>
      </c>
      <c r="E97" s="7" t="s">
        <v>210</v>
      </c>
      <c r="F97" s="7" t="s">
        <v>209</v>
      </c>
      <c r="G97" s="7" t="s">
        <v>209</v>
      </c>
      <c r="H97" s="7" t="s">
        <v>208</v>
      </c>
      <c r="I97" s="7">
        <v>9</v>
      </c>
      <c r="J97" s="7">
        <v>2</v>
      </c>
      <c r="K97" s="7" t="s">
        <v>208</v>
      </c>
    </row>
    <row r="98" spans="2:11" x14ac:dyDescent="0.25">
      <c r="B98" s="7" t="s">
        <v>225</v>
      </c>
    </row>
    <row r="99" spans="2:11" x14ac:dyDescent="0.25">
      <c r="C99" s="7">
        <v>7312</v>
      </c>
      <c r="E99" s="7" t="s">
        <v>210</v>
      </c>
      <c r="F99" s="7" t="s">
        <v>209</v>
      </c>
      <c r="G99" s="7" t="s">
        <v>209</v>
      </c>
      <c r="H99" s="7" t="s">
        <v>208</v>
      </c>
      <c r="I99" s="7">
        <v>1</v>
      </c>
      <c r="J99" s="7">
        <v>2</v>
      </c>
      <c r="K99" s="7" t="s">
        <v>208</v>
      </c>
    </row>
    <row r="100" spans="2:11" x14ac:dyDescent="0.25">
      <c r="C100" s="7">
        <v>7313</v>
      </c>
      <c r="E100" s="7" t="s">
        <v>210</v>
      </c>
      <c r="F100" s="7" t="s">
        <v>209</v>
      </c>
      <c r="G100" s="7" t="s">
        <v>209</v>
      </c>
      <c r="H100" s="7" t="s">
        <v>208</v>
      </c>
      <c r="I100" s="7">
        <v>1</v>
      </c>
      <c r="J100" s="7">
        <v>2</v>
      </c>
      <c r="K100" s="7" t="s">
        <v>208</v>
      </c>
    </row>
    <row r="101" spans="2:11" x14ac:dyDescent="0.25">
      <c r="C101" s="7">
        <v>7311</v>
      </c>
      <c r="E101" s="7" t="s">
        <v>210</v>
      </c>
      <c r="F101" s="7" t="s">
        <v>209</v>
      </c>
      <c r="G101" s="7" t="s">
        <v>209</v>
      </c>
      <c r="H101" s="7" t="s">
        <v>208</v>
      </c>
      <c r="I101" s="7">
        <v>1</v>
      </c>
      <c r="J101" s="7">
        <v>2</v>
      </c>
      <c r="K101" s="7" t="s">
        <v>208</v>
      </c>
    </row>
    <row r="102" spans="2:11" x14ac:dyDescent="0.25">
      <c r="C102" s="7">
        <v>7314</v>
      </c>
      <c r="E102" s="7" t="s">
        <v>210</v>
      </c>
      <c r="F102" s="7" t="s">
        <v>209</v>
      </c>
      <c r="G102" s="7" t="s">
        <v>209</v>
      </c>
      <c r="H102" s="7" t="s">
        <v>208</v>
      </c>
      <c r="I102" s="7">
        <v>1</v>
      </c>
      <c r="J102" s="7">
        <v>2</v>
      </c>
      <c r="K102" s="7" t="s">
        <v>208</v>
      </c>
    </row>
    <row r="103" spans="2:11" x14ac:dyDescent="0.25">
      <c r="B103" s="7" t="s">
        <v>216</v>
      </c>
    </row>
    <row r="104" spans="2:11" x14ac:dyDescent="0.25">
      <c r="C104" s="7">
        <v>7315</v>
      </c>
      <c r="E104" s="7" t="s">
        <v>210</v>
      </c>
      <c r="F104" s="7" t="s">
        <v>209</v>
      </c>
      <c r="G104" s="7" t="s">
        <v>209</v>
      </c>
      <c r="H104" s="7" t="s">
        <v>208</v>
      </c>
      <c r="I104" s="7">
        <v>5</v>
      </c>
      <c r="J104" s="7">
        <v>2</v>
      </c>
      <c r="K104" s="7" t="s">
        <v>208</v>
      </c>
    </row>
    <row r="105" spans="2:11" x14ac:dyDescent="0.25">
      <c r="C105" s="7">
        <v>7316</v>
      </c>
      <c r="E105" s="7" t="s">
        <v>210</v>
      </c>
      <c r="F105" s="7" t="s">
        <v>209</v>
      </c>
      <c r="G105" s="7" t="s">
        <v>209</v>
      </c>
      <c r="H105" s="7" t="s">
        <v>208</v>
      </c>
      <c r="I105" s="7">
        <v>5</v>
      </c>
      <c r="J105" s="7">
        <v>2</v>
      </c>
      <c r="K105" s="7" t="s">
        <v>208</v>
      </c>
    </row>
    <row r="106" spans="2:11" x14ac:dyDescent="0.25">
      <c r="C106" s="7">
        <v>7311</v>
      </c>
      <c r="E106" s="7" t="s">
        <v>210</v>
      </c>
      <c r="F106" s="7" t="s">
        <v>209</v>
      </c>
      <c r="G106" s="7" t="s">
        <v>209</v>
      </c>
      <c r="H106" s="7" t="s">
        <v>208</v>
      </c>
      <c r="I106" s="7">
        <v>5</v>
      </c>
      <c r="J106" s="7">
        <v>2</v>
      </c>
      <c r="K106" s="7" t="s">
        <v>208</v>
      </c>
    </row>
    <row r="107" spans="2:11" x14ac:dyDescent="0.25">
      <c r="C107" s="7">
        <v>7309</v>
      </c>
      <c r="E107" s="7" t="s">
        <v>210</v>
      </c>
      <c r="F107" s="7" t="s">
        <v>209</v>
      </c>
      <c r="G107" s="7" t="s">
        <v>209</v>
      </c>
      <c r="H107" s="7" t="s">
        <v>208</v>
      </c>
      <c r="I107" s="7">
        <v>5</v>
      </c>
      <c r="J107" s="7">
        <v>2</v>
      </c>
      <c r="K107" s="7" t="s">
        <v>208</v>
      </c>
    </row>
    <row r="108" spans="2:11" x14ac:dyDescent="0.25">
      <c r="C108" s="7">
        <v>7310</v>
      </c>
      <c r="E108" s="7" t="s">
        <v>210</v>
      </c>
      <c r="F108" s="7" t="s">
        <v>209</v>
      </c>
      <c r="G108" s="7" t="s">
        <v>209</v>
      </c>
      <c r="H108" s="7" t="s">
        <v>208</v>
      </c>
      <c r="I108" s="7">
        <v>5</v>
      </c>
      <c r="J108" s="7">
        <v>2</v>
      </c>
      <c r="K108" s="7" t="s">
        <v>208</v>
      </c>
    </row>
    <row r="109" spans="2:11" x14ac:dyDescent="0.25">
      <c r="C109" s="7">
        <v>7312</v>
      </c>
      <c r="E109" s="7" t="s">
        <v>210</v>
      </c>
      <c r="F109" s="7" t="s">
        <v>209</v>
      </c>
      <c r="G109" s="7" t="s">
        <v>209</v>
      </c>
      <c r="H109" s="7" t="s">
        <v>208</v>
      </c>
      <c r="I109" s="7">
        <v>5</v>
      </c>
      <c r="J109" s="7">
        <v>2</v>
      </c>
      <c r="K109" s="7" t="s">
        <v>208</v>
      </c>
    </row>
    <row r="110" spans="2:11" x14ac:dyDescent="0.25">
      <c r="C110" s="7">
        <v>7313</v>
      </c>
      <c r="E110" s="7" t="s">
        <v>210</v>
      </c>
      <c r="F110" s="7" t="s">
        <v>209</v>
      </c>
      <c r="G110" s="7" t="s">
        <v>209</v>
      </c>
      <c r="H110" s="7" t="s">
        <v>208</v>
      </c>
      <c r="I110" s="7">
        <v>5</v>
      </c>
      <c r="J110" s="7">
        <v>2</v>
      </c>
      <c r="K110" s="7" t="s">
        <v>208</v>
      </c>
    </row>
    <row r="111" spans="2:11" x14ac:dyDescent="0.25">
      <c r="C111" s="7">
        <v>7321</v>
      </c>
      <c r="E111" s="7" t="s">
        <v>210</v>
      </c>
      <c r="F111" s="7" t="s">
        <v>209</v>
      </c>
      <c r="G111" s="7" t="s">
        <v>209</v>
      </c>
      <c r="H111" s="7" t="s">
        <v>208</v>
      </c>
      <c r="I111" s="7">
        <v>5</v>
      </c>
      <c r="J111" s="7">
        <v>2</v>
      </c>
      <c r="K111" s="7" t="s">
        <v>208</v>
      </c>
    </row>
    <row r="112" spans="2:11" x14ac:dyDescent="0.25">
      <c r="C112" s="7">
        <v>7314</v>
      </c>
      <c r="E112" s="7" t="s">
        <v>210</v>
      </c>
      <c r="F112" s="7" t="s">
        <v>209</v>
      </c>
      <c r="G112" s="7" t="s">
        <v>209</v>
      </c>
      <c r="H112" s="7" t="s">
        <v>208</v>
      </c>
      <c r="I112" s="7">
        <v>5</v>
      </c>
      <c r="J112" s="7">
        <v>2</v>
      </c>
      <c r="K112" s="7" t="s">
        <v>208</v>
      </c>
    </row>
    <row r="113" spans="1:11" x14ac:dyDescent="0.25">
      <c r="B113" s="7" t="s">
        <v>211</v>
      </c>
    </row>
    <row r="114" spans="1:11" x14ac:dyDescent="0.25">
      <c r="C114" s="7">
        <v>7311</v>
      </c>
      <c r="E114" s="7" t="s">
        <v>210</v>
      </c>
      <c r="F114" s="7" t="s">
        <v>209</v>
      </c>
      <c r="G114" s="7" t="s">
        <v>209</v>
      </c>
      <c r="H114" s="7" t="s">
        <v>208</v>
      </c>
      <c r="I114" s="7">
        <v>5</v>
      </c>
      <c r="J114" s="7">
        <v>2</v>
      </c>
      <c r="K114" s="7" t="s">
        <v>208</v>
      </c>
    </row>
    <row r="115" spans="1:11" x14ac:dyDescent="0.25">
      <c r="C115" s="7">
        <v>7314</v>
      </c>
      <c r="E115" s="7" t="s">
        <v>210</v>
      </c>
      <c r="F115" s="7" t="s">
        <v>209</v>
      </c>
      <c r="G115" s="7" t="s">
        <v>209</v>
      </c>
      <c r="H115" s="7" t="s">
        <v>208</v>
      </c>
      <c r="I115" s="7">
        <v>5</v>
      </c>
      <c r="J115" s="7">
        <v>2</v>
      </c>
      <c r="K115" s="7" t="s">
        <v>208</v>
      </c>
    </row>
    <row r="116" spans="1:11" x14ac:dyDescent="0.25">
      <c r="C116" s="7">
        <v>7312</v>
      </c>
      <c r="E116" s="7" t="s">
        <v>210</v>
      </c>
      <c r="F116" s="7" t="s">
        <v>209</v>
      </c>
      <c r="G116" s="7" t="s">
        <v>209</v>
      </c>
      <c r="H116" s="7" t="s">
        <v>208</v>
      </c>
      <c r="I116" s="7">
        <v>5</v>
      </c>
      <c r="J116" s="7">
        <v>2</v>
      </c>
      <c r="K116" s="7" t="s">
        <v>208</v>
      </c>
    </row>
    <row r="117" spans="1:11" x14ac:dyDescent="0.25">
      <c r="C117" s="7">
        <v>7313</v>
      </c>
      <c r="E117" s="7" t="s">
        <v>210</v>
      </c>
      <c r="F117" s="7" t="s">
        <v>209</v>
      </c>
      <c r="G117" s="7" t="s">
        <v>209</v>
      </c>
      <c r="H117" s="7" t="s">
        <v>208</v>
      </c>
      <c r="I117" s="7">
        <v>5</v>
      </c>
      <c r="J117" s="7">
        <v>2</v>
      </c>
      <c r="K117" s="7" t="s">
        <v>208</v>
      </c>
    </row>
    <row r="118" spans="1:11" x14ac:dyDescent="0.25">
      <c r="B118" s="7" t="s">
        <v>224</v>
      </c>
    </row>
    <row r="119" spans="1:11" x14ac:dyDescent="0.25">
      <c r="C119" s="7">
        <v>7311</v>
      </c>
      <c r="E119" s="7" t="s">
        <v>210</v>
      </c>
      <c r="F119" s="7" t="s">
        <v>209</v>
      </c>
      <c r="G119" s="7" t="s">
        <v>209</v>
      </c>
      <c r="H119" s="7" t="s">
        <v>208</v>
      </c>
      <c r="I119" s="7">
        <v>5</v>
      </c>
      <c r="J119" s="7">
        <v>2</v>
      </c>
      <c r="K119" s="7" t="s">
        <v>208</v>
      </c>
    </row>
    <row r="120" spans="1:11" x14ac:dyDescent="0.25">
      <c r="C120" s="7">
        <v>7314</v>
      </c>
      <c r="E120" s="7" t="s">
        <v>210</v>
      </c>
      <c r="F120" s="7" t="s">
        <v>209</v>
      </c>
      <c r="G120" s="7" t="s">
        <v>209</v>
      </c>
      <c r="H120" s="7" t="s">
        <v>208</v>
      </c>
      <c r="I120" s="7">
        <v>5</v>
      </c>
      <c r="J120" s="7">
        <v>2</v>
      </c>
      <c r="K120" s="7" t="s">
        <v>208</v>
      </c>
    </row>
    <row r="121" spans="1:11" x14ac:dyDescent="0.25">
      <c r="C121" s="7">
        <v>7312</v>
      </c>
      <c r="E121" s="7" t="s">
        <v>210</v>
      </c>
      <c r="F121" s="7" t="s">
        <v>209</v>
      </c>
      <c r="G121" s="7" t="s">
        <v>209</v>
      </c>
      <c r="H121" s="7" t="s">
        <v>208</v>
      </c>
      <c r="I121" s="7">
        <v>5</v>
      </c>
      <c r="J121" s="7">
        <v>2</v>
      </c>
      <c r="K121" s="7" t="s">
        <v>208</v>
      </c>
    </row>
    <row r="122" spans="1:11" x14ac:dyDescent="0.25">
      <c r="C122" s="7">
        <v>7313</v>
      </c>
      <c r="E122" s="7" t="s">
        <v>210</v>
      </c>
      <c r="F122" s="7" t="s">
        <v>209</v>
      </c>
      <c r="G122" s="7" t="s">
        <v>209</v>
      </c>
      <c r="H122" s="7" t="s">
        <v>208</v>
      </c>
      <c r="I122" s="7">
        <v>5</v>
      </c>
      <c r="J122" s="7">
        <v>2</v>
      </c>
      <c r="K122" s="7" t="s">
        <v>208</v>
      </c>
    </row>
    <row r="123" spans="1:11" x14ac:dyDescent="0.25">
      <c r="A123" s="7" t="s">
        <v>223</v>
      </c>
    </row>
    <row r="124" spans="1:11" x14ac:dyDescent="0.25">
      <c r="B124" s="7" t="s">
        <v>222</v>
      </c>
    </row>
    <row r="125" spans="1:11" x14ac:dyDescent="0.25">
      <c r="C125" s="7" t="s">
        <v>215</v>
      </c>
      <c r="D125" s="7" t="s">
        <v>219</v>
      </c>
      <c r="E125" s="7" t="s">
        <v>221</v>
      </c>
      <c r="F125" s="7">
        <v>2</v>
      </c>
      <c r="G125" s="7">
        <v>0</v>
      </c>
      <c r="H125" s="7" t="s">
        <v>209</v>
      </c>
      <c r="I125" s="7">
        <v>5</v>
      </c>
      <c r="J125" s="7">
        <v>2</v>
      </c>
      <c r="K125" s="7" t="s">
        <v>208</v>
      </c>
    </row>
    <row r="126" spans="1:11" x14ac:dyDescent="0.25">
      <c r="C126" s="7" t="s">
        <v>214</v>
      </c>
      <c r="D126" s="7" t="s">
        <v>219</v>
      </c>
      <c r="E126" s="7" t="s">
        <v>221</v>
      </c>
      <c r="F126" s="7">
        <v>2</v>
      </c>
      <c r="G126" s="7">
        <v>0</v>
      </c>
      <c r="H126" s="7" t="s">
        <v>209</v>
      </c>
      <c r="I126" s="7">
        <v>5</v>
      </c>
      <c r="J126" s="7">
        <v>2</v>
      </c>
      <c r="K126" s="7" t="s">
        <v>208</v>
      </c>
    </row>
    <row r="127" spans="1:11" x14ac:dyDescent="0.25">
      <c r="B127" s="7" t="s">
        <v>220</v>
      </c>
    </row>
    <row r="128" spans="1:11" x14ac:dyDescent="0.25">
      <c r="C128" s="7">
        <v>1001</v>
      </c>
      <c r="D128" s="7" t="s">
        <v>219</v>
      </c>
      <c r="E128" s="7" t="s">
        <v>218</v>
      </c>
      <c r="F128" s="7">
        <v>0</v>
      </c>
      <c r="G128" s="7">
        <v>1</v>
      </c>
      <c r="H128" s="7" t="s">
        <v>208</v>
      </c>
      <c r="I128" s="7">
        <v>3</v>
      </c>
      <c r="J128" s="7">
        <v>2</v>
      </c>
      <c r="K128" s="7" t="s">
        <v>208</v>
      </c>
    </row>
    <row r="129" spans="3:11" x14ac:dyDescent="0.25">
      <c r="C129" s="7">
        <v>1002</v>
      </c>
      <c r="D129" s="7" t="s">
        <v>219</v>
      </c>
      <c r="E129" s="7" t="s">
        <v>218</v>
      </c>
      <c r="F129" s="7">
        <v>0</v>
      </c>
      <c r="G129" s="7">
        <v>1</v>
      </c>
      <c r="H129" s="7" t="s">
        <v>208</v>
      </c>
      <c r="I129" s="7">
        <v>3</v>
      </c>
      <c r="J129" s="7">
        <v>2</v>
      </c>
      <c r="K129" s="7" t="s">
        <v>208</v>
      </c>
    </row>
    <row r="130" spans="3:11" x14ac:dyDescent="0.25">
      <c r="C130" s="7">
        <v>1003</v>
      </c>
      <c r="D130" s="7" t="s">
        <v>219</v>
      </c>
      <c r="E130" s="7" t="s">
        <v>218</v>
      </c>
      <c r="F130" s="7">
        <v>0</v>
      </c>
      <c r="G130" s="7">
        <v>1</v>
      </c>
      <c r="H130" s="7" t="s">
        <v>208</v>
      </c>
      <c r="I130" s="7">
        <v>3</v>
      </c>
      <c r="J130" s="7">
        <v>2</v>
      </c>
      <c r="K130" s="7" t="s">
        <v>208</v>
      </c>
    </row>
    <row r="131" spans="3:11" x14ac:dyDescent="0.25">
      <c r="C131" s="7">
        <v>1004</v>
      </c>
      <c r="D131" s="7" t="s">
        <v>219</v>
      </c>
      <c r="E131" s="7" t="s">
        <v>218</v>
      </c>
      <c r="F131" s="7">
        <v>0</v>
      </c>
      <c r="G131" s="7">
        <v>1</v>
      </c>
      <c r="H131" s="7" t="s">
        <v>208</v>
      </c>
      <c r="I131" s="7">
        <v>3</v>
      </c>
      <c r="J131" s="7">
        <v>2</v>
      </c>
      <c r="K131" s="7" t="s">
        <v>208</v>
      </c>
    </row>
    <row r="132" spans="3:11" x14ac:dyDescent="0.25">
      <c r="C132" s="7">
        <v>1005</v>
      </c>
      <c r="D132" s="7" t="s">
        <v>219</v>
      </c>
      <c r="E132" s="7" t="s">
        <v>218</v>
      </c>
      <c r="F132" s="7">
        <v>0</v>
      </c>
      <c r="G132" s="7">
        <v>1</v>
      </c>
      <c r="H132" s="7" t="s">
        <v>208</v>
      </c>
      <c r="I132" s="7">
        <v>3</v>
      </c>
      <c r="J132" s="7">
        <v>2</v>
      </c>
      <c r="K132" s="7" t="s">
        <v>208</v>
      </c>
    </row>
    <row r="133" spans="3:11" x14ac:dyDescent="0.25">
      <c r="C133" s="7">
        <v>1006</v>
      </c>
      <c r="D133" s="7" t="s">
        <v>219</v>
      </c>
      <c r="E133" s="7" t="s">
        <v>218</v>
      </c>
      <c r="F133" s="7">
        <v>0</v>
      </c>
      <c r="G133" s="7">
        <v>1</v>
      </c>
      <c r="H133" s="7" t="s">
        <v>208</v>
      </c>
      <c r="I133" s="7">
        <v>3</v>
      </c>
      <c r="J133" s="7">
        <v>2</v>
      </c>
      <c r="K133" s="7" t="s">
        <v>208</v>
      </c>
    </row>
    <row r="134" spans="3:11" x14ac:dyDescent="0.25">
      <c r="C134" s="7">
        <v>1007</v>
      </c>
      <c r="D134" s="7" t="s">
        <v>219</v>
      </c>
      <c r="E134" s="7" t="s">
        <v>218</v>
      </c>
      <c r="F134" s="7">
        <v>0</v>
      </c>
      <c r="G134" s="7">
        <v>1</v>
      </c>
      <c r="H134" s="7" t="s">
        <v>208</v>
      </c>
      <c r="I134" s="7">
        <v>3</v>
      </c>
      <c r="J134" s="7">
        <v>2</v>
      </c>
      <c r="K134" s="7" t="s">
        <v>208</v>
      </c>
    </row>
    <row r="135" spans="3:11" x14ac:dyDescent="0.25">
      <c r="C135" s="7">
        <v>1008</v>
      </c>
      <c r="D135" s="7" t="s">
        <v>219</v>
      </c>
      <c r="E135" s="7" t="s">
        <v>218</v>
      </c>
      <c r="F135" s="7">
        <v>0</v>
      </c>
      <c r="G135" s="7">
        <v>1</v>
      </c>
      <c r="H135" s="7" t="s">
        <v>208</v>
      </c>
      <c r="I135" s="7">
        <v>3</v>
      </c>
      <c r="J135" s="7">
        <v>2</v>
      </c>
      <c r="K135" s="7" t="s">
        <v>208</v>
      </c>
    </row>
    <row r="136" spans="3:11" x14ac:dyDescent="0.25">
      <c r="C136" s="7">
        <v>1009</v>
      </c>
      <c r="D136" s="7" t="s">
        <v>219</v>
      </c>
      <c r="E136" s="7" t="s">
        <v>218</v>
      </c>
      <c r="F136" s="7">
        <v>0</v>
      </c>
      <c r="G136" s="7">
        <v>1</v>
      </c>
      <c r="H136" s="7" t="s">
        <v>208</v>
      </c>
      <c r="I136" s="7">
        <v>3</v>
      </c>
      <c r="J136" s="7">
        <v>2</v>
      </c>
      <c r="K136" s="7" t="s">
        <v>208</v>
      </c>
    </row>
    <row r="137" spans="3:11" x14ac:dyDescent="0.25">
      <c r="C137" s="7">
        <v>1010</v>
      </c>
      <c r="D137" s="7" t="s">
        <v>219</v>
      </c>
      <c r="E137" s="7" t="s">
        <v>218</v>
      </c>
      <c r="F137" s="7">
        <v>0</v>
      </c>
      <c r="G137" s="7">
        <v>1</v>
      </c>
      <c r="H137" s="7" t="s">
        <v>208</v>
      </c>
      <c r="I137" s="7">
        <v>3</v>
      </c>
      <c r="J137" s="7">
        <v>2</v>
      </c>
      <c r="K137" s="7" t="s">
        <v>208</v>
      </c>
    </row>
    <row r="138" spans="3:11" x14ac:dyDescent="0.25">
      <c r="C138" s="7">
        <v>1011</v>
      </c>
      <c r="D138" s="7" t="s">
        <v>219</v>
      </c>
      <c r="E138" s="7" t="s">
        <v>218</v>
      </c>
      <c r="F138" s="7">
        <v>0</v>
      </c>
      <c r="G138" s="7">
        <v>1</v>
      </c>
      <c r="H138" s="7" t="s">
        <v>208</v>
      </c>
      <c r="I138" s="7">
        <v>3</v>
      </c>
      <c r="J138" s="7">
        <v>2</v>
      </c>
      <c r="K138" s="7" t="s">
        <v>208</v>
      </c>
    </row>
    <row r="139" spans="3:11" x14ac:dyDescent="0.25">
      <c r="C139" s="7">
        <v>1012</v>
      </c>
      <c r="D139" s="7" t="s">
        <v>219</v>
      </c>
      <c r="E139" s="7" t="s">
        <v>218</v>
      </c>
      <c r="F139" s="7">
        <v>0</v>
      </c>
      <c r="G139" s="7">
        <v>1</v>
      </c>
      <c r="H139" s="7" t="s">
        <v>208</v>
      </c>
      <c r="I139" s="7">
        <v>3</v>
      </c>
      <c r="J139" s="7">
        <v>2</v>
      </c>
      <c r="K139" s="7" t="s">
        <v>208</v>
      </c>
    </row>
    <row r="140" spans="3:11" x14ac:dyDescent="0.25">
      <c r="C140" s="7">
        <v>1013</v>
      </c>
      <c r="D140" s="7" t="s">
        <v>219</v>
      </c>
      <c r="E140" s="7" t="s">
        <v>218</v>
      </c>
      <c r="F140" s="7">
        <v>0</v>
      </c>
      <c r="G140" s="7">
        <v>1</v>
      </c>
      <c r="H140" s="7" t="s">
        <v>208</v>
      </c>
      <c r="I140" s="7">
        <v>3</v>
      </c>
      <c r="J140" s="7">
        <v>2</v>
      </c>
      <c r="K140" s="7" t="s">
        <v>208</v>
      </c>
    </row>
    <row r="141" spans="3:11" x14ac:dyDescent="0.25">
      <c r="C141" s="7">
        <v>1014</v>
      </c>
      <c r="D141" s="7" t="s">
        <v>219</v>
      </c>
      <c r="E141" s="7" t="s">
        <v>218</v>
      </c>
      <c r="F141" s="7">
        <v>0</v>
      </c>
      <c r="G141" s="7">
        <v>1</v>
      </c>
      <c r="H141" s="7" t="s">
        <v>208</v>
      </c>
      <c r="I141" s="7">
        <v>3</v>
      </c>
      <c r="J141" s="7">
        <v>2</v>
      </c>
      <c r="K141" s="7" t="s">
        <v>208</v>
      </c>
    </row>
    <row r="142" spans="3:11" x14ac:dyDescent="0.25">
      <c r="C142" s="7">
        <v>1015</v>
      </c>
      <c r="D142" s="7" t="s">
        <v>219</v>
      </c>
      <c r="E142" s="7" t="s">
        <v>218</v>
      </c>
      <c r="F142" s="7">
        <v>0</v>
      </c>
      <c r="G142" s="7">
        <v>1</v>
      </c>
      <c r="H142" s="7" t="s">
        <v>208</v>
      </c>
      <c r="I142" s="7">
        <v>3</v>
      </c>
      <c r="J142" s="7">
        <v>2</v>
      </c>
      <c r="K142" s="7" t="s">
        <v>208</v>
      </c>
    </row>
    <row r="143" spans="3:11" x14ac:dyDescent="0.25">
      <c r="C143" s="7">
        <v>1016</v>
      </c>
      <c r="D143" s="7" t="s">
        <v>219</v>
      </c>
      <c r="E143" s="7" t="s">
        <v>218</v>
      </c>
      <c r="F143" s="7">
        <v>0</v>
      </c>
      <c r="G143" s="7">
        <v>1</v>
      </c>
      <c r="H143" s="7" t="s">
        <v>208</v>
      </c>
      <c r="I143" s="7">
        <v>3</v>
      </c>
      <c r="J143" s="7">
        <v>2</v>
      </c>
      <c r="K143" s="7" t="s">
        <v>208</v>
      </c>
    </row>
    <row r="144" spans="3:11" x14ac:dyDescent="0.25">
      <c r="C144" s="7">
        <v>1017</v>
      </c>
      <c r="D144" s="7" t="s">
        <v>219</v>
      </c>
      <c r="E144" s="7" t="s">
        <v>218</v>
      </c>
      <c r="F144" s="7">
        <v>0</v>
      </c>
      <c r="G144" s="7">
        <v>1</v>
      </c>
      <c r="H144" s="7" t="s">
        <v>208</v>
      </c>
      <c r="I144" s="7">
        <v>3</v>
      </c>
      <c r="J144" s="7">
        <v>2</v>
      </c>
      <c r="K144" s="7" t="s">
        <v>208</v>
      </c>
    </row>
    <row r="145" spans="2:11" x14ac:dyDescent="0.25">
      <c r="C145" s="7">
        <v>1018</v>
      </c>
      <c r="D145" s="7" t="s">
        <v>219</v>
      </c>
      <c r="E145" s="7" t="s">
        <v>218</v>
      </c>
      <c r="F145" s="7">
        <v>0</v>
      </c>
      <c r="G145" s="7">
        <v>1</v>
      </c>
      <c r="H145" s="7" t="s">
        <v>208</v>
      </c>
      <c r="I145" s="7">
        <v>3</v>
      </c>
      <c r="J145" s="7">
        <v>2</v>
      </c>
      <c r="K145" s="7" t="s">
        <v>208</v>
      </c>
    </row>
    <row r="146" spans="2:11" x14ac:dyDescent="0.25">
      <c r="C146" s="7">
        <v>1021</v>
      </c>
      <c r="D146" s="7" t="s">
        <v>219</v>
      </c>
      <c r="E146" s="7" t="s">
        <v>218</v>
      </c>
      <c r="F146" s="7">
        <v>0</v>
      </c>
      <c r="G146" s="7">
        <v>1</v>
      </c>
      <c r="H146" s="7" t="s">
        <v>208</v>
      </c>
      <c r="I146" s="7">
        <v>3</v>
      </c>
      <c r="J146" s="7">
        <v>2</v>
      </c>
      <c r="K146" s="7" t="s">
        <v>208</v>
      </c>
    </row>
    <row r="147" spans="2:11" x14ac:dyDescent="0.25">
      <c r="C147" s="7">
        <v>1022</v>
      </c>
      <c r="D147" s="7" t="s">
        <v>219</v>
      </c>
      <c r="E147" s="7" t="s">
        <v>218</v>
      </c>
      <c r="F147" s="7">
        <v>0</v>
      </c>
      <c r="G147" s="7">
        <v>1</v>
      </c>
      <c r="H147" s="7" t="s">
        <v>208</v>
      </c>
      <c r="I147" s="7">
        <v>3</v>
      </c>
      <c r="J147" s="7">
        <v>2</v>
      </c>
      <c r="K147" s="7" t="s">
        <v>208</v>
      </c>
    </row>
    <row r="148" spans="2:11" x14ac:dyDescent="0.25">
      <c r="C148" s="7">
        <v>1023</v>
      </c>
      <c r="D148" s="7" t="s">
        <v>219</v>
      </c>
      <c r="E148" s="7" t="s">
        <v>218</v>
      </c>
      <c r="F148" s="7">
        <v>0</v>
      </c>
      <c r="G148" s="7">
        <v>1</v>
      </c>
      <c r="H148" s="7" t="s">
        <v>208</v>
      </c>
      <c r="I148" s="7">
        <v>3</v>
      </c>
      <c r="J148" s="7">
        <v>2</v>
      </c>
      <c r="K148" s="7" t="s">
        <v>208</v>
      </c>
    </row>
    <row r="149" spans="2:11" x14ac:dyDescent="0.25">
      <c r="C149" s="7">
        <v>1024</v>
      </c>
      <c r="D149" s="7" t="s">
        <v>219</v>
      </c>
      <c r="E149" s="7" t="s">
        <v>218</v>
      </c>
      <c r="F149" s="7">
        <v>0</v>
      </c>
      <c r="G149" s="7">
        <v>1</v>
      </c>
      <c r="H149" s="7" t="s">
        <v>208</v>
      </c>
      <c r="I149" s="7">
        <v>3</v>
      </c>
      <c r="J149" s="7">
        <v>2</v>
      </c>
      <c r="K149" s="7" t="s">
        <v>208</v>
      </c>
    </row>
    <row r="150" spans="2:11" x14ac:dyDescent="0.25">
      <c r="C150" s="7">
        <v>1025</v>
      </c>
      <c r="D150" s="7" t="s">
        <v>219</v>
      </c>
      <c r="E150" s="7" t="s">
        <v>218</v>
      </c>
      <c r="F150" s="7">
        <v>0</v>
      </c>
      <c r="G150" s="7">
        <v>1</v>
      </c>
      <c r="H150" s="7" t="s">
        <v>208</v>
      </c>
      <c r="I150" s="7">
        <v>3</v>
      </c>
      <c r="J150" s="7">
        <v>2</v>
      </c>
      <c r="K150" s="7" t="s">
        <v>208</v>
      </c>
    </row>
    <row r="151" spans="2:11" x14ac:dyDescent="0.25">
      <c r="C151" s="7">
        <v>1026</v>
      </c>
      <c r="D151" s="7" t="s">
        <v>219</v>
      </c>
      <c r="E151" s="7" t="s">
        <v>218</v>
      </c>
      <c r="F151" s="7">
        <v>0</v>
      </c>
      <c r="G151" s="7">
        <v>1</v>
      </c>
      <c r="H151" s="7" t="s">
        <v>208</v>
      </c>
      <c r="I151" s="7">
        <v>3</v>
      </c>
      <c r="J151" s="7">
        <v>2</v>
      </c>
      <c r="K151" s="7" t="s">
        <v>208</v>
      </c>
    </row>
    <row r="152" spans="2:11" x14ac:dyDescent="0.25">
      <c r="C152" s="7">
        <v>1027</v>
      </c>
      <c r="D152" s="7" t="s">
        <v>219</v>
      </c>
      <c r="E152" s="7" t="s">
        <v>218</v>
      </c>
      <c r="F152" s="7">
        <v>0</v>
      </c>
      <c r="G152" s="7">
        <v>1</v>
      </c>
      <c r="H152" s="7" t="s">
        <v>208</v>
      </c>
      <c r="I152" s="7">
        <v>3</v>
      </c>
      <c r="J152" s="7">
        <v>2</v>
      </c>
      <c r="K152" s="7" t="s">
        <v>208</v>
      </c>
    </row>
    <row r="153" spans="2:11" x14ac:dyDescent="0.25">
      <c r="B153" s="7" t="s">
        <v>217</v>
      </c>
    </row>
    <row r="154" spans="2:11" x14ac:dyDescent="0.25">
      <c r="C154" s="7">
        <v>1001</v>
      </c>
      <c r="D154" s="7" t="s">
        <v>209</v>
      </c>
      <c r="E154" s="7" t="s">
        <v>210</v>
      </c>
      <c r="F154" s="7" t="s">
        <v>209</v>
      </c>
      <c r="G154" s="7" t="s">
        <v>209</v>
      </c>
      <c r="H154" s="7" t="s">
        <v>208</v>
      </c>
      <c r="I154" s="7">
        <v>5</v>
      </c>
      <c r="J154" s="7">
        <v>2</v>
      </c>
      <c r="K154" s="7" t="s">
        <v>208</v>
      </c>
    </row>
    <row r="155" spans="2:11" x14ac:dyDescent="0.25">
      <c r="C155" s="7">
        <v>1002</v>
      </c>
      <c r="D155" s="7" t="s">
        <v>209</v>
      </c>
      <c r="E155" s="7" t="s">
        <v>210</v>
      </c>
      <c r="F155" s="7" t="s">
        <v>209</v>
      </c>
      <c r="G155" s="7" t="s">
        <v>209</v>
      </c>
      <c r="H155" s="7" t="s">
        <v>208</v>
      </c>
      <c r="I155" s="7">
        <v>5</v>
      </c>
      <c r="J155" s="7">
        <v>2</v>
      </c>
      <c r="K155" s="7" t="s">
        <v>208</v>
      </c>
    </row>
    <row r="156" spans="2:11" x14ac:dyDescent="0.25">
      <c r="C156" s="7">
        <v>1003</v>
      </c>
      <c r="D156" s="7" t="s">
        <v>209</v>
      </c>
      <c r="E156" s="7" t="s">
        <v>210</v>
      </c>
      <c r="F156" s="7" t="s">
        <v>209</v>
      </c>
      <c r="G156" s="7" t="s">
        <v>209</v>
      </c>
      <c r="H156" s="7" t="s">
        <v>208</v>
      </c>
      <c r="I156" s="7">
        <v>5</v>
      </c>
      <c r="J156" s="7">
        <v>2</v>
      </c>
      <c r="K156" s="7" t="s">
        <v>208</v>
      </c>
    </row>
    <row r="157" spans="2:11" x14ac:dyDescent="0.25">
      <c r="C157" s="7">
        <v>1004</v>
      </c>
      <c r="D157" s="7" t="s">
        <v>209</v>
      </c>
      <c r="E157" s="7" t="s">
        <v>210</v>
      </c>
      <c r="F157" s="7" t="s">
        <v>209</v>
      </c>
      <c r="G157" s="7" t="s">
        <v>209</v>
      </c>
      <c r="H157" s="7" t="s">
        <v>208</v>
      </c>
      <c r="I157" s="7">
        <v>5</v>
      </c>
      <c r="J157" s="7">
        <v>2</v>
      </c>
      <c r="K157" s="7" t="s">
        <v>208</v>
      </c>
    </row>
    <row r="158" spans="2:11" x14ac:dyDescent="0.25">
      <c r="C158" s="7">
        <v>1005</v>
      </c>
      <c r="D158" s="7" t="s">
        <v>209</v>
      </c>
      <c r="E158" s="7" t="s">
        <v>210</v>
      </c>
      <c r="F158" s="7" t="s">
        <v>209</v>
      </c>
      <c r="G158" s="7" t="s">
        <v>209</v>
      </c>
      <c r="H158" s="7" t="s">
        <v>208</v>
      </c>
      <c r="I158" s="7">
        <v>5</v>
      </c>
      <c r="J158" s="7">
        <v>2</v>
      </c>
      <c r="K158" s="7" t="s">
        <v>208</v>
      </c>
    </row>
    <row r="159" spans="2:11" x14ac:dyDescent="0.25">
      <c r="C159" s="7">
        <v>1006</v>
      </c>
      <c r="D159" s="7" t="s">
        <v>209</v>
      </c>
      <c r="E159" s="7" t="s">
        <v>210</v>
      </c>
      <c r="F159" s="7" t="s">
        <v>209</v>
      </c>
      <c r="G159" s="7" t="s">
        <v>209</v>
      </c>
      <c r="H159" s="7" t="s">
        <v>208</v>
      </c>
      <c r="I159" s="7">
        <v>5</v>
      </c>
      <c r="J159" s="7">
        <v>2</v>
      </c>
      <c r="K159" s="7" t="s">
        <v>208</v>
      </c>
    </row>
    <row r="160" spans="2:11" x14ac:dyDescent="0.25">
      <c r="C160" s="7">
        <v>1007</v>
      </c>
      <c r="D160" s="7" t="s">
        <v>209</v>
      </c>
      <c r="E160" s="7" t="s">
        <v>210</v>
      </c>
      <c r="F160" s="7" t="s">
        <v>209</v>
      </c>
      <c r="G160" s="7" t="s">
        <v>209</v>
      </c>
      <c r="H160" s="7" t="s">
        <v>208</v>
      </c>
      <c r="I160" s="7">
        <v>5</v>
      </c>
      <c r="J160" s="7">
        <v>2</v>
      </c>
      <c r="K160" s="7" t="s">
        <v>208</v>
      </c>
    </row>
    <row r="161" spans="3:11" x14ac:dyDescent="0.25">
      <c r="C161" s="7">
        <v>1008</v>
      </c>
      <c r="D161" s="7" t="s">
        <v>209</v>
      </c>
      <c r="E161" s="7" t="s">
        <v>210</v>
      </c>
      <c r="F161" s="7" t="s">
        <v>209</v>
      </c>
      <c r="G161" s="7" t="s">
        <v>209</v>
      </c>
      <c r="H161" s="7" t="s">
        <v>208</v>
      </c>
      <c r="I161" s="7">
        <v>5</v>
      </c>
      <c r="J161" s="7">
        <v>2</v>
      </c>
      <c r="K161" s="7" t="s">
        <v>208</v>
      </c>
    </row>
    <row r="162" spans="3:11" x14ac:dyDescent="0.25">
      <c r="C162" s="7">
        <v>1009</v>
      </c>
      <c r="D162" s="7" t="s">
        <v>209</v>
      </c>
      <c r="E162" s="7" t="s">
        <v>210</v>
      </c>
      <c r="F162" s="7" t="s">
        <v>209</v>
      </c>
      <c r="G162" s="7" t="s">
        <v>209</v>
      </c>
      <c r="H162" s="7" t="s">
        <v>208</v>
      </c>
      <c r="I162" s="7">
        <v>5</v>
      </c>
      <c r="J162" s="7">
        <v>2</v>
      </c>
      <c r="K162" s="7" t="s">
        <v>208</v>
      </c>
    </row>
    <row r="163" spans="3:11" x14ac:dyDescent="0.25">
      <c r="C163" s="7">
        <v>1010</v>
      </c>
      <c r="D163" s="7" t="s">
        <v>209</v>
      </c>
      <c r="E163" s="7" t="s">
        <v>210</v>
      </c>
      <c r="F163" s="7" t="s">
        <v>209</v>
      </c>
      <c r="G163" s="7" t="s">
        <v>209</v>
      </c>
      <c r="H163" s="7" t="s">
        <v>208</v>
      </c>
      <c r="I163" s="7">
        <v>5</v>
      </c>
      <c r="J163" s="7">
        <v>2</v>
      </c>
      <c r="K163" s="7" t="s">
        <v>208</v>
      </c>
    </row>
    <row r="164" spans="3:11" x14ac:dyDescent="0.25">
      <c r="C164" s="7">
        <v>1011</v>
      </c>
      <c r="D164" s="7" t="s">
        <v>209</v>
      </c>
      <c r="E164" s="7" t="s">
        <v>210</v>
      </c>
      <c r="F164" s="7" t="s">
        <v>209</v>
      </c>
      <c r="G164" s="7" t="s">
        <v>209</v>
      </c>
      <c r="H164" s="7" t="s">
        <v>208</v>
      </c>
      <c r="I164" s="7">
        <v>5</v>
      </c>
      <c r="J164" s="7">
        <v>2</v>
      </c>
      <c r="K164" s="7" t="s">
        <v>208</v>
      </c>
    </row>
    <row r="165" spans="3:11" x14ac:dyDescent="0.25">
      <c r="C165" s="7">
        <v>1012</v>
      </c>
      <c r="D165" s="7" t="s">
        <v>209</v>
      </c>
      <c r="E165" s="7" t="s">
        <v>210</v>
      </c>
      <c r="F165" s="7" t="s">
        <v>209</v>
      </c>
      <c r="G165" s="7" t="s">
        <v>209</v>
      </c>
      <c r="H165" s="7" t="s">
        <v>208</v>
      </c>
      <c r="I165" s="7">
        <v>5</v>
      </c>
      <c r="J165" s="7">
        <v>2</v>
      </c>
      <c r="K165" s="7" t="s">
        <v>208</v>
      </c>
    </row>
    <row r="166" spans="3:11" x14ac:dyDescent="0.25">
      <c r="C166" s="7">
        <v>1013</v>
      </c>
      <c r="D166" s="7" t="s">
        <v>209</v>
      </c>
      <c r="E166" s="7" t="s">
        <v>210</v>
      </c>
      <c r="F166" s="7" t="s">
        <v>209</v>
      </c>
      <c r="G166" s="7" t="s">
        <v>209</v>
      </c>
      <c r="H166" s="7" t="s">
        <v>208</v>
      </c>
      <c r="I166" s="7">
        <v>5</v>
      </c>
      <c r="J166" s="7">
        <v>2</v>
      </c>
      <c r="K166" s="7" t="s">
        <v>208</v>
      </c>
    </row>
    <row r="167" spans="3:11" x14ac:dyDescent="0.25">
      <c r="C167" s="7">
        <v>1014</v>
      </c>
      <c r="D167" s="7" t="s">
        <v>209</v>
      </c>
      <c r="E167" s="7" t="s">
        <v>210</v>
      </c>
      <c r="F167" s="7" t="s">
        <v>209</v>
      </c>
      <c r="G167" s="7" t="s">
        <v>209</v>
      </c>
      <c r="H167" s="7" t="s">
        <v>208</v>
      </c>
      <c r="I167" s="7">
        <v>5</v>
      </c>
      <c r="J167" s="7">
        <v>2</v>
      </c>
      <c r="K167" s="7" t="s">
        <v>208</v>
      </c>
    </row>
    <row r="168" spans="3:11" x14ac:dyDescent="0.25">
      <c r="C168" s="7">
        <v>1015</v>
      </c>
      <c r="D168" s="7" t="s">
        <v>209</v>
      </c>
      <c r="E168" s="7" t="s">
        <v>210</v>
      </c>
      <c r="F168" s="7" t="s">
        <v>209</v>
      </c>
      <c r="G168" s="7" t="s">
        <v>209</v>
      </c>
      <c r="H168" s="7" t="s">
        <v>208</v>
      </c>
      <c r="I168" s="7">
        <v>5</v>
      </c>
      <c r="J168" s="7">
        <v>2</v>
      </c>
      <c r="K168" s="7" t="s">
        <v>208</v>
      </c>
    </row>
    <row r="169" spans="3:11" x14ac:dyDescent="0.25">
      <c r="C169" s="7">
        <v>1016</v>
      </c>
      <c r="D169" s="7" t="s">
        <v>209</v>
      </c>
      <c r="E169" s="7" t="s">
        <v>210</v>
      </c>
      <c r="F169" s="7" t="s">
        <v>209</v>
      </c>
      <c r="G169" s="7" t="s">
        <v>209</v>
      </c>
      <c r="H169" s="7" t="s">
        <v>208</v>
      </c>
      <c r="I169" s="7">
        <v>5</v>
      </c>
      <c r="J169" s="7">
        <v>2</v>
      </c>
      <c r="K169" s="7" t="s">
        <v>208</v>
      </c>
    </row>
    <row r="170" spans="3:11" x14ac:dyDescent="0.25">
      <c r="C170" s="7">
        <v>1017</v>
      </c>
      <c r="D170" s="7" t="s">
        <v>209</v>
      </c>
      <c r="E170" s="7" t="s">
        <v>210</v>
      </c>
      <c r="F170" s="7" t="s">
        <v>209</v>
      </c>
      <c r="G170" s="7" t="s">
        <v>209</v>
      </c>
      <c r="H170" s="7" t="s">
        <v>208</v>
      </c>
      <c r="I170" s="7">
        <v>5</v>
      </c>
      <c r="J170" s="7">
        <v>2</v>
      </c>
      <c r="K170" s="7" t="s">
        <v>208</v>
      </c>
    </row>
    <row r="171" spans="3:11" x14ac:dyDescent="0.25">
      <c r="C171" s="7">
        <v>1018</v>
      </c>
      <c r="D171" s="7" t="s">
        <v>209</v>
      </c>
      <c r="E171" s="7" t="s">
        <v>210</v>
      </c>
      <c r="F171" s="7" t="s">
        <v>209</v>
      </c>
      <c r="G171" s="7" t="s">
        <v>209</v>
      </c>
      <c r="H171" s="7" t="s">
        <v>208</v>
      </c>
      <c r="I171" s="7">
        <v>5</v>
      </c>
      <c r="J171" s="7">
        <v>2</v>
      </c>
      <c r="K171" s="7" t="s">
        <v>208</v>
      </c>
    </row>
    <row r="172" spans="3:11" x14ac:dyDescent="0.25">
      <c r="C172" s="7">
        <v>1021</v>
      </c>
      <c r="D172" s="7" t="s">
        <v>209</v>
      </c>
      <c r="E172" s="7" t="s">
        <v>210</v>
      </c>
      <c r="F172" s="7" t="s">
        <v>209</v>
      </c>
      <c r="G172" s="7" t="s">
        <v>209</v>
      </c>
      <c r="H172" s="7" t="s">
        <v>208</v>
      </c>
      <c r="I172" s="7">
        <v>5</v>
      </c>
      <c r="J172" s="7">
        <v>2</v>
      </c>
      <c r="K172" s="7" t="s">
        <v>208</v>
      </c>
    </row>
    <row r="173" spans="3:11" x14ac:dyDescent="0.25">
      <c r="C173" s="7">
        <v>1022</v>
      </c>
      <c r="D173" s="7" t="s">
        <v>209</v>
      </c>
      <c r="E173" s="7" t="s">
        <v>210</v>
      </c>
      <c r="F173" s="7" t="s">
        <v>209</v>
      </c>
      <c r="G173" s="7" t="s">
        <v>209</v>
      </c>
      <c r="H173" s="7" t="s">
        <v>208</v>
      </c>
      <c r="I173" s="7">
        <v>5</v>
      </c>
      <c r="J173" s="7">
        <v>2</v>
      </c>
      <c r="K173" s="7" t="s">
        <v>208</v>
      </c>
    </row>
    <row r="174" spans="3:11" x14ac:dyDescent="0.25">
      <c r="C174" s="7">
        <v>1023</v>
      </c>
      <c r="D174" s="7" t="s">
        <v>209</v>
      </c>
      <c r="E174" s="7" t="s">
        <v>210</v>
      </c>
      <c r="F174" s="7" t="s">
        <v>209</v>
      </c>
      <c r="G174" s="7" t="s">
        <v>209</v>
      </c>
      <c r="H174" s="7" t="s">
        <v>208</v>
      </c>
      <c r="I174" s="7">
        <v>5</v>
      </c>
      <c r="J174" s="7">
        <v>2</v>
      </c>
      <c r="K174" s="7" t="s">
        <v>208</v>
      </c>
    </row>
    <row r="175" spans="3:11" x14ac:dyDescent="0.25">
      <c r="C175" s="7">
        <v>1024</v>
      </c>
      <c r="D175" s="7" t="s">
        <v>209</v>
      </c>
      <c r="E175" s="7" t="s">
        <v>210</v>
      </c>
      <c r="F175" s="7" t="s">
        <v>209</v>
      </c>
      <c r="G175" s="7" t="s">
        <v>209</v>
      </c>
      <c r="H175" s="7" t="s">
        <v>208</v>
      </c>
      <c r="I175" s="7">
        <v>5</v>
      </c>
      <c r="J175" s="7">
        <v>2</v>
      </c>
      <c r="K175" s="7" t="s">
        <v>208</v>
      </c>
    </row>
    <row r="176" spans="3:11" x14ac:dyDescent="0.25">
      <c r="C176" s="7">
        <v>1025</v>
      </c>
      <c r="D176" s="7" t="s">
        <v>209</v>
      </c>
      <c r="E176" s="7" t="s">
        <v>210</v>
      </c>
      <c r="F176" s="7" t="s">
        <v>209</v>
      </c>
      <c r="G176" s="7" t="s">
        <v>209</v>
      </c>
      <c r="H176" s="7" t="s">
        <v>208</v>
      </c>
      <c r="I176" s="7">
        <v>5</v>
      </c>
      <c r="J176" s="7">
        <v>2</v>
      </c>
      <c r="K176" s="7" t="s">
        <v>208</v>
      </c>
    </row>
    <row r="177" spans="2:11" x14ac:dyDescent="0.25">
      <c r="C177" s="7">
        <v>1026</v>
      </c>
      <c r="D177" s="7" t="s">
        <v>209</v>
      </c>
      <c r="E177" s="7" t="s">
        <v>210</v>
      </c>
      <c r="F177" s="7" t="s">
        <v>209</v>
      </c>
      <c r="G177" s="7" t="s">
        <v>209</v>
      </c>
      <c r="H177" s="7" t="s">
        <v>208</v>
      </c>
      <c r="I177" s="7">
        <v>5</v>
      </c>
      <c r="J177" s="7">
        <v>2</v>
      </c>
      <c r="K177" s="7" t="s">
        <v>208</v>
      </c>
    </row>
    <row r="178" spans="2:11" x14ac:dyDescent="0.25">
      <c r="C178" s="7">
        <v>1027</v>
      </c>
      <c r="D178" s="7" t="s">
        <v>209</v>
      </c>
      <c r="E178" s="7" t="s">
        <v>210</v>
      </c>
      <c r="F178" s="7" t="s">
        <v>209</v>
      </c>
      <c r="G178" s="7" t="s">
        <v>209</v>
      </c>
      <c r="H178" s="7" t="s">
        <v>208</v>
      </c>
      <c r="I178" s="7">
        <v>5</v>
      </c>
      <c r="J178" s="7">
        <v>2</v>
      </c>
      <c r="K178" s="7" t="s">
        <v>208</v>
      </c>
    </row>
    <row r="179" spans="2:11" x14ac:dyDescent="0.25">
      <c r="B179" s="7" t="s">
        <v>216</v>
      </c>
    </row>
    <row r="180" spans="2:11" x14ac:dyDescent="0.25">
      <c r="C180" s="7">
        <v>1004</v>
      </c>
      <c r="D180" s="7" t="s">
        <v>209</v>
      </c>
      <c r="E180" s="7" t="s">
        <v>210</v>
      </c>
      <c r="F180" s="7" t="s">
        <v>209</v>
      </c>
      <c r="G180" s="7" t="s">
        <v>209</v>
      </c>
      <c r="H180" s="7" t="s">
        <v>208</v>
      </c>
      <c r="I180" s="7">
        <v>5</v>
      </c>
      <c r="J180" s="7">
        <v>2</v>
      </c>
      <c r="K180" s="7" t="s">
        <v>208</v>
      </c>
    </row>
    <row r="181" spans="2:11" x14ac:dyDescent="0.25">
      <c r="C181" s="7">
        <v>1005</v>
      </c>
      <c r="D181" s="7" t="s">
        <v>209</v>
      </c>
      <c r="E181" s="7" t="s">
        <v>210</v>
      </c>
      <c r="F181" s="7" t="s">
        <v>209</v>
      </c>
      <c r="G181" s="7" t="s">
        <v>209</v>
      </c>
      <c r="H181" s="7" t="s">
        <v>208</v>
      </c>
      <c r="I181" s="7">
        <v>5</v>
      </c>
      <c r="J181" s="7">
        <v>2</v>
      </c>
      <c r="K181" s="7" t="s">
        <v>208</v>
      </c>
    </row>
    <row r="182" spans="2:11" x14ac:dyDescent="0.25">
      <c r="C182" s="7">
        <v>1006</v>
      </c>
      <c r="D182" s="7" t="s">
        <v>209</v>
      </c>
      <c r="E182" s="7" t="s">
        <v>210</v>
      </c>
      <c r="F182" s="7" t="s">
        <v>209</v>
      </c>
      <c r="G182" s="7" t="s">
        <v>209</v>
      </c>
      <c r="H182" s="7" t="s">
        <v>208</v>
      </c>
      <c r="I182" s="7">
        <v>5</v>
      </c>
      <c r="J182" s="7">
        <v>2</v>
      </c>
      <c r="K182" s="7" t="s">
        <v>208</v>
      </c>
    </row>
    <row r="183" spans="2:11" x14ac:dyDescent="0.25">
      <c r="C183" s="7" t="s">
        <v>215</v>
      </c>
      <c r="D183" s="7" t="s">
        <v>209</v>
      </c>
      <c r="E183" s="7" t="s">
        <v>210</v>
      </c>
      <c r="F183" s="7" t="s">
        <v>209</v>
      </c>
      <c r="G183" s="7" t="s">
        <v>209</v>
      </c>
      <c r="H183" s="7" t="s">
        <v>208</v>
      </c>
      <c r="I183" s="7">
        <v>5</v>
      </c>
      <c r="J183" s="7">
        <v>2</v>
      </c>
      <c r="K183" s="7" t="s">
        <v>208</v>
      </c>
    </row>
    <row r="184" spans="2:11" x14ac:dyDescent="0.25">
      <c r="C184" s="7" t="s">
        <v>214</v>
      </c>
      <c r="D184" s="7" t="s">
        <v>209</v>
      </c>
      <c r="E184" s="7" t="s">
        <v>210</v>
      </c>
      <c r="F184" s="7" t="s">
        <v>209</v>
      </c>
      <c r="G184" s="7" t="s">
        <v>209</v>
      </c>
      <c r="H184" s="7" t="s">
        <v>208</v>
      </c>
      <c r="I184" s="7">
        <v>5</v>
      </c>
      <c r="J184" s="7">
        <v>2</v>
      </c>
      <c r="K184" s="7" t="s">
        <v>208</v>
      </c>
    </row>
    <row r="185" spans="2:11" x14ac:dyDescent="0.25">
      <c r="C185" s="7" t="s">
        <v>213</v>
      </c>
      <c r="D185" s="7" t="s">
        <v>209</v>
      </c>
      <c r="E185" s="7" t="s">
        <v>210</v>
      </c>
      <c r="F185" s="7" t="s">
        <v>209</v>
      </c>
      <c r="G185" s="7" t="s">
        <v>209</v>
      </c>
      <c r="H185" s="7" t="s">
        <v>208</v>
      </c>
      <c r="I185" s="7">
        <v>5</v>
      </c>
      <c r="J185" s="7">
        <v>2</v>
      </c>
      <c r="K185" s="7" t="s">
        <v>208</v>
      </c>
    </row>
    <row r="186" spans="2:11" x14ac:dyDescent="0.25">
      <c r="C186" s="7" t="s">
        <v>212</v>
      </c>
      <c r="D186" s="7" t="s">
        <v>209</v>
      </c>
      <c r="E186" s="7" t="s">
        <v>210</v>
      </c>
      <c r="F186" s="7" t="s">
        <v>209</v>
      </c>
      <c r="G186" s="7" t="s">
        <v>209</v>
      </c>
      <c r="H186" s="7" t="s">
        <v>208</v>
      </c>
      <c r="I186" s="7">
        <v>5</v>
      </c>
      <c r="J186" s="7">
        <v>2</v>
      </c>
      <c r="K186" s="7" t="s">
        <v>208</v>
      </c>
    </row>
    <row r="187" spans="2:11" x14ac:dyDescent="0.25">
      <c r="C187" s="7">
        <v>1002</v>
      </c>
      <c r="D187" s="7" t="s">
        <v>209</v>
      </c>
      <c r="E187" s="7" t="s">
        <v>210</v>
      </c>
      <c r="F187" s="7" t="s">
        <v>209</v>
      </c>
      <c r="G187" s="7" t="s">
        <v>209</v>
      </c>
      <c r="H187" s="7" t="s">
        <v>208</v>
      </c>
      <c r="I187" s="7">
        <v>5</v>
      </c>
      <c r="J187" s="7">
        <v>2</v>
      </c>
      <c r="K187" s="7" t="s">
        <v>208</v>
      </c>
    </row>
    <row r="188" spans="2:11" x14ac:dyDescent="0.25">
      <c r="B188" s="7" t="s">
        <v>211</v>
      </c>
    </row>
    <row r="189" spans="2:11" x14ac:dyDescent="0.25">
      <c r="C189" s="7">
        <v>1001</v>
      </c>
      <c r="E189" s="7" t="s">
        <v>210</v>
      </c>
      <c r="F189" s="7" t="s">
        <v>209</v>
      </c>
      <c r="G189" s="7" t="s">
        <v>209</v>
      </c>
      <c r="H189" s="7" t="s">
        <v>208</v>
      </c>
      <c r="I189" s="7">
        <v>5</v>
      </c>
      <c r="J189" s="7">
        <v>2</v>
      </c>
      <c r="K189" s="7" t="s">
        <v>208</v>
      </c>
    </row>
    <row r="190" spans="2:11" x14ac:dyDescent="0.25">
      <c r="C190" s="7">
        <v>1002</v>
      </c>
      <c r="E190" s="7" t="s">
        <v>210</v>
      </c>
      <c r="F190" s="7" t="s">
        <v>209</v>
      </c>
      <c r="G190" s="7" t="s">
        <v>209</v>
      </c>
      <c r="H190" s="7" t="s">
        <v>208</v>
      </c>
      <c r="I190" s="7">
        <v>5</v>
      </c>
      <c r="J190" s="7">
        <v>2</v>
      </c>
      <c r="K190" s="7" t="s">
        <v>208</v>
      </c>
    </row>
    <row r="191" spans="2:11" x14ac:dyDescent="0.25">
      <c r="C191" s="7">
        <v>7312</v>
      </c>
      <c r="E191" s="7" t="s">
        <v>210</v>
      </c>
      <c r="F191" s="7" t="s">
        <v>209</v>
      </c>
      <c r="G191" s="7" t="s">
        <v>209</v>
      </c>
      <c r="H191" s="7" t="s">
        <v>208</v>
      </c>
      <c r="I191" s="7">
        <v>5</v>
      </c>
      <c r="J191" s="7">
        <v>2</v>
      </c>
      <c r="K191" s="7" t="s">
        <v>208</v>
      </c>
    </row>
    <row r="192" spans="2:11" x14ac:dyDescent="0.25">
      <c r="C192" s="7">
        <v>7313</v>
      </c>
      <c r="E192" s="7" t="s">
        <v>210</v>
      </c>
      <c r="F192" s="7" t="s">
        <v>209</v>
      </c>
      <c r="G192" s="7" t="s">
        <v>209</v>
      </c>
      <c r="H192" s="7" t="s">
        <v>208</v>
      </c>
      <c r="I192" s="7">
        <v>5</v>
      </c>
      <c r="J192" s="7">
        <v>2</v>
      </c>
      <c r="K192" s="7" t="s">
        <v>208</v>
      </c>
    </row>
    <row r="194" spans="4:11" x14ac:dyDescent="0.25">
      <c r="D194" s="129">
        <f>COUNTIF(D5:D193,"Duro")</f>
        <v>69</v>
      </c>
      <c r="F194" s="129">
        <f>SUM(F5:F193)</f>
        <v>50</v>
      </c>
      <c r="G194" s="129">
        <f>SUM(G5:G193)</f>
        <v>43</v>
      </c>
      <c r="H194" s="129">
        <f>COUNTIF(H5:H193,"SI")</f>
        <v>119</v>
      </c>
      <c r="I194" s="129">
        <f>SUM(I5:I193)</f>
        <v>731</v>
      </c>
      <c r="J194" s="129">
        <f>SUM(J5:J193)</f>
        <v>326</v>
      </c>
      <c r="K194" s="129">
        <f>COUNTIF(K5:K193,"SI")</f>
        <v>163</v>
      </c>
    </row>
    <row r="197" spans="4:11" x14ac:dyDescent="0.25">
      <c r="D197" s="7" t="s">
        <v>299</v>
      </c>
    </row>
  </sheetData>
  <mergeCells count="4">
    <mergeCell ref="D1:K1"/>
    <mergeCell ref="A1:A2"/>
    <mergeCell ref="B1:B2"/>
    <mergeCell ref="C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5"/>
  <sheetViews>
    <sheetView topLeftCell="A2" zoomScale="70" zoomScaleNormal="70" workbookViewId="0">
      <selection activeCell="H14" sqref="H14"/>
    </sheetView>
  </sheetViews>
  <sheetFormatPr baseColWidth="10" defaultRowHeight="15" outlineLevelRow="1" x14ac:dyDescent="0.25"/>
  <cols>
    <col min="1" max="1" width="5.7109375" style="2" customWidth="1"/>
    <col min="2" max="2" width="15.7109375" style="2" customWidth="1"/>
    <col min="3" max="3" width="10.7109375" style="2" customWidth="1"/>
    <col min="4" max="4" width="30.7109375" style="2" customWidth="1"/>
    <col min="5" max="5" width="60.7109375" style="2" customWidth="1"/>
    <col min="6" max="10" width="15.7109375" style="2" customWidth="1"/>
    <col min="11" max="11" width="30.7109375" style="2" customWidth="1"/>
    <col min="12" max="14" width="11.42578125" style="2"/>
    <col min="15" max="15" width="20.5703125" style="2" bestFit="1" customWidth="1"/>
    <col min="16" max="17" width="11.42578125" style="2"/>
    <col min="18" max="18" width="11.42578125" style="7"/>
    <col min="19" max="16384" width="11.42578125" style="2"/>
  </cols>
  <sheetData>
    <row r="3" spans="2:18" ht="30" customHeight="1" thickBot="1" x14ac:dyDescent="0.3">
      <c r="B3" s="143" t="s">
        <v>132</v>
      </c>
      <c r="C3" s="143"/>
      <c r="D3" s="143"/>
      <c r="E3" s="143"/>
      <c r="F3" s="143"/>
      <c r="G3" s="143"/>
      <c r="H3" s="143"/>
      <c r="I3" s="143"/>
      <c r="J3" s="143"/>
      <c r="K3" s="145"/>
    </row>
    <row r="4" spans="2:18" s="12" customFormat="1" ht="30" customHeight="1" outlineLevel="1" thickTop="1" x14ac:dyDescent="0.25">
      <c r="B4" s="12" t="s">
        <v>27</v>
      </c>
      <c r="C4" s="12" t="s">
        <v>22</v>
      </c>
      <c r="D4" s="12" t="s">
        <v>163</v>
      </c>
      <c r="E4" s="12" t="s">
        <v>63</v>
      </c>
      <c r="F4" s="12" t="s">
        <v>62</v>
      </c>
      <c r="G4" s="12" t="s">
        <v>34</v>
      </c>
      <c r="H4" s="12" t="s">
        <v>33</v>
      </c>
      <c r="I4" s="12" t="s">
        <v>21</v>
      </c>
      <c r="J4" s="12" t="s">
        <v>32</v>
      </c>
      <c r="K4" s="12" t="s">
        <v>20</v>
      </c>
      <c r="N4" s="2" t="s">
        <v>48</v>
      </c>
      <c r="O4" s="35" t="s">
        <v>65</v>
      </c>
      <c r="P4" s="2" t="s">
        <v>28</v>
      </c>
      <c r="Q4" s="2" t="s">
        <v>25</v>
      </c>
      <c r="R4" s="12" t="s">
        <v>160</v>
      </c>
    </row>
    <row r="5" spans="2:18" ht="30" customHeight="1" outlineLevel="1" x14ac:dyDescent="0.25">
      <c r="B5" s="14" t="s">
        <v>138</v>
      </c>
      <c r="C5" s="7"/>
      <c r="D5" s="7" t="s">
        <v>260</v>
      </c>
      <c r="E5" s="14" t="s">
        <v>222</v>
      </c>
      <c r="F5" s="20" t="s">
        <v>48</v>
      </c>
      <c r="G5" s="14" t="s">
        <v>30</v>
      </c>
      <c r="H5" s="36">
        <v>30</v>
      </c>
      <c r="I5" s="14"/>
      <c r="J5" s="15"/>
      <c r="K5" s="14"/>
      <c r="N5" s="2" t="s">
        <v>49</v>
      </c>
      <c r="O5" s="34" t="s">
        <v>64</v>
      </c>
      <c r="P5" s="2" t="s">
        <v>29</v>
      </c>
      <c r="Q5" s="2" t="s">
        <v>24</v>
      </c>
      <c r="R5" s="7" t="s">
        <v>159</v>
      </c>
    </row>
    <row r="6" spans="2:18" ht="30" customHeight="1" outlineLevel="1" x14ac:dyDescent="0.25">
      <c r="B6" s="14" t="s">
        <v>139</v>
      </c>
      <c r="C6" s="7"/>
      <c r="D6" s="7" t="s">
        <v>260</v>
      </c>
      <c r="E6" s="14" t="s">
        <v>302</v>
      </c>
      <c r="F6" s="20" t="s">
        <v>48</v>
      </c>
      <c r="G6" s="14" t="s">
        <v>29</v>
      </c>
      <c r="H6" s="36">
        <v>39</v>
      </c>
      <c r="I6" s="14"/>
      <c r="J6" s="15"/>
      <c r="K6" s="14"/>
      <c r="N6" s="2" t="s">
        <v>50</v>
      </c>
      <c r="O6" s="34" t="s">
        <v>66</v>
      </c>
      <c r="P6" s="2" t="s">
        <v>30</v>
      </c>
      <c r="Q6" s="2" t="s">
        <v>23</v>
      </c>
      <c r="R6" s="7" t="s">
        <v>161</v>
      </c>
    </row>
    <row r="7" spans="2:18" ht="30" customHeight="1" outlineLevel="1" x14ac:dyDescent="0.25">
      <c r="B7" s="14" t="s">
        <v>140</v>
      </c>
      <c r="C7" s="7"/>
      <c r="D7" s="7" t="s">
        <v>260</v>
      </c>
      <c r="E7" s="14" t="s">
        <v>304</v>
      </c>
      <c r="F7" s="20" t="s">
        <v>48</v>
      </c>
      <c r="G7" s="14" t="s">
        <v>30</v>
      </c>
      <c r="H7" s="36">
        <v>94</v>
      </c>
      <c r="I7" s="14"/>
      <c r="J7" s="15"/>
      <c r="K7" s="14"/>
      <c r="N7" s="2" t="s">
        <v>51</v>
      </c>
      <c r="O7" s="34" t="s">
        <v>67</v>
      </c>
      <c r="Q7" s="2" t="s">
        <v>125</v>
      </c>
    </row>
    <row r="8" spans="2:18" ht="30" customHeight="1" outlineLevel="1" x14ac:dyDescent="0.25">
      <c r="B8" s="14" t="s">
        <v>141</v>
      </c>
      <c r="C8" s="7"/>
      <c r="D8" s="7" t="s">
        <v>258</v>
      </c>
      <c r="E8" s="14" t="s">
        <v>293</v>
      </c>
      <c r="F8" s="20" t="s">
        <v>50</v>
      </c>
      <c r="G8" s="14" t="s">
        <v>29</v>
      </c>
      <c r="H8" s="36">
        <v>43</v>
      </c>
      <c r="I8" s="14"/>
      <c r="J8" s="15"/>
      <c r="K8" s="14"/>
      <c r="N8" s="2" t="s">
        <v>52</v>
      </c>
      <c r="O8" s="34" t="s">
        <v>68</v>
      </c>
    </row>
    <row r="9" spans="2:18" ht="30" customHeight="1" outlineLevel="1" x14ac:dyDescent="0.25">
      <c r="B9" s="14" t="s">
        <v>142</v>
      </c>
      <c r="C9" s="7"/>
      <c r="D9" s="7" t="s">
        <v>258</v>
      </c>
      <c r="E9" s="14" t="s">
        <v>301</v>
      </c>
      <c r="F9" s="20" t="s">
        <v>50</v>
      </c>
      <c r="G9" s="14" t="s">
        <v>29</v>
      </c>
      <c r="H9" s="36">
        <v>8</v>
      </c>
      <c r="I9" s="14"/>
      <c r="J9" s="15"/>
      <c r="K9" s="14"/>
    </row>
    <row r="10" spans="2:18" ht="30" customHeight="1" outlineLevel="1" x14ac:dyDescent="0.25">
      <c r="B10" s="14" t="s">
        <v>143</v>
      </c>
      <c r="C10" s="7"/>
      <c r="D10" s="7" t="s">
        <v>294</v>
      </c>
      <c r="E10" s="14" t="s">
        <v>295</v>
      </c>
      <c r="F10" s="20" t="s">
        <v>50</v>
      </c>
      <c r="G10" s="14" t="s">
        <v>28</v>
      </c>
      <c r="H10" s="36">
        <v>8</v>
      </c>
      <c r="I10" s="14"/>
      <c r="J10" s="15"/>
      <c r="K10" s="14"/>
    </row>
    <row r="11" spans="2:18" ht="30" customHeight="1" outlineLevel="1" x14ac:dyDescent="0.25">
      <c r="B11" s="14" t="s">
        <v>144</v>
      </c>
      <c r="C11" s="7"/>
      <c r="D11" s="7" t="s">
        <v>294</v>
      </c>
      <c r="E11" s="14" t="s">
        <v>303</v>
      </c>
      <c r="F11" s="20" t="s">
        <v>50</v>
      </c>
      <c r="G11" s="14" t="s">
        <v>28</v>
      </c>
      <c r="H11" s="36">
        <v>35</v>
      </c>
      <c r="I11" s="14"/>
      <c r="J11" s="15"/>
      <c r="K11" s="14"/>
    </row>
    <row r="12" spans="2:18" ht="30" customHeight="1" outlineLevel="1" x14ac:dyDescent="0.25">
      <c r="B12" s="14" t="s">
        <v>145</v>
      </c>
      <c r="C12" s="7"/>
      <c r="D12" s="7" t="s">
        <v>255</v>
      </c>
      <c r="E12" s="14" t="s">
        <v>296</v>
      </c>
      <c r="F12" s="20" t="s">
        <v>49</v>
      </c>
      <c r="G12" s="14" t="s">
        <v>30</v>
      </c>
      <c r="H12" s="36">
        <v>737</v>
      </c>
      <c r="I12" s="14"/>
      <c r="J12" s="15"/>
      <c r="K12" s="14"/>
    </row>
    <row r="13" spans="2:18" ht="30" customHeight="1" outlineLevel="1" x14ac:dyDescent="0.25">
      <c r="B13" s="14" t="s">
        <v>146</v>
      </c>
      <c r="C13" s="7"/>
      <c r="D13" s="7" t="s">
        <v>297</v>
      </c>
      <c r="E13" s="14" t="s">
        <v>279</v>
      </c>
      <c r="F13" s="20" t="s">
        <v>48</v>
      </c>
      <c r="G13" s="14" t="s">
        <v>30</v>
      </c>
      <c r="H13" s="36">
        <v>326</v>
      </c>
      <c r="I13" s="14"/>
      <c r="J13" s="15"/>
      <c r="K13" s="14"/>
    </row>
    <row r="14" spans="2:18" ht="30" customHeight="1" outlineLevel="1" x14ac:dyDescent="0.25">
      <c r="B14" s="14" t="s">
        <v>147</v>
      </c>
      <c r="C14" s="7"/>
      <c r="D14" s="7" t="s">
        <v>134</v>
      </c>
      <c r="E14" s="14" t="s">
        <v>306</v>
      </c>
      <c r="F14" s="20" t="s">
        <v>52</v>
      </c>
      <c r="G14" s="14" t="s">
        <v>29</v>
      </c>
      <c r="H14" s="36">
        <v>1</v>
      </c>
      <c r="I14" s="14"/>
      <c r="J14" s="15"/>
      <c r="K14" s="14"/>
    </row>
    <row r="15" spans="2:18" ht="30" customHeight="1" outlineLevel="1" x14ac:dyDescent="0.25">
      <c r="B15" s="14" t="s">
        <v>148</v>
      </c>
      <c r="C15" s="7"/>
      <c r="D15" s="7" t="s">
        <v>134</v>
      </c>
      <c r="E15" s="14" t="s">
        <v>308</v>
      </c>
      <c r="F15" s="20" t="s">
        <v>52</v>
      </c>
      <c r="G15" s="14" t="s">
        <v>30</v>
      </c>
      <c r="H15" s="36">
        <v>1</v>
      </c>
      <c r="I15" s="14"/>
      <c r="J15" s="15"/>
      <c r="K15" s="14"/>
    </row>
    <row r="16" spans="2:18" ht="30" customHeight="1" outlineLevel="1" x14ac:dyDescent="0.25">
      <c r="B16" s="14" t="s">
        <v>149</v>
      </c>
      <c r="C16" s="7"/>
      <c r="D16" s="7" t="s">
        <v>134</v>
      </c>
      <c r="E16" s="14" t="s">
        <v>307</v>
      </c>
      <c r="F16" s="20" t="s">
        <v>52</v>
      </c>
      <c r="G16" s="14" t="s">
        <v>30</v>
      </c>
      <c r="H16" s="36">
        <v>1</v>
      </c>
      <c r="I16" s="14"/>
      <c r="J16" s="15"/>
      <c r="K16" s="14"/>
    </row>
    <row r="17" spans="2:11" ht="30" customHeight="1" outlineLevel="1" x14ac:dyDescent="0.25">
      <c r="B17" s="14" t="s">
        <v>150</v>
      </c>
      <c r="C17" s="7"/>
      <c r="D17" s="7"/>
      <c r="E17" s="14"/>
      <c r="F17" s="20"/>
      <c r="G17" s="14"/>
      <c r="H17" s="36"/>
      <c r="I17" s="14"/>
      <c r="J17" s="15"/>
      <c r="K17" s="14"/>
    </row>
    <row r="18" spans="2:11" ht="30" customHeight="1" outlineLevel="1" x14ac:dyDescent="0.25">
      <c r="B18" s="14" t="s">
        <v>151</v>
      </c>
      <c r="C18" s="7"/>
      <c r="D18" s="7"/>
      <c r="E18" s="14"/>
      <c r="F18" s="20"/>
      <c r="G18" s="14"/>
      <c r="H18" s="36"/>
      <c r="I18" s="14"/>
      <c r="J18" s="15"/>
      <c r="K18" s="14"/>
    </row>
    <row r="19" spans="2:11" ht="30" customHeight="1" outlineLevel="1" x14ac:dyDescent="0.25">
      <c r="B19" s="14" t="s">
        <v>152</v>
      </c>
      <c r="C19" s="7"/>
      <c r="D19" s="7"/>
      <c r="E19" s="14"/>
      <c r="F19" s="20"/>
      <c r="G19" s="14"/>
      <c r="H19" s="36"/>
      <c r="I19" s="14"/>
      <c r="J19" s="15"/>
      <c r="K19" s="14"/>
    </row>
    <row r="20" spans="2:11" ht="30" customHeight="1" outlineLevel="1" x14ac:dyDescent="0.25">
      <c r="B20" s="14" t="s">
        <v>153</v>
      </c>
      <c r="C20" s="7"/>
      <c r="D20" s="7"/>
      <c r="E20" s="14"/>
      <c r="F20" s="20"/>
      <c r="G20" s="14"/>
      <c r="H20" s="36"/>
      <c r="I20" s="14"/>
      <c r="J20" s="15"/>
      <c r="K20" s="14"/>
    </row>
    <row r="21" spans="2:11" ht="30" customHeight="1" outlineLevel="1" x14ac:dyDescent="0.25">
      <c r="B21" s="14" t="s">
        <v>154</v>
      </c>
      <c r="C21" s="7"/>
      <c r="D21" s="7"/>
      <c r="E21" s="14"/>
      <c r="F21" s="20"/>
      <c r="G21" s="14"/>
      <c r="H21" s="36"/>
      <c r="I21" s="14"/>
      <c r="J21" s="15"/>
      <c r="K21" s="14"/>
    </row>
    <row r="22" spans="2:11" ht="30" customHeight="1" outlineLevel="1" x14ac:dyDescent="0.25">
      <c r="B22" s="14" t="s">
        <v>155</v>
      </c>
      <c r="C22" s="7"/>
      <c r="D22" s="7"/>
      <c r="E22" s="14"/>
      <c r="F22" s="20"/>
      <c r="G22" s="14"/>
      <c r="H22" s="36"/>
      <c r="I22" s="14"/>
      <c r="J22" s="15"/>
      <c r="K22" s="14"/>
    </row>
    <row r="23" spans="2:11" ht="30" customHeight="1" outlineLevel="1" x14ac:dyDescent="0.25">
      <c r="B23" s="14" t="s">
        <v>156</v>
      </c>
      <c r="C23" s="7"/>
      <c r="D23" s="7"/>
      <c r="E23" s="14"/>
      <c r="F23" s="20"/>
      <c r="G23" s="14"/>
      <c r="H23" s="36"/>
      <c r="I23" s="14"/>
      <c r="J23" s="15"/>
      <c r="K23" s="14"/>
    </row>
    <row r="24" spans="2:11" ht="30" customHeight="1" outlineLevel="1" x14ac:dyDescent="0.25">
      <c r="B24" s="14" t="s">
        <v>157</v>
      </c>
      <c r="C24" s="7"/>
      <c r="D24" s="7"/>
      <c r="E24" s="14"/>
      <c r="F24" s="20"/>
      <c r="G24" s="14"/>
      <c r="H24" s="36"/>
      <c r="I24" s="14"/>
      <c r="J24" s="15"/>
      <c r="K24" s="14"/>
    </row>
    <row r="25" spans="2:11" x14ac:dyDescent="0.25">
      <c r="B25" s="7"/>
      <c r="C25" s="7" t="s">
        <v>124</v>
      </c>
      <c r="D25" s="7"/>
      <c r="E25" s="7">
        <f>SUBTOTAL(103,MatrizCF[Componente Funcional
(CF)])</f>
        <v>12</v>
      </c>
      <c r="F25" s="7"/>
      <c r="G25" s="7"/>
      <c r="H25" s="36"/>
      <c r="I25" s="7"/>
      <c r="J25" s="7"/>
      <c r="K25" s="7"/>
    </row>
  </sheetData>
  <mergeCells count="1">
    <mergeCell ref="B3:K3"/>
  </mergeCells>
  <phoneticPr fontId="14" type="noConversion"/>
  <dataValidations count="4">
    <dataValidation type="list" allowBlank="1" showInputMessage="1" showErrorMessage="1" sqref="I5:I24">
      <formula1>$Q$4:$Q$7</formula1>
    </dataValidation>
    <dataValidation type="list" allowBlank="1" showInputMessage="1" showErrorMessage="1" sqref="K5:K24">
      <formula1>$R$4:$R$6</formula1>
    </dataValidation>
    <dataValidation type="list" allowBlank="1" showInputMessage="1" showErrorMessage="1" sqref="F5:F24">
      <formula1>$N$4:$N$8</formula1>
    </dataValidation>
    <dataValidation type="list" allowBlank="1" showInputMessage="1" showErrorMessage="1" sqref="G5:G24">
      <formula1>$P$4:$P$6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B3" sqref="B3:B7"/>
    </sheetView>
  </sheetViews>
  <sheetFormatPr baseColWidth="10" defaultRowHeight="15" x14ac:dyDescent="0.25"/>
  <cols>
    <col min="1" max="1" width="14" bestFit="1" customWidth="1"/>
    <col min="2" max="2" width="17" customWidth="1"/>
    <col min="3" max="3" width="27.85546875" customWidth="1"/>
    <col min="6" max="6" width="19.140625" customWidth="1"/>
    <col min="7" max="7" width="20.140625" customWidth="1"/>
  </cols>
  <sheetData>
    <row r="2" spans="1:6" x14ac:dyDescent="0.25">
      <c r="A2" t="s">
        <v>274</v>
      </c>
      <c r="B2" t="s">
        <v>273</v>
      </c>
      <c r="C2" t="s">
        <v>272</v>
      </c>
      <c r="D2" t="s">
        <v>271</v>
      </c>
      <c r="E2" t="s">
        <v>270</v>
      </c>
      <c r="F2" s="131" t="s">
        <v>305</v>
      </c>
    </row>
    <row r="3" spans="1:6" x14ac:dyDescent="0.25">
      <c r="A3" t="s">
        <v>269</v>
      </c>
      <c r="B3">
        <v>1</v>
      </c>
      <c r="C3">
        <v>3</v>
      </c>
      <c r="D3">
        <v>2</v>
      </c>
      <c r="E3">
        <v>1</v>
      </c>
      <c r="F3" s="130">
        <f>SUBTOTAL(109,A3:E3)</f>
        <v>7</v>
      </c>
    </row>
    <row r="4" spans="1:6" x14ac:dyDescent="0.25">
      <c r="A4" t="s">
        <v>268</v>
      </c>
      <c r="B4">
        <v>1</v>
      </c>
      <c r="C4">
        <v>3</v>
      </c>
      <c r="D4">
        <v>2</v>
      </c>
      <c r="E4">
        <v>1</v>
      </c>
      <c r="F4" s="130">
        <f>SUBTOTAL(109,A4:E4)</f>
        <v>7</v>
      </c>
    </row>
    <row r="5" spans="1:6" x14ac:dyDescent="0.25">
      <c r="A5" t="s">
        <v>267</v>
      </c>
      <c r="B5">
        <v>1</v>
      </c>
      <c r="C5">
        <v>3</v>
      </c>
      <c r="D5">
        <v>2</v>
      </c>
      <c r="E5">
        <v>1</v>
      </c>
      <c r="F5" s="130">
        <f>SUBTOTAL(109,A5:E5)</f>
        <v>7</v>
      </c>
    </row>
    <row r="6" spans="1:6" x14ac:dyDescent="0.25">
      <c r="A6" t="s">
        <v>266</v>
      </c>
      <c r="C6">
        <v>1</v>
      </c>
      <c r="E6">
        <v>1</v>
      </c>
      <c r="F6" s="130">
        <f>SUBTOTAL(109,A6:E6)</f>
        <v>2</v>
      </c>
    </row>
    <row r="7" spans="1:6" x14ac:dyDescent="0.25">
      <c r="A7" t="s">
        <v>265</v>
      </c>
      <c r="C7">
        <v>1</v>
      </c>
      <c r="E7">
        <v>1</v>
      </c>
      <c r="F7" s="130">
        <f>SUBTOTAL(109,A7:E7)</f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topLeftCell="A4" zoomScale="80" zoomScaleNormal="80" workbookViewId="0">
      <selection activeCell="C74" sqref="C74"/>
    </sheetView>
  </sheetViews>
  <sheetFormatPr baseColWidth="10" defaultRowHeight="15" x14ac:dyDescent="0.25"/>
  <cols>
    <col min="1" max="1" width="2.7109375" style="4" customWidth="1"/>
    <col min="2" max="2" width="21.7109375" style="4" customWidth="1"/>
    <col min="3" max="3" width="30.7109375" style="4" customWidth="1"/>
    <col min="4" max="4" width="60.7109375" style="4" customWidth="1"/>
    <col min="5" max="8" width="15.7109375" style="4" customWidth="1"/>
    <col min="9" max="10" width="14.7109375" style="4" customWidth="1"/>
    <col min="11" max="12" width="15.7109375" style="4" customWidth="1"/>
    <col min="13" max="15" width="10.7109375" style="4" customWidth="1"/>
    <col min="16" max="16" width="23" style="4" bestFit="1" customWidth="1"/>
    <col min="17" max="17" width="47.7109375" style="4" bestFit="1" customWidth="1"/>
    <col min="18" max="18" width="90" style="4" bestFit="1" customWidth="1"/>
    <col min="19" max="19" width="10.7109375" style="4" bestFit="1" customWidth="1"/>
    <col min="20" max="20" width="12.28515625" style="4" bestFit="1" customWidth="1"/>
    <col min="21" max="21" width="7.85546875" style="4" bestFit="1" customWidth="1"/>
    <col min="22" max="16384" width="11.42578125" style="4"/>
  </cols>
  <sheetData>
    <row r="1" spans="1:25" x14ac:dyDescent="0.25">
      <c r="A1" s="5" t="s">
        <v>31</v>
      </c>
      <c r="C1" s="4" t="s">
        <v>172</v>
      </c>
    </row>
    <row r="2" spans="1:25" x14ac:dyDescent="0.25">
      <c r="A2" s="5"/>
    </row>
    <row r="3" spans="1:25" x14ac:dyDescent="0.25">
      <c r="A3" s="5"/>
      <c r="B3" s="18" t="s">
        <v>75</v>
      </c>
    </row>
    <row r="4" spans="1:25" x14ac:dyDescent="0.25">
      <c r="A4" s="5"/>
    </row>
    <row r="5" spans="1:25" s="8" customFormat="1" ht="30" customHeight="1" thickBot="1" x14ac:dyDescent="0.3">
      <c r="A5" s="7"/>
      <c r="C5" s="8" t="s">
        <v>163</v>
      </c>
      <c r="D5" s="8" t="s">
        <v>59</v>
      </c>
      <c r="E5" s="7" t="s">
        <v>166</v>
      </c>
      <c r="F5" s="8" t="s">
        <v>34</v>
      </c>
      <c r="G5" s="7" t="s">
        <v>33</v>
      </c>
      <c r="H5" s="39" t="s">
        <v>164</v>
      </c>
      <c r="I5" s="12" t="s">
        <v>171</v>
      </c>
      <c r="J5" s="7" t="s">
        <v>169</v>
      </c>
      <c r="L5" s="147" t="s">
        <v>165</v>
      </c>
      <c r="M5" s="147"/>
      <c r="N5" s="147"/>
      <c r="O5" s="148"/>
      <c r="P5" s="4"/>
      <c r="Q5" s="4"/>
      <c r="R5" s="7"/>
      <c r="S5" s="7"/>
      <c r="T5" s="7"/>
      <c r="U5" s="7"/>
      <c r="V5" s="7"/>
      <c r="W5" s="7"/>
      <c r="X5" s="7"/>
      <c r="Y5" s="7"/>
    </row>
    <row r="6" spans="1:25" ht="15.75" customHeight="1" thickTop="1" x14ac:dyDescent="0.25">
      <c r="A6" s="2"/>
      <c r="B6" s="28"/>
      <c r="C6" s="23" t="s">
        <v>260</v>
      </c>
      <c r="D6" s="13" t="s">
        <v>222</v>
      </c>
      <c r="E6" s="20" t="s">
        <v>48</v>
      </c>
      <c r="F6" s="23" t="s">
        <v>30</v>
      </c>
      <c r="G6" s="36">
        <v>30</v>
      </c>
      <c r="H6" s="8">
        <f>IF(PFSA[[#This Row],[Complejidad]]=0,0,VLOOKUP(PFSA[[#This Row],[Tipo de Función]],IFPUG[#All],MATCH(PFSA[[#This Row],[Complejidad]],IFPUG[#Headers],0),FALSE))</f>
        <v>3</v>
      </c>
      <c r="I6" s="7">
        <f>+PFSA[[#This Row],[Cuenta]]*PFSA[[#This Row],[PF
s/Complejidad]]</f>
        <v>90</v>
      </c>
      <c r="J6" s="124">
        <f>+(PFSA[[#This Row],[PF
sin Ajuste]])/PFSA[[#Totals],[PF
sin Ajuste]]</f>
        <v>1.824447597810663E-2</v>
      </c>
      <c r="L6" s="24" t="s">
        <v>166</v>
      </c>
      <c r="M6" s="24" t="s">
        <v>30</v>
      </c>
      <c r="N6" s="24" t="s">
        <v>29</v>
      </c>
      <c r="O6" s="24" t="s">
        <v>28</v>
      </c>
      <c r="P6" s="7"/>
      <c r="Q6" s="7"/>
      <c r="R6" s="2"/>
      <c r="S6" s="2"/>
      <c r="T6" s="2"/>
      <c r="U6" s="2"/>
      <c r="V6" s="2"/>
      <c r="W6" s="2"/>
      <c r="X6" s="2"/>
      <c r="Y6" s="2"/>
    </row>
    <row r="7" spans="1:25" x14ac:dyDescent="0.25">
      <c r="A7" s="2"/>
      <c r="B7" s="28"/>
      <c r="C7" s="23" t="s">
        <v>260</v>
      </c>
      <c r="D7" s="19" t="s">
        <v>302</v>
      </c>
      <c r="E7" s="20" t="s">
        <v>48</v>
      </c>
      <c r="F7" s="23" t="s">
        <v>29</v>
      </c>
      <c r="G7" s="36">
        <v>39</v>
      </c>
      <c r="H7" s="8">
        <f>IF(PFSA[[#This Row],[Complejidad]]=0,0,VLOOKUP(PFSA[[#This Row],[Tipo de Función]],IFPUG[#All],MATCH(PFSA[[#This Row],[Complejidad]],IFPUG[#Headers],0),FALSE))</f>
        <v>4</v>
      </c>
      <c r="I7" s="7">
        <f>+PFSA[[#This Row],[Cuenta]]*PFSA[[#This Row],[PF
s/Complejidad]]</f>
        <v>156</v>
      </c>
      <c r="J7" s="124">
        <f>+(PFSA[[#This Row],[PF
sin Ajuste]])/PFSA[[#Totals],[PF
sin Ajuste]]</f>
        <v>3.1623758362051488E-2</v>
      </c>
      <c r="L7" s="25" t="s">
        <v>48</v>
      </c>
      <c r="M7" s="21">
        <v>3</v>
      </c>
      <c r="N7" s="21">
        <v>4</v>
      </c>
      <c r="O7" s="21">
        <v>6</v>
      </c>
      <c r="P7" s="4" t="s">
        <v>65</v>
      </c>
      <c r="Q7" s="4" t="s">
        <v>46</v>
      </c>
      <c r="R7" s="2" t="s">
        <v>181</v>
      </c>
      <c r="S7" s="2"/>
      <c r="T7" s="2"/>
      <c r="U7" s="2"/>
      <c r="V7" s="2"/>
      <c r="W7" s="2"/>
      <c r="X7" s="2"/>
      <c r="Y7" s="2"/>
    </row>
    <row r="8" spans="1:25" x14ac:dyDescent="0.25">
      <c r="A8" s="2"/>
      <c r="B8" s="28"/>
      <c r="C8" s="23" t="s">
        <v>260</v>
      </c>
      <c r="D8" s="19" t="s">
        <v>304</v>
      </c>
      <c r="E8" s="20" t="s">
        <v>48</v>
      </c>
      <c r="F8" s="23" t="s">
        <v>30</v>
      </c>
      <c r="G8" s="36">
        <v>94</v>
      </c>
      <c r="H8" s="8">
        <f>IF(PFSA[[#This Row],[Complejidad]]=0,0,VLOOKUP(PFSA[[#This Row],[Tipo de Función]],IFPUG[#All],MATCH(PFSA[[#This Row],[Complejidad]],IFPUG[#Headers],0),FALSE))</f>
        <v>3</v>
      </c>
      <c r="I8" s="7">
        <f>+PFSA[[#This Row],[Cuenta]]*PFSA[[#This Row],[PF
s/Complejidad]]</f>
        <v>282</v>
      </c>
      <c r="J8" s="124">
        <f>+(PFSA[[#This Row],[PF
sin Ajuste]])/PFSA[[#Totals],[PF
sin Ajuste]]</f>
        <v>5.7166024731400769E-2</v>
      </c>
      <c r="L8" s="25" t="s">
        <v>49</v>
      </c>
      <c r="M8" s="21">
        <v>4</v>
      </c>
      <c r="N8" s="21">
        <v>5</v>
      </c>
      <c r="O8" s="21">
        <v>7</v>
      </c>
      <c r="P8" s="4" t="s">
        <v>64</v>
      </c>
      <c r="Q8" s="4" t="s">
        <v>46</v>
      </c>
      <c r="R8" s="2" t="s">
        <v>183</v>
      </c>
      <c r="S8" s="2"/>
      <c r="T8" s="2"/>
      <c r="U8" s="2"/>
      <c r="V8" s="2"/>
      <c r="W8" s="2"/>
      <c r="X8" s="2"/>
      <c r="Y8" s="2"/>
    </row>
    <row r="9" spans="1:25" x14ac:dyDescent="0.25">
      <c r="A9" s="2"/>
      <c r="B9" s="28"/>
      <c r="C9" s="23" t="s">
        <v>258</v>
      </c>
      <c r="D9" s="19" t="s">
        <v>293</v>
      </c>
      <c r="E9" s="20" t="s">
        <v>50</v>
      </c>
      <c r="F9" s="23" t="s">
        <v>29</v>
      </c>
      <c r="G9" s="36">
        <v>43</v>
      </c>
      <c r="H9" s="8">
        <f>IF(PFSA[[#This Row],[Complejidad]]=0,0,VLOOKUP(PFSA[[#This Row],[Tipo de Función]],IFPUG[#All],MATCH(PFSA[[#This Row],[Complejidad]],IFPUG[#Headers],0),FALSE))</f>
        <v>4</v>
      </c>
      <c r="I9" s="7">
        <f>+PFSA[[#This Row],[Cuenta]]*PFSA[[#This Row],[PF
s/Complejidad]]</f>
        <v>172</v>
      </c>
      <c r="J9" s="124">
        <f>+(PFSA[[#This Row],[PF
sin Ajuste]])/PFSA[[#Totals],[PF
sin Ajuste]]</f>
        <v>3.4867220758159338E-2</v>
      </c>
      <c r="L9" s="25" t="s">
        <v>50</v>
      </c>
      <c r="M9" s="21">
        <v>3</v>
      </c>
      <c r="N9" s="21">
        <v>4</v>
      </c>
      <c r="O9" s="21">
        <v>6</v>
      </c>
      <c r="P9" s="4" t="s">
        <v>182</v>
      </c>
      <c r="Q9" s="4" t="s">
        <v>46</v>
      </c>
      <c r="R9" s="2" t="s">
        <v>184</v>
      </c>
      <c r="S9" s="2"/>
      <c r="T9" s="2"/>
      <c r="U9" s="2"/>
      <c r="V9" s="2"/>
      <c r="W9" s="2"/>
      <c r="X9" s="2"/>
      <c r="Y9" s="2"/>
    </row>
    <row r="10" spans="1:25" x14ac:dyDescent="0.25">
      <c r="A10" s="2"/>
      <c r="B10" s="28"/>
      <c r="C10" s="23" t="s">
        <v>258</v>
      </c>
      <c r="D10" s="19" t="s">
        <v>301</v>
      </c>
      <c r="E10" s="20" t="s">
        <v>50</v>
      </c>
      <c r="F10" s="23" t="s">
        <v>29</v>
      </c>
      <c r="G10" s="36">
        <v>8</v>
      </c>
      <c r="H10" s="8">
        <f>IF(PFSA[[#This Row],[Complejidad]]=0,0,VLOOKUP(PFSA[[#This Row],[Tipo de Función]],IFPUG[#All],MATCH(PFSA[[#This Row],[Complejidad]],IFPUG[#Headers],0),FALSE))</f>
        <v>4</v>
      </c>
      <c r="I10" s="7">
        <f>+PFSA[[#This Row],[Cuenta]]*PFSA[[#This Row],[PF
s/Complejidad]]</f>
        <v>32</v>
      </c>
      <c r="J10" s="124">
        <f>+(PFSA[[#This Row],[PF
sin Ajuste]])/PFSA[[#Totals],[PF
sin Ajuste]]</f>
        <v>6.4869247922156904E-3</v>
      </c>
      <c r="L10" s="25" t="s">
        <v>51</v>
      </c>
      <c r="M10" s="21">
        <v>7</v>
      </c>
      <c r="N10" s="21">
        <v>10</v>
      </c>
      <c r="O10" s="21">
        <v>15</v>
      </c>
      <c r="P10" s="4" t="s">
        <v>67</v>
      </c>
      <c r="Q10" s="4" t="s">
        <v>47</v>
      </c>
      <c r="R10" s="2" t="s">
        <v>185</v>
      </c>
      <c r="S10" s="2"/>
      <c r="T10" s="2"/>
      <c r="U10" s="2"/>
      <c r="V10" s="2"/>
      <c r="W10" s="2"/>
      <c r="X10" s="2"/>
      <c r="Y10" s="2"/>
    </row>
    <row r="11" spans="1:25" ht="15" customHeight="1" x14ac:dyDescent="0.25">
      <c r="A11" s="2"/>
      <c r="B11" s="28"/>
      <c r="C11" s="23" t="s">
        <v>294</v>
      </c>
      <c r="D11" s="19" t="s">
        <v>295</v>
      </c>
      <c r="E11" s="20" t="s">
        <v>50</v>
      </c>
      <c r="F11" s="23" t="s">
        <v>28</v>
      </c>
      <c r="G11" s="36">
        <v>8</v>
      </c>
      <c r="H11" s="8">
        <f>IF(PFSA[[#This Row],[Complejidad]]=0,0,VLOOKUP(PFSA[[#This Row],[Tipo de Función]],IFPUG[#All],MATCH(PFSA[[#This Row],[Complejidad]],IFPUG[#Headers],0),FALSE))</f>
        <v>6</v>
      </c>
      <c r="I11" s="7">
        <f>+PFSA[[#This Row],[Cuenta]]*PFSA[[#This Row],[PF
s/Complejidad]]</f>
        <v>48</v>
      </c>
      <c r="J11" s="124">
        <f>+(PFSA[[#This Row],[PF
sin Ajuste]])/PFSA[[#Totals],[PF
sin Ajuste]]</f>
        <v>9.7303871883235356E-3</v>
      </c>
      <c r="K11" s="7"/>
      <c r="L11" s="25" t="s">
        <v>52</v>
      </c>
      <c r="M11" s="21">
        <v>5</v>
      </c>
      <c r="N11" s="21">
        <v>7</v>
      </c>
      <c r="O11" s="21">
        <v>10</v>
      </c>
      <c r="P11" s="4" t="s">
        <v>68</v>
      </c>
      <c r="Q11" s="4" t="s">
        <v>47</v>
      </c>
      <c r="R11" s="2" t="s">
        <v>186</v>
      </c>
      <c r="S11" s="2"/>
      <c r="T11" s="2"/>
      <c r="U11" s="2"/>
      <c r="V11" s="2"/>
      <c r="W11" s="2"/>
      <c r="X11" s="2"/>
      <c r="Y11" s="2"/>
    </row>
    <row r="12" spans="1:25" x14ac:dyDescent="0.25">
      <c r="A12" s="2"/>
      <c r="B12" s="28"/>
      <c r="C12" s="23" t="s">
        <v>294</v>
      </c>
      <c r="D12" s="19" t="s">
        <v>303</v>
      </c>
      <c r="E12" s="20" t="s">
        <v>50</v>
      </c>
      <c r="F12" s="23" t="s">
        <v>28</v>
      </c>
      <c r="G12" s="36">
        <v>35</v>
      </c>
      <c r="H12" s="8">
        <f>IF(PFSA[[#This Row],[Complejidad]]=0,0,VLOOKUP(PFSA[[#This Row],[Tipo de Función]],IFPUG[#All],MATCH(PFSA[[#This Row],[Complejidad]],IFPUG[#Headers],0),FALSE))</f>
        <v>6</v>
      </c>
      <c r="I12" s="7">
        <f>+PFSA[[#This Row],[Cuenta]]*PFSA[[#This Row],[PF
s/Complejidad]]</f>
        <v>210</v>
      </c>
      <c r="J12" s="124">
        <f>+(PFSA[[#This Row],[PF
sin Ajuste]])/PFSA[[#Totals],[PF
sin Ajuste]]</f>
        <v>4.2570443948915467E-2</v>
      </c>
      <c r="K12" s="7"/>
      <c r="L12" s="17"/>
      <c r="M12" s="16"/>
      <c r="N12" s="16"/>
      <c r="O12" s="16"/>
      <c r="R12" s="2"/>
      <c r="S12" s="2"/>
      <c r="T12" s="2"/>
      <c r="U12" s="2"/>
      <c r="V12" s="2"/>
      <c r="W12" s="2"/>
      <c r="X12" s="2"/>
      <c r="Y12" s="2"/>
    </row>
    <row r="13" spans="1:25" ht="15" customHeight="1" x14ac:dyDescent="0.25">
      <c r="A13" s="2"/>
      <c r="B13" s="28"/>
      <c r="C13" s="23" t="s">
        <v>255</v>
      </c>
      <c r="D13" s="19" t="s">
        <v>296</v>
      </c>
      <c r="E13" s="20" t="s">
        <v>49</v>
      </c>
      <c r="F13" s="23" t="s">
        <v>30</v>
      </c>
      <c r="G13" s="36">
        <v>737</v>
      </c>
      <c r="H13" s="8">
        <f>IF(PFSA[[#This Row],[Complejidad]]=0,0,VLOOKUP(PFSA[[#This Row],[Tipo de Función]],IFPUG[#All],MATCH(PFSA[[#This Row],[Complejidad]],IFPUG[#Headers],0),FALSE))</f>
        <v>4</v>
      </c>
      <c r="I13" s="7">
        <f>+PFSA[[#This Row],[Cuenta]]*PFSA[[#This Row],[PF
s/Complejidad]]</f>
        <v>2948</v>
      </c>
      <c r="J13" s="124">
        <f>+(PFSA[[#This Row],[PF
sin Ajuste]])/PFSA[[#Totals],[PF
sin Ajuste]]</f>
        <v>0.59760794648287041</v>
      </c>
      <c r="K13" s="7"/>
      <c r="L13" s="17"/>
      <c r="M13" s="16"/>
      <c r="N13" s="16"/>
      <c r="O13" s="16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/>
      <c r="B14" s="28"/>
      <c r="C14" s="23" t="s">
        <v>297</v>
      </c>
      <c r="D14" s="19" t="s">
        <v>279</v>
      </c>
      <c r="E14" s="20" t="s">
        <v>48</v>
      </c>
      <c r="F14" s="23" t="s">
        <v>30</v>
      </c>
      <c r="G14" s="36">
        <v>326</v>
      </c>
      <c r="H14" s="8">
        <f>IF(PFSA[[#This Row],[Complejidad]]=0,0,VLOOKUP(PFSA[[#This Row],[Tipo de Función]],IFPUG[#All],MATCH(PFSA[[#This Row],[Complejidad]],IFPUG[#Headers],0),FALSE))</f>
        <v>3</v>
      </c>
      <c r="I14" s="7">
        <f>+PFSA[[#This Row],[Cuenta]]*PFSA[[#This Row],[PF
s/Complejidad]]</f>
        <v>978</v>
      </c>
      <c r="J14" s="124">
        <f>+(PFSA[[#This Row],[PF
sin Ajuste]])/PFSA[[#Totals],[PF
sin Ajuste]]</f>
        <v>0.19825663896209203</v>
      </c>
      <c r="K14" s="7"/>
      <c r="L14" s="17" t="s">
        <v>187</v>
      </c>
      <c r="M14" s="16"/>
      <c r="N14" s="16"/>
      <c r="O14" s="16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/>
      <c r="C15" s="23" t="s">
        <v>134</v>
      </c>
      <c r="D15" s="19" t="s">
        <v>306</v>
      </c>
      <c r="E15" s="20" t="s">
        <v>52</v>
      </c>
      <c r="F15" s="23" t="s">
        <v>29</v>
      </c>
      <c r="G15" s="36">
        <v>1</v>
      </c>
      <c r="H15" s="8">
        <f>IF(PFSA[[#This Row],[Complejidad]]=0,0,VLOOKUP(PFSA[[#This Row],[Tipo de Función]],IFPUG[#All],MATCH(PFSA[[#This Row],[Complejidad]],IFPUG[#Headers],0),FALSE))</f>
        <v>7</v>
      </c>
      <c r="I15" s="7">
        <f>+PFSA[[#This Row],[Cuenta]]*PFSA[[#This Row],[PF
s/Complejidad]]</f>
        <v>7</v>
      </c>
      <c r="J15" s="124">
        <f>+(PFSA[[#This Row],[PF
sin Ajuste]])/PFSA[[#Totals],[PF
sin Ajuste]]</f>
        <v>1.4190147982971822E-3</v>
      </c>
      <c r="K15" s="7"/>
      <c r="M15" s="126" t="s">
        <v>188</v>
      </c>
      <c r="N15" s="16" t="s">
        <v>50</v>
      </c>
      <c r="O15" s="16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2"/>
      <c r="C16" s="23" t="s">
        <v>134</v>
      </c>
      <c r="D16" s="19" t="s">
        <v>308</v>
      </c>
      <c r="E16" s="20" t="s">
        <v>52</v>
      </c>
      <c r="F16" s="23" t="s">
        <v>30</v>
      </c>
      <c r="G16" s="36">
        <v>1</v>
      </c>
      <c r="H16" s="8">
        <f>IF(PFSA[[#This Row],[Complejidad]]=0,0,VLOOKUP(PFSA[[#This Row],[Tipo de Función]],IFPUG[#All],MATCH(PFSA[[#This Row],[Complejidad]],IFPUG[#Headers],0),FALSE))</f>
        <v>5</v>
      </c>
      <c r="I16" s="7">
        <f>+PFSA[[#This Row],[Cuenta]]*PFSA[[#This Row],[PF
s/Complejidad]]</f>
        <v>5</v>
      </c>
      <c r="J16" s="124">
        <f>+(PFSA[[#This Row],[PF
sin Ajuste]])/PFSA[[#Totals],[PF
sin Ajuste]]</f>
        <v>1.0135819987837015E-3</v>
      </c>
      <c r="K16" s="7"/>
      <c r="L16" s="126"/>
      <c r="M16" s="126" t="s">
        <v>189</v>
      </c>
      <c r="N16" s="16" t="s">
        <v>48</v>
      </c>
      <c r="O16" s="16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2"/>
      <c r="C17" s="23" t="s">
        <v>134</v>
      </c>
      <c r="D17" s="19" t="s">
        <v>307</v>
      </c>
      <c r="E17" s="20" t="s">
        <v>52</v>
      </c>
      <c r="F17" s="23" t="s">
        <v>30</v>
      </c>
      <c r="G17" s="36">
        <v>1</v>
      </c>
      <c r="H17" s="8">
        <f>IF(PFSA[[#This Row],[Complejidad]]=0,0,VLOOKUP(PFSA[[#This Row],[Tipo de Función]],IFPUG[#All],MATCH(PFSA[[#This Row],[Complejidad]],IFPUG[#Headers],0),FALSE))</f>
        <v>5</v>
      </c>
      <c r="I17" s="7">
        <f>+PFSA[[#This Row],[Cuenta]]*PFSA[[#This Row],[PF
s/Complejidad]]</f>
        <v>5</v>
      </c>
      <c r="J17" s="124">
        <f>+(PFSA[[#This Row],[PF
sin Ajuste]])/PFSA[[#Totals],[PF
sin Ajuste]]</f>
        <v>1.0135819987837015E-3</v>
      </c>
      <c r="K17" s="7"/>
      <c r="L17" s="126"/>
      <c r="M17" s="126" t="s">
        <v>190</v>
      </c>
      <c r="N17" s="16" t="s">
        <v>48</v>
      </c>
      <c r="O17" s="16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2"/>
      <c r="C18" s="23"/>
      <c r="D18" s="19">
        <v>13</v>
      </c>
      <c r="E18" s="20"/>
      <c r="F18" s="23"/>
      <c r="G18" s="36"/>
      <c r="H18" s="8">
        <f>IF(PFSA[[#This Row],[Complejidad]]=0,0,VLOOKUP(PFSA[[#This Row],[Tipo de Función]],IFPUG[#All],MATCH(PFSA[[#This Row],[Complejidad]],IFPUG[#Headers],0),FALSE))</f>
        <v>0</v>
      </c>
      <c r="I18" s="7">
        <f>+PFSA[[#This Row],[Cuenta]]*PFSA[[#This Row],[PF
s/Complejidad]]</f>
        <v>0</v>
      </c>
      <c r="J18" s="124">
        <f>+(PFSA[[#This Row],[PF
sin Ajuste]])/PFSA[[#Totals],[PF
sin Ajuste]]</f>
        <v>0</v>
      </c>
      <c r="K18" s="7"/>
      <c r="L18" s="126"/>
      <c r="M18" s="126" t="s">
        <v>191</v>
      </c>
      <c r="N18" s="16" t="s">
        <v>49</v>
      </c>
      <c r="O18" s="16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2"/>
      <c r="C19" s="23"/>
      <c r="D19" s="19">
        <v>14</v>
      </c>
      <c r="E19" s="20"/>
      <c r="F19" s="23"/>
      <c r="G19" s="36"/>
      <c r="H19" s="8">
        <f>IF(PFSA[[#This Row],[Complejidad]]=0,0,VLOOKUP(PFSA[[#This Row],[Tipo de Función]],IFPUG[#All],MATCH(PFSA[[#This Row],[Complejidad]],IFPUG[#Headers],0),FALSE))</f>
        <v>0</v>
      </c>
      <c r="I19" s="7">
        <f>+PFSA[[#This Row],[Cuenta]]*PFSA[[#This Row],[PF
s/Complejidad]]</f>
        <v>0</v>
      </c>
      <c r="J19" s="124">
        <f>+(PFSA[[#This Row],[PF
sin Ajuste]])/PFSA[[#Totals],[PF
sin Ajuste]]</f>
        <v>0</v>
      </c>
      <c r="K19" s="7"/>
      <c r="L19" s="126"/>
      <c r="M19" s="126" t="s">
        <v>192</v>
      </c>
      <c r="N19" s="16" t="s">
        <v>48</v>
      </c>
      <c r="O19" s="16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2"/>
      <c r="C20" s="23"/>
      <c r="D20" s="19">
        <v>15</v>
      </c>
      <c r="E20" s="20"/>
      <c r="F20" s="23"/>
      <c r="G20" s="36"/>
      <c r="H20" s="8">
        <f>IF(PFSA[[#This Row],[Complejidad]]=0,0,VLOOKUP(PFSA[[#This Row],[Tipo de Función]],IFPUG[#All],MATCH(PFSA[[#This Row],[Complejidad]],IFPUG[#Headers],0),FALSE))</f>
        <v>0</v>
      </c>
      <c r="I20" s="7">
        <f>+PFSA[[#This Row],[Cuenta]]*PFSA[[#This Row],[PF
s/Complejidad]]</f>
        <v>0</v>
      </c>
      <c r="J20" s="124">
        <f>+(PFSA[[#This Row],[PF
sin Ajuste]])/PFSA[[#Totals],[PF
sin Ajuste]]</f>
        <v>0</v>
      </c>
      <c r="K20" s="7"/>
      <c r="L20" s="126"/>
      <c r="M20" s="126" t="s">
        <v>193</v>
      </c>
      <c r="N20" s="16" t="s">
        <v>49</v>
      </c>
      <c r="O20" s="16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2"/>
      <c r="C21" s="23"/>
      <c r="D21" s="19">
        <v>16</v>
      </c>
      <c r="E21" s="20"/>
      <c r="F21" s="23"/>
      <c r="G21" s="36"/>
      <c r="H21" s="8">
        <f>IF(PFSA[[#This Row],[Complejidad]]=0,0,VLOOKUP(PFSA[[#This Row],[Tipo de Función]],IFPUG[#All],MATCH(PFSA[[#This Row],[Complejidad]],IFPUG[#Headers],0),FALSE))</f>
        <v>0</v>
      </c>
      <c r="I21" s="7">
        <f>+PFSA[[#This Row],[Cuenta]]*PFSA[[#This Row],[PF
s/Complejidad]]</f>
        <v>0</v>
      </c>
      <c r="J21" s="124">
        <f>+(PFSA[[#This Row],[PF
sin Ajuste]])/PFSA[[#Totals],[PF
sin Ajuste]]</f>
        <v>0</v>
      </c>
      <c r="K21" s="7"/>
      <c r="L21" s="126"/>
      <c r="M21" s="126" t="s">
        <v>194</v>
      </c>
      <c r="N21" s="16" t="s">
        <v>51</v>
      </c>
      <c r="O21" s="16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2"/>
      <c r="C22" s="23"/>
      <c r="D22" s="19">
        <v>17</v>
      </c>
      <c r="E22" s="20"/>
      <c r="F22" s="23"/>
      <c r="G22" s="36"/>
      <c r="H22" s="8">
        <f>IF(PFSA[[#This Row],[Complejidad]]=0,0,VLOOKUP(PFSA[[#This Row],[Tipo de Función]],IFPUG[#All],MATCH(PFSA[[#This Row],[Complejidad]],IFPUG[#Headers],0),FALSE))</f>
        <v>0</v>
      </c>
      <c r="I22" s="7">
        <f>+PFSA[[#This Row],[Cuenta]]*PFSA[[#This Row],[PF
s/Complejidad]]</f>
        <v>0</v>
      </c>
      <c r="J22" s="124">
        <f>+(PFSA[[#This Row],[PF
sin Ajuste]])/PFSA[[#Totals],[PF
sin Ajuste]]</f>
        <v>0</v>
      </c>
      <c r="K22" s="7"/>
      <c r="L22" s="17"/>
      <c r="M22" s="16"/>
      <c r="N22" s="16"/>
      <c r="O22" s="16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2"/>
      <c r="C23" s="23"/>
      <c r="D23" s="19">
        <v>18</v>
      </c>
      <c r="E23" s="20"/>
      <c r="F23" s="23"/>
      <c r="G23" s="36"/>
      <c r="H23" s="8">
        <f>IF(PFSA[[#This Row],[Complejidad]]=0,0,VLOOKUP(PFSA[[#This Row],[Tipo de Función]],IFPUG[#All],MATCH(PFSA[[#This Row],[Complejidad]],IFPUG[#Headers],0),FALSE))</f>
        <v>0</v>
      </c>
      <c r="I23" s="7">
        <f>+PFSA[[#This Row],[Cuenta]]*PFSA[[#This Row],[PF
s/Complejidad]]</f>
        <v>0</v>
      </c>
      <c r="J23" s="124">
        <f>+(PFSA[[#This Row],[PF
sin Ajuste]])/PFSA[[#Totals],[PF
sin Ajuste]]</f>
        <v>0</v>
      </c>
      <c r="K23" s="7"/>
      <c r="L23" s="17"/>
      <c r="M23" s="16"/>
      <c r="N23" s="16"/>
      <c r="O23" s="16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2"/>
      <c r="B24" s="8"/>
      <c r="C24" s="23"/>
      <c r="D24" s="19">
        <v>19</v>
      </c>
      <c r="E24" s="20"/>
      <c r="F24" s="23"/>
      <c r="G24" s="36"/>
      <c r="H24" s="8">
        <f>IF(PFSA[[#This Row],[Complejidad]]=0,0,VLOOKUP(PFSA[[#This Row],[Tipo de Función]],IFPUG[#All],MATCH(PFSA[[#This Row],[Complejidad]],IFPUG[#Headers],0),FALSE))</f>
        <v>0</v>
      </c>
      <c r="I24" s="7">
        <f>+PFSA[[#This Row],[Cuenta]]*PFSA[[#This Row],[PF
s/Complejidad]]</f>
        <v>0</v>
      </c>
      <c r="J24" s="124">
        <f>+(PFSA[[#This Row],[PF
sin Ajuste]])/PFSA[[#Totals],[PF
sin Ajuste]]</f>
        <v>0</v>
      </c>
      <c r="K24" s="7"/>
      <c r="M24" s="16"/>
      <c r="N24" s="16"/>
      <c r="O24" s="16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2"/>
      <c r="B25" s="8"/>
      <c r="C25" s="23"/>
      <c r="D25" s="19">
        <v>20</v>
      </c>
      <c r="E25" s="20"/>
      <c r="F25" s="23"/>
      <c r="G25" s="36"/>
      <c r="H25" s="8">
        <f>IF(PFSA[[#This Row],[Complejidad]]=0,0,VLOOKUP(PFSA[[#This Row],[Tipo de Función]],IFPUG[#All],MATCH(PFSA[[#This Row],[Complejidad]],IFPUG[#Headers],0),FALSE))</f>
        <v>0</v>
      </c>
      <c r="I25" s="7">
        <f>+PFSA[[#This Row],[Cuenta]]*PFSA[[#This Row],[PF
s/Complejidad]]</f>
        <v>0</v>
      </c>
      <c r="J25" s="124">
        <f>+(PFSA[[#This Row],[PF
sin Ajuste]])/PFSA[[#Totals],[PF
sin Ajuste]]</f>
        <v>0</v>
      </c>
      <c r="K25" s="7"/>
      <c r="M25" s="16"/>
      <c r="N25" s="16"/>
      <c r="O25" s="16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A26" s="2"/>
      <c r="C26"/>
      <c r="D26" s="128"/>
      <c r="E26" s="23"/>
      <c r="F26" s="23"/>
      <c r="G26" s="40" t="s">
        <v>61</v>
      </c>
      <c r="H26" s="11"/>
      <c r="I26" s="7">
        <f>SUBTOTAL(109,PFSA[PF
sin Ajuste])</f>
        <v>4933</v>
      </c>
      <c r="J26" s="125">
        <f>SUBTOTAL(109,PFSA[Ponderación])</f>
        <v>0.99999999999999978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2"/>
      <c r="B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2"/>
      <c r="B28" s="34" t="s">
        <v>44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2"/>
      <c r="D29" s="2"/>
      <c r="E29" s="2"/>
      <c r="F29" s="2"/>
      <c r="G29"/>
      <c r="H29"/>
      <c r="I29"/>
      <c r="J29"/>
      <c r="K29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s="8" customFormat="1" ht="30" customHeight="1" x14ac:dyDescent="0.25">
      <c r="A30" s="7"/>
      <c r="D30" s="8" t="s">
        <v>168</v>
      </c>
      <c r="E30" s="7" t="s">
        <v>69</v>
      </c>
      <c r="F30" s="22" t="s">
        <v>35</v>
      </c>
      <c r="G30" s="21"/>
      <c r="H30" s="21"/>
      <c r="I30" s="21"/>
      <c r="J30" s="21"/>
      <c r="K30" s="21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x14ac:dyDescent="0.25">
      <c r="A31" s="2"/>
      <c r="B31" s="2"/>
      <c r="D31" s="4" t="s">
        <v>36</v>
      </c>
      <c r="E31" s="7">
        <v>2</v>
      </c>
      <c r="F31" s="2"/>
      <c r="G31"/>
      <c r="H31"/>
      <c r="I31"/>
      <c r="J31"/>
      <c r="K3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2"/>
      <c r="B32" s="2"/>
      <c r="D32" s="4" t="s">
        <v>37</v>
      </c>
      <c r="E32" s="7">
        <v>3</v>
      </c>
      <c r="F32" s="2"/>
      <c r="G32"/>
      <c r="H32"/>
      <c r="I32"/>
      <c r="J32"/>
      <c r="K3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2"/>
      <c r="B33" s="2"/>
      <c r="D33" s="4" t="s">
        <v>38</v>
      </c>
      <c r="E33" s="7">
        <v>0</v>
      </c>
      <c r="F33" s="2"/>
      <c r="G33"/>
      <c r="H33"/>
      <c r="I33"/>
      <c r="J33"/>
      <c r="K3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2"/>
      <c r="B34" s="2"/>
      <c r="D34" s="4" t="s">
        <v>39</v>
      </c>
      <c r="E34" s="7">
        <v>4</v>
      </c>
      <c r="F34" s="2"/>
      <c r="G34"/>
      <c r="H34"/>
      <c r="I34"/>
      <c r="J34"/>
      <c r="K34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2"/>
      <c r="B35" s="2"/>
      <c r="D35" s="4" t="s">
        <v>54</v>
      </c>
      <c r="E35" s="7">
        <v>0</v>
      </c>
      <c r="F35" s="2"/>
      <c r="G35"/>
      <c r="H35"/>
      <c r="I35"/>
      <c r="J35"/>
      <c r="K35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2"/>
      <c r="B36" s="2"/>
      <c r="D36" s="4" t="s">
        <v>53</v>
      </c>
      <c r="E36" s="7">
        <v>2</v>
      </c>
      <c r="F36" s="2"/>
      <c r="G36"/>
      <c r="H36"/>
      <c r="I36"/>
      <c r="J36"/>
      <c r="K36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2"/>
      <c r="B37" s="2"/>
      <c r="D37" s="4" t="s">
        <v>40</v>
      </c>
      <c r="E37" s="7">
        <v>1</v>
      </c>
      <c r="F37" s="2"/>
      <c r="G37"/>
      <c r="H37"/>
      <c r="I37"/>
      <c r="J37"/>
      <c r="K3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2"/>
      <c r="B38" s="2"/>
      <c r="D38" s="4" t="s">
        <v>56</v>
      </c>
      <c r="E38" s="7">
        <v>3</v>
      </c>
      <c r="F38" s="2"/>
      <c r="G38"/>
      <c r="H38"/>
      <c r="I38"/>
      <c r="J38"/>
      <c r="K38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2"/>
      <c r="B39" s="2"/>
      <c r="D39" s="4" t="s">
        <v>195</v>
      </c>
      <c r="E39" s="7">
        <v>3</v>
      </c>
      <c r="F39" s="2"/>
      <c r="G39"/>
      <c r="H39"/>
      <c r="I39"/>
      <c r="J39"/>
      <c r="K3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2"/>
      <c r="B40" s="2"/>
      <c r="D40" s="4" t="s">
        <v>41</v>
      </c>
      <c r="E40" s="7">
        <v>1</v>
      </c>
      <c r="F40" s="2"/>
      <c r="G40"/>
      <c r="H40"/>
      <c r="I40"/>
      <c r="J40"/>
      <c r="K40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2"/>
      <c r="B41" s="2"/>
      <c r="D41" s="4" t="s">
        <v>42</v>
      </c>
      <c r="E41" s="7">
        <v>1</v>
      </c>
      <c r="F41" s="2"/>
      <c r="G41"/>
      <c r="H41"/>
      <c r="I41"/>
      <c r="J41"/>
      <c r="K4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2"/>
      <c r="B42" s="2"/>
      <c r="D42" s="4" t="s">
        <v>43</v>
      </c>
      <c r="E42" s="7">
        <v>0</v>
      </c>
      <c r="F42" s="2"/>
      <c r="G42"/>
      <c r="H42"/>
      <c r="I42"/>
      <c r="J42"/>
      <c r="K4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2"/>
      <c r="B43" s="2"/>
      <c r="D43" s="4" t="s">
        <v>70</v>
      </c>
      <c r="E43" s="7">
        <v>0</v>
      </c>
      <c r="F43" s="2"/>
      <c r="G43"/>
      <c r="H43"/>
      <c r="I43"/>
      <c r="J43"/>
      <c r="K43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2"/>
      <c r="B44" s="2"/>
      <c r="D44" s="4" t="s">
        <v>55</v>
      </c>
      <c r="E44" s="7">
        <v>5</v>
      </c>
      <c r="F44" s="2"/>
      <c r="G44"/>
      <c r="H44"/>
      <c r="I44"/>
      <c r="J44"/>
      <c r="K44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2"/>
      <c r="B45" s="2"/>
      <c r="D45" s="11" t="s">
        <v>57</v>
      </c>
      <c r="E45" s="7">
        <f>SUBTOTAL(109,FdA[Ponderación *])</f>
        <v>25</v>
      </c>
      <c r="F45" s="2"/>
      <c r="G45"/>
      <c r="H45"/>
      <c r="I45"/>
      <c r="J45"/>
      <c r="K45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2"/>
      <c r="B46" s="2"/>
      <c r="C46" s="2"/>
      <c r="D46" s="2"/>
      <c r="E46" s="2"/>
      <c r="F46" s="2"/>
      <c r="G46" s="2"/>
      <c r="H46" s="7"/>
      <c r="I46" s="7"/>
      <c r="J46" s="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" customHeight="1" x14ac:dyDescent="0.25">
      <c r="A47" s="2"/>
      <c r="B47" s="9" t="s">
        <v>71</v>
      </c>
      <c r="C47" s="118">
        <f>+PFSA[[#Totals],[PF
sin Ajuste]]*(0.65+0.01*FdA[[#Totals],[Ponderación *]])</f>
        <v>4439.7</v>
      </c>
      <c r="D47" s="2"/>
      <c r="E47" s="149" t="s">
        <v>162</v>
      </c>
      <c r="F47" s="149"/>
      <c r="G47" s="149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A48" s="2"/>
      <c r="B48" s="9" t="s">
        <v>72</v>
      </c>
      <c r="C48" s="123">
        <v>4440</v>
      </c>
      <c r="D48" s="2"/>
      <c r="E48" s="149"/>
      <c r="F48" s="149"/>
      <c r="G48" s="149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2"/>
      <c r="B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25">
      <c r="A50" s="1" t="s">
        <v>60</v>
      </c>
      <c r="B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2"/>
      <c r="B52" s="34" t="s">
        <v>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" customHeight="1" x14ac:dyDescent="0.25">
      <c r="A53" s="2"/>
      <c r="B53" s="11" t="s">
        <v>201</v>
      </c>
      <c r="C53" s="117">
        <v>275</v>
      </c>
      <c r="D53" s="26" t="s">
        <v>202</v>
      </c>
      <c r="E53" s="149" t="s">
        <v>167</v>
      </c>
      <c r="F53" s="149"/>
      <c r="G53" s="149"/>
      <c r="H53" s="149"/>
      <c r="I53" s="149"/>
      <c r="J53" s="3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2"/>
      <c r="C54" s="2"/>
      <c r="D54" s="2"/>
      <c r="E54" s="149"/>
      <c r="F54" s="149"/>
      <c r="G54" s="149"/>
      <c r="H54" s="149"/>
      <c r="I54" s="149"/>
      <c r="J54" s="3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2"/>
      <c r="B55" s="11" t="s">
        <v>206</v>
      </c>
      <c r="C55" s="115">
        <v>21</v>
      </c>
      <c r="E55" s="149"/>
      <c r="F55" s="149"/>
      <c r="G55" s="149"/>
      <c r="H55" s="149"/>
      <c r="I55" s="149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2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2"/>
      <c r="B57" s="11" t="s">
        <v>207</v>
      </c>
      <c r="C57" s="115">
        <v>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2"/>
      <c r="B58" s="1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2"/>
      <c r="B59" s="11" t="s">
        <v>197</v>
      </c>
      <c r="C59" s="115">
        <v>2</v>
      </c>
      <c r="E59" s="2"/>
      <c r="F59" s="2"/>
      <c r="G59" s="2"/>
      <c r="H59" s="2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2"/>
      <c r="B60" s="6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1"/>
      <c r="B61" s="9" t="s">
        <v>198</v>
      </c>
      <c r="C61" s="2"/>
      <c r="D61" s="2"/>
      <c r="E61" s="2"/>
      <c r="F61" s="2"/>
      <c r="G61" s="2"/>
      <c r="H61" s="2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2"/>
      <c r="B62" s="2"/>
      <c r="C62" s="123">
        <f>+C48/(C53*C59)</f>
        <v>8.0727272727272723</v>
      </c>
      <c r="D62" s="6" t="s">
        <v>73</v>
      </c>
      <c r="L62" s="6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25">
      <c r="A63" s="2"/>
      <c r="B63" s="2"/>
      <c r="C63" s="2"/>
      <c r="L63" s="6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2"/>
      <c r="B64" s="2"/>
      <c r="C64" s="123">
        <f>+C62*C55</f>
        <v>169.52727272727273</v>
      </c>
      <c r="D64" s="6" t="s">
        <v>45</v>
      </c>
      <c r="E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2"/>
      <c r="B65" s="2"/>
      <c r="M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customHeight="1" x14ac:dyDescent="0.25">
      <c r="A66" s="2"/>
      <c r="B66" s="2"/>
      <c r="C66" s="116">
        <f>+C64*C57</f>
        <v>1356.2181818181818</v>
      </c>
      <c r="D66" s="120" t="s">
        <v>203</v>
      </c>
      <c r="E66" s="121" t="str">
        <f>+IF(C55&lt;=21,"Lu a Vi","Lu a Sa")</f>
        <v>Lu a Vi</v>
      </c>
      <c r="F66" s="122">
        <f>+C57</f>
        <v>8</v>
      </c>
      <c r="G66" s="121" t="s">
        <v>204</v>
      </c>
      <c r="H66" s="122">
        <f>+C59</f>
        <v>2</v>
      </c>
      <c r="I66" s="120" t="s">
        <v>58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2"/>
      <c r="B67" s="2"/>
      <c r="C67" s="2"/>
      <c r="D67" s="6"/>
      <c r="E67" s="3"/>
      <c r="F67" s="3"/>
      <c r="G67" s="6"/>
      <c r="H67" s="3"/>
      <c r="I67" s="3"/>
      <c r="J67" s="3"/>
      <c r="K67" s="6"/>
      <c r="L67" s="6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1" t="s">
        <v>199</v>
      </c>
    </row>
    <row r="70" spans="1:25" x14ac:dyDescent="0.25">
      <c r="B70" s="9" t="s">
        <v>196</v>
      </c>
      <c r="C70" s="115">
        <v>32</v>
      </c>
      <c r="D70" s="4" t="s">
        <v>205</v>
      </c>
      <c r="E70" s="146" t="s">
        <v>200</v>
      </c>
      <c r="F70" s="146"/>
    </row>
    <row r="73" spans="1:25" s="42" customFormat="1" ht="30" customHeight="1" x14ac:dyDescent="0.25">
      <c r="B73" s="114" t="s">
        <v>74</v>
      </c>
      <c r="C73" s="119">
        <f>+Horas_Soft*Costo_Colaborador</f>
        <v>43398.981818181819</v>
      </c>
    </row>
    <row r="74" spans="1:25" x14ac:dyDescent="0.25">
      <c r="C74" s="4" t="s">
        <v>176</v>
      </c>
    </row>
    <row r="79" spans="1:25" x14ac:dyDescent="0.25">
      <c r="A79" s="6"/>
    </row>
    <row r="80" spans="1:25" x14ac:dyDescent="0.25">
      <c r="B80" s="11"/>
    </row>
    <row r="81" spans="2:7" x14ac:dyDescent="0.25">
      <c r="C81" s="37"/>
      <c r="E81" s="8"/>
      <c r="G81" s="8"/>
    </row>
    <row r="82" spans="2:7" x14ac:dyDescent="0.25">
      <c r="B82" s="11"/>
      <c r="C82" s="37"/>
    </row>
    <row r="83" spans="2:7" x14ac:dyDescent="0.25">
      <c r="C83" s="41"/>
    </row>
  </sheetData>
  <mergeCells count="4">
    <mergeCell ref="E70:F70"/>
    <mergeCell ref="L5:O5"/>
    <mergeCell ref="E47:G48"/>
    <mergeCell ref="E53:I55"/>
  </mergeCells>
  <dataValidations count="2">
    <dataValidation type="list" allowBlank="1" showInputMessage="1" showErrorMessage="1" sqref="E6:E25">
      <formula1>$L$7:$L$11</formula1>
    </dataValidation>
    <dataValidation type="list" allowBlank="1" showInputMessage="1" showErrorMessage="1" sqref="F6:F25">
      <formula1>$M$6:$O$6</formula1>
    </dataValidation>
  </dataValidation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zoomScale="85" zoomScaleNormal="85" workbookViewId="0">
      <selection activeCell="P13" sqref="P13"/>
    </sheetView>
  </sheetViews>
  <sheetFormatPr baseColWidth="10" defaultRowHeight="15" x14ac:dyDescent="0.25"/>
  <cols>
    <col min="1" max="1" width="16.42578125" customWidth="1"/>
    <col min="2" max="2" width="12.85546875" bestFit="1" customWidth="1"/>
    <col min="4" max="4" width="17" customWidth="1"/>
    <col min="8" max="8" width="17.28515625" bestFit="1" customWidth="1"/>
    <col min="9" max="9" width="18.28515625" bestFit="1" customWidth="1"/>
    <col min="16" max="16" width="12" bestFit="1" customWidth="1"/>
  </cols>
  <sheetData>
    <row r="1" spans="1:16" x14ac:dyDescent="0.25">
      <c r="A1" t="s">
        <v>252</v>
      </c>
      <c r="B1" t="s">
        <v>281</v>
      </c>
      <c r="C1" t="s">
        <v>280</v>
      </c>
      <c r="D1" t="s">
        <v>258</v>
      </c>
      <c r="E1" t="s">
        <v>265</v>
      </c>
      <c r="F1" t="s">
        <v>255</v>
      </c>
      <c r="G1" t="s">
        <v>279</v>
      </c>
      <c r="H1" t="s">
        <v>278</v>
      </c>
      <c r="I1" t="s">
        <v>277</v>
      </c>
    </row>
    <row r="2" spans="1:16" x14ac:dyDescent="0.25">
      <c r="B2" t="s">
        <v>222</v>
      </c>
      <c r="C2">
        <v>8</v>
      </c>
      <c r="D2">
        <v>18</v>
      </c>
      <c r="E2">
        <v>4</v>
      </c>
      <c r="F2">
        <v>40</v>
      </c>
      <c r="G2">
        <v>16</v>
      </c>
      <c r="H2">
        <f>+Tabla8[[#This Row],[CANT]]*Elio_2!F3</f>
        <v>56</v>
      </c>
      <c r="I2">
        <f>+Tabla8[[#This Row],[Enclavamientos]]*Elio_2!$F$6+Tabla8[[#This Row],[PID]]*Elio_2!$F$7</f>
        <v>44</v>
      </c>
    </row>
    <row r="3" spans="1:16" x14ac:dyDescent="0.25">
      <c r="B3" t="s">
        <v>276</v>
      </c>
      <c r="C3">
        <v>6</v>
      </c>
      <c r="D3">
        <v>1</v>
      </c>
      <c r="E3">
        <v>5</v>
      </c>
      <c r="F3">
        <v>18</v>
      </c>
      <c r="G3">
        <v>12</v>
      </c>
      <c r="H3">
        <f>+Tabla8[[#This Row],[CANT]]*Elio_2!F4</f>
        <v>42</v>
      </c>
      <c r="I3">
        <f>+Tabla8[[#This Row],[Enclavamientos]]*Elio_2!$F$6+Tabla8[[#This Row],[PID]]*Elio_2!$F$7</f>
        <v>12</v>
      </c>
    </row>
    <row r="4" spans="1:16" x14ac:dyDescent="0.25">
      <c r="B4" t="s">
        <v>275</v>
      </c>
      <c r="C4">
        <v>18</v>
      </c>
      <c r="D4">
        <v>0</v>
      </c>
      <c r="E4">
        <v>0</v>
      </c>
      <c r="F4">
        <v>90</v>
      </c>
      <c r="G4">
        <v>36</v>
      </c>
      <c r="H4">
        <f>+Tabla8[[#This Row],[CANT]]*Elio_2!F5</f>
        <v>126</v>
      </c>
      <c r="I4">
        <f>+Tabla8[[#This Row],[Enclavamientos]]*Elio_2!$F$6+Tabla8[[#This Row],[PID]]*Elio_2!$F$7</f>
        <v>0</v>
      </c>
    </row>
    <row r="6" spans="1:16" x14ac:dyDescent="0.25">
      <c r="A6" t="s">
        <v>283</v>
      </c>
      <c r="B6" t="s">
        <v>281</v>
      </c>
      <c r="C6" t="s">
        <v>280</v>
      </c>
      <c r="D6" t="s">
        <v>258</v>
      </c>
      <c r="E6" t="s">
        <v>265</v>
      </c>
      <c r="F6" t="s">
        <v>255</v>
      </c>
      <c r="G6" t="s">
        <v>279</v>
      </c>
      <c r="H6" t="s">
        <v>278</v>
      </c>
      <c r="I6" t="s">
        <v>277</v>
      </c>
    </row>
    <row r="7" spans="1:16" x14ac:dyDescent="0.25">
      <c r="B7" t="s">
        <v>222</v>
      </c>
      <c r="C7">
        <v>5</v>
      </c>
      <c r="D7">
        <v>2</v>
      </c>
      <c r="E7">
        <v>0</v>
      </c>
      <c r="F7">
        <v>25</v>
      </c>
      <c r="G7">
        <v>10</v>
      </c>
      <c r="H7">
        <f>+Tabla9[[#This Row],[CANT]]*Elio_2!F3</f>
        <v>35</v>
      </c>
      <c r="I7">
        <f>+Tabla9[[#This Row],[Enclavamientos]]*Elio_2!$F$6+Tabla9[[#This Row],[PID]]*Elio_2!$F$7</f>
        <v>4</v>
      </c>
      <c r="M7">
        <f>SUM(Tabla8[[Horas Prog Basicas]:[Horas Prog Esp]])</f>
        <v>280</v>
      </c>
      <c r="N7">
        <f>+M7/8</f>
        <v>35</v>
      </c>
      <c r="P7" s="140">
        <v>32</v>
      </c>
    </row>
    <row r="8" spans="1:16" x14ac:dyDescent="0.25">
      <c r="B8" t="s">
        <v>276</v>
      </c>
      <c r="C8">
        <v>0</v>
      </c>
      <c r="D8">
        <v>0</v>
      </c>
      <c r="E8">
        <v>0</v>
      </c>
      <c r="F8">
        <v>0</v>
      </c>
      <c r="G8">
        <v>0</v>
      </c>
      <c r="H8">
        <f>+Tabla9[[#This Row],[CANT]]*Elio_2!F4</f>
        <v>0</v>
      </c>
      <c r="I8">
        <f>+Tabla9[[#This Row],[Enclavamientos]]*Elio_2!$F$6+Tabla9[[#This Row],[PID]]*Elio_2!$F$7</f>
        <v>0</v>
      </c>
      <c r="M8">
        <f>SUM(Tabla9[[Horas Prog Basicas]:[Horas Prog Esp]])</f>
        <v>67</v>
      </c>
      <c r="N8">
        <f>+M8/8</f>
        <v>8.375</v>
      </c>
    </row>
    <row r="9" spans="1:16" x14ac:dyDescent="0.25">
      <c r="B9" t="s">
        <v>275</v>
      </c>
      <c r="C9">
        <v>4</v>
      </c>
      <c r="D9">
        <v>0</v>
      </c>
      <c r="E9">
        <v>0</v>
      </c>
      <c r="F9">
        <v>20</v>
      </c>
      <c r="G9">
        <v>8</v>
      </c>
      <c r="H9">
        <f>+Tabla9[[#This Row],[CANT]]*Elio_2!F5</f>
        <v>28</v>
      </c>
      <c r="I9">
        <f>+Tabla9[[#This Row],[Enclavamientos]]*Elio_2!$F$6+Tabla9[[#This Row],[PID]]*Elio_2!$F$7</f>
        <v>0</v>
      </c>
      <c r="M9">
        <f>SUM(Tabla10[[Horas Prog Basicas]:[Horas Prog Esp]])</f>
        <v>474</v>
      </c>
      <c r="N9">
        <f>+M9/8</f>
        <v>59.25</v>
      </c>
    </row>
    <row r="10" spans="1:16" x14ac:dyDescent="0.25">
      <c r="M10">
        <f>SUM(Tabla11[[Horas Prog Basicas]:[Horas Prog Esp]])</f>
        <v>508</v>
      </c>
      <c r="N10">
        <f>+M10/8</f>
        <v>63.5</v>
      </c>
    </row>
    <row r="11" spans="1:16" x14ac:dyDescent="0.25">
      <c r="A11" t="s">
        <v>239</v>
      </c>
      <c r="B11" t="s">
        <v>281</v>
      </c>
      <c r="C11" t="s">
        <v>280</v>
      </c>
      <c r="D11" t="s">
        <v>258</v>
      </c>
      <c r="E11" t="s">
        <v>265</v>
      </c>
      <c r="F11" t="s">
        <v>255</v>
      </c>
      <c r="G11" t="s">
        <v>279</v>
      </c>
      <c r="H11" s="139" t="s">
        <v>278</v>
      </c>
      <c r="I11" s="139" t="s">
        <v>277</v>
      </c>
      <c r="P11" s="138"/>
    </row>
    <row r="12" spans="1:16" x14ac:dyDescent="0.25">
      <c r="B12" t="s">
        <v>222</v>
      </c>
      <c r="C12">
        <v>15</v>
      </c>
      <c r="D12">
        <v>19</v>
      </c>
      <c r="E12">
        <v>4</v>
      </c>
      <c r="F12">
        <f>+C12*5</f>
        <v>75</v>
      </c>
      <c r="G12">
        <f>+C12*2</f>
        <v>30</v>
      </c>
      <c r="H12">
        <f>+Tabla10[[#This Row],[CANT]]*Elio_2!F3</f>
        <v>105</v>
      </c>
      <c r="I12">
        <f>+Tabla10[[#This Row],[Enclavamientos]]*Elio_2!$F$6+Tabla10[[#This Row],[PID]]*Elio_2!$F$7</f>
        <v>46</v>
      </c>
      <c r="M12">
        <f>SUM(M7:M11)</f>
        <v>1329</v>
      </c>
      <c r="P12" s="138">
        <f>+M12*P7</f>
        <v>42528</v>
      </c>
    </row>
    <row r="13" spans="1:16" x14ac:dyDescent="0.25">
      <c r="B13" t="s">
        <v>276</v>
      </c>
      <c r="C13">
        <v>8</v>
      </c>
      <c r="D13">
        <v>6</v>
      </c>
      <c r="E13">
        <v>5</v>
      </c>
      <c r="F13">
        <f>+C13*3</f>
        <v>24</v>
      </c>
      <c r="G13">
        <f>2*C13</f>
        <v>16</v>
      </c>
      <c r="H13">
        <f>+Tabla10[[#This Row],[CANT]]*Elio_2!F4</f>
        <v>56</v>
      </c>
      <c r="I13">
        <f>+Tabla10[[#This Row],[Enclavamientos]]*Elio_2!$F$6+Tabla10[[#This Row],[PID]]*Elio_2!$F$7</f>
        <v>22</v>
      </c>
      <c r="M13" t="s">
        <v>282</v>
      </c>
      <c r="P13">
        <v>38000</v>
      </c>
    </row>
    <row r="14" spans="1:16" x14ac:dyDescent="0.25">
      <c r="B14" t="s">
        <v>275</v>
      </c>
      <c r="C14">
        <v>35</v>
      </c>
      <c r="D14">
        <v>0</v>
      </c>
      <c r="E14">
        <v>0</v>
      </c>
      <c r="F14">
        <f>+C14*5</f>
        <v>175</v>
      </c>
      <c r="G14">
        <f>+C14*2</f>
        <v>70</v>
      </c>
      <c r="H14">
        <f>+Tabla10[[#This Row],[CANT]]*Elio_2!F5</f>
        <v>245</v>
      </c>
      <c r="I14">
        <f>+Tabla10[[#This Row],[Enclavamientos]]*Elio_2!$F$6+Tabla10[[#This Row],[PID]]*Elio_2!$F$7</f>
        <v>0</v>
      </c>
    </row>
    <row r="15" spans="1:16" x14ac:dyDescent="0.25">
      <c r="A15" s="137"/>
      <c r="B15" s="137"/>
      <c r="C15" s="137"/>
      <c r="D15" s="137"/>
      <c r="E15" s="137"/>
      <c r="F15" s="137"/>
      <c r="G15" s="137"/>
    </row>
    <row r="16" spans="1:16" x14ac:dyDescent="0.25">
      <c r="A16" s="136" t="s">
        <v>223</v>
      </c>
      <c r="B16" s="136" t="s">
        <v>281</v>
      </c>
      <c r="C16" s="136" t="s">
        <v>280</v>
      </c>
      <c r="D16" s="136" t="s">
        <v>258</v>
      </c>
      <c r="E16" s="136" t="s">
        <v>265</v>
      </c>
      <c r="F16" s="136" t="s">
        <v>255</v>
      </c>
      <c r="G16" s="136" t="s">
        <v>279</v>
      </c>
      <c r="H16" s="136" t="s">
        <v>278</v>
      </c>
      <c r="I16" s="136" t="s">
        <v>277</v>
      </c>
    </row>
    <row r="17" spans="1:9" x14ac:dyDescent="0.25">
      <c r="A17" s="135"/>
      <c r="B17" s="135" t="s">
        <v>222</v>
      </c>
      <c r="C17" s="135">
        <v>2</v>
      </c>
      <c r="D17" s="135">
        <v>4</v>
      </c>
      <c r="E17" s="135">
        <v>0</v>
      </c>
      <c r="F17" s="135">
        <f>+C17*5</f>
        <v>10</v>
      </c>
      <c r="G17" s="135">
        <f>+C17*2</f>
        <v>4</v>
      </c>
      <c r="H17">
        <f>+Tabla11[[#This Row],[CANT]]*Elio_2!F3</f>
        <v>14</v>
      </c>
      <c r="I17">
        <f>+Tabla11[[#This Row],[Enclavamientos]]*Elio_2!$F$6+Tabla11[[#This Row],[PID]]*Elio_2!$F$7</f>
        <v>8</v>
      </c>
    </row>
    <row r="18" spans="1:9" x14ac:dyDescent="0.25">
      <c r="A18" s="134"/>
      <c r="B18" s="134" t="s">
        <v>276</v>
      </c>
      <c r="C18" s="134">
        <v>25</v>
      </c>
      <c r="D18" s="134">
        <v>1</v>
      </c>
      <c r="E18" s="134">
        <v>25</v>
      </c>
      <c r="F18" s="134">
        <f>+C18*3</f>
        <v>75</v>
      </c>
      <c r="G18" s="134">
        <f>2*C18</f>
        <v>50</v>
      </c>
      <c r="H18">
        <f>+Tabla11[[#This Row],[CANT]]*Elio_2!F4</f>
        <v>175</v>
      </c>
      <c r="I18">
        <f>+Tabla11[[#This Row],[Enclavamientos]]*Elio_2!$F$6+Tabla11[[#This Row],[PID]]*Elio_2!$F$7</f>
        <v>52</v>
      </c>
    </row>
    <row r="19" spans="1:9" x14ac:dyDescent="0.25">
      <c r="A19" s="133"/>
      <c r="B19" s="133" t="s">
        <v>275</v>
      </c>
      <c r="C19" s="133">
        <v>37</v>
      </c>
      <c r="D19" s="133">
        <v>0</v>
      </c>
      <c r="E19" s="133">
        <v>0</v>
      </c>
      <c r="F19" s="133">
        <f>+C19*5</f>
        <v>185</v>
      </c>
      <c r="G19" s="133">
        <f>+C19*2</f>
        <v>74</v>
      </c>
      <c r="H19">
        <f>+Tabla11[[#This Row],[CANT]]*Elio_2!F5</f>
        <v>259</v>
      </c>
      <c r="I19">
        <f>+Tabla11[[#This Row],[Enclavamientos]]*Elio_2!$F$6+Tabla11[[#This Row],[PID]]*Elio_2!$F$7</f>
        <v>0</v>
      </c>
    </row>
    <row r="21" spans="1:9" x14ac:dyDescent="0.25">
      <c r="C21" s="132">
        <f>SUM(C1:C20)</f>
        <v>163</v>
      </c>
      <c r="D21" s="132">
        <f>SUM(D1:D20)</f>
        <v>51</v>
      </c>
      <c r="E21" s="132">
        <f>SUM(E1:E20)</f>
        <v>43</v>
      </c>
      <c r="F21" s="132">
        <f>SUM(F1:F20)</f>
        <v>737</v>
      </c>
      <c r="G21" s="132">
        <f>SUM(G1:G20)</f>
        <v>326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3"/>
  <sheetViews>
    <sheetView tabSelected="1" topLeftCell="B1" zoomScale="90" zoomScaleNormal="90" workbookViewId="0">
      <pane ySplit="6" topLeftCell="A222" activePane="bottomLeft" state="frozen"/>
      <selection pane="bottomLeft" activeCell="J228" sqref="J228"/>
    </sheetView>
  </sheetViews>
  <sheetFormatPr baseColWidth="10" defaultColWidth="11.42578125" defaultRowHeight="15" outlineLevelRow="2" x14ac:dyDescent="0.25"/>
  <cols>
    <col min="1" max="1" width="3.42578125" style="4" customWidth="1"/>
    <col min="2" max="2" width="4.42578125" style="4" customWidth="1"/>
    <col min="3" max="3" width="69.7109375" style="4" customWidth="1"/>
    <col min="4" max="4" width="8.5703125" style="4" customWidth="1"/>
    <col min="5" max="5" width="7.42578125" style="8" bestFit="1" customWidth="1"/>
    <col min="6" max="6" width="15" style="4" bestFit="1" customWidth="1"/>
    <col min="7" max="7" width="17.140625" style="4" bestFit="1" customWidth="1"/>
    <col min="8" max="8" width="27.5703125" style="4" bestFit="1" customWidth="1"/>
    <col min="9" max="9" width="18.7109375" style="4" customWidth="1"/>
    <col min="10" max="10" width="17.28515625" style="4" customWidth="1"/>
    <col min="11" max="11" width="14.85546875" style="4" customWidth="1"/>
    <col min="12" max="12" width="19.85546875" style="4" customWidth="1"/>
    <col min="13" max="14" width="12.140625" style="4" bestFit="1" customWidth="1"/>
    <col min="15" max="16384" width="11.42578125" style="4"/>
  </cols>
  <sheetData>
    <row r="1" spans="1:10" ht="15" customHeight="1" x14ac:dyDescent="0.25">
      <c r="G1" s="11" t="s">
        <v>158</v>
      </c>
      <c r="H1" s="45">
        <v>44628</v>
      </c>
    </row>
    <row r="2" spans="1:10" ht="30" customHeight="1" x14ac:dyDescent="0.25">
      <c r="A2" s="152" t="s">
        <v>292</v>
      </c>
      <c r="B2" s="152"/>
      <c r="C2" s="152"/>
      <c r="D2" s="152" t="s">
        <v>318</v>
      </c>
      <c r="E2" s="152"/>
      <c r="F2" s="152"/>
      <c r="G2" s="152" t="s">
        <v>298</v>
      </c>
      <c r="H2" s="152"/>
    </row>
    <row r="3" spans="1:10" ht="15" customHeight="1" thickBot="1" x14ac:dyDescent="0.3"/>
    <row r="4" spans="1:10" ht="15" customHeight="1" thickBot="1" x14ac:dyDescent="0.3">
      <c r="G4" s="46" t="s">
        <v>113</v>
      </c>
      <c r="H4" s="47">
        <v>113.75</v>
      </c>
    </row>
    <row r="5" spans="1:10" ht="15" customHeight="1" x14ac:dyDescent="0.25">
      <c r="E5" s="4"/>
    </row>
    <row r="6" spans="1:10" ht="30" customHeight="1" x14ac:dyDescent="0.25">
      <c r="A6" s="27"/>
      <c r="B6" s="27" t="s">
        <v>79</v>
      </c>
      <c r="C6" s="27" t="s">
        <v>80</v>
      </c>
      <c r="D6" s="27" t="s">
        <v>81</v>
      </c>
      <c r="E6" s="27" t="s">
        <v>82</v>
      </c>
      <c r="F6" s="27" t="s">
        <v>83</v>
      </c>
      <c r="G6" s="27" t="s">
        <v>84</v>
      </c>
      <c r="H6" s="27" t="s">
        <v>85</v>
      </c>
    </row>
    <row r="7" spans="1:10" ht="15" customHeight="1" x14ac:dyDescent="0.25"/>
    <row r="8" spans="1:10" ht="30" customHeight="1" x14ac:dyDescent="0.25">
      <c r="A8" s="38">
        <v>1</v>
      </c>
      <c r="B8" s="151" t="s">
        <v>135</v>
      </c>
      <c r="C8" s="151"/>
      <c r="D8" s="151"/>
      <c r="E8" s="151"/>
      <c r="F8" s="151"/>
      <c r="G8" s="29"/>
      <c r="H8" s="30">
        <f>H41+H74</f>
        <v>6853562.5055625001</v>
      </c>
      <c r="J8" s="48"/>
    </row>
    <row r="9" spans="1:10" ht="15" customHeight="1" outlineLevel="1" x14ac:dyDescent="0.25">
      <c r="A9" s="8"/>
      <c r="B9" s="8"/>
      <c r="C9" s="8"/>
      <c r="D9" s="8"/>
      <c r="F9" s="8"/>
      <c r="G9" s="8"/>
      <c r="H9" s="8"/>
    </row>
    <row r="10" spans="1:10" ht="15" customHeight="1" outlineLevel="1" x14ac:dyDescent="0.25">
      <c r="A10" s="27"/>
      <c r="B10" s="27" t="s">
        <v>91</v>
      </c>
      <c r="C10" s="153" t="s">
        <v>131</v>
      </c>
      <c r="D10" s="153"/>
      <c r="E10" s="153"/>
      <c r="F10" s="31"/>
      <c r="G10" s="31"/>
      <c r="H10" s="31"/>
    </row>
    <row r="11" spans="1:10" ht="15" customHeight="1" outlineLevel="2" x14ac:dyDescent="0.25">
      <c r="B11" s="49"/>
      <c r="C11" s="50" t="s">
        <v>300</v>
      </c>
      <c r="D11" s="8" t="s">
        <v>173</v>
      </c>
      <c r="E11" s="106">
        <v>1</v>
      </c>
      <c r="F11" s="51">
        <f>+Costo_Soft</f>
        <v>43398.981818181819</v>
      </c>
      <c r="G11" s="52">
        <f>F11*$H$4</f>
        <v>4936634.1818181816</v>
      </c>
      <c r="H11" s="52">
        <f>E11*G11</f>
        <v>4936634.1818181816</v>
      </c>
      <c r="I11" s="49"/>
    </row>
    <row r="12" spans="1:10" ht="15" customHeight="1" outlineLevel="2" x14ac:dyDescent="0.25">
      <c r="B12" s="49"/>
      <c r="C12" s="50" t="s">
        <v>309</v>
      </c>
      <c r="D12" s="8" t="s">
        <v>170</v>
      </c>
      <c r="E12" s="106">
        <v>0</v>
      </c>
      <c r="F12" s="51">
        <v>0</v>
      </c>
      <c r="G12" s="52">
        <f>F12*$H$4</f>
        <v>0</v>
      </c>
      <c r="H12" s="52">
        <f>E12*G12</f>
        <v>0</v>
      </c>
      <c r="I12" s="49"/>
    </row>
    <row r="13" spans="1:10" ht="15" customHeight="1" outlineLevel="2" x14ac:dyDescent="0.25">
      <c r="B13" s="49"/>
      <c r="C13" s="50" t="s">
        <v>320</v>
      </c>
      <c r="D13" s="8" t="s">
        <v>170</v>
      </c>
      <c r="E13" s="106">
        <v>0</v>
      </c>
      <c r="F13" s="51">
        <v>0</v>
      </c>
      <c r="G13" s="52">
        <f t="shared" ref="G13:G30" si="0">F13*$H$4</f>
        <v>0</v>
      </c>
      <c r="H13" s="52">
        <f t="shared" ref="H13:H30" si="1">E13*G13</f>
        <v>0</v>
      </c>
      <c r="I13" s="49"/>
    </row>
    <row r="14" spans="1:10" ht="15" customHeight="1" outlineLevel="2" x14ac:dyDescent="0.25">
      <c r="B14" s="49"/>
      <c r="C14" s="50" t="s">
        <v>321</v>
      </c>
      <c r="D14" s="8" t="s">
        <v>170</v>
      </c>
      <c r="E14" s="106">
        <v>0</v>
      </c>
      <c r="F14" s="51">
        <v>0</v>
      </c>
      <c r="G14" s="52">
        <f t="shared" si="0"/>
        <v>0</v>
      </c>
      <c r="H14" s="52">
        <f t="shared" si="1"/>
        <v>0</v>
      </c>
      <c r="I14" s="49"/>
    </row>
    <row r="15" spans="1:10" ht="15" customHeight="1" outlineLevel="2" x14ac:dyDescent="0.25">
      <c r="B15" s="49"/>
      <c r="C15" s="50" t="s">
        <v>319</v>
      </c>
      <c r="D15" s="8" t="s">
        <v>170</v>
      </c>
      <c r="E15" s="106">
        <v>0</v>
      </c>
      <c r="F15" s="51">
        <v>0</v>
      </c>
      <c r="G15" s="52">
        <f t="shared" ref="G15:G20" si="2">F15*$H$4</f>
        <v>0</v>
      </c>
      <c r="H15" s="52">
        <f t="shared" ref="H15:H20" si="3">E15*G15</f>
        <v>0</v>
      </c>
      <c r="I15" s="49"/>
    </row>
    <row r="16" spans="1:10" ht="15" customHeight="1" outlineLevel="2" x14ac:dyDescent="0.25">
      <c r="C16" s="50"/>
      <c r="D16" s="8" t="s">
        <v>170</v>
      </c>
      <c r="E16" s="106">
        <v>0</v>
      </c>
      <c r="F16" s="51">
        <v>0</v>
      </c>
      <c r="G16" s="53">
        <f t="shared" si="2"/>
        <v>0</v>
      </c>
      <c r="H16" s="53">
        <f t="shared" si="3"/>
        <v>0</v>
      </c>
    </row>
    <row r="17" spans="2:13" ht="15" customHeight="1" outlineLevel="2" x14ac:dyDescent="0.25">
      <c r="C17" s="50"/>
      <c r="D17" s="8" t="s">
        <v>170</v>
      </c>
      <c r="E17" s="106">
        <v>0</v>
      </c>
      <c r="F17" s="51">
        <v>0</v>
      </c>
      <c r="G17" s="53">
        <f t="shared" si="2"/>
        <v>0</v>
      </c>
      <c r="H17" s="53">
        <f t="shared" si="3"/>
        <v>0</v>
      </c>
    </row>
    <row r="18" spans="2:13" ht="15" customHeight="1" outlineLevel="2" x14ac:dyDescent="0.25">
      <c r="C18" s="50"/>
      <c r="D18" s="8" t="s">
        <v>170</v>
      </c>
      <c r="E18" s="106">
        <v>0</v>
      </c>
      <c r="F18" s="51">
        <v>0</v>
      </c>
      <c r="G18" s="53">
        <f t="shared" si="2"/>
        <v>0</v>
      </c>
      <c r="H18" s="53">
        <f t="shared" si="3"/>
        <v>0</v>
      </c>
      <c r="K18" s="8"/>
      <c r="L18" s="8"/>
      <c r="M18" s="8"/>
    </row>
    <row r="19" spans="2:13" ht="15" customHeight="1" outlineLevel="2" x14ac:dyDescent="0.25">
      <c r="C19" s="50"/>
      <c r="D19" s="8" t="s">
        <v>170</v>
      </c>
      <c r="E19" s="106">
        <v>0</v>
      </c>
      <c r="F19" s="51">
        <v>0</v>
      </c>
      <c r="G19" s="53">
        <f t="shared" si="2"/>
        <v>0</v>
      </c>
      <c r="H19" s="53">
        <f t="shared" si="3"/>
        <v>0</v>
      </c>
    </row>
    <row r="20" spans="2:13" ht="15" customHeight="1" outlineLevel="2" x14ac:dyDescent="0.25">
      <c r="C20" s="50"/>
      <c r="D20" s="8" t="s">
        <v>170</v>
      </c>
      <c r="E20" s="106">
        <v>0</v>
      </c>
      <c r="F20" s="51">
        <v>0</v>
      </c>
      <c r="G20" s="53">
        <f t="shared" si="2"/>
        <v>0</v>
      </c>
      <c r="H20" s="53">
        <f t="shared" si="3"/>
        <v>0</v>
      </c>
    </row>
    <row r="21" spans="2:13" ht="15" customHeight="1" outlineLevel="2" x14ac:dyDescent="0.25">
      <c r="B21" s="49"/>
      <c r="C21" s="50"/>
      <c r="D21" s="8" t="s">
        <v>170</v>
      </c>
      <c r="E21" s="106">
        <v>0</v>
      </c>
      <c r="F21" s="51">
        <v>0</v>
      </c>
      <c r="G21" s="52">
        <f t="shared" si="0"/>
        <v>0</v>
      </c>
      <c r="H21" s="52">
        <f t="shared" si="1"/>
        <v>0</v>
      </c>
      <c r="I21" s="49"/>
    </row>
    <row r="22" spans="2:13" ht="15" customHeight="1" outlineLevel="2" x14ac:dyDescent="0.25">
      <c r="C22" s="50"/>
      <c r="D22" s="8" t="s">
        <v>170</v>
      </c>
      <c r="E22" s="106">
        <v>0</v>
      </c>
      <c r="F22" s="51">
        <v>0</v>
      </c>
      <c r="G22" s="53">
        <f t="shared" si="0"/>
        <v>0</v>
      </c>
      <c r="H22" s="53">
        <f t="shared" si="1"/>
        <v>0</v>
      </c>
    </row>
    <row r="23" spans="2:13" ht="15" customHeight="1" outlineLevel="2" x14ac:dyDescent="0.25">
      <c r="C23" s="50"/>
      <c r="D23" s="8" t="s">
        <v>170</v>
      </c>
      <c r="E23" s="106">
        <v>0</v>
      </c>
      <c r="F23" s="51">
        <v>0</v>
      </c>
      <c r="G23" s="53">
        <f t="shared" si="0"/>
        <v>0</v>
      </c>
      <c r="H23" s="53">
        <f t="shared" si="1"/>
        <v>0</v>
      </c>
    </row>
    <row r="24" spans="2:13" ht="15" customHeight="1" outlineLevel="2" x14ac:dyDescent="0.25">
      <c r="C24" s="50"/>
      <c r="D24" s="8" t="s">
        <v>170</v>
      </c>
      <c r="E24" s="106">
        <v>0</v>
      </c>
      <c r="F24" s="51">
        <v>0</v>
      </c>
      <c r="G24" s="53">
        <f>F24*$H$4</f>
        <v>0</v>
      </c>
      <c r="H24" s="53">
        <f t="shared" si="1"/>
        <v>0</v>
      </c>
      <c r="K24" s="8"/>
      <c r="L24" s="8"/>
      <c r="M24" s="8"/>
    </row>
    <row r="25" spans="2:13" ht="15" customHeight="1" outlineLevel="2" x14ac:dyDescent="0.25">
      <c r="C25" s="50"/>
      <c r="D25" s="8" t="s">
        <v>170</v>
      </c>
      <c r="E25" s="106">
        <f>+Horas_Soft*'3.- Medición del Soft'!J20</f>
        <v>0</v>
      </c>
      <c r="F25" s="51">
        <v>0</v>
      </c>
      <c r="G25" s="53">
        <f t="shared" si="0"/>
        <v>0</v>
      </c>
      <c r="H25" s="53">
        <f t="shared" si="1"/>
        <v>0</v>
      </c>
    </row>
    <row r="26" spans="2:13" ht="15" customHeight="1" outlineLevel="2" x14ac:dyDescent="0.25">
      <c r="C26" s="50"/>
      <c r="D26" s="8" t="s">
        <v>170</v>
      </c>
      <c r="E26" s="106">
        <f>+Horas_Soft*'3.- Medición del Soft'!J21</f>
        <v>0</v>
      </c>
      <c r="F26" s="51">
        <v>0</v>
      </c>
      <c r="G26" s="53">
        <f t="shared" si="0"/>
        <v>0</v>
      </c>
      <c r="H26" s="53">
        <f t="shared" si="1"/>
        <v>0</v>
      </c>
    </row>
    <row r="27" spans="2:13" ht="15" customHeight="1" outlineLevel="2" x14ac:dyDescent="0.25">
      <c r="C27" s="50"/>
      <c r="D27" s="8" t="s">
        <v>170</v>
      </c>
      <c r="E27" s="106">
        <f>+Horas_Soft*'3.- Medición del Soft'!J22</f>
        <v>0</v>
      </c>
      <c r="F27" s="51">
        <v>0</v>
      </c>
      <c r="G27" s="53">
        <f t="shared" si="0"/>
        <v>0</v>
      </c>
      <c r="H27" s="53">
        <f t="shared" si="1"/>
        <v>0</v>
      </c>
    </row>
    <row r="28" spans="2:13" ht="15" customHeight="1" outlineLevel="2" x14ac:dyDescent="0.25">
      <c r="C28" s="50"/>
      <c r="D28" s="8" t="s">
        <v>170</v>
      </c>
      <c r="E28" s="106">
        <f>+Horas_Soft*'3.- Medición del Soft'!J23</f>
        <v>0</v>
      </c>
      <c r="F28" s="51">
        <v>0</v>
      </c>
      <c r="G28" s="53">
        <f t="shared" si="0"/>
        <v>0</v>
      </c>
      <c r="H28" s="53">
        <f t="shared" si="1"/>
        <v>0</v>
      </c>
    </row>
    <row r="29" spans="2:13" ht="15" customHeight="1" outlineLevel="2" x14ac:dyDescent="0.25">
      <c r="C29" s="50"/>
      <c r="D29" s="8" t="s">
        <v>170</v>
      </c>
      <c r="E29" s="106">
        <f>+Horas_Soft*'3.- Medición del Soft'!J24</f>
        <v>0</v>
      </c>
      <c r="F29" s="51">
        <v>0</v>
      </c>
      <c r="G29" s="53">
        <f t="shared" si="0"/>
        <v>0</v>
      </c>
      <c r="H29" s="53">
        <f t="shared" si="1"/>
        <v>0</v>
      </c>
    </row>
    <row r="30" spans="2:13" ht="15" customHeight="1" outlineLevel="2" x14ac:dyDescent="0.25">
      <c r="C30" s="50"/>
      <c r="D30" s="8" t="s">
        <v>170</v>
      </c>
      <c r="E30" s="106">
        <f>+Horas_Soft*'3.- Medición del Soft'!J25</f>
        <v>0</v>
      </c>
      <c r="F30" s="51">
        <v>0</v>
      </c>
      <c r="G30" s="53">
        <f t="shared" si="0"/>
        <v>0</v>
      </c>
      <c r="H30" s="53">
        <f t="shared" si="1"/>
        <v>0</v>
      </c>
    </row>
    <row r="31" spans="2:13" ht="15" customHeight="1" outlineLevel="2" x14ac:dyDescent="0.25">
      <c r="C31" s="56"/>
      <c r="E31" s="54"/>
      <c r="F31" s="53"/>
      <c r="G31" s="53"/>
      <c r="H31" s="53"/>
    </row>
    <row r="32" spans="2:13" ht="15" customHeight="1" outlineLevel="2" x14ac:dyDescent="0.25">
      <c r="C32" s="57" t="s">
        <v>77</v>
      </c>
      <c r="D32" s="57"/>
      <c r="E32" s="58">
        <v>0.05</v>
      </c>
      <c r="F32" s="57"/>
      <c r="G32" s="59">
        <f>SUM(H11:H31)</f>
        <v>4936634.1818181816</v>
      </c>
      <c r="H32" s="60">
        <f>E32*G32</f>
        <v>246831.70909090911</v>
      </c>
    </row>
    <row r="33" spans="1:9" ht="15" customHeight="1" outlineLevel="2" x14ac:dyDescent="0.25">
      <c r="C33" s="57" t="s">
        <v>78</v>
      </c>
      <c r="D33" s="6" t="s">
        <v>87</v>
      </c>
      <c r="E33" s="57">
        <v>0</v>
      </c>
      <c r="F33" s="57"/>
      <c r="G33" s="59">
        <f>+SUM(H11:H32)*0.75</f>
        <v>3887599.418181818</v>
      </c>
      <c r="H33" s="60">
        <f>E33*G33</f>
        <v>0</v>
      </c>
    </row>
    <row r="34" spans="1:9" ht="15" customHeight="1" outlineLevel="2" thickBot="1" x14ac:dyDescent="0.3">
      <c r="A34" s="61"/>
      <c r="B34" s="61"/>
      <c r="C34" s="61"/>
      <c r="D34" s="62"/>
      <c r="E34" s="63"/>
      <c r="F34" s="64"/>
      <c r="G34" s="64"/>
      <c r="H34" s="64"/>
    </row>
    <row r="35" spans="1:9" ht="15" customHeight="1" outlineLevel="2" thickTop="1" x14ac:dyDescent="0.25">
      <c r="B35" s="65"/>
      <c r="C35" s="66"/>
      <c r="D35" s="65"/>
      <c r="E35" s="17"/>
      <c r="F35" s="67"/>
      <c r="G35" s="67"/>
      <c r="H35" s="67"/>
    </row>
    <row r="36" spans="1:9" ht="15" customHeight="1" outlineLevel="2" x14ac:dyDescent="0.25">
      <c r="B36" s="68"/>
      <c r="C36" s="69" t="s">
        <v>109</v>
      </c>
      <c r="D36" s="68"/>
      <c r="E36" s="70"/>
      <c r="F36" s="71"/>
      <c r="G36" s="71"/>
      <c r="H36" s="71">
        <f>+SUM(H11:H34)*(1+I36)</f>
        <v>5183465.8909090906</v>
      </c>
      <c r="I36" s="107"/>
    </row>
    <row r="37" spans="1:9" ht="15" customHeight="1" outlineLevel="2" x14ac:dyDescent="0.25">
      <c r="C37" s="72" t="s">
        <v>88</v>
      </c>
      <c r="D37" s="73"/>
      <c r="E37" s="74">
        <v>0.05</v>
      </c>
      <c r="F37" s="53"/>
      <c r="G37" s="53">
        <f>+H36*E37</f>
        <v>259173.29454545456</v>
      </c>
      <c r="H37" s="53"/>
    </row>
    <row r="38" spans="1:9" ht="15" customHeight="1" outlineLevel="2" x14ac:dyDescent="0.25">
      <c r="C38" s="66" t="s">
        <v>89</v>
      </c>
      <c r="E38" s="75">
        <v>0.2</v>
      </c>
      <c r="F38" s="53"/>
      <c r="G38" s="53">
        <f>H36*E38</f>
        <v>1036693.1781818182</v>
      </c>
      <c r="H38" s="53"/>
    </row>
    <row r="39" spans="1:9" ht="15" customHeight="1" outlineLevel="2" x14ac:dyDescent="0.25">
      <c r="C39" s="66" t="s">
        <v>90</v>
      </c>
      <c r="D39" s="43"/>
      <c r="E39" s="44">
        <v>0.35</v>
      </c>
      <c r="F39" s="53"/>
      <c r="G39" s="53">
        <f>G38*E39</f>
        <v>362842.61236363638</v>
      </c>
      <c r="H39" s="53"/>
    </row>
    <row r="40" spans="1:9" ht="15" customHeight="1" outlineLevel="2" x14ac:dyDescent="0.25">
      <c r="B40" s="68"/>
      <c r="C40" s="69" t="s">
        <v>110</v>
      </c>
      <c r="D40" s="76"/>
      <c r="E40" s="77"/>
      <c r="F40" s="78"/>
      <c r="G40" s="78"/>
      <c r="H40" s="78">
        <f>SUM(G37:G39)</f>
        <v>1658709.0850909092</v>
      </c>
    </row>
    <row r="41" spans="1:9" ht="30" customHeight="1" outlineLevel="1" thickBot="1" x14ac:dyDescent="0.3">
      <c r="B41" s="79"/>
      <c r="C41" s="80" t="str">
        <f>C10</f>
        <v>Software</v>
      </c>
      <c r="D41" s="79"/>
      <c r="E41" s="81"/>
      <c r="F41" s="82"/>
      <c r="G41" s="82"/>
      <c r="H41" s="82">
        <f>H36+H40</f>
        <v>6842174.9759999998</v>
      </c>
    </row>
    <row r="42" spans="1:9" ht="30" customHeight="1" outlineLevel="1" x14ac:dyDescent="0.25">
      <c r="E42" s="44"/>
      <c r="F42" s="53"/>
      <c r="G42" s="53"/>
      <c r="H42" s="53"/>
    </row>
    <row r="43" spans="1:9" ht="15" customHeight="1" outlineLevel="1" x14ac:dyDescent="0.25">
      <c r="A43" s="27"/>
      <c r="B43" s="27" t="s">
        <v>129</v>
      </c>
      <c r="C43" s="153" t="s">
        <v>130</v>
      </c>
      <c r="D43" s="153"/>
      <c r="E43" s="153"/>
      <c r="F43" s="31"/>
      <c r="G43" s="31"/>
      <c r="H43" s="31"/>
    </row>
    <row r="44" spans="1:9" ht="15" customHeight="1" outlineLevel="2" x14ac:dyDescent="0.25">
      <c r="B44" s="49"/>
      <c r="C44" s="72" t="s">
        <v>175</v>
      </c>
      <c r="D44" s="8" t="s">
        <v>173</v>
      </c>
      <c r="E44" s="8">
        <v>3</v>
      </c>
      <c r="F44" s="51">
        <v>15.63</v>
      </c>
      <c r="G44" s="52">
        <f>F44*$H$4</f>
        <v>1777.9125000000001</v>
      </c>
      <c r="H44" s="52">
        <f>E44*G44</f>
        <v>5333.7375000000002</v>
      </c>
      <c r="I44" s="49"/>
    </row>
    <row r="45" spans="1:9" ht="15" customHeight="1" outlineLevel="2" x14ac:dyDescent="0.25">
      <c r="B45" s="49"/>
      <c r="C45" s="72" t="s">
        <v>174</v>
      </c>
      <c r="D45" s="8" t="s">
        <v>173</v>
      </c>
      <c r="E45" s="8">
        <v>3</v>
      </c>
      <c r="F45" s="51">
        <v>15.63</v>
      </c>
      <c r="G45" s="52">
        <f>F45*$H$4</f>
        <v>1777.9125000000001</v>
      </c>
      <c r="H45" s="52">
        <f>E45*G45</f>
        <v>5333.7375000000002</v>
      </c>
      <c r="I45" s="49"/>
    </row>
    <row r="46" spans="1:9" ht="15" customHeight="1" outlineLevel="2" x14ac:dyDescent="0.25">
      <c r="B46" s="49"/>
      <c r="C46" s="72"/>
      <c r="D46" s="8"/>
      <c r="E46" s="54"/>
      <c r="F46" s="51"/>
      <c r="G46" s="52">
        <f t="shared" ref="G46:G63" si="4">F46*$H$4</f>
        <v>0</v>
      </c>
      <c r="H46" s="52">
        <f t="shared" ref="H46:H63" si="5">E46*G46</f>
        <v>0</v>
      </c>
      <c r="I46" s="49"/>
    </row>
    <row r="47" spans="1:9" ht="15" customHeight="1" outlineLevel="2" x14ac:dyDescent="0.25">
      <c r="B47" s="49"/>
      <c r="C47" s="72"/>
      <c r="D47" s="8"/>
      <c r="E47" s="54"/>
      <c r="F47" s="51"/>
      <c r="G47" s="52">
        <f t="shared" si="4"/>
        <v>0</v>
      </c>
      <c r="H47" s="52">
        <f t="shared" si="5"/>
        <v>0</v>
      </c>
      <c r="I47" s="49"/>
    </row>
    <row r="48" spans="1:9" ht="15" customHeight="1" outlineLevel="2" x14ac:dyDescent="0.25">
      <c r="B48" s="49"/>
      <c r="C48" s="72"/>
      <c r="D48" s="8"/>
      <c r="E48" s="54"/>
      <c r="F48" s="51"/>
      <c r="G48" s="52">
        <f t="shared" si="4"/>
        <v>0</v>
      </c>
      <c r="H48" s="52">
        <f t="shared" si="5"/>
        <v>0</v>
      </c>
      <c r="I48" s="49"/>
    </row>
    <row r="49" spans="3:13" ht="15" customHeight="1" outlineLevel="2" x14ac:dyDescent="0.25">
      <c r="C49" s="83"/>
      <c r="D49" s="55"/>
      <c r="E49" s="55"/>
      <c r="F49" s="51"/>
      <c r="G49" s="53">
        <f t="shared" ref="G49:G54" si="6">F49*$H$4</f>
        <v>0</v>
      </c>
      <c r="H49" s="53">
        <f t="shared" ref="H49:H54" si="7">E49*G49</f>
        <v>0</v>
      </c>
    </row>
    <row r="50" spans="3:13" ht="15" customHeight="1" outlineLevel="2" x14ac:dyDescent="0.25">
      <c r="C50" s="84"/>
      <c r="D50" s="55"/>
      <c r="E50" s="55"/>
      <c r="F50" s="51"/>
      <c r="G50" s="53">
        <f t="shared" si="6"/>
        <v>0</v>
      </c>
      <c r="H50" s="53">
        <f t="shared" si="7"/>
        <v>0</v>
      </c>
    </row>
    <row r="51" spans="3:13" ht="15" customHeight="1" outlineLevel="2" x14ac:dyDescent="0.25">
      <c r="C51" s="85"/>
      <c r="D51" s="8"/>
      <c r="F51" s="51"/>
      <c r="G51" s="53">
        <f t="shared" si="6"/>
        <v>0</v>
      </c>
      <c r="H51" s="53">
        <f t="shared" si="7"/>
        <v>0</v>
      </c>
      <c r="K51" s="8"/>
      <c r="L51" s="8"/>
      <c r="M51" s="8"/>
    </row>
    <row r="52" spans="3:13" ht="15" customHeight="1" outlineLevel="2" x14ac:dyDescent="0.25">
      <c r="C52" s="56"/>
      <c r="D52" s="8"/>
      <c r="E52" s="54"/>
      <c r="F52" s="51"/>
      <c r="G52" s="53">
        <f t="shared" si="6"/>
        <v>0</v>
      </c>
      <c r="H52" s="53">
        <f t="shared" si="7"/>
        <v>0</v>
      </c>
    </row>
    <row r="53" spans="3:13" ht="15" customHeight="1" outlineLevel="2" x14ac:dyDescent="0.25">
      <c r="C53" s="56"/>
      <c r="D53" s="8"/>
      <c r="E53" s="54"/>
      <c r="F53" s="51"/>
      <c r="G53" s="53">
        <f t="shared" si="6"/>
        <v>0</v>
      </c>
      <c r="H53" s="53">
        <f t="shared" si="7"/>
        <v>0</v>
      </c>
    </row>
    <row r="54" spans="3:13" ht="15" customHeight="1" outlineLevel="2" x14ac:dyDescent="0.25">
      <c r="C54" s="56"/>
      <c r="D54" s="8"/>
      <c r="E54" s="54"/>
      <c r="F54" s="51"/>
      <c r="G54" s="53">
        <f t="shared" si="6"/>
        <v>0</v>
      </c>
      <c r="H54" s="53">
        <f t="shared" si="7"/>
        <v>0</v>
      </c>
    </row>
    <row r="55" spans="3:13" ht="15" customHeight="1" outlineLevel="2" x14ac:dyDescent="0.25">
      <c r="C55" s="83"/>
      <c r="D55" s="55"/>
      <c r="E55" s="55"/>
      <c r="F55" s="51"/>
      <c r="G55" s="53">
        <f t="shared" si="4"/>
        <v>0</v>
      </c>
      <c r="H55" s="53">
        <f t="shared" si="5"/>
        <v>0</v>
      </c>
    </row>
    <row r="56" spans="3:13" ht="15" customHeight="1" outlineLevel="2" x14ac:dyDescent="0.25">
      <c r="C56" s="84"/>
      <c r="D56" s="55"/>
      <c r="E56" s="55"/>
      <c r="F56" s="51"/>
      <c r="G56" s="53">
        <f t="shared" si="4"/>
        <v>0</v>
      </c>
      <c r="H56" s="53">
        <f t="shared" si="5"/>
        <v>0</v>
      </c>
    </row>
    <row r="57" spans="3:13" ht="15" customHeight="1" outlineLevel="2" x14ac:dyDescent="0.25">
      <c r="C57" s="85"/>
      <c r="D57" s="8"/>
      <c r="F57" s="51"/>
      <c r="G57" s="53">
        <f t="shared" si="4"/>
        <v>0</v>
      </c>
      <c r="H57" s="53">
        <f t="shared" si="5"/>
        <v>0</v>
      </c>
      <c r="K57" s="8"/>
      <c r="L57" s="8"/>
      <c r="M57" s="8"/>
    </row>
    <row r="58" spans="3:13" ht="15" customHeight="1" outlineLevel="2" x14ac:dyDescent="0.25">
      <c r="C58" s="56"/>
      <c r="D58" s="8"/>
      <c r="E58" s="54"/>
      <c r="F58" s="51"/>
      <c r="G58" s="53">
        <f t="shared" si="4"/>
        <v>0</v>
      </c>
      <c r="H58" s="53">
        <f t="shared" si="5"/>
        <v>0</v>
      </c>
    </row>
    <row r="59" spans="3:13" ht="15" customHeight="1" outlineLevel="2" x14ac:dyDescent="0.25">
      <c r="C59" s="56"/>
      <c r="D59" s="8"/>
      <c r="E59" s="54"/>
      <c r="F59" s="51"/>
      <c r="G59" s="53">
        <f t="shared" si="4"/>
        <v>0</v>
      </c>
      <c r="H59" s="53">
        <f t="shared" si="5"/>
        <v>0</v>
      </c>
    </row>
    <row r="60" spans="3:13" ht="15" customHeight="1" outlineLevel="2" x14ac:dyDescent="0.25">
      <c r="C60" s="56"/>
      <c r="D60" s="8"/>
      <c r="E60" s="54"/>
      <c r="F60" s="51"/>
      <c r="G60" s="53">
        <f t="shared" si="4"/>
        <v>0</v>
      </c>
      <c r="H60" s="53">
        <f t="shared" si="5"/>
        <v>0</v>
      </c>
    </row>
    <row r="61" spans="3:13" ht="15" customHeight="1" outlineLevel="2" x14ac:dyDescent="0.25">
      <c r="C61" s="56"/>
      <c r="D61" s="8"/>
      <c r="E61" s="54"/>
      <c r="F61" s="51"/>
      <c r="G61" s="53">
        <f t="shared" si="4"/>
        <v>0</v>
      </c>
      <c r="H61" s="53">
        <f t="shared" si="5"/>
        <v>0</v>
      </c>
    </row>
    <row r="62" spans="3:13" ht="15" customHeight="1" outlineLevel="2" x14ac:dyDescent="0.25">
      <c r="C62" s="56"/>
      <c r="D62" s="8"/>
      <c r="E62" s="54"/>
      <c r="F62" s="51"/>
      <c r="G62" s="53">
        <f t="shared" si="4"/>
        <v>0</v>
      </c>
      <c r="H62" s="53">
        <f t="shared" si="5"/>
        <v>0</v>
      </c>
    </row>
    <row r="63" spans="3:13" ht="15" customHeight="1" outlineLevel="2" x14ac:dyDescent="0.25">
      <c r="C63" s="56"/>
      <c r="D63" s="8"/>
      <c r="E63" s="54"/>
      <c r="F63" s="51"/>
      <c r="G63" s="53">
        <f t="shared" si="4"/>
        <v>0</v>
      </c>
      <c r="H63" s="53">
        <f t="shared" si="5"/>
        <v>0</v>
      </c>
    </row>
    <row r="64" spans="3:13" ht="15" customHeight="1" outlineLevel="2" x14ac:dyDescent="0.25">
      <c r="C64" s="56"/>
      <c r="E64" s="54"/>
      <c r="F64" s="53"/>
      <c r="G64" s="53"/>
      <c r="H64" s="53"/>
    </row>
    <row r="65" spans="1:9" ht="15" customHeight="1" outlineLevel="2" x14ac:dyDescent="0.25">
      <c r="C65" s="57" t="s">
        <v>77</v>
      </c>
      <c r="D65" s="57"/>
      <c r="E65" s="58">
        <v>0</v>
      </c>
      <c r="F65" s="57"/>
      <c r="G65" s="59">
        <f>SUM(H44:H64)</f>
        <v>10667.475</v>
      </c>
      <c r="H65" s="60">
        <f>E65*G65</f>
        <v>0</v>
      </c>
    </row>
    <row r="66" spans="1:9" ht="15" customHeight="1" outlineLevel="2" x14ac:dyDescent="0.25">
      <c r="C66" s="57" t="s">
        <v>78</v>
      </c>
      <c r="D66" s="6" t="s">
        <v>87</v>
      </c>
      <c r="E66" s="57">
        <v>0</v>
      </c>
      <c r="F66" s="57"/>
      <c r="G66" s="59">
        <f>+SUM(H44:H65)*0.75</f>
        <v>8000.6062500000007</v>
      </c>
      <c r="H66" s="60">
        <f>E66*G66</f>
        <v>0</v>
      </c>
    </row>
    <row r="67" spans="1:9" ht="15" customHeight="1" outlineLevel="2" thickBot="1" x14ac:dyDescent="0.3">
      <c r="A67" s="61"/>
      <c r="B67" s="61"/>
      <c r="C67" s="61"/>
      <c r="D67" s="62"/>
      <c r="E67" s="63"/>
      <c r="F67" s="64"/>
      <c r="G67" s="64"/>
      <c r="H67" s="64"/>
    </row>
    <row r="68" spans="1:9" ht="15" customHeight="1" outlineLevel="2" thickTop="1" x14ac:dyDescent="0.25">
      <c r="B68" s="65"/>
      <c r="C68" s="66"/>
      <c r="D68" s="65"/>
      <c r="E68" s="17"/>
      <c r="F68" s="67"/>
      <c r="G68" s="67"/>
      <c r="H68" s="67"/>
    </row>
    <row r="69" spans="1:9" ht="15" customHeight="1" outlineLevel="2" x14ac:dyDescent="0.25">
      <c r="B69" s="68"/>
      <c r="C69" s="69" t="s">
        <v>136</v>
      </c>
      <c r="D69" s="68"/>
      <c r="E69" s="70"/>
      <c r="F69" s="71"/>
      <c r="G69" s="71"/>
      <c r="H69" s="71">
        <f>+SUM(H44:H67)*(1+I69)</f>
        <v>10667.475</v>
      </c>
      <c r="I69" s="107"/>
    </row>
    <row r="70" spans="1:9" ht="15" customHeight="1" outlineLevel="2" x14ac:dyDescent="0.25">
      <c r="C70" s="72" t="s">
        <v>88</v>
      </c>
      <c r="D70" s="73"/>
      <c r="E70" s="74">
        <v>0</v>
      </c>
      <c r="F70" s="53"/>
      <c r="G70" s="53">
        <f>+H69*E70</f>
        <v>0</v>
      </c>
      <c r="H70" s="53"/>
    </row>
    <row r="71" spans="1:9" ht="15" customHeight="1" outlineLevel="2" x14ac:dyDescent="0.25">
      <c r="C71" s="66" t="s">
        <v>89</v>
      </c>
      <c r="E71" s="75">
        <v>0.05</v>
      </c>
      <c r="F71" s="53"/>
      <c r="G71" s="53">
        <f>H69*E71</f>
        <v>533.37375000000009</v>
      </c>
      <c r="H71" s="53"/>
    </row>
    <row r="72" spans="1:9" ht="15" customHeight="1" outlineLevel="2" x14ac:dyDescent="0.25">
      <c r="C72" s="66" t="s">
        <v>90</v>
      </c>
      <c r="D72" s="43"/>
      <c r="E72" s="44">
        <v>0.35</v>
      </c>
      <c r="F72" s="53"/>
      <c r="G72" s="53">
        <f>G71*E72</f>
        <v>186.68081250000003</v>
      </c>
      <c r="H72" s="53"/>
    </row>
    <row r="73" spans="1:9" ht="15" customHeight="1" outlineLevel="2" x14ac:dyDescent="0.25">
      <c r="B73" s="68"/>
      <c r="C73" s="69" t="s">
        <v>137</v>
      </c>
      <c r="D73" s="76"/>
      <c r="E73" s="77"/>
      <c r="F73" s="78"/>
      <c r="G73" s="78"/>
      <c r="H73" s="78">
        <f>SUM(G70:G72)</f>
        <v>720.05456250000009</v>
      </c>
    </row>
    <row r="74" spans="1:9" ht="30" customHeight="1" outlineLevel="1" thickBot="1" x14ac:dyDescent="0.3">
      <c r="B74" s="79"/>
      <c r="C74" s="80" t="str">
        <f>C43</f>
        <v>Hardware</v>
      </c>
      <c r="D74" s="79"/>
      <c r="E74" s="81"/>
      <c r="F74" s="82"/>
      <c r="G74" s="82"/>
      <c r="H74" s="82">
        <f>H69+H73</f>
        <v>11387.5295625</v>
      </c>
    </row>
    <row r="75" spans="1:9" ht="30" customHeight="1" x14ac:dyDescent="0.25">
      <c r="E75" s="44"/>
      <c r="F75" s="53"/>
      <c r="G75" s="53"/>
      <c r="H75" s="53"/>
    </row>
    <row r="76" spans="1:9" ht="30" customHeight="1" x14ac:dyDescent="0.25">
      <c r="A76" s="38">
        <v>2</v>
      </c>
      <c r="B76" s="151" t="s">
        <v>133</v>
      </c>
      <c r="C76" s="151"/>
      <c r="D76" s="151"/>
      <c r="E76" s="151"/>
      <c r="F76" s="151"/>
      <c r="G76" s="29"/>
      <c r="H76" s="30">
        <f>H109</f>
        <v>32033.137500000001</v>
      </c>
    </row>
    <row r="77" spans="1:9" ht="15" customHeight="1" outlineLevel="1" x14ac:dyDescent="0.25">
      <c r="E77" s="44"/>
      <c r="F77" s="53"/>
      <c r="G77" s="53"/>
      <c r="H77" s="53"/>
    </row>
    <row r="78" spans="1:9" ht="15" customHeight="1" outlineLevel="1" x14ac:dyDescent="0.25">
      <c r="A78" s="27"/>
      <c r="B78" s="27" t="s">
        <v>86</v>
      </c>
      <c r="C78" s="153" t="s">
        <v>134</v>
      </c>
      <c r="D78" s="153"/>
      <c r="E78" s="153"/>
      <c r="F78" s="31"/>
      <c r="G78" s="31"/>
      <c r="H78" s="31"/>
    </row>
    <row r="79" spans="1:9" ht="15" customHeight="1" outlineLevel="2" x14ac:dyDescent="0.25">
      <c r="C79" s="4" t="s">
        <v>312</v>
      </c>
      <c r="D79" s="8" t="s">
        <v>173</v>
      </c>
      <c r="E79" s="106">
        <v>1</v>
      </c>
      <c r="F79" s="51">
        <v>100</v>
      </c>
      <c r="G79" s="53">
        <f>F79*$H$4</f>
        <v>11375</v>
      </c>
      <c r="H79" s="53">
        <f>E79*G79</f>
        <v>11375</v>
      </c>
    </row>
    <row r="80" spans="1:9" ht="15" customHeight="1" outlineLevel="2" x14ac:dyDescent="0.25">
      <c r="C80" s="4" t="s">
        <v>313</v>
      </c>
      <c r="D80" s="8" t="s">
        <v>170</v>
      </c>
      <c r="E80" s="106">
        <v>8</v>
      </c>
      <c r="F80" s="51">
        <v>10</v>
      </c>
      <c r="G80" s="53">
        <f t="shared" ref="G80:G98" si="8">F80*$H$4</f>
        <v>1137.5</v>
      </c>
      <c r="H80" s="53">
        <f t="shared" ref="H80:H98" si="9">E80*G80</f>
        <v>9100</v>
      </c>
    </row>
    <row r="81" spans="3:8" ht="15" customHeight="1" outlineLevel="2" x14ac:dyDescent="0.25">
      <c r="C81" s="72" t="s">
        <v>310</v>
      </c>
      <c r="D81" s="8" t="s">
        <v>170</v>
      </c>
      <c r="E81" s="106">
        <v>4</v>
      </c>
      <c r="F81" s="51">
        <v>10</v>
      </c>
      <c r="G81" s="53">
        <f t="shared" si="8"/>
        <v>1137.5</v>
      </c>
      <c r="H81" s="53">
        <f t="shared" si="9"/>
        <v>4550</v>
      </c>
    </row>
    <row r="82" spans="3:8" ht="15" customHeight="1" outlineLevel="2" x14ac:dyDescent="0.25">
      <c r="C82" s="72" t="s">
        <v>311</v>
      </c>
      <c r="D82" s="8" t="s">
        <v>170</v>
      </c>
      <c r="E82" s="106">
        <v>2</v>
      </c>
      <c r="F82" s="51">
        <v>10</v>
      </c>
      <c r="G82" s="53">
        <f t="shared" si="8"/>
        <v>1137.5</v>
      </c>
      <c r="H82" s="53">
        <f t="shared" si="9"/>
        <v>2275</v>
      </c>
    </row>
    <row r="83" spans="3:8" ht="15" customHeight="1" outlineLevel="2" x14ac:dyDescent="0.25">
      <c r="C83" s="72"/>
      <c r="D83" s="8"/>
      <c r="F83" s="51"/>
      <c r="G83" s="53">
        <f t="shared" si="8"/>
        <v>0</v>
      </c>
      <c r="H83" s="53">
        <f t="shared" si="9"/>
        <v>0</v>
      </c>
    </row>
    <row r="84" spans="3:8" ht="15" customHeight="1" outlineLevel="2" x14ac:dyDescent="0.25">
      <c r="C84" s="72"/>
      <c r="D84" s="8"/>
      <c r="F84" s="51"/>
      <c r="G84" s="53">
        <f t="shared" si="8"/>
        <v>0</v>
      </c>
      <c r="H84" s="53">
        <f t="shared" si="9"/>
        <v>0</v>
      </c>
    </row>
    <row r="85" spans="3:8" ht="15" customHeight="1" outlineLevel="2" x14ac:dyDescent="0.25">
      <c r="C85" s="72"/>
      <c r="D85" s="8"/>
      <c r="F85" s="51"/>
      <c r="G85" s="53">
        <f t="shared" ref="G85:G90" si="10">F85*$H$4</f>
        <v>0</v>
      </c>
      <c r="H85" s="53">
        <f t="shared" ref="H85:H90" si="11">E85*G85</f>
        <v>0</v>
      </c>
    </row>
    <row r="86" spans="3:8" ht="15" customHeight="1" outlineLevel="2" x14ac:dyDescent="0.25">
      <c r="C86" s="72"/>
      <c r="D86" s="8"/>
      <c r="F86" s="51"/>
      <c r="G86" s="53">
        <f t="shared" si="10"/>
        <v>0</v>
      </c>
      <c r="H86" s="53">
        <f t="shared" si="11"/>
        <v>0</v>
      </c>
    </row>
    <row r="87" spans="3:8" ht="15" customHeight="1" outlineLevel="2" x14ac:dyDescent="0.25">
      <c r="C87" s="72"/>
      <c r="D87" s="8"/>
      <c r="F87" s="51"/>
      <c r="G87" s="53">
        <f t="shared" si="10"/>
        <v>0</v>
      </c>
      <c r="H87" s="53">
        <f t="shared" si="11"/>
        <v>0</v>
      </c>
    </row>
    <row r="88" spans="3:8" ht="15" customHeight="1" outlineLevel="2" x14ac:dyDescent="0.25">
      <c r="C88" s="72"/>
      <c r="D88" s="8"/>
      <c r="F88" s="51"/>
      <c r="G88" s="53">
        <f t="shared" si="10"/>
        <v>0</v>
      </c>
      <c r="H88" s="53">
        <f t="shared" si="11"/>
        <v>0</v>
      </c>
    </row>
    <row r="89" spans="3:8" ht="15" customHeight="1" outlineLevel="2" x14ac:dyDescent="0.25">
      <c r="C89" s="72"/>
      <c r="D89" s="8"/>
      <c r="F89" s="51"/>
      <c r="G89" s="53">
        <f t="shared" si="10"/>
        <v>0</v>
      </c>
      <c r="H89" s="53">
        <f t="shared" si="11"/>
        <v>0</v>
      </c>
    </row>
    <row r="90" spans="3:8" ht="15" customHeight="1" outlineLevel="2" x14ac:dyDescent="0.25">
      <c r="C90" s="72"/>
      <c r="D90" s="8"/>
      <c r="F90" s="51"/>
      <c r="G90" s="53">
        <f t="shared" si="10"/>
        <v>0</v>
      </c>
      <c r="H90" s="53">
        <f t="shared" si="11"/>
        <v>0</v>
      </c>
    </row>
    <row r="91" spans="3:8" ht="15" customHeight="1" outlineLevel="2" x14ac:dyDescent="0.25">
      <c r="C91" s="72"/>
      <c r="D91" s="8"/>
      <c r="F91" s="51"/>
      <c r="G91" s="53">
        <f t="shared" si="8"/>
        <v>0</v>
      </c>
      <c r="H91" s="53">
        <f t="shared" si="9"/>
        <v>0</v>
      </c>
    </row>
    <row r="92" spans="3:8" ht="15" customHeight="1" outlineLevel="2" x14ac:dyDescent="0.25">
      <c r="C92" s="72"/>
      <c r="D92" s="8"/>
      <c r="F92" s="51"/>
      <c r="G92" s="53">
        <f t="shared" si="8"/>
        <v>0</v>
      </c>
      <c r="H92" s="53">
        <f t="shared" si="9"/>
        <v>0</v>
      </c>
    </row>
    <row r="93" spans="3:8" ht="15" customHeight="1" outlineLevel="2" x14ac:dyDescent="0.25">
      <c r="C93" s="72"/>
      <c r="D93" s="8"/>
      <c r="F93" s="51"/>
      <c r="G93" s="53">
        <f t="shared" si="8"/>
        <v>0</v>
      </c>
      <c r="H93" s="53">
        <f t="shared" si="9"/>
        <v>0</v>
      </c>
    </row>
    <row r="94" spans="3:8" ht="15" customHeight="1" outlineLevel="2" x14ac:dyDescent="0.25">
      <c r="C94" s="72"/>
      <c r="D94" s="8"/>
      <c r="F94" s="51"/>
      <c r="G94" s="53">
        <f t="shared" si="8"/>
        <v>0</v>
      </c>
      <c r="H94" s="53">
        <f t="shared" si="9"/>
        <v>0</v>
      </c>
    </row>
    <row r="95" spans="3:8" ht="15" customHeight="1" outlineLevel="2" x14ac:dyDescent="0.25">
      <c r="C95" s="72"/>
      <c r="D95" s="8"/>
      <c r="F95" s="51"/>
      <c r="G95" s="53">
        <f t="shared" si="8"/>
        <v>0</v>
      </c>
      <c r="H95" s="53">
        <f t="shared" si="9"/>
        <v>0</v>
      </c>
    </row>
    <row r="96" spans="3:8" ht="15" customHeight="1" outlineLevel="2" x14ac:dyDescent="0.25">
      <c r="C96" s="72"/>
      <c r="D96" s="8"/>
      <c r="F96" s="51"/>
      <c r="G96" s="53">
        <f t="shared" si="8"/>
        <v>0</v>
      </c>
      <c r="H96" s="53">
        <f t="shared" si="9"/>
        <v>0</v>
      </c>
    </row>
    <row r="97" spans="1:9" ht="15" customHeight="1" outlineLevel="2" x14ac:dyDescent="0.25">
      <c r="C97" s="72"/>
      <c r="D97" s="8"/>
      <c r="F97" s="51"/>
      <c r="G97" s="53">
        <f t="shared" si="8"/>
        <v>0</v>
      </c>
      <c r="H97" s="53">
        <f t="shared" si="9"/>
        <v>0</v>
      </c>
    </row>
    <row r="98" spans="1:9" ht="15" customHeight="1" outlineLevel="2" x14ac:dyDescent="0.25">
      <c r="C98" s="72"/>
      <c r="D98" s="8"/>
      <c r="F98" s="51"/>
      <c r="G98" s="53">
        <f t="shared" si="8"/>
        <v>0</v>
      </c>
      <c r="H98" s="53">
        <f t="shared" si="9"/>
        <v>0</v>
      </c>
    </row>
    <row r="99" spans="1:9" ht="15" customHeight="1" outlineLevel="2" x14ac:dyDescent="0.25">
      <c r="C99" s="72"/>
      <c r="F99" s="53"/>
      <c r="G99" s="53"/>
      <c r="H99" s="53"/>
    </row>
    <row r="100" spans="1:9" ht="15" customHeight="1" outlineLevel="2" x14ac:dyDescent="0.25">
      <c r="C100" s="57" t="s">
        <v>77</v>
      </c>
      <c r="D100" s="57"/>
      <c r="E100" s="58">
        <v>0.05</v>
      </c>
      <c r="F100" s="57"/>
      <c r="G100" s="59">
        <f>SUM(H79:H99)</f>
        <v>27300</v>
      </c>
      <c r="H100" s="60">
        <f>E100*G100</f>
        <v>1365</v>
      </c>
    </row>
    <row r="101" spans="1:9" ht="15" customHeight="1" outlineLevel="2" x14ac:dyDescent="0.25">
      <c r="C101" s="57" t="s">
        <v>78</v>
      </c>
      <c r="D101" s="6" t="s">
        <v>87</v>
      </c>
      <c r="E101" s="58">
        <v>0</v>
      </c>
      <c r="F101" s="57"/>
      <c r="G101" s="86">
        <f>+SUM(H79:H100)*0.75</f>
        <v>21498.75</v>
      </c>
      <c r="H101" s="60">
        <f>E101*G101</f>
        <v>0</v>
      </c>
    </row>
    <row r="102" spans="1:9" ht="15" customHeight="1" outlineLevel="2" thickBot="1" x14ac:dyDescent="0.3">
      <c r="A102" s="61"/>
      <c r="B102" s="61"/>
      <c r="C102" s="61"/>
      <c r="D102" s="62"/>
      <c r="E102" s="87"/>
      <c r="F102" s="64"/>
      <c r="G102" s="64"/>
      <c r="H102" s="64"/>
    </row>
    <row r="103" spans="1:9" ht="15" customHeight="1" outlineLevel="2" thickTop="1" x14ac:dyDescent="0.25">
      <c r="B103" s="65"/>
      <c r="C103" s="66"/>
      <c r="D103" s="65"/>
      <c r="E103" s="17"/>
      <c r="F103" s="67"/>
      <c r="G103" s="67"/>
      <c r="H103" s="67"/>
    </row>
    <row r="104" spans="1:9" ht="15" customHeight="1" outlineLevel="2" x14ac:dyDescent="0.25">
      <c r="B104" s="68"/>
      <c r="C104" s="69" t="s">
        <v>108</v>
      </c>
      <c r="D104" s="68"/>
      <c r="E104" s="70"/>
      <c r="F104" s="71"/>
      <c r="G104" s="71"/>
      <c r="H104" s="71">
        <f>+SUM(H79:H102)*(1+I104)</f>
        <v>28665</v>
      </c>
      <c r="I104" s="107"/>
    </row>
    <row r="105" spans="1:9" ht="15" customHeight="1" outlineLevel="2" x14ac:dyDescent="0.25">
      <c r="C105" s="72" t="s">
        <v>88</v>
      </c>
      <c r="D105" s="73"/>
      <c r="E105" s="44">
        <v>0.05</v>
      </c>
      <c r="F105" s="53"/>
      <c r="G105" s="53">
        <f>+H104*E105</f>
        <v>1433.25</v>
      </c>
      <c r="H105" s="53"/>
    </row>
    <row r="106" spans="1:9" ht="15" customHeight="1" outlineLevel="2" x14ac:dyDescent="0.25">
      <c r="C106" s="66" t="s">
        <v>89</v>
      </c>
      <c r="E106" s="44">
        <v>0.05</v>
      </c>
      <c r="F106" s="53"/>
      <c r="G106" s="53">
        <f>H104*E106</f>
        <v>1433.25</v>
      </c>
      <c r="H106" s="53"/>
    </row>
    <row r="107" spans="1:9" ht="15" customHeight="1" outlineLevel="2" x14ac:dyDescent="0.25">
      <c r="C107" s="66" t="s">
        <v>90</v>
      </c>
      <c r="D107" s="43"/>
      <c r="E107" s="44">
        <v>0.35</v>
      </c>
      <c r="F107" s="53"/>
      <c r="G107" s="53">
        <f>G106*E107</f>
        <v>501.63749999999999</v>
      </c>
      <c r="H107" s="53"/>
    </row>
    <row r="108" spans="1:9" ht="15" customHeight="1" outlineLevel="2" x14ac:dyDescent="0.25">
      <c r="B108" s="68"/>
      <c r="C108" s="69" t="s">
        <v>107</v>
      </c>
      <c r="D108" s="76"/>
      <c r="E108" s="77"/>
      <c r="F108" s="78"/>
      <c r="G108" s="78"/>
      <c r="H108" s="78">
        <f>G105+G106+G107</f>
        <v>3368.1374999999998</v>
      </c>
    </row>
    <row r="109" spans="1:9" ht="30" customHeight="1" outlineLevel="1" thickBot="1" x14ac:dyDescent="0.3">
      <c r="B109" s="79"/>
      <c r="C109" s="80" t="str">
        <f>C78</f>
        <v>Documentación</v>
      </c>
      <c r="D109" s="79"/>
      <c r="E109" s="81"/>
      <c r="F109" s="82"/>
      <c r="G109" s="82"/>
      <c r="H109" s="82">
        <f>H104+H108</f>
        <v>32033.137500000001</v>
      </c>
    </row>
    <row r="110" spans="1:9" ht="30" customHeight="1" x14ac:dyDescent="0.25">
      <c r="E110" s="44"/>
      <c r="F110" s="53"/>
      <c r="G110" s="53"/>
      <c r="H110" s="53"/>
    </row>
    <row r="111" spans="1:9" ht="30" customHeight="1" x14ac:dyDescent="0.25">
      <c r="A111" s="38">
        <v>3</v>
      </c>
      <c r="B111" s="151" t="s">
        <v>105</v>
      </c>
      <c r="C111" s="151"/>
      <c r="D111" s="151"/>
      <c r="E111" s="151"/>
      <c r="F111" s="151"/>
      <c r="G111" s="29"/>
      <c r="H111" s="30">
        <f>H144</f>
        <v>0</v>
      </c>
    </row>
    <row r="112" spans="1:9" ht="15" hidden="1" customHeight="1" outlineLevel="1" x14ac:dyDescent="0.25">
      <c r="E112" s="44"/>
      <c r="F112" s="53"/>
      <c r="G112" s="53"/>
      <c r="H112" s="53"/>
    </row>
    <row r="113" spans="1:8" ht="15" hidden="1" customHeight="1" outlineLevel="1" x14ac:dyDescent="0.25">
      <c r="A113" s="27"/>
      <c r="B113" s="27" t="s">
        <v>92</v>
      </c>
      <c r="C113" s="153" t="s">
        <v>106</v>
      </c>
      <c r="D113" s="153"/>
      <c r="E113" s="153"/>
      <c r="F113" s="31"/>
      <c r="G113" s="31"/>
      <c r="H113" s="31"/>
    </row>
    <row r="114" spans="1:8" ht="15" hidden="1" customHeight="1" outlineLevel="2" x14ac:dyDescent="0.25">
      <c r="C114" s="72"/>
      <c r="D114" s="8"/>
      <c r="F114" s="51"/>
      <c r="G114" s="53">
        <f>F114*$H$4</f>
        <v>0</v>
      </c>
      <c r="H114" s="53">
        <f>E114*G114</f>
        <v>0</v>
      </c>
    </row>
    <row r="115" spans="1:8" ht="15" hidden="1" customHeight="1" outlineLevel="2" x14ac:dyDescent="0.25">
      <c r="C115" s="72"/>
      <c r="D115" s="8"/>
      <c r="F115" s="51"/>
      <c r="G115" s="53">
        <f t="shared" ref="G115:G133" si="12">F115*$H$4</f>
        <v>0</v>
      </c>
      <c r="H115" s="53">
        <f t="shared" ref="H115:H133" si="13">E115*G115</f>
        <v>0</v>
      </c>
    </row>
    <row r="116" spans="1:8" ht="15" hidden="1" customHeight="1" outlineLevel="2" x14ac:dyDescent="0.25">
      <c r="C116" s="72"/>
      <c r="D116" s="8"/>
      <c r="F116" s="51"/>
      <c r="G116" s="53">
        <f t="shared" si="12"/>
        <v>0</v>
      </c>
      <c r="H116" s="53">
        <f t="shared" si="13"/>
        <v>0</v>
      </c>
    </row>
    <row r="117" spans="1:8" ht="15" hidden="1" customHeight="1" outlineLevel="2" x14ac:dyDescent="0.25">
      <c r="C117" s="72"/>
      <c r="D117" s="8"/>
      <c r="F117" s="51"/>
      <c r="G117" s="53">
        <f t="shared" si="12"/>
        <v>0</v>
      </c>
      <c r="H117" s="53">
        <f t="shared" si="13"/>
        <v>0</v>
      </c>
    </row>
    <row r="118" spans="1:8" ht="15" hidden="1" customHeight="1" outlineLevel="2" x14ac:dyDescent="0.25">
      <c r="C118" s="72"/>
      <c r="D118" s="8"/>
      <c r="F118" s="51"/>
      <c r="G118" s="53">
        <f t="shared" ref="G118:G123" si="14">F118*$H$4</f>
        <v>0</v>
      </c>
      <c r="H118" s="53">
        <f t="shared" ref="H118:H123" si="15">E118*G118</f>
        <v>0</v>
      </c>
    </row>
    <row r="119" spans="1:8" ht="15" hidden="1" customHeight="1" outlineLevel="2" x14ac:dyDescent="0.25">
      <c r="C119" s="72"/>
      <c r="D119" s="8"/>
      <c r="F119" s="51"/>
      <c r="G119" s="53">
        <f t="shared" si="14"/>
        <v>0</v>
      </c>
      <c r="H119" s="53">
        <f t="shared" si="15"/>
        <v>0</v>
      </c>
    </row>
    <row r="120" spans="1:8" ht="15" hidden="1" customHeight="1" outlineLevel="2" x14ac:dyDescent="0.25">
      <c r="C120" s="72"/>
      <c r="D120" s="8"/>
      <c r="F120" s="51"/>
      <c r="G120" s="53">
        <f t="shared" si="14"/>
        <v>0</v>
      </c>
      <c r="H120" s="53">
        <f t="shared" si="15"/>
        <v>0</v>
      </c>
    </row>
    <row r="121" spans="1:8" ht="15" hidden="1" customHeight="1" outlineLevel="2" x14ac:dyDescent="0.25">
      <c r="C121" s="72"/>
      <c r="D121" s="8"/>
      <c r="F121" s="51"/>
      <c r="G121" s="53">
        <f t="shared" si="14"/>
        <v>0</v>
      </c>
      <c r="H121" s="53">
        <f t="shared" si="15"/>
        <v>0</v>
      </c>
    </row>
    <row r="122" spans="1:8" ht="15" hidden="1" customHeight="1" outlineLevel="2" x14ac:dyDescent="0.25">
      <c r="C122" s="72"/>
      <c r="D122" s="8"/>
      <c r="F122" s="51"/>
      <c r="G122" s="53">
        <f t="shared" si="14"/>
        <v>0</v>
      </c>
      <c r="H122" s="53">
        <f t="shared" si="15"/>
        <v>0</v>
      </c>
    </row>
    <row r="123" spans="1:8" ht="15" hidden="1" customHeight="1" outlineLevel="2" x14ac:dyDescent="0.25">
      <c r="C123" s="72"/>
      <c r="D123" s="8"/>
      <c r="F123" s="51"/>
      <c r="G123" s="53">
        <f t="shared" si="14"/>
        <v>0</v>
      </c>
      <c r="H123" s="53">
        <f t="shared" si="15"/>
        <v>0</v>
      </c>
    </row>
    <row r="124" spans="1:8" ht="15" hidden="1" customHeight="1" outlineLevel="2" x14ac:dyDescent="0.25">
      <c r="C124" s="72"/>
      <c r="D124" s="8"/>
      <c r="F124" s="51"/>
      <c r="G124" s="53">
        <f t="shared" si="12"/>
        <v>0</v>
      </c>
      <c r="H124" s="53">
        <f t="shared" si="13"/>
        <v>0</v>
      </c>
    </row>
    <row r="125" spans="1:8" ht="15" hidden="1" customHeight="1" outlineLevel="2" x14ac:dyDescent="0.25">
      <c r="C125" s="72"/>
      <c r="D125" s="8"/>
      <c r="F125" s="51"/>
      <c r="G125" s="53">
        <f t="shared" si="12"/>
        <v>0</v>
      </c>
      <c r="H125" s="53">
        <f t="shared" si="13"/>
        <v>0</v>
      </c>
    </row>
    <row r="126" spans="1:8" ht="15" hidden="1" customHeight="1" outlineLevel="2" x14ac:dyDescent="0.25">
      <c r="C126" s="72"/>
      <c r="D126" s="8"/>
      <c r="F126" s="51"/>
      <c r="G126" s="53">
        <f t="shared" si="12"/>
        <v>0</v>
      </c>
      <c r="H126" s="53">
        <f t="shared" si="13"/>
        <v>0</v>
      </c>
    </row>
    <row r="127" spans="1:8" ht="15" hidden="1" customHeight="1" outlineLevel="2" x14ac:dyDescent="0.25">
      <c r="C127" s="72"/>
      <c r="D127" s="8"/>
      <c r="F127" s="51"/>
      <c r="G127" s="53">
        <f t="shared" si="12"/>
        <v>0</v>
      </c>
      <c r="H127" s="53">
        <f t="shared" si="13"/>
        <v>0</v>
      </c>
    </row>
    <row r="128" spans="1:8" ht="15" hidden="1" customHeight="1" outlineLevel="2" x14ac:dyDescent="0.25">
      <c r="C128" s="72"/>
      <c r="D128" s="8"/>
      <c r="F128" s="51"/>
      <c r="G128" s="53">
        <f t="shared" si="12"/>
        <v>0</v>
      </c>
      <c r="H128" s="53">
        <f t="shared" si="13"/>
        <v>0</v>
      </c>
    </row>
    <row r="129" spans="1:9" ht="15" hidden="1" customHeight="1" outlineLevel="2" x14ac:dyDescent="0.25">
      <c r="C129" s="72"/>
      <c r="D129" s="8"/>
      <c r="F129" s="51"/>
      <c r="G129" s="53">
        <f t="shared" si="12"/>
        <v>0</v>
      </c>
      <c r="H129" s="53">
        <f t="shared" si="13"/>
        <v>0</v>
      </c>
    </row>
    <row r="130" spans="1:9" ht="15" hidden="1" customHeight="1" outlineLevel="2" x14ac:dyDescent="0.25">
      <c r="C130" s="72"/>
      <c r="D130" s="8"/>
      <c r="F130" s="51"/>
      <c r="G130" s="53">
        <f t="shared" si="12"/>
        <v>0</v>
      </c>
      <c r="H130" s="53">
        <f t="shared" si="13"/>
        <v>0</v>
      </c>
    </row>
    <row r="131" spans="1:9" ht="15" hidden="1" customHeight="1" outlineLevel="2" x14ac:dyDescent="0.25">
      <c r="C131" s="72"/>
      <c r="D131" s="8"/>
      <c r="F131" s="51"/>
      <c r="G131" s="53">
        <f t="shared" si="12"/>
        <v>0</v>
      </c>
      <c r="H131" s="53">
        <f t="shared" si="13"/>
        <v>0</v>
      </c>
    </row>
    <row r="132" spans="1:9" ht="15" hidden="1" customHeight="1" outlineLevel="2" x14ac:dyDescent="0.25">
      <c r="C132" s="72"/>
      <c r="D132" s="8"/>
      <c r="F132" s="51"/>
      <c r="G132" s="53">
        <f t="shared" si="12"/>
        <v>0</v>
      </c>
      <c r="H132" s="53">
        <f t="shared" si="13"/>
        <v>0</v>
      </c>
    </row>
    <row r="133" spans="1:9" ht="15" hidden="1" customHeight="1" outlineLevel="2" x14ac:dyDescent="0.25">
      <c r="C133" s="72"/>
      <c r="D133" s="8"/>
      <c r="F133" s="51"/>
      <c r="G133" s="53">
        <f t="shared" si="12"/>
        <v>0</v>
      </c>
      <c r="H133" s="53">
        <f t="shared" si="13"/>
        <v>0</v>
      </c>
    </row>
    <row r="134" spans="1:9" ht="15" hidden="1" customHeight="1" outlineLevel="2" x14ac:dyDescent="0.25">
      <c r="C134" s="72"/>
      <c r="F134" s="53"/>
      <c r="G134" s="53"/>
      <c r="H134" s="53"/>
    </row>
    <row r="135" spans="1:9" ht="15" hidden="1" customHeight="1" outlineLevel="2" x14ac:dyDescent="0.25">
      <c r="C135" s="57" t="s">
        <v>77</v>
      </c>
      <c r="D135" s="57"/>
      <c r="E135" s="58">
        <v>0</v>
      </c>
      <c r="F135" s="57"/>
      <c r="G135" s="59">
        <f>SUM(H114:H134)</f>
        <v>0</v>
      </c>
      <c r="H135" s="60">
        <f>E135*G135</f>
        <v>0</v>
      </c>
    </row>
    <row r="136" spans="1:9" ht="15" hidden="1" customHeight="1" outlineLevel="2" x14ac:dyDescent="0.25">
      <c r="C136" s="57" t="s">
        <v>78</v>
      </c>
      <c r="D136" s="6" t="s">
        <v>87</v>
      </c>
      <c r="E136" s="58">
        <v>0</v>
      </c>
      <c r="F136" s="57"/>
      <c r="G136" s="86">
        <f>+SUM(H114:H135)*0.75</f>
        <v>0</v>
      </c>
      <c r="H136" s="60">
        <f>E136*G136</f>
        <v>0</v>
      </c>
    </row>
    <row r="137" spans="1:9" ht="15" hidden="1" customHeight="1" outlineLevel="2" thickBot="1" x14ac:dyDescent="0.3">
      <c r="A137" s="61"/>
      <c r="B137" s="61"/>
      <c r="C137" s="61"/>
      <c r="D137" s="62"/>
      <c r="E137" s="87"/>
      <c r="F137" s="64"/>
      <c r="G137" s="64"/>
      <c r="H137" s="64"/>
    </row>
    <row r="138" spans="1:9" ht="15" hidden="1" customHeight="1" outlineLevel="2" thickTop="1" x14ac:dyDescent="0.25">
      <c r="B138" s="65"/>
      <c r="C138" s="66"/>
      <c r="D138" s="65"/>
      <c r="E138" s="17"/>
      <c r="F138" s="67"/>
      <c r="G138" s="67"/>
      <c r="H138" s="67"/>
    </row>
    <row r="139" spans="1:9" ht="15" hidden="1" customHeight="1" outlineLevel="2" x14ac:dyDescent="0.25">
      <c r="B139" s="68"/>
      <c r="C139" s="69" t="s">
        <v>111</v>
      </c>
      <c r="D139" s="68"/>
      <c r="E139" s="70"/>
      <c r="F139" s="71"/>
      <c r="G139" s="71"/>
      <c r="H139" s="71">
        <f>+SUM(H114:H137)*(1+I139)</f>
        <v>0</v>
      </c>
      <c r="I139" s="108"/>
    </row>
    <row r="140" spans="1:9" ht="15" hidden="1" customHeight="1" outlineLevel="2" x14ac:dyDescent="0.25">
      <c r="C140" s="72" t="s">
        <v>88</v>
      </c>
      <c r="D140" s="73"/>
      <c r="E140" s="44">
        <v>0.05</v>
      </c>
      <c r="F140" s="53"/>
      <c r="G140" s="53">
        <f>+H139*E140</f>
        <v>0</v>
      </c>
      <c r="H140" s="53"/>
    </row>
    <row r="141" spans="1:9" ht="15" hidden="1" customHeight="1" outlineLevel="2" x14ac:dyDescent="0.25">
      <c r="C141" s="66" t="s">
        <v>89</v>
      </c>
      <c r="E141" s="44">
        <v>0.05</v>
      </c>
      <c r="F141" s="53"/>
      <c r="G141" s="53">
        <f>H139*E141</f>
        <v>0</v>
      </c>
      <c r="H141" s="53"/>
    </row>
    <row r="142" spans="1:9" ht="15" hidden="1" customHeight="1" outlineLevel="2" x14ac:dyDescent="0.25">
      <c r="C142" s="66" t="s">
        <v>90</v>
      </c>
      <c r="D142" s="43"/>
      <c r="E142" s="44">
        <v>0.35</v>
      </c>
      <c r="F142" s="53"/>
      <c r="G142" s="53">
        <f>G141*E142</f>
        <v>0</v>
      </c>
      <c r="H142" s="53"/>
    </row>
    <row r="143" spans="1:9" ht="15" hidden="1" customHeight="1" outlineLevel="2" x14ac:dyDescent="0.25">
      <c r="B143" s="68"/>
      <c r="C143" s="69" t="s">
        <v>112</v>
      </c>
      <c r="D143" s="76"/>
      <c r="E143" s="77"/>
      <c r="F143" s="78"/>
      <c r="G143" s="78"/>
      <c r="H143" s="78">
        <f>G140+G141+G142</f>
        <v>0</v>
      </c>
    </row>
    <row r="144" spans="1:9" ht="30" hidden="1" customHeight="1" outlineLevel="1" collapsed="1" thickBot="1" x14ac:dyDescent="0.3">
      <c r="B144" s="79"/>
      <c r="C144" s="80" t="str">
        <f>C113</f>
        <v>Servicios Profesionales Externos</v>
      </c>
      <c r="D144" s="79"/>
      <c r="E144" s="81"/>
      <c r="F144" s="82"/>
      <c r="G144" s="82"/>
      <c r="H144" s="82">
        <f>H139+H143</f>
        <v>0</v>
      </c>
    </row>
    <row r="145" spans="1:9" ht="30" customHeight="1" collapsed="1" x14ac:dyDescent="0.25">
      <c r="E145" s="44"/>
      <c r="F145" s="53"/>
      <c r="G145" s="53"/>
      <c r="H145" s="53"/>
    </row>
    <row r="146" spans="1:9" ht="30" customHeight="1" x14ac:dyDescent="0.25">
      <c r="A146" s="38">
        <v>4</v>
      </c>
      <c r="B146" s="151" t="s">
        <v>93</v>
      </c>
      <c r="C146" s="151"/>
      <c r="D146" s="151"/>
      <c r="E146" s="151"/>
      <c r="F146" s="151"/>
      <c r="G146" s="29"/>
      <c r="H146" s="30">
        <f>H163+H180+H197</f>
        <v>208208</v>
      </c>
    </row>
    <row r="147" spans="1:9" ht="15" customHeight="1" outlineLevel="1" x14ac:dyDescent="0.25">
      <c r="E147" s="4"/>
    </row>
    <row r="148" spans="1:9" ht="15" customHeight="1" outlineLevel="1" x14ac:dyDescent="0.25">
      <c r="A148" s="27"/>
      <c r="B148" s="31" t="s">
        <v>94</v>
      </c>
      <c r="C148" s="27" t="s">
        <v>95</v>
      </c>
      <c r="D148" s="31"/>
      <c r="E148" s="27"/>
      <c r="F148" s="27"/>
      <c r="G148" s="27"/>
      <c r="H148" s="27"/>
    </row>
    <row r="149" spans="1:9" ht="15" hidden="1" customHeight="1" outlineLevel="2" x14ac:dyDescent="0.25">
      <c r="B149" s="8"/>
      <c r="C149" s="28"/>
      <c r="D149" s="8"/>
      <c r="F149" s="51"/>
      <c r="G149" s="88">
        <v>0</v>
      </c>
      <c r="H149" s="88">
        <f>E149*G149</f>
        <v>0</v>
      </c>
    </row>
    <row r="150" spans="1:9" ht="15" hidden="1" customHeight="1" outlineLevel="2" x14ac:dyDescent="0.25">
      <c r="B150" s="8"/>
      <c r="D150" s="8"/>
      <c r="F150" s="51"/>
      <c r="G150" s="88">
        <v>0</v>
      </c>
      <c r="H150" s="88">
        <f>E150*G150</f>
        <v>0</v>
      </c>
    </row>
    <row r="151" spans="1:9" ht="15" hidden="1" customHeight="1" outlineLevel="2" x14ac:dyDescent="0.25">
      <c r="B151" s="8"/>
      <c r="D151" s="8"/>
      <c r="F151" s="51"/>
      <c r="G151" s="88">
        <v>0</v>
      </c>
      <c r="H151" s="88">
        <f>E151*G151</f>
        <v>0</v>
      </c>
    </row>
    <row r="152" spans="1:9" ht="15" hidden="1" customHeight="1" outlineLevel="2" x14ac:dyDescent="0.25">
      <c r="B152" s="8"/>
      <c r="C152" s="28"/>
      <c r="D152" s="8"/>
      <c r="F152" s="51"/>
      <c r="G152" s="88">
        <v>0</v>
      </c>
      <c r="H152" s="88">
        <f t="shared" ref="H152:H153" si="16">E152*G152</f>
        <v>0</v>
      </c>
    </row>
    <row r="153" spans="1:9" ht="15" hidden="1" customHeight="1" outlineLevel="2" x14ac:dyDescent="0.25">
      <c r="B153" s="8"/>
      <c r="D153" s="8"/>
      <c r="F153" s="51"/>
      <c r="G153" s="88">
        <v>0</v>
      </c>
      <c r="H153" s="88">
        <f t="shared" si="16"/>
        <v>0</v>
      </c>
    </row>
    <row r="154" spans="1:9" ht="15" hidden="1" customHeight="1" outlineLevel="2" x14ac:dyDescent="0.25">
      <c r="B154" s="8"/>
      <c r="D154" s="11"/>
      <c r="E154" s="4"/>
      <c r="G154" s="88"/>
      <c r="H154" s="88"/>
    </row>
    <row r="155" spans="1:9" ht="15" hidden="1" customHeight="1" outlineLevel="2" x14ac:dyDescent="0.25">
      <c r="C155" s="57" t="s">
        <v>77</v>
      </c>
      <c r="E155" s="44">
        <v>0</v>
      </c>
      <c r="F155" s="53"/>
      <c r="G155" s="89">
        <f>+SUM(H149:H154)</f>
        <v>0</v>
      </c>
      <c r="H155" s="88">
        <f>+G155*E155</f>
        <v>0</v>
      </c>
    </row>
    <row r="156" spans="1:9" ht="15" hidden="1" customHeight="1" outlineLevel="2" thickBot="1" x14ac:dyDescent="0.3">
      <c r="C156" s="62"/>
      <c r="D156" s="62"/>
      <c r="E156" s="87"/>
      <c r="F156" s="64"/>
      <c r="G156" s="64"/>
      <c r="H156" s="64"/>
    </row>
    <row r="157" spans="1:9" ht="15" hidden="1" customHeight="1" outlineLevel="2" thickTop="1" x14ac:dyDescent="0.25">
      <c r="B157" s="65"/>
      <c r="C157" s="66"/>
      <c r="D157" s="65"/>
      <c r="E157" s="17"/>
      <c r="F157" s="67"/>
      <c r="G157" s="67"/>
      <c r="H157" s="67"/>
    </row>
    <row r="158" spans="1:9" ht="15" hidden="1" customHeight="1" outlineLevel="2" x14ac:dyDescent="0.25">
      <c r="B158" s="68"/>
      <c r="C158" s="69" t="s">
        <v>118</v>
      </c>
      <c r="D158" s="68"/>
      <c r="E158" s="70"/>
      <c r="F158" s="71"/>
      <c r="G158" s="71"/>
      <c r="H158" s="71">
        <f>SUM(H149:H156)*(1+I158)</f>
        <v>0</v>
      </c>
      <c r="I158" s="108"/>
    </row>
    <row r="159" spans="1:9" ht="15" hidden="1" customHeight="1" outlineLevel="2" x14ac:dyDescent="0.25">
      <c r="C159" s="72" t="s">
        <v>88</v>
      </c>
      <c r="D159" s="73"/>
      <c r="E159" s="44">
        <v>0</v>
      </c>
      <c r="F159" s="53"/>
      <c r="G159" s="53">
        <f>+H158*E159</f>
        <v>0</v>
      </c>
      <c r="H159" s="53"/>
    </row>
    <row r="160" spans="1:9" ht="15" hidden="1" customHeight="1" outlineLevel="2" x14ac:dyDescent="0.25">
      <c r="C160" s="66" t="s">
        <v>89</v>
      </c>
      <c r="E160" s="44">
        <v>0</v>
      </c>
      <c r="F160" s="53"/>
      <c r="G160" s="53">
        <f>H158*E160</f>
        <v>0</v>
      </c>
      <c r="H160" s="53"/>
    </row>
    <row r="161" spans="1:9" ht="15" hidden="1" customHeight="1" outlineLevel="2" x14ac:dyDescent="0.25">
      <c r="C161" s="66" t="s">
        <v>90</v>
      </c>
      <c r="D161" s="43"/>
      <c r="E161" s="44">
        <v>0.35</v>
      </c>
      <c r="F161" s="53"/>
      <c r="G161" s="53">
        <f>G160*E161</f>
        <v>0</v>
      </c>
      <c r="H161" s="53"/>
    </row>
    <row r="162" spans="1:9" ht="15" hidden="1" customHeight="1" outlineLevel="2" x14ac:dyDescent="0.25">
      <c r="B162" s="68"/>
      <c r="C162" s="69" t="s">
        <v>119</v>
      </c>
      <c r="D162" s="76"/>
      <c r="E162" s="77"/>
      <c r="F162" s="78"/>
      <c r="G162" s="78"/>
      <c r="H162" s="78">
        <f>G159+G160+G161</f>
        <v>0</v>
      </c>
    </row>
    <row r="163" spans="1:9" ht="24.75" customHeight="1" outlineLevel="1" collapsed="1" thickBot="1" x14ac:dyDescent="0.3">
      <c r="B163" s="79"/>
      <c r="C163" s="80" t="str">
        <f>C148</f>
        <v xml:space="preserve">Hospedaje </v>
      </c>
      <c r="D163" s="79"/>
      <c r="E163" s="81"/>
      <c r="F163" s="82"/>
      <c r="G163" s="82"/>
      <c r="H163" s="82">
        <f>H158+H162</f>
        <v>0</v>
      </c>
    </row>
    <row r="164" spans="1:9" ht="30" customHeight="1" outlineLevel="1" x14ac:dyDescent="0.25">
      <c r="E164" s="4"/>
    </row>
    <row r="165" spans="1:9" ht="15" customHeight="1" outlineLevel="1" x14ac:dyDescent="0.25">
      <c r="A165" s="27"/>
      <c r="B165" s="31" t="s">
        <v>96</v>
      </c>
      <c r="C165" s="27" t="s">
        <v>97</v>
      </c>
      <c r="D165" s="31"/>
      <c r="E165" s="27"/>
      <c r="F165" s="27"/>
      <c r="G165" s="27"/>
      <c r="H165" s="27"/>
    </row>
    <row r="166" spans="1:9" ht="15" customHeight="1" outlineLevel="2" x14ac:dyDescent="0.25">
      <c r="B166" s="8"/>
      <c r="C166" s="4" t="s">
        <v>314</v>
      </c>
      <c r="D166" s="8" t="s">
        <v>315</v>
      </c>
      <c r="E166" s="8">
        <f>(8*2)*2*52</f>
        <v>1664</v>
      </c>
      <c r="F166" s="51">
        <v>1</v>
      </c>
      <c r="G166" s="53">
        <f>F166*'4.- Cotización Proyecto'!$H$4</f>
        <v>113.75</v>
      </c>
      <c r="H166" s="90">
        <f>+G166*E166</f>
        <v>189280</v>
      </c>
    </row>
    <row r="167" spans="1:9" ht="15" customHeight="1" outlineLevel="2" x14ac:dyDescent="0.25">
      <c r="B167" s="8"/>
      <c r="C167" s="4" t="s">
        <v>322</v>
      </c>
      <c r="D167" s="8"/>
      <c r="F167" s="51"/>
      <c r="G167" s="53"/>
      <c r="H167" s="90">
        <v>0</v>
      </c>
      <c r="I167" s="91"/>
    </row>
    <row r="168" spans="1:9" ht="15" customHeight="1" outlineLevel="2" x14ac:dyDescent="0.25">
      <c r="B168" s="8"/>
      <c r="C168" s="4" t="s">
        <v>323</v>
      </c>
      <c r="D168" s="8"/>
      <c r="F168" s="51"/>
      <c r="G168" s="53"/>
      <c r="H168" s="90">
        <v>0</v>
      </c>
    </row>
    <row r="169" spans="1:9" ht="15" customHeight="1" outlineLevel="2" x14ac:dyDescent="0.25">
      <c r="B169" s="8"/>
      <c r="C169" s="4" t="s">
        <v>324</v>
      </c>
      <c r="D169" s="8"/>
      <c r="F169" s="51"/>
      <c r="G169" s="53"/>
      <c r="H169" s="90">
        <v>0</v>
      </c>
    </row>
    <row r="170" spans="1:9" ht="15" customHeight="1" outlineLevel="2" x14ac:dyDescent="0.25">
      <c r="B170" s="8"/>
      <c r="C170" s="4" t="s">
        <v>325</v>
      </c>
      <c r="D170" s="8"/>
      <c r="F170" s="51"/>
      <c r="G170" s="53"/>
      <c r="H170" s="90">
        <v>0</v>
      </c>
    </row>
    <row r="171" spans="1:9" ht="15" customHeight="1" outlineLevel="2" x14ac:dyDescent="0.25">
      <c r="C171" s="72"/>
      <c r="F171" s="53"/>
      <c r="G171" s="92"/>
      <c r="H171" s="90"/>
    </row>
    <row r="172" spans="1:9" ht="15" customHeight="1" outlineLevel="2" x14ac:dyDescent="0.25">
      <c r="C172" s="57" t="s">
        <v>77</v>
      </c>
      <c r="E172" s="44">
        <v>0.1</v>
      </c>
      <c r="F172" s="53"/>
      <c r="G172" s="89">
        <f>+SUM(H166:H171)</f>
        <v>189280</v>
      </c>
      <c r="H172" s="88">
        <f>+G172*E172</f>
        <v>18928</v>
      </c>
    </row>
    <row r="173" spans="1:9" ht="15" customHeight="1" outlineLevel="2" thickBot="1" x14ac:dyDescent="0.3">
      <c r="C173" s="61"/>
      <c r="D173" s="62"/>
      <c r="E173" s="87"/>
      <c r="F173" s="64"/>
      <c r="G173" s="64"/>
      <c r="H173" s="64"/>
    </row>
    <row r="174" spans="1:9" ht="15" customHeight="1" outlineLevel="2" thickTop="1" x14ac:dyDescent="0.25">
      <c r="B174" s="65"/>
      <c r="C174" s="66"/>
      <c r="D174" s="65"/>
      <c r="E174" s="17"/>
      <c r="F174" s="67"/>
      <c r="G174" s="67"/>
      <c r="H174" s="67"/>
    </row>
    <row r="175" spans="1:9" ht="15" customHeight="1" outlineLevel="2" x14ac:dyDescent="0.25">
      <c r="B175" s="68"/>
      <c r="C175" s="69" t="s">
        <v>120</v>
      </c>
      <c r="D175" s="68"/>
      <c r="E175" s="70"/>
      <c r="F175" s="71"/>
      <c r="G175" s="71"/>
      <c r="H175" s="71">
        <f>SUM(H166:H173)*(1+I175)</f>
        <v>208208</v>
      </c>
      <c r="I175" s="108"/>
    </row>
    <row r="176" spans="1:9" ht="15" customHeight="1" outlineLevel="2" x14ac:dyDescent="0.25">
      <c r="C176" s="72" t="s">
        <v>88</v>
      </c>
      <c r="D176" s="73"/>
      <c r="E176" s="44">
        <v>0</v>
      </c>
      <c r="F176" s="53"/>
      <c r="G176" s="53">
        <f>+H175*E176</f>
        <v>0</v>
      </c>
      <c r="H176" s="53"/>
    </row>
    <row r="177" spans="1:9" ht="15" customHeight="1" outlineLevel="2" x14ac:dyDescent="0.25">
      <c r="C177" s="66" t="s">
        <v>89</v>
      </c>
      <c r="E177" s="44">
        <v>0</v>
      </c>
      <c r="F177" s="53"/>
      <c r="G177" s="53">
        <f>H175*E177</f>
        <v>0</v>
      </c>
      <c r="H177" s="53"/>
    </row>
    <row r="178" spans="1:9" ht="15" customHeight="1" outlineLevel="2" x14ac:dyDescent="0.25">
      <c r="C178" s="66" t="s">
        <v>90</v>
      </c>
      <c r="D178" s="43"/>
      <c r="E178" s="44">
        <v>0.35</v>
      </c>
      <c r="F178" s="53"/>
      <c r="G178" s="53">
        <f>G177*E178</f>
        <v>0</v>
      </c>
      <c r="H178" s="53"/>
    </row>
    <row r="179" spans="1:9" ht="15" customHeight="1" outlineLevel="2" x14ac:dyDescent="0.25">
      <c r="B179" s="68"/>
      <c r="C179" s="69" t="s">
        <v>121</v>
      </c>
      <c r="D179" s="76"/>
      <c r="E179" s="77"/>
      <c r="F179" s="78"/>
      <c r="G179" s="78"/>
      <c r="H179" s="78">
        <f>G176+G177+G178</f>
        <v>0</v>
      </c>
    </row>
    <row r="180" spans="1:9" ht="30" customHeight="1" outlineLevel="1" thickBot="1" x14ac:dyDescent="0.3">
      <c r="B180" s="79"/>
      <c r="C180" s="80" t="str">
        <f>C165</f>
        <v>Movilidad</v>
      </c>
      <c r="D180" s="79"/>
      <c r="E180" s="81"/>
      <c r="F180" s="82"/>
      <c r="G180" s="82"/>
      <c r="H180" s="82">
        <f>H175+H179</f>
        <v>208208</v>
      </c>
    </row>
    <row r="181" spans="1:9" ht="30" customHeight="1" outlineLevel="1" x14ac:dyDescent="0.25">
      <c r="E181" s="4"/>
    </row>
    <row r="182" spans="1:9" ht="15" customHeight="1" outlineLevel="1" x14ac:dyDescent="0.25">
      <c r="A182" s="27"/>
      <c r="B182" s="31" t="s">
        <v>98</v>
      </c>
      <c r="C182" s="27" t="s">
        <v>99</v>
      </c>
      <c r="D182" s="31"/>
      <c r="E182" s="27"/>
      <c r="F182" s="27"/>
      <c r="G182" s="27"/>
      <c r="H182" s="27"/>
    </row>
    <row r="183" spans="1:9" ht="15" hidden="1" customHeight="1" outlineLevel="2" x14ac:dyDescent="0.25">
      <c r="B183" s="8"/>
      <c r="D183" s="8"/>
      <c r="F183" s="51"/>
      <c r="G183" s="90">
        <f>F183*'4.- Cotización Proyecto'!$H$4</f>
        <v>0</v>
      </c>
      <c r="H183" s="90">
        <f>E183*G183</f>
        <v>0</v>
      </c>
    </row>
    <row r="184" spans="1:9" ht="15" hidden="1" customHeight="1" outlineLevel="2" x14ac:dyDescent="0.25">
      <c r="B184" s="8"/>
      <c r="D184" s="8"/>
      <c r="F184" s="51"/>
      <c r="G184" s="90">
        <f>F184*'4.- Cotización Proyecto'!$H$4</f>
        <v>0</v>
      </c>
      <c r="H184" s="90">
        <f>E184*G184</f>
        <v>0</v>
      </c>
    </row>
    <row r="185" spans="1:9" ht="15" hidden="1" customHeight="1" outlineLevel="2" x14ac:dyDescent="0.25">
      <c r="B185" s="8"/>
      <c r="D185" s="8"/>
      <c r="F185" s="51"/>
      <c r="G185" s="90">
        <f>F185*'4.- Cotización Proyecto'!$H$4</f>
        <v>0</v>
      </c>
      <c r="H185" s="90">
        <f>E185*G185</f>
        <v>0</v>
      </c>
    </row>
    <row r="186" spans="1:9" ht="15" hidden="1" customHeight="1" outlineLevel="2" x14ac:dyDescent="0.25">
      <c r="B186" s="8"/>
      <c r="D186" s="8"/>
      <c r="F186" s="51"/>
      <c r="G186" s="90">
        <f>F186*'4.- Cotización Proyecto'!$H$4</f>
        <v>0</v>
      </c>
      <c r="H186" s="90">
        <f>E186*G186</f>
        <v>0</v>
      </c>
    </row>
    <row r="187" spans="1:9" ht="15" hidden="1" customHeight="1" outlineLevel="2" x14ac:dyDescent="0.25">
      <c r="B187" s="8"/>
      <c r="D187" s="8"/>
      <c r="F187" s="51"/>
      <c r="G187" s="90">
        <f>F187*'4.- Cotización Proyecto'!$H$4</f>
        <v>0</v>
      </c>
      <c r="H187" s="90">
        <f>E187*G187</f>
        <v>0</v>
      </c>
    </row>
    <row r="188" spans="1:9" ht="15" hidden="1" customHeight="1" outlineLevel="2" x14ac:dyDescent="0.25">
      <c r="B188" s="8"/>
      <c r="D188" s="11"/>
      <c r="E188" s="4"/>
      <c r="G188" s="90"/>
      <c r="H188" s="90"/>
    </row>
    <row r="189" spans="1:9" ht="15" hidden="1" customHeight="1" outlineLevel="2" x14ac:dyDescent="0.25">
      <c r="C189" s="57" t="s">
        <v>77</v>
      </c>
      <c r="E189" s="44">
        <v>0</v>
      </c>
      <c r="F189" s="53"/>
      <c r="G189" s="93">
        <f>+SUM(H183:H188)</f>
        <v>0</v>
      </c>
      <c r="H189" s="93">
        <f>+G189*E189</f>
        <v>0</v>
      </c>
    </row>
    <row r="190" spans="1:9" ht="15" hidden="1" customHeight="1" outlineLevel="2" thickBot="1" x14ac:dyDescent="0.3">
      <c r="C190" s="61"/>
      <c r="D190" s="62"/>
      <c r="E190" s="87"/>
      <c r="F190" s="64"/>
      <c r="G190" s="64"/>
      <c r="H190" s="64"/>
    </row>
    <row r="191" spans="1:9" ht="15" hidden="1" customHeight="1" outlineLevel="2" thickTop="1" x14ac:dyDescent="0.25">
      <c r="C191" s="72"/>
      <c r="F191" s="53"/>
      <c r="G191" s="92"/>
      <c r="H191" s="53"/>
    </row>
    <row r="192" spans="1:9" ht="15" hidden="1" customHeight="1" outlineLevel="2" x14ac:dyDescent="0.25">
      <c r="B192" s="68"/>
      <c r="C192" s="69" t="s">
        <v>122</v>
      </c>
      <c r="D192" s="68"/>
      <c r="E192" s="70"/>
      <c r="F192" s="71"/>
      <c r="G192" s="71"/>
      <c r="H192" s="71">
        <f>SUM(H183:H191)*(1+I192)</f>
        <v>0</v>
      </c>
      <c r="I192" s="108"/>
    </row>
    <row r="193" spans="1:10" ht="15" hidden="1" customHeight="1" outlineLevel="2" x14ac:dyDescent="0.25">
      <c r="C193" s="72" t="s">
        <v>88</v>
      </c>
      <c r="D193" s="73"/>
      <c r="E193" s="44">
        <v>0.05</v>
      </c>
      <c r="F193" s="53"/>
      <c r="G193" s="53">
        <f>+H192*E193</f>
        <v>0</v>
      </c>
      <c r="H193" s="53"/>
    </row>
    <row r="194" spans="1:10" ht="15" hidden="1" customHeight="1" outlineLevel="2" x14ac:dyDescent="0.25">
      <c r="C194" s="66" t="s">
        <v>89</v>
      </c>
      <c r="E194" s="44">
        <v>0.05</v>
      </c>
      <c r="F194" s="53"/>
      <c r="G194" s="53">
        <f>H192*E194</f>
        <v>0</v>
      </c>
      <c r="H194" s="53"/>
    </row>
    <row r="195" spans="1:10" ht="15" hidden="1" customHeight="1" outlineLevel="2" x14ac:dyDescent="0.25">
      <c r="C195" s="66" t="s">
        <v>90</v>
      </c>
      <c r="D195" s="43"/>
      <c r="E195" s="44">
        <v>0.35</v>
      </c>
      <c r="F195" s="53"/>
      <c r="G195" s="53">
        <f>G194*E195</f>
        <v>0</v>
      </c>
      <c r="H195" s="53"/>
    </row>
    <row r="196" spans="1:10" ht="15" hidden="1" customHeight="1" outlineLevel="2" x14ac:dyDescent="0.25">
      <c r="B196" s="68"/>
      <c r="C196" s="69" t="s">
        <v>123</v>
      </c>
      <c r="D196" s="76"/>
      <c r="E196" s="77"/>
      <c r="F196" s="78"/>
      <c r="G196" s="78"/>
      <c r="H196" s="78">
        <f>G193+G194+G195</f>
        <v>0</v>
      </c>
    </row>
    <row r="197" spans="1:10" ht="30" customHeight="1" outlineLevel="1" collapsed="1" thickBot="1" x14ac:dyDescent="0.3">
      <c r="B197" s="79"/>
      <c r="C197" s="80" t="str">
        <f>C182</f>
        <v>……</v>
      </c>
      <c r="D197" s="79"/>
      <c r="E197" s="81"/>
      <c r="F197" s="82"/>
      <c r="G197" s="82"/>
      <c r="H197" s="82">
        <f>H192+H196</f>
        <v>0</v>
      </c>
    </row>
    <row r="198" spans="1:10" ht="30" customHeight="1" x14ac:dyDescent="0.25">
      <c r="E198" s="44"/>
      <c r="F198" s="53"/>
      <c r="G198" s="53"/>
      <c r="H198" s="53"/>
    </row>
    <row r="199" spans="1:10" ht="30" customHeight="1" x14ac:dyDescent="0.25">
      <c r="A199" s="29">
        <v>5</v>
      </c>
      <c r="B199" s="38"/>
      <c r="C199" s="151" t="s">
        <v>100</v>
      </c>
      <c r="D199" s="151"/>
      <c r="E199" s="151"/>
      <c r="F199" s="151"/>
      <c r="G199" s="29"/>
      <c r="H199" s="30">
        <f>+H201+H206+H211+H216</f>
        <v>7093803.6430625003</v>
      </c>
    </row>
    <row r="200" spans="1:10" ht="26.25" hidden="1" customHeight="1" outlineLevel="1" x14ac:dyDescent="0.25">
      <c r="E200" s="4"/>
    </row>
    <row r="201" spans="1:10" ht="30" hidden="1" customHeight="1" outlineLevel="1" x14ac:dyDescent="0.25">
      <c r="A201" s="94" t="s">
        <v>114</v>
      </c>
      <c r="B201" s="150" t="str">
        <f>B8</f>
        <v>SOFTWARE Y HARDWARE</v>
      </c>
      <c r="C201" s="150"/>
      <c r="D201" s="94"/>
      <c r="E201" s="95"/>
      <c r="F201" s="96"/>
      <c r="G201" s="96"/>
      <c r="H201" s="96">
        <f>SUM(H202:H205)</f>
        <v>6853562.5055625001</v>
      </c>
      <c r="I201" s="96">
        <f>SUM(I202:I205)</f>
        <v>5194133.3659090903</v>
      </c>
      <c r="J201" s="96">
        <f>SUM(J202:J205)</f>
        <v>1659429.1396534091</v>
      </c>
    </row>
    <row r="202" spans="1:10" s="49" customFormat="1" ht="30" hidden="1" customHeight="1" outlineLevel="2" x14ac:dyDescent="0.25">
      <c r="B202" s="55">
        <v>1</v>
      </c>
      <c r="C202" s="97" t="str">
        <f>C10</f>
        <v>Software</v>
      </c>
      <c r="E202" s="55"/>
      <c r="F202" s="52"/>
      <c r="G202" s="52"/>
      <c r="H202" s="52">
        <f>+Soft_Total</f>
        <v>6842174.9759999998</v>
      </c>
      <c r="I202" s="98">
        <f>+Soft_ST11</f>
        <v>5183465.8909090906</v>
      </c>
      <c r="J202" s="98">
        <f>+Soft_FI11</f>
        <v>1658709.0850909092</v>
      </c>
    </row>
    <row r="203" spans="1:10" s="49" customFormat="1" ht="30" hidden="1" customHeight="1" outlineLevel="2" x14ac:dyDescent="0.25">
      <c r="B203" s="55">
        <v>2</v>
      </c>
      <c r="C203" s="97" t="str">
        <f>+C43</f>
        <v>Hardware</v>
      </c>
      <c r="E203" s="55"/>
      <c r="F203" s="52"/>
      <c r="G203" s="52"/>
      <c r="H203" s="52">
        <f>+Hard_Total</f>
        <v>11387.5295625</v>
      </c>
      <c r="I203" s="98">
        <f>+Hard_ST12</f>
        <v>10667.475</v>
      </c>
      <c r="J203" s="98">
        <f>+Hard_FI12</f>
        <v>720.05456250000009</v>
      </c>
    </row>
    <row r="204" spans="1:10" s="49" customFormat="1" ht="30" hidden="1" customHeight="1" outlineLevel="2" x14ac:dyDescent="0.25">
      <c r="B204" s="55"/>
      <c r="C204" s="97"/>
      <c r="E204" s="55"/>
      <c r="F204" s="52"/>
      <c r="G204" s="52"/>
      <c r="H204" s="52"/>
      <c r="I204" s="98"/>
      <c r="J204" s="98"/>
    </row>
    <row r="205" spans="1:10" s="49" customFormat="1" ht="30" hidden="1" customHeight="1" outlineLevel="2" x14ac:dyDescent="0.25">
      <c r="B205" s="55"/>
      <c r="C205" s="97"/>
      <c r="E205" s="55"/>
      <c r="F205" s="52"/>
      <c r="G205" s="52"/>
      <c r="H205" s="52"/>
      <c r="I205" s="98"/>
      <c r="J205" s="98"/>
    </row>
    <row r="206" spans="1:10" ht="30" hidden="1" customHeight="1" outlineLevel="1" collapsed="1" x14ac:dyDescent="0.25">
      <c r="A206" s="94" t="s">
        <v>115</v>
      </c>
      <c r="B206" s="150" t="str">
        <f>B76</f>
        <v>DOCUMENTACION</v>
      </c>
      <c r="C206" s="150"/>
      <c r="D206" s="94"/>
      <c r="E206" s="95"/>
      <c r="F206" s="96"/>
      <c r="G206" s="96"/>
      <c r="H206" s="96">
        <f>SUM(H207:H210)</f>
        <v>32033.137500000001</v>
      </c>
      <c r="I206" s="96">
        <f>SUM(I207:I210)</f>
        <v>28665</v>
      </c>
      <c r="J206" s="96">
        <f>SUM(J207:J210)</f>
        <v>3368.1374999999998</v>
      </c>
    </row>
    <row r="207" spans="1:10" s="49" customFormat="1" ht="30" hidden="1" customHeight="1" outlineLevel="2" x14ac:dyDescent="0.25">
      <c r="B207" s="55">
        <v>1</v>
      </c>
      <c r="C207" s="97" t="str">
        <f>+C78</f>
        <v>Documentación</v>
      </c>
      <c r="E207" s="55"/>
      <c r="F207" s="52"/>
      <c r="G207" s="52"/>
      <c r="H207" s="52">
        <f>Doc_Total</f>
        <v>32033.137500000001</v>
      </c>
      <c r="I207" s="98">
        <f>+Doc_ST21</f>
        <v>28665</v>
      </c>
      <c r="J207" s="98">
        <f>+Doc_FI21</f>
        <v>3368.1374999999998</v>
      </c>
    </row>
    <row r="208" spans="1:10" s="49" customFormat="1" ht="30" hidden="1" customHeight="1" outlineLevel="2" x14ac:dyDescent="0.25">
      <c r="B208" s="55"/>
      <c r="C208" s="97"/>
      <c r="E208" s="55"/>
      <c r="F208" s="52"/>
      <c r="G208" s="52"/>
      <c r="H208" s="52"/>
      <c r="I208" s="98"/>
      <c r="J208" s="98"/>
    </row>
    <row r="209" spans="1:11" s="49" customFormat="1" ht="30" hidden="1" customHeight="1" outlineLevel="2" x14ac:dyDescent="0.25">
      <c r="B209" s="55"/>
      <c r="C209" s="97"/>
      <c r="E209" s="55"/>
      <c r="F209" s="52"/>
      <c r="G209" s="52"/>
      <c r="H209" s="52"/>
      <c r="I209" s="98"/>
      <c r="J209" s="98"/>
    </row>
    <row r="210" spans="1:11" s="49" customFormat="1" ht="30" hidden="1" customHeight="1" outlineLevel="2" x14ac:dyDescent="0.25">
      <c r="B210" s="55"/>
      <c r="C210" s="97"/>
      <c r="E210" s="55"/>
      <c r="F210" s="52"/>
      <c r="G210" s="52"/>
      <c r="H210" s="52"/>
      <c r="I210" s="98"/>
      <c r="J210" s="98"/>
    </row>
    <row r="211" spans="1:11" ht="30" hidden="1" customHeight="1" outlineLevel="1" collapsed="1" x14ac:dyDescent="0.25">
      <c r="A211" s="94" t="s">
        <v>116</v>
      </c>
      <c r="B211" s="150" t="str">
        <f>B111</f>
        <v>SERVICIOS EXTERNOS</v>
      </c>
      <c r="C211" s="150"/>
      <c r="D211" s="94"/>
      <c r="E211" s="95"/>
      <c r="F211" s="96"/>
      <c r="G211" s="96"/>
      <c r="H211" s="96">
        <f>SUM(H212:H215)</f>
        <v>0</v>
      </c>
      <c r="I211" s="99">
        <f>SUM(I212:I215)</f>
        <v>0</v>
      </c>
      <c r="J211" s="99">
        <f>SUM(J212:J215)</f>
        <v>0</v>
      </c>
    </row>
    <row r="212" spans="1:11" s="49" customFormat="1" ht="30" hidden="1" customHeight="1" outlineLevel="2" x14ac:dyDescent="0.25">
      <c r="B212" s="55">
        <v>1</v>
      </c>
      <c r="C212" s="100" t="str">
        <f>C144</f>
        <v>Servicios Profesionales Externos</v>
      </c>
      <c r="E212" s="55"/>
      <c r="F212" s="52"/>
      <c r="G212" s="52"/>
      <c r="H212" s="52">
        <f>ServExt_Total</f>
        <v>0</v>
      </c>
      <c r="I212" s="98">
        <f>+ServExt_ST31</f>
        <v>0</v>
      </c>
      <c r="J212" s="98">
        <f>+ServExt_FI31</f>
        <v>0</v>
      </c>
    </row>
    <row r="213" spans="1:11" s="49" customFormat="1" ht="30" hidden="1" customHeight="1" outlineLevel="2" x14ac:dyDescent="0.25">
      <c r="B213" s="55"/>
      <c r="C213" s="100"/>
      <c r="E213" s="55"/>
      <c r="F213" s="52"/>
      <c r="G213" s="52"/>
      <c r="H213" s="52"/>
    </row>
    <row r="214" spans="1:11" s="49" customFormat="1" ht="30" hidden="1" customHeight="1" outlineLevel="2" x14ac:dyDescent="0.25">
      <c r="B214" s="55"/>
      <c r="C214" s="100"/>
      <c r="E214" s="55"/>
      <c r="F214" s="52"/>
      <c r="G214" s="52"/>
      <c r="H214" s="52"/>
    </row>
    <row r="215" spans="1:11" s="49" customFormat="1" ht="30" hidden="1" customHeight="1" outlineLevel="2" x14ac:dyDescent="0.25">
      <c r="B215" s="55"/>
      <c r="C215" s="100"/>
      <c r="E215" s="55"/>
      <c r="F215" s="52"/>
      <c r="G215" s="52"/>
      <c r="H215" s="52"/>
    </row>
    <row r="216" spans="1:11" ht="30" hidden="1" customHeight="1" outlineLevel="1" collapsed="1" x14ac:dyDescent="0.25">
      <c r="A216" s="94" t="s">
        <v>117</v>
      </c>
      <c r="B216" s="150" t="str">
        <f>B146</f>
        <v xml:space="preserve">VIATICOS </v>
      </c>
      <c r="C216" s="150"/>
      <c r="D216" s="94"/>
      <c r="E216" s="95"/>
      <c r="F216" s="96"/>
      <c r="G216" s="96"/>
      <c r="H216" s="96">
        <f>SUM(H217:H219)</f>
        <v>208208</v>
      </c>
      <c r="I216" s="99">
        <f>SUM(I217:I222)</f>
        <v>208208</v>
      </c>
      <c r="J216" s="99">
        <f>SUM(J217:J222)</f>
        <v>0</v>
      </c>
    </row>
    <row r="217" spans="1:11" ht="30" hidden="1" customHeight="1" outlineLevel="2" x14ac:dyDescent="0.25">
      <c r="A217" s="6"/>
      <c r="B217" s="8">
        <v>1</v>
      </c>
      <c r="C217" s="101" t="str">
        <f>C163</f>
        <v xml:space="preserve">Hospedaje </v>
      </c>
      <c r="D217" s="6"/>
      <c r="E217" s="3"/>
      <c r="F217" s="102"/>
      <c r="G217" s="102"/>
      <c r="H217" s="103">
        <f>Viaticos_Total1</f>
        <v>0</v>
      </c>
      <c r="I217" s="104">
        <f>+Viaticos_ST41</f>
        <v>0</v>
      </c>
      <c r="J217" s="104">
        <f>+Viaticos_FI41</f>
        <v>0</v>
      </c>
    </row>
    <row r="218" spans="1:11" ht="30" hidden="1" customHeight="1" outlineLevel="2" x14ac:dyDescent="0.25">
      <c r="B218" s="8">
        <v>2</v>
      </c>
      <c r="C218" s="101" t="str">
        <f>C180</f>
        <v>Movilidad</v>
      </c>
      <c r="F218" s="53"/>
      <c r="G218" s="53"/>
      <c r="H218" s="53">
        <f>Viaticos_Total2</f>
        <v>208208</v>
      </c>
      <c r="I218" s="104">
        <f>+Viaticos_ST42</f>
        <v>208208</v>
      </c>
      <c r="J218" s="104">
        <f>+Viaticos_FI42</f>
        <v>0</v>
      </c>
    </row>
    <row r="219" spans="1:11" ht="30" hidden="1" customHeight="1" outlineLevel="2" x14ac:dyDescent="0.25">
      <c r="B219" s="8">
        <v>3</v>
      </c>
      <c r="C219" s="101" t="str">
        <f>C197</f>
        <v>……</v>
      </c>
      <c r="F219" s="53"/>
      <c r="G219" s="53"/>
      <c r="H219" s="53">
        <f>Viaticos_Total3</f>
        <v>0</v>
      </c>
      <c r="I219" s="104">
        <f>+Viaticos_ST43</f>
        <v>0</v>
      </c>
      <c r="J219" s="104">
        <f>+Viaticos_FI43</f>
        <v>0</v>
      </c>
    </row>
    <row r="220" spans="1:11" ht="30" hidden="1" customHeight="1" outlineLevel="2" x14ac:dyDescent="0.25">
      <c r="B220" s="8"/>
      <c r="C220" s="101"/>
      <c r="F220" s="53"/>
      <c r="G220" s="53"/>
      <c r="H220" s="53"/>
      <c r="I220" s="104"/>
      <c r="J220" s="104"/>
    </row>
    <row r="221" spans="1:11" ht="30" hidden="1" customHeight="1" outlineLevel="1" collapsed="1" x14ac:dyDescent="0.25">
      <c r="B221" s="8"/>
      <c r="C221" s="101"/>
      <c r="F221" s="53"/>
      <c r="G221" s="53"/>
      <c r="H221" s="53"/>
      <c r="I221" s="104"/>
      <c r="J221" s="104"/>
    </row>
    <row r="222" spans="1:11" ht="30" customHeight="1" collapsed="1" thickBot="1" x14ac:dyDescent="0.3">
      <c r="B222" s="61"/>
      <c r="C222" s="61"/>
      <c r="D222" s="62"/>
      <c r="E222" s="61"/>
      <c r="F222" s="64"/>
      <c r="G222" s="64"/>
      <c r="H222" s="61"/>
      <c r="I222" s="48"/>
      <c r="J222" s="48"/>
      <c r="K222" s="48"/>
    </row>
    <row r="223" spans="1:11" ht="12" customHeight="1" thickTop="1" x14ac:dyDescent="0.25">
      <c r="B223" s="65"/>
      <c r="C223" s="66"/>
      <c r="D223" s="65"/>
      <c r="E223" s="17"/>
      <c r="F223" s="67"/>
      <c r="G223" s="67"/>
      <c r="H223" s="67"/>
    </row>
    <row r="224" spans="1:11" ht="24" customHeight="1" x14ac:dyDescent="0.25">
      <c r="B224" s="68"/>
      <c r="C224" s="69" t="s">
        <v>101</v>
      </c>
      <c r="D224" s="68"/>
      <c r="E224" s="70"/>
      <c r="F224" s="71"/>
      <c r="G224" s="71"/>
      <c r="H224" s="71">
        <f>+Resumen</f>
        <v>7093803.6430625003</v>
      </c>
    </row>
    <row r="225" spans="2:14" x14ac:dyDescent="0.25">
      <c r="C225" s="72" t="s">
        <v>102</v>
      </c>
      <c r="E225" s="74">
        <v>3.5999999999999997E-2</v>
      </c>
      <c r="F225" s="53"/>
      <c r="G225" s="53">
        <f>H224*E225</f>
        <v>255376.93115024999</v>
      </c>
      <c r="H225" s="53"/>
      <c r="I225" s="48"/>
    </row>
    <row r="226" spans="2:14" x14ac:dyDescent="0.25">
      <c r="C226" s="72" t="s">
        <v>177</v>
      </c>
      <c r="E226" s="74">
        <v>0.03</v>
      </c>
      <c r="F226" s="53"/>
      <c r="G226" s="53">
        <f>+H224*E226</f>
        <v>212814.10929187501</v>
      </c>
      <c r="H226" s="53"/>
      <c r="I226" s="48"/>
    </row>
    <row r="227" spans="2:14" ht="30" customHeight="1" thickBot="1" x14ac:dyDescent="0.3">
      <c r="B227" s="109"/>
      <c r="C227" s="110" t="s">
        <v>103</v>
      </c>
      <c r="D227" s="109"/>
      <c r="E227" s="111"/>
      <c r="F227" s="112"/>
      <c r="G227" s="112"/>
      <c r="H227" s="112">
        <f>H224+G225+G226</f>
        <v>7561994.6835046252</v>
      </c>
      <c r="I227" s="113">
        <f>H227/TC</f>
        <v>66479.074140700002</v>
      </c>
      <c r="J227" s="41">
        <v>66480</v>
      </c>
      <c r="L227" s="53"/>
      <c r="M227" s="53"/>
      <c r="N227" s="48"/>
    </row>
    <row r="228" spans="2:14" x14ac:dyDescent="0.25">
      <c r="E228" s="4"/>
      <c r="K228" s="48"/>
      <c r="L228" s="48"/>
      <c r="M228" s="48"/>
    </row>
    <row r="229" spans="2:14" x14ac:dyDescent="0.25">
      <c r="C229" s="6" t="s">
        <v>104</v>
      </c>
      <c r="D229" s="6"/>
      <c r="E229" s="3"/>
      <c r="F229" s="6"/>
      <c r="G229" s="6"/>
      <c r="H229" s="105">
        <f>SUM(J201,J206,J211,J216)</f>
        <v>1662797.2771534091</v>
      </c>
      <c r="I229" s="41">
        <f>+FIObra_ARS/TC</f>
        <v>14617.998040909091</v>
      </c>
      <c r="K229" s="53"/>
      <c r="L229" s="48"/>
      <c r="M229" s="48"/>
    </row>
    <row r="231" spans="2:14" x14ac:dyDescent="0.25">
      <c r="K231" s="48"/>
      <c r="L231" s="48"/>
    </row>
    <row r="233" spans="2:14" x14ac:dyDescent="0.25">
      <c r="K233" s="53"/>
    </row>
  </sheetData>
  <mergeCells count="16">
    <mergeCell ref="B211:C211"/>
    <mergeCell ref="B216:C216"/>
    <mergeCell ref="C199:F199"/>
    <mergeCell ref="B206:C206"/>
    <mergeCell ref="G2:H2"/>
    <mergeCell ref="A2:C2"/>
    <mergeCell ref="D2:F2"/>
    <mergeCell ref="B146:F146"/>
    <mergeCell ref="B201:C201"/>
    <mergeCell ref="B111:F111"/>
    <mergeCell ref="C113:E113"/>
    <mergeCell ref="B8:F8"/>
    <mergeCell ref="C10:E10"/>
    <mergeCell ref="B76:F76"/>
    <mergeCell ref="C78:E78"/>
    <mergeCell ref="C43:E43"/>
  </mergeCells>
  <conditionalFormatting sqref="I36">
    <cfRule type="cellIs" dxfId="5" priority="15" operator="lessThan">
      <formula>0</formula>
    </cfRule>
    <cfRule type="cellIs" dxfId="4" priority="16" operator="greaterThan">
      <formula>0</formula>
    </cfRule>
  </conditionalFormatting>
  <conditionalFormatting sqref="I104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I69">
    <cfRule type="cellIs" dxfId="1" priority="3" operator="lessThan">
      <formula>0</formula>
    </cfRule>
    <cfRule type="cellIs" dxfId="0" priority="4" operator="greaterThan">
      <formula>0</formula>
    </cfRule>
  </conditionalFormatting>
  <pageMargins left="0.39370078740157483" right="0.19685039370078741" top="0.74803149606299213" bottom="0.74803149606299213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35</vt:i4>
      </vt:variant>
    </vt:vector>
  </HeadingPairs>
  <TitlesOfParts>
    <vt:vector size="42" baseType="lpstr">
      <vt:lpstr>1.- RQ del Cliente</vt:lpstr>
      <vt:lpstr>Elio_1</vt:lpstr>
      <vt:lpstr>2.- Entregables del Soft</vt:lpstr>
      <vt:lpstr>Elio_2</vt:lpstr>
      <vt:lpstr>3.- Medición del Soft</vt:lpstr>
      <vt:lpstr>Elio_3</vt:lpstr>
      <vt:lpstr>4.- Cotización Proyecto</vt:lpstr>
      <vt:lpstr>Cantidad_Colaboradores</vt:lpstr>
      <vt:lpstr>Costo_Colaborador</vt:lpstr>
      <vt:lpstr>Costo_Soft</vt:lpstr>
      <vt:lpstr>Días_Laborales_Al_Mes</vt:lpstr>
      <vt:lpstr>Doc_FI21</vt:lpstr>
      <vt:lpstr>Doc_ST21</vt:lpstr>
      <vt:lpstr>Doc_Total</vt:lpstr>
      <vt:lpstr>FIObra_ARS</vt:lpstr>
      <vt:lpstr>FIObra_USD</vt:lpstr>
      <vt:lpstr>Hard_FI12</vt:lpstr>
      <vt:lpstr>Hard_ST12</vt:lpstr>
      <vt:lpstr>Hard_Total</vt:lpstr>
      <vt:lpstr>Horas_Soft</vt:lpstr>
      <vt:lpstr>Hs_Diarias_Laborales</vt:lpstr>
      <vt:lpstr>IIBB</vt:lpstr>
      <vt:lpstr>Resumen</vt:lpstr>
      <vt:lpstr>ServExt_FI31</vt:lpstr>
      <vt:lpstr>ServExt_ST31</vt:lpstr>
      <vt:lpstr>ServExt_Total</vt:lpstr>
      <vt:lpstr>Soft_FI11</vt:lpstr>
      <vt:lpstr>Soft_ST11</vt:lpstr>
      <vt:lpstr>Soft_Total</vt:lpstr>
      <vt:lpstr>Tasa_de_Entrega</vt:lpstr>
      <vt:lpstr>TC</vt:lpstr>
      <vt:lpstr>TotalObra_ARS</vt:lpstr>
      <vt:lpstr>TotalObra_USD</vt:lpstr>
      <vt:lpstr>Viaticos_FI41</vt:lpstr>
      <vt:lpstr>Viaticos_FI42</vt:lpstr>
      <vt:lpstr>Viaticos_FI43</vt:lpstr>
      <vt:lpstr>Viaticos_ST41</vt:lpstr>
      <vt:lpstr>Viaticos_ST42</vt:lpstr>
      <vt:lpstr>Viaticos_ST43</vt:lpstr>
      <vt:lpstr>Viaticos_Total1</vt:lpstr>
      <vt:lpstr>Viaticos_Total2</vt:lpstr>
      <vt:lpstr>Viaticos_Total3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Emilio Ryan</cp:lastModifiedBy>
  <cp:lastPrinted>2014-10-16T17:27:06Z</cp:lastPrinted>
  <dcterms:created xsi:type="dcterms:W3CDTF">2012-09-02T03:53:17Z</dcterms:created>
  <dcterms:modified xsi:type="dcterms:W3CDTF">2022-04-18T16:16:22Z</dcterms:modified>
</cp:coreProperties>
</file>