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Emilio Ryan\Documents\MILIO\PMO\Templates\Carpeta Proyectos\xx Cliente\Ixxx-xxxx - Descripción\InnTech\Ingeniería\Memorias Técnicas\Informes\"/>
    </mc:Choice>
  </mc:AlternateContent>
  <bookViews>
    <workbookView xWindow="-105" yWindow="-105" windowWidth="22695" windowHeight="14595" tabRatio="672"/>
  </bookViews>
  <sheets>
    <sheet name="CAD" sheetId="60" r:id="rId1"/>
    <sheet name="EQU" sheetId="104" r:id="rId2"/>
    <sheet name="CAR" sheetId="105" r:id="rId3"/>
    <sheet name="SCR" sheetId="101" r:id="rId4"/>
    <sheet name="SPR" sheetId="106" r:id="rId5"/>
    <sheet name="REL" sheetId="102" r:id="rId6"/>
    <sheet name="DEI" sheetId="107" r:id="rId7"/>
    <sheet name="DAS" sheetId="103" r:id="rId8"/>
    <sheet name="PVR" sheetId="108" r:id="rId9"/>
    <sheet name="TIP" sheetId="109" r:id="rId10"/>
    <sheet name="INI" sheetId="11" r:id="rId11"/>
    <sheet name="DUV" sheetId="52" r:id="rId12"/>
  </sheets>
  <definedNames>
    <definedName name="_xlnm._FilterDatabase" localSheetId="0" hidden="1">CAD!$C$4:$E$106</definedName>
    <definedName name="_xlnm._FilterDatabase" localSheetId="2" hidden="1">CAR!$C$4:$C$10</definedName>
    <definedName name="_xlnm._FilterDatabase" localSheetId="6" hidden="1">DEI!$C$6:$F$58</definedName>
    <definedName name="_xlnm._FilterDatabase" localSheetId="1" hidden="1">EQU!$C$4:$E$14</definedName>
    <definedName name="_xlnm._FilterDatabase" localSheetId="5" hidden="1">REL!$C$4:$F$56</definedName>
    <definedName name="_xlnm._FilterDatabase" localSheetId="3" hidden="1">SCR!$C$4:$I$24</definedName>
    <definedName name="_xlnm._FilterDatabase" localSheetId="4" hidden="1">SPR!$C$4:$J$20</definedName>
    <definedName name="Codigo_Proyecto">CAD!$D$4</definedName>
    <definedName name="Duracion_Proyecto">CAD!$D$10</definedName>
    <definedName name="Empleado">DEI!$E$4</definedName>
    <definedName name="Funcionario">OFFSET(DAS!$J$16,0,0,COUNT(DAS!$I$16:$I$65),1)</definedName>
    <definedName name="Funcionario2">OFFSET(DAS!$K$16,0,0,COUNT(DAS!$I$16:$I$65),1)</definedName>
    <definedName name="Objetivo_Proyecto">CAD!$D$8</definedName>
    <definedName name="Puntos_Totales">DAS!$C$5</definedName>
    <definedName name="RealizadosPorSemana">OFFSET(DAS!$G$19,0,0,COUNT(DAS!$G$19:$G$118),1)</definedName>
    <definedName name="TotalPorHacer">OFFSET(DAS!$E$19,0,0,COUNT(DAS!$E$19:$E$118),1)</definedName>
  </definedNames>
  <calcPr calcId="162913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09" l="1"/>
  <c r="C26" i="109"/>
  <c r="E38" i="109"/>
  <c r="C23" i="109"/>
  <c r="E37" i="109"/>
  <c r="C20" i="109"/>
  <c r="E36" i="109"/>
  <c r="C17" i="109"/>
  <c r="E35" i="109"/>
  <c r="C14" i="109"/>
  <c r="E34" i="109"/>
  <c r="C11" i="109"/>
  <c r="E33" i="109"/>
  <c r="C8" i="109"/>
  <c r="E32" i="109"/>
  <c r="C5" i="109"/>
  <c r="E40" i="109"/>
  <c r="E41" i="109"/>
  <c r="E42" i="109"/>
  <c r="E43" i="109"/>
  <c r="E44" i="109"/>
  <c r="E45" i="109"/>
  <c r="E46" i="109"/>
  <c r="H5" i="101"/>
  <c r="H6" i="101"/>
  <c r="H7" i="101"/>
  <c r="H8" i="101"/>
  <c r="H9" i="101"/>
  <c r="H10" i="101"/>
  <c r="H11" i="101"/>
  <c r="H12" i="101"/>
  <c r="H13" i="101"/>
  <c r="H14" i="101"/>
  <c r="H15" i="101"/>
  <c r="H16" i="101"/>
  <c r="H17" i="101"/>
  <c r="H18" i="101"/>
  <c r="H19" i="101"/>
  <c r="H20" i="101"/>
  <c r="H21" i="101"/>
  <c r="H22" i="101"/>
  <c r="H23" i="101"/>
  <c r="H24" i="101"/>
  <c r="H25" i="101"/>
  <c r="H26" i="101"/>
  <c r="H27" i="101"/>
  <c r="H28" i="101"/>
  <c r="H29" i="101"/>
  <c r="H30" i="101"/>
  <c r="H31" i="101"/>
  <c r="H32" i="101"/>
  <c r="H33" i="101"/>
  <c r="H34" i="101"/>
  <c r="H35" i="101"/>
  <c r="H36" i="101"/>
  <c r="H37" i="101"/>
  <c r="H38" i="101"/>
  <c r="H39" i="101"/>
  <c r="H40" i="101"/>
  <c r="H41" i="101"/>
  <c r="H42" i="101"/>
  <c r="H43" i="101"/>
  <c r="H44" i="101"/>
  <c r="H45" i="101"/>
  <c r="H46" i="101"/>
  <c r="H47" i="101"/>
  <c r="H48" i="101"/>
  <c r="H49" i="101"/>
  <c r="H50" i="101"/>
  <c r="H51" i="101"/>
  <c r="H52" i="101"/>
  <c r="H53" i="101"/>
  <c r="H54" i="101"/>
  <c r="H55" i="101"/>
  <c r="H56" i="101"/>
  <c r="H57" i="101"/>
  <c r="H58" i="101"/>
  <c r="H59" i="101"/>
  <c r="H60" i="101"/>
  <c r="H61" i="101"/>
  <c r="H62" i="101"/>
  <c r="H63" i="101"/>
  <c r="H64" i="101"/>
  <c r="E5" i="108"/>
  <c r="C25" i="109"/>
  <c r="C22" i="109"/>
  <c r="C19" i="109"/>
  <c r="C16" i="109"/>
  <c r="C13" i="109"/>
  <c r="C10" i="109"/>
  <c r="C7" i="109"/>
  <c r="C4" i="109"/>
  <c r="J16" i="103"/>
  <c r="G5" i="106"/>
  <c r="G6" i="106"/>
  <c r="G10" i="106"/>
  <c r="G13" i="106"/>
  <c r="G7" i="106"/>
  <c r="G8" i="106"/>
  <c r="G9" i="106"/>
  <c r="G11" i="106"/>
  <c r="G12" i="106"/>
  <c r="G14" i="106"/>
  <c r="G15" i="106"/>
  <c r="G16" i="106"/>
  <c r="G17" i="106"/>
  <c r="G18" i="106"/>
  <c r="G19" i="106"/>
  <c r="G20" i="106"/>
  <c r="G21" i="106"/>
  <c r="G22" i="106"/>
  <c r="G23" i="106"/>
  <c r="G24" i="106"/>
  <c r="G25" i="106"/>
  <c r="G26" i="106"/>
  <c r="G27" i="106"/>
  <c r="G28" i="106"/>
  <c r="G29" i="106"/>
  <c r="G30" i="106"/>
  <c r="G31" i="106"/>
  <c r="G32" i="106"/>
  <c r="G33" i="106"/>
  <c r="G34" i="106"/>
  <c r="G35" i="106"/>
  <c r="G36" i="106"/>
  <c r="G37" i="106"/>
  <c r="G38" i="106"/>
  <c r="G39" i="106"/>
  <c r="G40" i="106"/>
  <c r="G41" i="106"/>
  <c r="G42" i="106"/>
  <c r="G43" i="106"/>
  <c r="G44" i="106"/>
  <c r="G45" i="106"/>
  <c r="G46" i="106"/>
  <c r="G47" i="106"/>
  <c r="G48" i="106"/>
  <c r="G49" i="106"/>
  <c r="G50" i="106"/>
  <c r="G51" i="106"/>
  <c r="G52" i="106"/>
  <c r="G53" i="106"/>
  <c r="G54" i="106"/>
  <c r="G55" i="106"/>
  <c r="G56" i="106"/>
  <c r="G57" i="106"/>
  <c r="G58" i="106"/>
  <c r="G59" i="106"/>
  <c r="G60" i="106"/>
  <c r="G61" i="106"/>
  <c r="G62" i="106"/>
  <c r="G63" i="106"/>
  <c r="G64" i="106"/>
  <c r="K16" i="103"/>
  <c r="J65" i="103"/>
  <c r="K65" i="103"/>
  <c r="I65" i="103"/>
  <c r="J64" i="103"/>
  <c r="K64" i="103"/>
  <c r="I64" i="103"/>
  <c r="J63" i="103"/>
  <c r="K63" i="103"/>
  <c r="I63" i="103"/>
  <c r="J62" i="103"/>
  <c r="K62" i="103"/>
  <c r="I62" i="103"/>
  <c r="J61" i="103"/>
  <c r="K61" i="103"/>
  <c r="I61" i="103"/>
  <c r="J60" i="103"/>
  <c r="K60" i="103"/>
  <c r="I60" i="103"/>
  <c r="J59" i="103"/>
  <c r="K59" i="103"/>
  <c r="I59" i="103"/>
  <c r="J58" i="103"/>
  <c r="K58" i="103"/>
  <c r="I58" i="103"/>
  <c r="J57" i="103"/>
  <c r="K57" i="103"/>
  <c r="I57" i="103"/>
  <c r="J56" i="103"/>
  <c r="K56" i="103"/>
  <c r="I56" i="103"/>
  <c r="J55" i="103"/>
  <c r="K55" i="103"/>
  <c r="I55" i="103"/>
  <c r="J54" i="103"/>
  <c r="K54" i="103"/>
  <c r="I54" i="103"/>
  <c r="J53" i="103"/>
  <c r="K53" i="103"/>
  <c r="I53" i="103"/>
  <c r="J52" i="103"/>
  <c r="K52" i="103"/>
  <c r="I52" i="103"/>
  <c r="J51" i="103"/>
  <c r="K51" i="103"/>
  <c r="I51" i="103"/>
  <c r="J50" i="103"/>
  <c r="K50" i="103"/>
  <c r="I50" i="103"/>
  <c r="J49" i="103"/>
  <c r="K49" i="103"/>
  <c r="I49" i="103"/>
  <c r="J48" i="103"/>
  <c r="K48" i="103"/>
  <c r="I48" i="103"/>
  <c r="J47" i="103"/>
  <c r="K47" i="103"/>
  <c r="I47" i="103"/>
  <c r="J46" i="103"/>
  <c r="K46" i="103"/>
  <c r="I46" i="103"/>
  <c r="J45" i="103"/>
  <c r="K45" i="103"/>
  <c r="I45" i="103"/>
  <c r="J44" i="103"/>
  <c r="K44" i="103"/>
  <c r="I44" i="103"/>
  <c r="J43" i="103"/>
  <c r="K43" i="103"/>
  <c r="I43" i="103"/>
  <c r="J42" i="103"/>
  <c r="K42" i="103"/>
  <c r="I42" i="103"/>
  <c r="J41" i="103"/>
  <c r="K41" i="103"/>
  <c r="I41" i="103"/>
  <c r="J40" i="103"/>
  <c r="K40" i="103"/>
  <c r="I40" i="103"/>
  <c r="J39" i="103"/>
  <c r="K39" i="103"/>
  <c r="I39" i="103"/>
  <c r="J38" i="103"/>
  <c r="K38" i="103"/>
  <c r="I38" i="103"/>
  <c r="J37" i="103"/>
  <c r="K37" i="103"/>
  <c r="I37" i="103"/>
  <c r="J36" i="103"/>
  <c r="K36" i="103"/>
  <c r="I36" i="103"/>
  <c r="J35" i="103"/>
  <c r="K35" i="103"/>
  <c r="I35" i="103"/>
  <c r="J34" i="103"/>
  <c r="K34" i="103"/>
  <c r="I34" i="103"/>
  <c r="J33" i="103"/>
  <c r="K33" i="103"/>
  <c r="I33" i="103"/>
  <c r="J32" i="103"/>
  <c r="K32" i="103"/>
  <c r="I32" i="103"/>
  <c r="J31" i="103"/>
  <c r="K31" i="103"/>
  <c r="I31" i="103"/>
  <c r="J30" i="103"/>
  <c r="K30" i="103"/>
  <c r="I30" i="103"/>
  <c r="J29" i="103"/>
  <c r="K29" i="103"/>
  <c r="I29" i="103"/>
  <c r="J28" i="103"/>
  <c r="K28" i="103"/>
  <c r="I28" i="103"/>
  <c r="J27" i="103"/>
  <c r="K27" i="103"/>
  <c r="I27" i="103"/>
  <c r="J26" i="103"/>
  <c r="K26" i="103"/>
  <c r="I26" i="103"/>
  <c r="J25" i="103"/>
  <c r="K25" i="103"/>
  <c r="J24" i="103"/>
  <c r="J23" i="103"/>
  <c r="J22" i="103"/>
  <c r="J21" i="103"/>
  <c r="J20" i="103"/>
  <c r="J19" i="103"/>
  <c r="J18" i="103"/>
  <c r="J17" i="103"/>
  <c r="I16" i="103"/>
  <c r="I17" i="103"/>
  <c r="I18" i="103"/>
  <c r="I19" i="103"/>
  <c r="I20" i="103"/>
  <c r="I21" i="103"/>
  <c r="I22" i="103"/>
  <c r="I23" i="103"/>
  <c r="I24" i="103"/>
  <c r="I25" i="103"/>
  <c r="K24" i="103"/>
  <c r="K23" i="103"/>
  <c r="K22" i="103"/>
  <c r="K21" i="103"/>
  <c r="K20" i="103"/>
  <c r="K19" i="103"/>
  <c r="K18" i="103"/>
  <c r="K17" i="103"/>
  <c r="C19" i="103"/>
  <c r="C20" i="103"/>
  <c r="C21" i="103"/>
  <c r="C22" i="103"/>
  <c r="C23" i="103"/>
  <c r="C24" i="103"/>
  <c r="D24" i="103"/>
  <c r="E24" i="103"/>
  <c r="D20" i="103"/>
  <c r="C5" i="103"/>
  <c r="E19" i="103"/>
  <c r="D19" i="103"/>
  <c r="G19" i="103"/>
  <c r="E20" i="103"/>
  <c r="G20" i="103"/>
  <c r="D21" i="103"/>
  <c r="G21" i="103"/>
  <c r="D22" i="103"/>
  <c r="G22" i="103"/>
  <c r="D23" i="103"/>
  <c r="G23" i="103"/>
  <c r="G24" i="103"/>
  <c r="C25" i="103"/>
  <c r="D25" i="103"/>
  <c r="G25" i="103"/>
  <c r="C26" i="103"/>
  <c r="D26" i="103"/>
  <c r="G26" i="103"/>
  <c r="C27" i="103"/>
  <c r="D27" i="103"/>
  <c r="G27" i="103"/>
  <c r="C28" i="103"/>
  <c r="D28" i="103"/>
  <c r="G28" i="103"/>
  <c r="C29" i="103"/>
  <c r="D29" i="103"/>
  <c r="G29" i="103"/>
  <c r="C30" i="103"/>
  <c r="D30" i="103"/>
  <c r="G30" i="103"/>
  <c r="C31" i="103"/>
  <c r="D31" i="103"/>
  <c r="G31" i="103"/>
  <c r="C32" i="103"/>
  <c r="D32" i="103"/>
  <c r="G32" i="103"/>
  <c r="C33" i="103"/>
  <c r="D33" i="103"/>
  <c r="G33" i="103"/>
  <c r="C34" i="103"/>
  <c r="D34" i="103"/>
  <c r="G34" i="103"/>
  <c r="C35" i="103"/>
  <c r="D35" i="103"/>
  <c r="G35" i="103"/>
  <c r="C36" i="103"/>
  <c r="D36" i="103"/>
  <c r="G36" i="103"/>
  <c r="C37" i="103"/>
  <c r="D37" i="103"/>
  <c r="G37" i="103"/>
  <c r="C38" i="103"/>
  <c r="D38" i="103"/>
  <c r="G38" i="103"/>
  <c r="C39" i="103"/>
  <c r="D39" i="103"/>
  <c r="G39" i="103"/>
  <c r="C40" i="103"/>
  <c r="D40" i="103"/>
  <c r="G40" i="103"/>
  <c r="C41" i="103"/>
  <c r="D41" i="103"/>
  <c r="G41" i="103"/>
  <c r="C42" i="103"/>
  <c r="D42" i="103"/>
  <c r="G42" i="103"/>
  <c r="C43" i="103"/>
  <c r="D43" i="103"/>
  <c r="G43" i="103"/>
  <c r="C44" i="103"/>
  <c r="D44" i="103"/>
  <c r="G44" i="103"/>
  <c r="C45" i="103"/>
  <c r="D45" i="103"/>
  <c r="G45" i="103"/>
  <c r="C46" i="103"/>
  <c r="D46" i="103"/>
  <c r="G46" i="103"/>
  <c r="C47" i="103"/>
  <c r="D47" i="103"/>
  <c r="G47" i="103"/>
  <c r="C48" i="103"/>
  <c r="D48" i="103"/>
  <c r="G48" i="103"/>
  <c r="C49" i="103"/>
  <c r="D49" i="103"/>
  <c r="G49" i="103"/>
  <c r="C50" i="103"/>
  <c r="D50" i="103"/>
  <c r="G50" i="103"/>
  <c r="C51" i="103"/>
  <c r="D51" i="103"/>
  <c r="G51" i="103"/>
  <c r="C52" i="103"/>
  <c r="D52" i="103"/>
  <c r="G52" i="103"/>
  <c r="C53" i="103"/>
  <c r="D53" i="103"/>
  <c r="G53" i="103"/>
  <c r="C54" i="103"/>
  <c r="D54" i="103"/>
  <c r="G54" i="103"/>
  <c r="C55" i="103"/>
  <c r="D55" i="103"/>
  <c r="G55" i="103"/>
  <c r="C56" i="103"/>
  <c r="D56" i="103"/>
  <c r="G56" i="103"/>
  <c r="C57" i="103"/>
  <c r="D57" i="103"/>
  <c r="G57" i="103"/>
  <c r="C58" i="103"/>
  <c r="D58" i="103"/>
  <c r="G58" i="103"/>
  <c r="C59" i="103"/>
  <c r="D59" i="103"/>
  <c r="G59" i="103"/>
  <c r="C60" i="103"/>
  <c r="D60" i="103"/>
  <c r="G60" i="103"/>
  <c r="C61" i="103"/>
  <c r="D61" i="103"/>
  <c r="G61" i="103"/>
  <c r="C62" i="103"/>
  <c r="D62" i="103"/>
  <c r="G62" i="103"/>
  <c r="C63" i="103"/>
  <c r="D63" i="103"/>
  <c r="G63" i="103"/>
  <c r="C64" i="103"/>
  <c r="D64" i="103"/>
  <c r="G64" i="103"/>
  <c r="C65" i="103"/>
  <c r="D65" i="103"/>
  <c r="G65" i="103"/>
  <c r="C66" i="103"/>
  <c r="D66" i="103"/>
  <c r="G66" i="103"/>
  <c r="C67" i="103"/>
  <c r="D67" i="103"/>
  <c r="G67" i="103"/>
  <c r="C68" i="103"/>
  <c r="D68" i="103"/>
  <c r="G68" i="103"/>
  <c r="C69" i="103"/>
  <c r="D69" i="103"/>
  <c r="G69" i="103"/>
  <c r="C70" i="103"/>
  <c r="D70" i="103"/>
  <c r="G70" i="103"/>
  <c r="C71" i="103"/>
  <c r="D71" i="103"/>
  <c r="G71" i="103"/>
  <c r="C72" i="103"/>
  <c r="D72" i="103"/>
  <c r="G72" i="103"/>
  <c r="C73" i="103"/>
  <c r="D73" i="103"/>
  <c r="G73" i="103"/>
  <c r="C74" i="103"/>
  <c r="D74" i="103"/>
  <c r="G74" i="103"/>
  <c r="C75" i="103"/>
  <c r="D75" i="103"/>
  <c r="G75" i="103"/>
  <c r="C76" i="103"/>
  <c r="D76" i="103"/>
  <c r="G76" i="103"/>
  <c r="C77" i="103"/>
  <c r="D77" i="103"/>
  <c r="G77" i="103"/>
  <c r="C78" i="103"/>
  <c r="D78" i="103"/>
  <c r="G78" i="103"/>
  <c r="C79" i="103"/>
  <c r="D79" i="103"/>
  <c r="G79" i="103"/>
  <c r="C80" i="103"/>
  <c r="D80" i="103"/>
  <c r="G80" i="103"/>
  <c r="C81" i="103"/>
  <c r="D81" i="103"/>
  <c r="G81" i="103"/>
  <c r="C82" i="103"/>
  <c r="D82" i="103"/>
  <c r="G82" i="103"/>
  <c r="C83" i="103"/>
  <c r="D83" i="103"/>
  <c r="G83" i="103"/>
  <c r="C84" i="103"/>
  <c r="D84" i="103"/>
  <c r="G84" i="103"/>
  <c r="C85" i="103"/>
  <c r="D85" i="103"/>
  <c r="G85" i="103"/>
  <c r="C86" i="103"/>
  <c r="D86" i="103"/>
  <c r="G86" i="103"/>
  <c r="C87" i="103"/>
  <c r="D87" i="103"/>
  <c r="G87" i="103"/>
  <c r="C88" i="103"/>
  <c r="D88" i="103"/>
  <c r="G88" i="103"/>
  <c r="C89" i="103"/>
  <c r="D89" i="103"/>
  <c r="G89" i="103"/>
  <c r="C90" i="103"/>
  <c r="D90" i="103"/>
  <c r="G90" i="103"/>
  <c r="C91" i="103"/>
  <c r="D91" i="103"/>
  <c r="G91" i="103"/>
  <c r="C92" i="103"/>
  <c r="D92" i="103"/>
  <c r="G92" i="103"/>
  <c r="C93" i="103"/>
  <c r="D93" i="103"/>
  <c r="G93" i="103"/>
  <c r="C94" i="103"/>
  <c r="D94" i="103"/>
  <c r="G94" i="103"/>
  <c r="C95" i="103"/>
  <c r="D95" i="103"/>
  <c r="G95" i="103"/>
  <c r="C96" i="103"/>
  <c r="D96" i="103"/>
  <c r="G96" i="103"/>
  <c r="C97" i="103"/>
  <c r="D97" i="103"/>
  <c r="G97" i="103"/>
  <c r="C98" i="103"/>
  <c r="D98" i="103"/>
  <c r="G98" i="103"/>
  <c r="C99" i="103"/>
  <c r="D99" i="103"/>
  <c r="G99" i="103"/>
  <c r="C100" i="103"/>
  <c r="D100" i="103"/>
  <c r="G100" i="103"/>
  <c r="C101" i="103"/>
  <c r="D101" i="103"/>
  <c r="G101" i="103"/>
  <c r="C102" i="103"/>
  <c r="D102" i="103"/>
  <c r="G102" i="103"/>
  <c r="C103" i="103"/>
  <c r="D103" i="103"/>
  <c r="G103" i="103"/>
  <c r="C104" i="103"/>
  <c r="D104" i="103"/>
  <c r="G104" i="103"/>
  <c r="C105" i="103"/>
  <c r="D105" i="103"/>
  <c r="G105" i="103"/>
  <c r="C106" i="103"/>
  <c r="D106" i="103"/>
  <c r="G106" i="103"/>
  <c r="C107" i="103"/>
  <c r="D107" i="103"/>
  <c r="G107" i="103"/>
  <c r="C108" i="103"/>
  <c r="D108" i="103"/>
  <c r="G108" i="103"/>
  <c r="C109" i="103"/>
  <c r="D109" i="103"/>
  <c r="G109" i="103"/>
  <c r="C110" i="103"/>
  <c r="D110" i="103"/>
  <c r="G110" i="103"/>
  <c r="C111" i="103"/>
  <c r="D111" i="103"/>
  <c r="G111" i="103"/>
  <c r="C112" i="103"/>
  <c r="D112" i="103"/>
  <c r="G112" i="103"/>
  <c r="C113" i="103"/>
  <c r="D113" i="103"/>
  <c r="G113" i="103"/>
  <c r="C114" i="103"/>
  <c r="D114" i="103"/>
  <c r="G114" i="103"/>
  <c r="C115" i="103"/>
  <c r="D115" i="103"/>
  <c r="G115" i="103"/>
  <c r="C116" i="103"/>
  <c r="D116" i="103"/>
  <c r="G116" i="103"/>
  <c r="C117" i="103"/>
  <c r="D117" i="103"/>
  <c r="G117" i="103"/>
  <c r="C118" i="103"/>
  <c r="D118" i="103"/>
  <c r="G118" i="103"/>
  <c r="I5" i="103"/>
  <c r="F19" i="103"/>
  <c r="E21" i="103"/>
  <c r="E22" i="103"/>
  <c r="E23" i="103"/>
  <c r="E25" i="103"/>
  <c r="E26" i="103"/>
  <c r="E27" i="103"/>
  <c r="E28" i="103"/>
  <c r="E29" i="103"/>
  <c r="E30" i="103"/>
  <c r="E31" i="103"/>
  <c r="E32" i="103"/>
  <c r="E33" i="103"/>
  <c r="E34" i="103"/>
  <c r="E35" i="103"/>
  <c r="E36" i="103"/>
  <c r="E37" i="103"/>
  <c r="E38" i="103"/>
  <c r="E39" i="103"/>
  <c r="E40" i="103"/>
  <c r="E41" i="103"/>
  <c r="E42" i="103"/>
  <c r="E43" i="103"/>
  <c r="E44" i="103"/>
  <c r="E45" i="103"/>
  <c r="E46" i="103"/>
  <c r="E47" i="103"/>
  <c r="E48" i="103"/>
  <c r="E49" i="103"/>
  <c r="E50" i="103"/>
  <c r="E51" i="103"/>
  <c r="E52" i="103"/>
  <c r="E53" i="103"/>
  <c r="E54" i="103"/>
  <c r="E55" i="103"/>
  <c r="E56" i="103"/>
  <c r="E57" i="103"/>
  <c r="E58" i="103"/>
  <c r="E59" i="103"/>
  <c r="E60" i="103"/>
  <c r="E61" i="103"/>
  <c r="E62" i="103"/>
  <c r="E63" i="103"/>
  <c r="E64" i="103"/>
  <c r="E65" i="103"/>
  <c r="E66" i="103"/>
  <c r="E67" i="103"/>
  <c r="E68" i="103"/>
  <c r="E69" i="103"/>
  <c r="E70" i="103"/>
  <c r="E71" i="103"/>
  <c r="E72" i="103"/>
  <c r="E73" i="103"/>
  <c r="E74" i="103"/>
  <c r="E75" i="103"/>
  <c r="E76" i="103"/>
  <c r="E77" i="103"/>
  <c r="E78" i="103"/>
  <c r="E79" i="103"/>
  <c r="E80" i="103"/>
  <c r="E81" i="103"/>
  <c r="E82" i="103"/>
  <c r="E83" i="103"/>
  <c r="E84" i="103"/>
  <c r="E85" i="103"/>
  <c r="E86" i="103"/>
  <c r="E87" i="103"/>
  <c r="E88" i="103"/>
  <c r="E89" i="103"/>
  <c r="E90" i="103"/>
  <c r="E91" i="103"/>
  <c r="E92" i="103"/>
  <c r="E93" i="103"/>
  <c r="E94" i="103"/>
  <c r="E95" i="103"/>
  <c r="E96" i="103"/>
  <c r="E97" i="103"/>
  <c r="E98" i="103"/>
  <c r="E99" i="103"/>
  <c r="E100" i="103"/>
  <c r="E101" i="103"/>
  <c r="E102" i="103"/>
  <c r="E103" i="103"/>
  <c r="E104" i="103"/>
  <c r="E105" i="103"/>
  <c r="E106" i="103"/>
  <c r="E107" i="103"/>
  <c r="E108" i="103"/>
  <c r="E109" i="103"/>
  <c r="E110" i="103"/>
  <c r="E111" i="103"/>
  <c r="E112" i="103"/>
  <c r="E113" i="103"/>
  <c r="E114" i="103"/>
  <c r="E115" i="103"/>
  <c r="E116" i="103"/>
  <c r="E117" i="103"/>
  <c r="E118" i="103"/>
  <c r="E18" i="103"/>
  <c r="D18" i="103"/>
  <c r="F118" i="103"/>
  <c r="F117" i="103"/>
  <c r="F20" i="103"/>
  <c r="F21" i="103"/>
  <c r="F22" i="103"/>
  <c r="F23" i="103"/>
  <c r="F24" i="103"/>
  <c r="F25" i="103"/>
  <c r="F26" i="103"/>
  <c r="F27" i="103"/>
  <c r="F28" i="103"/>
  <c r="F29" i="103"/>
  <c r="F30" i="103"/>
  <c r="F31" i="103"/>
  <c r="F32" i="103"/>
  <c r="F33" i="103"/>
  <c r="F34" i="103"/>
  <c r="F35" i="103"/>
  <c r="F36" i="103"/>
  <c r="F37" i="103"/>
  <c r="F38" i="103"/>
  <c r="F39" i="103"/>
  <c r="F40" i="103"/>
  <c r="F41" i="103"/>
  <c r="F42" i="103"/>
  <c r="F43" i="103"/>
  <c r="F44" i="103"/>
  <c r="F45" i="103"/>
  <c r="F46" i="103"/>
  <c r="F47" i="103"/>
  <c r="F48" i="103"/>
  <c r="F49" i="103"/>
  <c r="F50" i="103"/>
  <c r="F51" i="103"/>
  <c r="F52" i="103"/>
  <c r="F53" i="103"/>
  <c r="F54" i="103"/>
  <c r="F55" i="103"/>
  <c r="F56" i="103"/>
  <c r="F57" i="103"/>
  <c r="F58" i="103"/>
  <c r="F59" i="103"/>
  <c r="F60" i="103"/>
  <c r="F61" i="103"/>
  <c r="F62" i="103"/>
  <c r="F63" i="103"/>
  <c r="F64" i="103"/>
  <c r="F65" i="103"/>
  <c r="F66" i="103"/>
  <c r="F67" i="103"/>
  <c r="F68" i="103"/>
  <c r="F69" i="103"/>
  <c r="F70" i="103"/>
  <c r="F71" i="103"/>
  <c r="F72" i="103"/>
  <c r="F73" i="103"/>
  <c r="F74" i="103"/>
  <c r="F75" i="103"/>
  <c r="F76" i="103"/>
  <c r="F77" i="103"/>
  <c r="F78" i="103"/>
  <c r="F79" i="103"/>
  <c r="F80" i="103"/>
  <c r="F81" i="103"/>
  <c r="F82" i="103"/>
  <c r="F83" i="103"/>
  <c r="F84" i="103"/>
  <c r="F85" i="103"/>
  <c r="F86" i="103"/>
  <c r="F87" i="103"/>
  <c r="F88" i="103"/>
  <c r="F89" i="103"/>
  <c r="F90" i="103"/>
  <c r="F91" i="103"/>
  <c r="F92" i="103"/>
  <c r="F93" i="103"/>
  <c r="F94" i="103"/>
  <c r="F95" i="103"/>
  <c r="F96" i="103"/>
  <c r="F97" i="103"/>
  <c r="F98" i="103"/>
  <c r="F99" i="103"/>
  <c r="F100" i="103"/>
  <c r="F101" i="103"/>
  <c r="F102" i="103"/>
  <c r="F103" i="103"/>
  <c r="F104" i="103"/>
  <c r="F105" i="103"/>
  <c r="F106" i="103"/>
  <c r="F107" i="103"/>
  <c r="F108" i="103"/>
  <c r="F109" i="103"/>
  <c r="F110" i="103"/>
  <c r="F111" i="103"/>
  <c r="F112" i="103"/>
  <c r="F113" i="103"/>
  <c r="F114" i="103"/>
  <c r="F115" i="103"/>
  <c r="F116" i="103"/>
  <c r="C7" i="107"/>
  <c r="C8" i="107"/>
  <c r="C9" i="107"/>
  <c r="C10" i="107"/>
  <c r="C11" i="107"/>
  <c r="C12" i="107"/>
  <c r="C13" i="107"/>
  <c r="C14" i="107"/>
  <c r="C15" i="107"/>
  <c r="C16" i="107"/>
  <c r="C17" i="107"/>
  <c r="C18" i="107"/>
  <c r="C19" i="107"/>
  <c r="C20" i="107"/>
  <c r="C21" i="107"/>
  <c r="C22" i="107"/>
  <c r="C23" i="107"/>
  <c r="C24" i="107"/>
  <c r="C25" i="107"/>
  <c r="C26" i="107"/>
  <c r="C27" i="107"/>
  <c r="C28" i="107"/>
  <c r="C29" i="107"/>
  <c r="C30" i="107"/>
  <c r="C31" i="107"/>
  <c r="C32" i="107"/>
  <c r="C33" i="107"/>
  <c r="C34" i="107"/>
  <c r="C35" i="107"/>
  <c r="C36" i="107"/>
  <c r="C37" i="107"/>
  <c r="C38" i="107"/>
  <c r="C39" i="107"/>
  <c r="C40" i="107"/>
  <c r="C41" i="107"/>
  <c r="C42" i="107"/>
  <c r="C43" i="107"/>
  <c r="C44" i="107"/>
  <c r="C45" i="107"/>
  <c r="C46" i="107"/>
  <c r="C47" i="107"/>
  <c r="C48" i="107"/>
  <c r="C49" i="107"/>
  <c r="C50" i="107"/>
  <c r="C51" i="107"/>
  <c r="C52" i="107"/>
  <c r="C53" i="107"/>
  <c r="C54" i="107"/>
  <c r="C55" i="107"/>
  <c r="C56" i="107"/>
  <c r="C57" i="107"/>
  <c r="C58" i="107"/>
  <c r="C5" i="102"/>
  <c r="C6" i="102"/>
  <c r="C7" i="102"/>
  <c r="C8" i="102"/>
  <c r="C9" i="102"/>
  <c r="C10" i="102"/>
  <c r="C11" i="102"/>
  <c r="C12" i="102"/>
  <c r="C13" i="102"/>
  <c r="C14" i="102"/>
  <c r="C15" i="102"/>
  <c r="C16" i="102"/>
  <c r="C17" i="102"/>
  <c r="C18" i="102"/>
  <c r="C19" i="102"/>
  <c r="C20" i="102"/>
  <c r="C21" i="102"/>
  <c r="C22" i="102"/>
  <c r="C23" i="102"/>
  <c r="C24" i="102"/>
  <c r="C25" i="102"/>
  <c r="C26" i="102"/>
  <c r="C27" i="102"/>
  <c r="C28" i="102"/>
  <c r="C29" i="102"/>
  <c r="C30" i="102"/>
  <c r="C31" i="102"/>
  <c r="C32" i="102"/>
  <c r="C33" i="102"/>
  <c r="C34" i="102"/>
  <c r="C35" i="102"/>
  <c r="C36" i="102"/>
  <c r="C37" i="102"/>
  <c r="C38" i="102"/>
  <c r="C39" i="102"/>
  <c r="C40" i="102"/>
  <c r="C41" i="102"/>
  <c r="C42" i="102"/>
  <c r="C43" i="102"/>
  <c r="C44" i="102"/>
  <c r="C45" i="102"/>
  <c r="C46" i="102"/>
  <c r="C47" i="102"/>
  <c r="C48" i="102"/>
  <c r="C49" i="102"/>
  <c r="C50" i="102"/>
  <c r="C51" i="102"/>
  <c r="C52" i="102"/>
  <c r="C53" i="102"/>
  <c r="C54" i="102"/>
  <c r="C55" i="102"/>
  <c r="C56" i="102"/>
  <c r="D5" i="106"/>
  <c r="D6" i="106"/>
  <c r="D7" i="106"/>
  <c r="D8" i="106"/>
  <c r="D9" i="106"/>
  <c r="D10" i="106"/>
  <c r="D11" i="106"/>
  <c r="D12" i="106"/>
  <c r="D13" i="106"/>
  <c r="D14" i="106"/>
  <c r="D15" i="106"/>
  <c r="D16" i="106"/>
  <c r="D17" i="106"/>
  <c r="D18" i="106"/>
  <c r="D19" i="106"/>
  <c r="D20" i="106"/>
  <c r="D21" i="106"/>
  <c r="D22" i="106"/>
  <c r="D23" i="106"/>
  <c r="D24" i="106"/>
  <c r="D25" i="106"/>
  <c r="D26" i="106"/>
  <c r="D27" i="106"/>
  <c r="D28" i="106"/>
  <c r="D29" i="106"/>
  <c r="D30" i="106"/>
  <c r="D31" i="106"/>
  <c r="D32" i="106"/>
  <c r="D33" i="106"/>
  <c r="D34" i="106"/>
  <c r="D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H5" i="106"/>
  <c r="H6" i="106"/>
  <c r="H7" i="106"/>
  <c r="H8" i="106"/>
  <c r="H9" i="106"/>
  <c r="H10" i="106"/>
  <c r="H11" i="106"/>
  <c r="H12" i="106"/>
  <c r="H13" i="106"/>
  <c r="H14" i="106"/>
  <c r="H15" i="106"/>
  <c r="H16" i="106"/>
  <c r="H17" i="106"/>
  <c r="H18" i="106"/>
  <c r="H19" i="106"/>
  <c r="H20" i="106"/>
  <c r="H21" i="106"/>
  <c r="H22" i="106"/>
  <c r="H23" i="106"/>
  <c r="H24" i="106"/>
  <c r="H25" i="106"/>
  <c r="H26" i="106"/>
  <c r="H27" i="106"/>
  <c r="H28" i="106"/>
  <c r="H29" i="106"/>
  <c r="H30" i="106"/>
  <c r="H31" i="106"/>
  <c r="H32" i="106"/>
  <c r="H33" i="106"/>
  <c r="H34" i="106"/>
  <c r="H35" i="106"/>
  <c r="H36" i="106"/>
  <c r="H37" i="106"/>
  <c r="H38" i="106"/>
  <c r="H39" i="106"/>
  <c r="H40" i="106"/>
  <c r="H41" i="106"/>
  <c r="H42" i="106"/>
  <c r="H43" i="106"/>
  <c r="H44" i="106"/>
  <c r="H45" i="106"/>
  <c r="H46" i="106"/>
  <c r="H47" i="106"/>
  <c r="H48" i="106"/>
  <c r="H49" i="106"/>
  <c r="H50" i="106"/>
  <c r="H51" i="106"/>
  <c r="H52" i="106"/>
  <c r="H53" i="106"/>
  <c r="H54" i="106"/>
  <c r="H55" i="106"/>
  <c r="H56" i="106"/>
  <c r="H57" i="106"/>
  <c r="H58" i="106"/>
  <c r="H59" i="106"/>
  <c r="H60" i="106"/>
  <c r="H61" i="106"/>
  <c r="H62" i="106"/>
  <c r="H63" i="106"/>
  <c r="H64" i="106"/>
  <c r="O5" i="103"/>
  <c r="F21" i="108"/>
  <c r="F20" i="108"/>
  <c r="F17" i="108"/>
  <c r="F16" i="108"/>
  <c r="G65" i="106"/>
  <c r="H65" i="106"/>
  <c r="I65" i="106"/>
  <c r="H65" i="101"/>
  <c r="J65" i="106"/>
  <c r="G65" i="101"/>
  <c r="F65" i="101"/>
  <c r="I5" i="108"/>
  <c r="G5" i="108"/>
  <c r="C5" i="108"/>
  <c r="H7" i="107"/>
  <c r="I7" i="107"/>
  <c r="J7" i="107"/>
  <c r="H8" i="107"/>
  <c r="I8" i="107"/>
  <c r="J8" i="107"/>
  <c r="H9" i="107"/>
  <c r="I9" i="107"/>
  <c r="J9" i="107"/>
  <c r="H10" i="107"/>
  <c r="I10" i="107"/>
  <c r="J10" i="107"/>
  <c r="H11" i="107"/>
  <c r="I11" i="107"/>
  <c r="J11" i="107"/>
  <c r="H12" i="107"/>
  <c r="I12" i="107"/>
  <c r="J12" i="107"/>
  <c r="H13" i="107"/>
  <c r="I13" i="107"/>
  <c r="J13" i="107"/>
  <c r="H14" i="107"/>
  <c r="I14" i="107"/>
  <c r="J14" i="107"/>
  <c r="H15" i="107"/>
  <c r="I15" i="107"/>
  <c r="J15" i="107"/>
  <c r="H16" i="107"/>
  <c r="I16" i="107"/>
  <c r="J16" i="107"/>
  <c r="H17" i="107"/>
  <c r="I17" i="107"/>
  <c r="J17" i="107"/>
  <c r="H18" i="107"/>
  <c r="I18" i="107"/>
  <c r="J18" i="107"/>
  <c r="H19" i="107"/>
  <c r="I19" i="107"/>
  <c r="J19" i="107"/>
  <c r="H20" i="107"/>
  <c r="I20" i="107"/>
  <c r="J20" i="107"/>
  <c r="H21" i="107"/>
  <c r="I21" i="107"/>
  <c r="J21" i="107"/>
  <c r="H22" i="107"/>
  <c r="I22" i="107"/>
  <c r="J22" i="107"/>
  <c r="H23" i="107"/>
  <c r="I23" i="107"/>
  <c r="J23" i="107"/>
  <c r="H24" i="107"/>
  <c r="I24" i="107"/>
  <c r="J24" i="107"/>
  <c r="H25" i="107"/>
  <c r="I25" i="107"/>
  <c r="J25" i="107"/>
  <c r="H26" i="107"/>
  <c r="I26" i="107"/>
  <c r="J26" i="107"/>
  <c r="H27" i="107"/>
  <c r="I27" i="107"/>
  <c r="J27" i="107"/>
  <c r="H28" i="107"/>
  <c r="I28" i="107"/>
  <c r="J28" i="107"/>
  <c r="H29" i="107"/>
  <c r="I29" i="107"/>
  <c r="J29" i="107"/>
  <c r="H30" i="107"/>
  <c r="I30" i="107"/>
  <c r="J30" i="107"/>
  <c r="H31" i="107"/>
  <c r="I31" i="107"/>
  <c r="J31" i="107"/>
  <c r="H32" i="107"/>
  <c r="I32" i="107"/>
  <c r="J32" i="107"/>
  <c r="H33" i="107"/>
  <c r="I33" i="107"/>
  <c r="J33" i="107"/>
  <c r="H34" i="107"/>
  <c r="I34" i="107"/>
  <c r="J34" i="107"/>
  <c r="H35" i="107"/>
  <c r="I35" i="107"/>
  <c r="J35" i="107"/>
  <c r="H36" i="107"/>
  <c r="I36" i="107"/>
  <c r="J36" i="107"/>
  <c r="H37" i="107"/>
  <c r="I37" i="107"/>
  <c r="J37" i="107"/>
  <c r="H38" i="107"/>
  <c r="I38" i="107"/>
  <c r="J38" i="107"/>
  <c r="H39" i="107"/>
  <c r="I39" i="107"/>
  <c r="J39" i="107"/>
  <c r="H40" i="107"/>
  <c r="I40" i="107"/>
  <c r="J40" i="107"/>
  <c r="H41" i="107"/>
  <c r="I41" i="107"/>
  <c r="J41" i="107"/>
  <c r="H42" i="107"/>
  <c r="I42" i="107"/>
  <c r="J42" i="107"/>
  <c r="H43" i="107"/>
  <c r="I43" i="107"/>
  <c r="J43" i="107"/>
  <c r="H44" i="107"/>
  <c r="I44" i="107"/>
  <c r="J44" i="107"/>
  <c r="H45" i="107"/>
  <c r="I45" i="107"/>
  <c r="J45" i="107"/>
  <c r="H46" i="107"/>
  <c r="I46" i="107"/>
  <c r="J46" i="107"/>
  <c r="H47" i="107"/>
  <c r="I47" i="107"/>
  <c r="J47" i="107"/>
  <c r="H48" i="107"/>
  <c r="I48" i="107"/>
  <c r="J48" i="107"/>
  <c r="H49" i="107"/>
  <c r="I49" i="107"/>
  <c r="J49" i="107"/>
  <c r="H50" i="107"/>
  <c r="I50" i="107"/>
  <c r="J50" i="107"/>
  <c r="H51" i="107"/>
  <c r="I51" i="107"/>
  <c r="J51" i="107"/>
  <c r="H52" i="107"/>
  <c r="I52" i="107"/>
  <c r="J52" i="107"/>
  <c r="H53" i="107"/>
  <c r="I53" i="107"/>
  <c r="J53" i="107"/>
  <c r="H54" i="107"/>
  <c r="I54" i="107"/>
  <c r="J54" i="107"/>
  <c r="H55" i="107"/>
  <c r="I55" i="107"/>
  <c r="J55" i="107"/>
  <c r="H56" i="107"/>
  <c r="I56" i="107"/>
  <c r="J56" i="107"/>
  <c r="H57" i="107"/>
  <c r="I57" i="107"/>
  <c r="J57" i="107"/>
  <c r="H58" i="107"/>
  <c r="I58" i="107"/>
  <c r="J58" i="107"/>
  <c r="G7" i="107"/>
  <c r="G8" i="107"/>
  <c r="G9" i="107"/>
  <c r="G10" i="107"/>
  <c r="G11" i="107"/>
  <c r="G12" i="107"/>
  <c r="G13" i="107"/>
  <c r="G14" i="107"/>
  <c r="G15" i="107"/>
  <c r="G16" i="107"/>
  <c r="G17" i="107"/>
  <c r="G18" i="107"/>
  <c r="G19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G51" i="107"/>
  <c r="G52" i="107"/>
  <c r="G53" i="107"/>
  <c r="G54" i="107"/>
  <c r="G55" i="107"/>
  <c r="G56" i="107"/>
  <c r="G57" i="107"/>
  <c r="G58" i="107"/>
  <c r="E7" i="107"/>
  <c r="D7" i="107"/>
  <c r="F7" i="107"/>
  <c r="E8" i="107"/>
  <c r="D8" i="107"/>
  <c r="F8" i="107"/>
  <c r="E9" i="107"/>
  <c r="D9" i="107"/>
  <c r="F9" i="107"/>
  <c r="E10" i="107"/>
  <c r="D10" i="107"/>
  <c r="F10" i="107"/>
  <c r="E11" i="107"/>
  <c r="D11" i="107"/>
  <c r="F11" i="107"/>
  <c r="E12" i="107"/>
  <c r="D12" i="107"/>
  <c r="F12" i="107"/>
  <c r="E13" i="107"/>
  <c r="D13" i="107"/>
  <c r="F13" i="107"/>
  <c r="E14" i="107"/>
  <c r="D14" i="107"/>
  <c r="F14" i="107"/>
  <c r="E15" i="107"/>
  <c r="D15" i="107"/>
  <c r="F15" i="107"/>
  <c r="E16" i="107"/>
  <c r="D16" i="107"/>
  <c r="F16" i="107"/>
  <c r="E17" i="107"/>
  <c r="D17" i="107"/>
  <c r="F17" i="107"/>
  <c r="E18" i="107"/>
  <c r="D18" i="107"/>
  <c r="F18" i="107"/>
  <c r="E19" i="107"/>
  <c r="D19" i="107"/>
  <c r="F19" i="107"/>
  <c r="E20" i="107"/>
  <c r="D20" i="107"/>
  <c r="F20" i="107"/>
  <c r="E21" i="107"/>
  <c r="D21" i="107"/>
  <c r="F21" i="107"/>
  <c r="E22" i="107"/>
  <c r="D22" i="107"/>
  <c r="F22" i="107"/>
  <c r="E23" i="107"/>
  <c r="D23" i="107"/>
  <c r="F23" i="107"/>
  <c r="E24" i="107"/>
  <c r="D24" i="107"/>
  <c r="F24" i="107"/>
  <c r="E25" i="107"/>
  <c r="D25" i="107"/>
  <c r="F25" i="107"/>
  <c r="E26" i="107"/>
  <c r="D26" i="107"/>
  <c r="F26" i="107"/>
  <c r="E27" i="107"/>
  <c r="D27" i="107"/>
  <c r="F27" i="107"/>
  <c r="E28" i="107"/>
  <c r="D28" i="107"/>
  <c r="F28" i="107"/>
  <c r="E29" i="107"/>
  <c r="D29" i="107"/>
  <c r="F29" i="107"/>
  <c r="E30" i="107"/>
  <c r="D30" i="107"/>
  <c r="F30" i="107"/>
  <c r="E31" i="107"/>
  <c r="D31" i="107"/>
  <c r="F31" i="107"/>
  <c r="E32" i="107"/>
  <c r="D32" i="107"/>
  <c r="F32" i="107"/>
  <c r="E33" i="107"/>
  <c r="D33" i="107"/>
  <c r="F33" i="107"/>
  <c r="E34" i="107"/>
  <c r="D34" i="107"/>
  <c r="F34" i="107"/>
  <c r="E35" i="107"/>
  <c r="D35" i="107"/>
  <c r="F35" i="107"/>
  <c r="E36" i="107"/>
  <c r="D36" i="107"/>
  <c r="F36" i="107"/>
  <c r="E37" i="107"/>
  <c r="D37" i="107"/>
  <c r="F37" i="107"/>
  <c r="E38" i="107"/>
  <c r="D38" i="107"/>
  <c r="F38" i="107"/>
  <c r="E39" i="107"/>
  <c r="D39" i="107"/>
  <c r="F39" i="107"/>
  <c r="E40" i="107"/>
  <c r="D40" i="107"/>
  <c r="F40" i="107"/>
  <c r="E41" i="107"/>
  <c r="D41" i="107"/>
  <c r="F41" i="107"/>
  <c r="E42" i="107"/>
  <c r="D42" i="107"/>
  <c r="F42" i="107"/>
  <c r="E43" i="107"/>
  <c r="D43" i="107"/>
  <c r="F43" i="107"/>
  <c r="E44" i="107"/>
  <c r="D44" i="107"/>
  <c r="F44" i="107"/>
  <c r="E45" i="107"/>
  <c r="D45" i="107"/>
  <c r="F45" i="107"/>
  <c r="E46" i="107"/>
  <c r="D46" i="107"/>
  <c r="F46" i="107"/>
  <c r="E47" i="107"/>
  <c r="D47" i="107"/>
  <c r="F47" i="107"/>
  <c r="E48" i="107"/>
  <c r="D48" i="107"/>
  <c r="F48" i="107"/>
  <c r="E49" i="107"/>
  <c r="D49" i="107"/>
  <c r="F49" i="107"/>
  <c r="E50" i="107"/>
  <c r="D50" i="107"/>
  <c r="F50" i="107"/>
  <c r="E51" i="107"/>
  <c r="D51" i="107"/>
  <c r="F51" i="107"/>
  <c r="E52" i="107"/>
  <c r="D52" i="107"/>
  <c r="F52" i="107"/>
  <c r="E53" i="107"/>
  <c r="D53" i="107"/>
  <c r="F53" i="107"/>
  <c r="E54" i="107"/>
  <c r="D54" i="107"/>
  <c r="F54" i="107"/>
  <c r="E55" i="107"/>
  <c r="D55" i="107"/>
  <c r="F55" i="107"/>
  <c r="E56" i="107"/>
  <c r="D56" i="107"/>
  <c r="F56" i="107"/>
  <c r="E57" i="107"/>
  <c r="D57" i="107"/>
  <c r="F57" i="107"/>
  <c r="E58" i="107"/>
  <c r="D58" i="107"/>
  <c r="F58" i="107"/>
  <c r="D6" i="102"/>
  <c r="E6" i="102"/>
  <c r="F6" i="102"/>
  <c r="D7" i="102"/>
  <c r="E7" i="102"/>
  <c r="F7" i="102"/>
  <c r="D8" i="102"/>
  <c r="E8" i="102"/>
  <c r="F8" i="102"/>
  <c r="D9" i="102"/>
  <c r="E9" i="102"/>
  <c r="F9" i="102"/>
  <c r="D10" i="102"/>
  <c r="E10" i="102"/>
  <c r="F10" i="102"/>
  <c r="D11" i="102"/>
  <c r="E11" i="102"/>
  <c r="F11" i="102"/>
  <c r="D12" i="102"/>
  <c r="E12" i="102"/>
  <c r="F12" i="102"/>
  <c r="D13" i="102"/>
  <c r="E13" i="102"/>
  <c r="F13" i="102"/>
  <c r="D14" i="102"/>
  <c r="E14" i="102"/>
  <c r="F14" i="102"/>
  <c r="D15" i="102"/>
  <c r="E15" i="102"/>
  <c r="F15" i="102"/>
  <c r="D16" i="102"/>
  <c r="E16" i="102"/>
  <c r="F16" i="102"/>
  <c r="D17" i="102"/>
  <c r="E17" i="102"/>
  <c r="F17" i="102"/>
  <c r="D18" i="102"/>
  <c r="E18" i="102"/>
  <c r="F18" i="102"/>
  <c r="D19" i="102"/>
  <c r="E19" i="102"/>
  <c r="F19" i="102"/>
  <c r="D20" i="102"/>
  <c r="E20" i="102"/>
  <c r="F20" i="102"/>
  <c r="D21" i="102"/>
  <c r="E21" i="102"/>
  <c r="F21" i="102"/>
  <c r="D22" i="102"/>
  <c r="E22" i="102"/>
  <c r="F22" i="102"/>
  <c r="D23" i="102"/>
  <c r="E23" i="102"/>
  <c r="F23" i="102"/>
  <c r="D24" i="102"/>
  <c r="E24" i="102"/>
  <c r="F24" i="102"/>
  <c r="D25" i="102"/>
  <c r="E25" i="102"/>
  <c r="F25" i="102"/>
  <c r="D26" i="102"/>
  <c r="E26" i="102"/>
  <c r="F26" i="102"/>
  <c r="D27" i="102"/>
  <c r="E27" i="102"/>
  <c r="F27" i="102"/>
  <c r="D28" i="102"/>
  <c r="E28" i="102"/>
  <c r="F28" i="102"/>
  <c r="D29" i="102"/>
  <c r="E29" i="102"/>
  <c r="F29" i="102"/>
  <c r="D30" i="102"/>
  <c r="E30" i="102"/>
  <c r="F30" i="102"/>
  <c r="D31" i="102"/>
  <c r="E31" i="102"/>
  <c r="F31" i="102"/>
  <c r="D32" i="102"/>
  <c r="E32" i="102"/>
  <c r="F32" i="102"/>
  <c r="D33" i="102"/>
  <c r="E33" i="102"/>
  <c r="F33" i="102"/>
  <c r="D34" i="102"/>
  <c r="E34" i="102"/>
  <c r="F34" i="102"/>
  <c r="D35" i="102"/>
  <c r="E35" i="102"/>
  <c r="F35" i="102"/>
  <c r="D36" i="102"/>
  <c r="E36" i="102"/>
  <c r="F36" i="102"/>
  <c r="D37" i="102"/>
  <c r="E37" i="102"/>
  <c r="F37" i="102"/>
  <c r="D38" i="102"/>
  <c r="E38" i="102"/>
  <c r="F38" i="102"/>
  <c r="D39" i="102"/>
  <c r="E39" i="102"/>
  <c r="F39" i="102"/>
  <c r="D40" i="102"/>
  <c r="E40" i="102"/>
  <c r="F40" i="102"/>
  <c r="D41" i="102"/>
  <c r="E41" i="102"/>
  <c r="F41" i="102"/>
  <c r="D42" i="102"/>
  <c r="E42" i="102"/>
  <c r="F42" i="102"/>
  <c r="D43" i="102"/>
  <c r="E43" i="102"/>
  <c r="F43" i="102"/>
  <c r="D44" i="102"/>
  <c r="E44" i="102"/>
  <c r="F44" i="102"/>
  <c r="D45" i="102"/>
  <c r="E45" i="102"/>
  <c r="F45" i="102"/>
  <c r="D46" i="102"/>
  <c r="E46" i="102"/>
  <c r="F46" i="102"/>
  <c r="D47" i="102"/>
  <c r="E47" i="102"/>
  <c r="F47" i="102"/>
  <c r="D48" i="102"/>
  <c r="E48" i="102"/>
  <c r="F48" i="102"/>
  <c r="D49" i="102"/>
  <c r="E49" i="102"/>
  <c r="F49" i="102"/>
  <c r="D50" i="102"/>
  <c r="E50" i="102"/>
  <c r="F50" i="102"/>
  <c r="D51" i="102"/>
  <c r="E51" i="102"/>
  <c r="F51" i="102"/>
  <c r="D52" i="102"/>
  <c r="E52" i="102"/>
  <c r="F52" i="102"/>
  <c r="D53" i="102"/>
  <c r="E53" i="102"/>
  <c r="F53" i="102"/>
  <c r="D54" i="102"/>
  <c r="E54" i="102"/>
  <c r="F54" i="102"/>
  <c r="D55" i="102"/>
  <c r="E55" i="102"/>
  <c r="F55" i="102"/>
  <c r="D56" i="102"/>
  <c r="E56" i="102"/>
  <c r="F56" i="102"/>
  <c r="D5" i="102"/>
  <c r="E5" i="102"/>
  <c r="F5" i="102"/>
</calcChain>
</file>

<file path=xl/sharedStrings.xml><?xml version="1.0" encoding="utf-8"?>
<sst xmlns="http://schemas.openxmlformats.org/spreadsheetml/2006/main" count="492" uniqueCount="232">
  <si>
    <t>Paso 1</t>
  </si>
  <si>
    <t>Paso 2</t>
  </si>
  <si>
    <t>Paso 3</t>
  </si>
  <si>
    <t>Paso 4</t>
  </si>
  <si>
    <t>IMPORTANTE: seguir los pasos de EJECUCIÓN</t>
  </si>
  <si>
    <t>1. Como liberar las pestañas de la hoja de cálculo?</t>
  </si>
  <si>
    <t>2. Introducir el logotipo de mi empresa?</t>
  </si>
  <si>
    <t>3. La adición de más líneas en los lanzamientos?</t>
  </si>
  <si>
    <t>4. ¿Cómo puedo cambiar el tamaño de una columna o fila de la hoja de cálculo?</t>
  </si>
  <si>
    <t>Con la hoja de cálculo de desbloqueo (ver pregunta 1), haga clic en el número de línea con el botón diretiro y elija la opción altura de la fila en el caso de líneas o la letra de la columna con el botón derecho y seleccione la opción de ancho de columna en el caso columnas.</t>
  </si>
  <si>
    <t>6. ¿Cómo se cambia la moneda de la hoja de cálculo?</t>
  </si>
  <si>
    <t>5. ¿Cómo se utilizan los cuadros de mando de las listas de selección en Mac?</t>
  </si>
  <si>
    <t>Para utilizar cualquier lista en un cuadro combinado (cuadro de selección de los meses o plan de cuentas) en Excel para Mac, basta con hacer clic y presiona en el cuadro, seleccione la opción deseada y suelte el botón. Si intenta dar sólo un clic, la lista no va a funcionar.</t>
  </si>
  <si>
    <t>INFORMES</t>
  </si>
  <si>
    <t>SCRUM</t>
  </si>
  <si>
    <t>E-mail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</si>
  <si>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</si>
  <si>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</si>
  <si>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</si>
  <si>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</si>
  <si>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</si>
  <si>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</si>
  <si>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</si>
  <si>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</si>
  <si>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</si>
  <si>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</si>
  <si>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</si>
  <si>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</si>
  <si>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</si>
  <si>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</si>
  <si>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</si>
  <si>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</si>
  <si>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</si>
  <si>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Puntuación total temprana</t>
  </si>
  <si>
    <t>Puntuación total restante</t>
  </si>
  <si>
    <t>Seleccionar un Empleado</t>
  </si>
  <si>
    <t>Puntos totales</t>
  </si>
  <si>
    <t>Duración estimada (en semanas)</t>
  </si>
  <si>
    <t>Sirve para analizar el rendimiento global e individual contra los proyectos.</t>
  </si>
  <si>
    <t>Gráficos con visión general y comparación de proyectos.</t>
  </si>
  <si>
    <t>DASHBOARD</t>
  </si>
  <si>
    <t>Haciendo</t>
  </si>
  <si>
    <r>
      <t xml:space="preserve">HOJA DE TRABAJO </t>
    </r>
    <r>
      <rPr>
        <b/>
        <sz val="40"/>
        <rFont val="Calibri (Corpo)"/>
      </rPr>
      <t>GESTIÓN DE PROYECTOS ÁGIL SCRUM</t>
    </r>
  </si>
  <si>
    <r>
      <t xml:space="preserve">Ir a la pestaña superior </t>
    </r>
    <r>
      <rPr>
        <b/>
        <sz val="12"/>
        <rFont val="Calibri"/>
        <family val="2"/>
        <scheme val="minor"/>
      </rPr>
      <t>REVISIÓN</t>
    </r>
    <r>
      <rPr>
        <sz val="12"/>
        <rFont val="Calibri"/>
        <family val="2"/>
        <scheme val="minor"/>
      </rPr>
      <t xml:space="preserve"> y, dentro del grupo de enmiendas opción de elegir </t>
    </r>
    <r>
      <rPr>
        <b/>
        <sz val="12"/>
        <rFont val="Calibri"/>
        <family val="2"/>
        <scheme val="minor"/>
      </rPr>
      <t>DESPROTEGER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HOJA DE TRABAJO.</t>
    </r>
    <r>
      <rPr>
        <sz val="12"/>
        <rFont val="Calibri"/>
        <family val="2"/>
        <scheme val="minor"/>
      </rPr>
      <t>Las hojas de cálculo no tienen contraseñas, bloqueo ervarán sólo para mejorar su uso. Ver más aquí - ajuda.luz.vc/article/100-como-desproteger-uma-planilha-da-luz</t>
    </r>
  </si>
  <si>
    <r>
      <t xml:space="preserve">Con la pestaña de desbloqueo, el cheque pestaña </t>
    </r>
    <r>
      <rPr>
        <b/>
        <sz val="12"/>
        <rFont val="Calibri"/>
        <family val="2"/>
        <scheme val="minor"/>
      </rPr>
      <t>INSERT</t>
    </r>
    <r>
      <rPr>
        <sz val="12"/>
        <rFont val="Calibri"/>
        <family val="2"/>
        <scheme val="minor"/>
      </rPr>
      <t xml:space="preserve"> y, dentro del grupo </t>
    </r>
    <r>
      <rPr>
        <b/>
        <sz val="12"/>
        <rFont val="Calibri"/>
        <family val="2"/>
        <scheme val="minor"/>
      </rPr>
      <t>ILUSTRACIONES</t>
    </r>
    <r>
      <rPr>
        <sz val="12"/>
        <rFont val="Calibri"/>
        <family val="2"/>
        <scheme val="minor"/>
      </rPr>
      <t xml:space="preserve"> elegir la opción </t>
    </r>
    <r>
      <rPr>
        <b/>
        <sz val="12"/>
        <rFont val="Calibri"/>
        <family val="2"/>
        <scheme val="minor"/>
      </rPr>
      <t>IMÁGENES.</t>
    </r>
    <r>
      <rPr>
        <sz val="12"/>
        <rFont val="Calibri"/>
        <family val="2"/>
        <scheme val="minor"/>
      </rPr>
      <t>Basta con seleccionar el archivo con su logo, la posición y cambiar el tamaño que desee. Ver más en este enlace - ajuda.luz.vc/article/91-como-retirar-ou-mudar-a-logo-de-sua-planilha</t>
    </r>
  </si>
  <si>
    <r>
      <t xml:space="preserve">Le recomendamos que </t>
    </r>
    <r>
      <rPr>
        <b/>
        <sz val="12"/>
        <rFont val="Calibri"/>
        <family val="2"/>
        <scheme val="minor"/>
      </rPr>
      <t>sólo tiene que utilizar la estructura actual</t>
    </r>
    <r>
      <rPr>
        <sz val="12"/>
        <rFont val="Calibri"/>
        <family val="2"/>
        <scheme val="minor"/>
      </rPr>
      <t>Desde diversas fórmulas están vinculadas a criadosmos intervalos más largos. Si necesita hacer cambios, recomiendo que detalles ver este enlace - http://ajuda.luz.vc/article/101-como-adicionar-mais-linhas-nos-lancamentos-da-planilha-de-fluxo-de-caixa</t>
    </r>
  </si>
  <si>
    <r>
      <t>Seleccione los campos que desea cambiar la moneda. Haga clic en el botón derecho y seleccione la opción</t>
    </r>
    <r>
      <rPr>
        <b/>
        <sz val="12"/>
        <rFont val="Calibri"/>
        <family val="2"/>
        <scheme val="minor"/>
      </rPr>
      <t>Formato de celdas</t>
    </r>
    <r>
      <rPr>
        <sz val="12"/>
        <rFont val="Calibri"/>
        <family val="2"/>
        <scheme val="minor"/>
      </rPr>
      <t>. Cambiar el símbolo de la pestaña formato deseado</t>
    </r>
    <r>
      <rPr>
        <b/>
        <sz val="12"/>
        <rFont val="Calibri"/>
        <family val="2"/>
        <scheme val="minor"/>
      </rPr>
      <t>NÚMERO.</t>
    </r>
    <r>
      <rPr>
        <sz val="12"/>
        <rFont val="Calibri"/>
        <family val="2"/>
        <scheme val="minor"/>
      </rPr>
      <t xml:space="preserve"> Ver más en este enlace - http://blog.luz.vc/excel/como-transformar-valores-excel-de-real-para-dolar-euro-ou-kwanza/</t>
    </r>
  </si>
  <si>
    <t>Ixxx-xxxx</t>
  </si>
  <si>
    <t>Visión / Objetivo</t>
  </si>
  <si>
    <t>Objetivo del Proyecto</t>
  </si>
  <si>
    <t>Teléfono</t>
  </si>
  <si>
    <t>Elio Agustín Facchin</t>
  </si>
  <si>
    <t>elio.facchin@inntech.com.ar</t>
  </si>
  <si>
    <t>Emilio Tomás Ryan</t>
  </si>
  <si>
    <t>emilio.ryan@inntech.com.ar</t>
  </si>
  <si>
    <t>emilioryan</t>
  </si>
  <si>
    <t>54 9 387 4812418</t>
  </si>
  <si>
    <t>Nombre y Apellido</t>
  </si>
  <si>
    <t>GitHub</t>
  </si>
  <si>
    <t>54 9 351 6543849</t>
  </si>
  <si>
    <t>Tipo</t>
  </si>
  <si>
    <t>Puntos</t>
  </si>
  <si>
    <t>Estado</t>
  </si>
  <si>
    <t>actividad 19</t>
  </si>
  <si>
    <t>actividad 20</t>
  </si>
  <si>
    <t>Semana</t>
  </si>
  <si>
    <t>Responsable</t>
  </si>
  <si>
    <t>actividad 21</t>
  </si>
  <si>
    <t>actividad 22</t>
  </si>
  <si>
    <t>actividad 23</t>
  </si>
  <si>
    <t>actividad 24</t>
  </si>
  <si>
    <t>actividad 25</t>
  </si>
  <si>
    <t>actividad 26</t>
  </si>
  <si>
    <t>actividad 27</t>
  </si>
  <si>
    <t>actividad 28</t>
  </si>
  <si>
    <t>actividad 29</t>
  </si>
  <si>
    <t>actividad 30</t>
  </si>
  <si>
    <t>Tareas asignadas</t>
  </si>
  <si>
    <t>Estado tareas</t>
  </si>
  <si>
    <t>PROYECTO</t>
  </si>
  <si>
    <t>En esta pestaña se va a llenar todos los datos para el proyecto, el equipo y sus puestos.</t>
  </si>
  <si>
    <t>Se pondrá en marcha en este caso los objetivos y actualizaciones sobre el progreso de los proyectos.</t>
  </si>
  <si>
    <t>Código</t>
  </si>
  <si>
    <t>Rol</t>
  </si>
  <si>
    <t>Roles</t>
  </si>
  <si>
    <t>actividad 31</t>
  </si>
  <si>
    <t>actividad 32</t>
  </si>
  <si>
    <t>actividad 33</t>
  </si>
  <si>
    <t>actividad 34</t>
  </si>
  <si>
    <t>actividad 35</t>
  </si>
  <si>
    <t>actividad 36</t>
  </si>
  <si>
    <t>actividad 37</t>
  </si>
  <si>
    <t>actividad 38</t>
  </si>
  <si>
    <t>actividad 39</t>
  </si>
  <si>
    <t>actividad 40</t>
  </si>
  <si>
    <t>actividad 41</t>
  </si>
  <si>
    <t>actividad 42</t>
  </si>
  <si>
    <t>actividad 43</t>
  </si>
  <si>
    <t>actividad 44</t>
  </si>
  <si>
    <t>actividad 45</t>
  </si>
  <si>
    <t>actividad 46</t>
  </si>
  <si>
    <t>actividad 47</t>
  </si>
  <si>
    <t>actividad 48</t>
  </si>
  <si>
    <t>actividad 49</t>
  </si>
  <si>
    <t>actividad 50</t>
  </si>
  <si>
    <t>actividad 51</t>
  </si>
  <si>
    <t>actividad 52</t>
  </si>
  <si>
    <t>actividad 53</t>
  </si>
  <si>
    <t>actividad 54</t>
  </si>
  <si>
    <t>actividad 55</t>
  </si>
  <si>
    <t>actividad 56</t>
  </si>
  <si>
    <t>actividad 57</t>
  </si>
  <si>
    <t>actividad 58</t>
  </si>
  <si>
    <t>actividad 59</t>
  </si>
  <si>
    <t>actividad 60</t>
  </si>
  <si>
    <t>actividad 8</t>
  </si>
  <si>
    <t>Total</t>
  </si>
  <si>
    <t>Terminada</t>
  </si>
  <si>
    <t>No Terminada</t>
  </si>
  <si>
    <t>Puntuación realizada</t>
  </si>
  <si>
    <t>Tareas terminadas</t>
  </si>
  <si>
    <t>% terminadas</t>
  </si>
  <si>
    <t>Horas programadas</t>
  </si>
  <si>
    <t>Horas utilizadas</t>
  </si>
  <si>
    <t>Diferencia Hs</t>
  </si>
  <si>
    <t>Total tareas</t>
  </si>
  <si>
    <t>Puntos realizados</t>
  </si>
  <si>
    <t>Puntos restantes</t>
  </si>
  <si>
    <t>Terminadas</t>
  </si>
  <si>
    <t>No Backlog</t>
  </si>
  <si>
    <t>Puntos realizados por empleado</t>
  </si>
  <si>
    <t>Horas programadas vs Horas utilizadas</t>
  </si>
  <si>
    <t>Descripción del Proyecto</t>
  </si>
  <si>
    <t>Descripción</t>
  </si>
  <si>
    <t>Datos para los gráficos</t>
  </si>
  <si>
    <t>Épica o Historia de Usuario</t>
  </si>
  <si>
    <t>PO</t>
  </si>
  <si>
    <t>SDT 1</t>
  </si>
  <si>
    <t>SDT 2</t>
  </si>
  <si>
    <t>SDT 3</t>
  </si>
  <si>
    <t>SDT 4</t>
  </si>
  <si>
    <t>SDT 5</t>
  </si>
  <si>
    <t>SDT 6</t>
  </si>
  <si>
    <t>SDT 7</t>
  </si>
  <si>
    <t>SDT 8</t>
  </si>
  <si>
    <t>PO: Product Owner</t>
  </si>
  <si>
    <t>SM: Scrum Master</t>
  </si>
  <si>
    <t>SDT: Scrum Development Team</t>
  </si>
  <si>
    <t>SM</t>
  </si>
  <si>
    <t>ID</t>
  </si>
  <si>
    <t>Criterio de Aceptación</t>
  </si>
  <si>
    <t>HU-001</t>
  </si>
  <si>
    <t>HU-002</t>
  </si>
  <si>
    <t>HU-003</t>
  </si>
  <si>
    <t>HU-004</t>
  </si>
  <si>
    <t>HU-005</t>
  </si>
  <si>
    <t>HU-006</t>
  </si>
  <si>
    <t>HU-007</t>
  </si>
  <si>
    <t>HU-008</t>
  </si>
  <si>
    <t>HU-009</t>
  </si>
  <si>
    <t>HU-010</t>
  </si>
  <si>
    <t>HU-011</t>
  </si>
  <si>
    <t>HU-012</t>
  </si>
  <si>
    <t>HU-013</t>
  </si>
  <si>
    <t>HU-014</t>
  </si>
  <si>
    <t>HU-015</t>
  </si>
  <si>
    <t>HU-016</t>
  </si>
  <si>
    <t>HU-017</t>
  </si>
  <si>
    <t>HU-018</t>
  </si>
  <si>
    <t>HU-019</t>
  </si>
  <si>
    <t>HU-020</t>
  </si>
  <si>
    <t>HU-021</t>
  </si>
  <si>
    <t>HU-022</t>
  </si>
  <si>
    <t>HU-023</t>
  </si>
  <si>
    <t>HU-024</t>
  </si>
  <si>
    <t>HU-025</t>
  </si>
  <si>
    <t>HU-026</t>
  </si>
  <si>
    <t>HU-027</t>
  </si>
  <si>
    <t>HU-028</t>
  </si>
  <si>
    <t>HU-029</t>
  </si>
  <si>
    <t>HU-030</t>
  </si>
  <si>
    <t>HU-031</t>
  </si>
  <si>
    <t>HU-032</t>
  </si>
  <si>
    <t>HU-033</t>
  </si>
  <si>
    <t>HU-034</t>
  </si>
  <si>
    <t>HU-035</t>
  </si>
  <si>
    <t>HU-036</t>
  </si>
  <si>
    <t>HU-037</t>
  </si>
  <si>
    <t>HU-038</t>
  </si>
  <si>
    <t>HU-039</t>
  </si>
  <si>
    <t>HU-040</t>
  </si>
  <si>
    <t>HU-041</t>
  </si>
  <si>
    <t>HU-042</t>
  </si>
  <si>
    <t>HU-043</t>
  </si>
  <si>
    <t>HU-044</t>
  </si>
  <si>
    <t>HU-045</t>
  </si>
  <si>
    <t>HU-046</t>
  </si>
  <si>
    <t>HU-047</t>
  </si>
  <si>
    <t>HU-048</t>
  </si>
  <si>
    <t>HU-049</t>
  </si>
  <si>
    <t>HU-050</t>
  </si>
  <si>
    <t>HU-051</t>
  </si>
  <si>
    <t>HU-052</t>
  </si>
  <si>
    <t>HU-053</t>
  </si>
  <si>
    <t>HU-054</t>
  </si>
  <si>
    <t>HU-055</t>
  </si>
  <si>
    <t>HU-056</t>
  </si>
  <si>
    <t>HU-057</t>
  </si>
  <si>
    <t>HU-058</t>
  </si>
  <si>
    <t>HU-059</t>
  </si>
  <si>
    <t>HU-060</t>
  </si>
  <si>
    <t>Historia de Usuario o Tareas</t>
  </si>
  <si>
    <t>SEM Proyecto</t>
  </si>
  <si>
    <t>Duración estimada</t>
  </si>
  <si>
    <t>Ref.</t>
  </si>
  <si>
    <t>Puntos x Semana</t>
  </si>
  <si>
    <t>Total por Hacer</t>
  </si>
  <si>
    <t>Realizados x Semana</t>
  </si>
  <si>
    <t>Total por Hacer x Semana</t>
  </si>
  <si>
    <t>Puntuación del Proyecto</t>
  </si>
  <si>
    <t>Tipos de Tareas</t>
  </si>
  <si>
    <t>Control PID</t>
  </si>
  <si>
    <t>Pantallas</t>
  </si>
  <si>
    <t>Comentarios en Software</t>
  </si>
  <si>
    <t>Manual de Usuario</t>
  </si>
  <si>
    <t>Alarmero</t>
  </si>
  <si>
    <t>Control Bombas</t>
  </si>
  <si>
    <t>Control Valvulas</t>
  </si>
  <si>
    <t>Control Instrumentos</t>
  </si>
  <si>
    <t>Enclavamientos</t>
  </si>
  <si>
    <t>Planillas de Transferencia</t>
  </si>
  <si>
    <t>Cantidad en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</si>
</sst>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name val="Calibri"/>
      <family val="2"/>
      <scheme val="minor"/>
    </font>
    <font>
      <sz val="26"/>
      <name val="Calibri"/>
      <family val="2"/>
      <scheme val="minor"/>
    </font>
    <font>
      <b/>
      <sz val="40"/>
      <name val="Calibri (Corpo)"/>
    </font>
    <font>
      <u/>
      <sz val="12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Arial"/>
      <family val="2"/>
    </font>
    <font>
      <b/>
      <sz val="12"/>
      <name val="Calibri (Corpo)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B4B4D"/>
        <bgColor indexed="64"/>
      </patternFill>
    </fill>
    <fill>
      <patternFill patternType="solid">
        <fgColor rgb="FF01D6C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ck">
        <color theme="0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n">
        <color theme="0" tint="-0.149998474074526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</cellStyleXfs>
  <cellXfs count="113">
    <xf numFmtId="0" fontId="0" fillId="0" borderId="0" xfId="0"/>
    <xf numFmtId="0" fontId="3" fillId="0" borderId="0" xfId="0" applyFont="1" applyBorder="1" applyAlignment="1" applyProtection="1">
      <alignment horizontal="left" vertical="center" indent="1"/>
    </xf>
    <xf numFmtId="0" fontId="6" fillId="0" borderId="0" xfId="0" applyFont="1" applyAlignment="1" applyProtection="1">
      <alignment horizontal="left"/>
    </xf>
    <xf numFmtId="0" fontId="9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indent="1"/>
    </xf>
    <xf numFmtId="14" fontId="9" fillId="0" borderId="0" xfId="0" applyNumberFormat="1" applyFont="1" applyFill="1" applyBorder="1" applyAlignment="1" applyProtection="1">
      <alignment horizontal="center"/>
    </xf>
    <xf numFmtId="0" fontId="9" fillId="0" borderId="6" xfId="0" applyFont="1" applyFill="1" applyBorder="1" applyAlignment="1" applyProtection="1">
      <alignment horizontal="left" vertical="center" wrapText="1" indent="1"/>
      <protection locked="0"/>
    </xf>
    <xf numFmtId="0" fontId="9" fillId="0" borderId="1" xfId="0" applyFont="1" applyFill="1" applyBorder="1" applyAlignment="1" applyProtection="1">
      <alignment horizontal="left" vertical="center" wrapText="1" indent="1"/>
      <protection locked="0"/>
    </xf>
    <xf numFmtId="0" fontId="9" fillId="0" borderId="1" xfId="0" applyNumberFormat="1" applyFont="1" applyFill="1" applyBorder="1" applyAlignment="1" applyProtection="1">
      <alignment horizontal="left" vertical="center" wrapText="1" indent="1"/>
      <protection locked="0"/>
    </xf>
    <xf numFmtId="0" fontId="9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5" fillId="0" borderId="0" xfId="0" applyFont="1" applyFill="1" applyBorder="1" applyAlignment="1" applyProtection="1">
      <alignment horizontal="left" indent="1"/>
    </xf>
    <xf numFmtId="0" fontId="9" fillId="0" borderId="0" xfId="0" applyNumberFormat="1" applyFont="1" applyFill="1" applyBorder="1" applyProtection="1"/>
    <xf numFmtId="9" fontId="9" fillId="2" borderId="6" xfId="5" applyFont="1" applyFill="1" applyBorder="1" applyAlignment="1" applyProtection="1">
      <alignment horizontal="left" vertical="center" wrapText="1" indent="1"/>
    </xf>
    <xf numFmtId="0" fontId="5" fillId="0" borderId="0" xfId="0" applyFont="1" applyFill="1" applyBorder="1" applyProtection="1"/>
    <xf numFmtId="3" fontId="9" fillId="2" borderId="6" xfId="0" applyNumberFormat="1" applyFont="1" applyFill="1" applyBorder="1" applyAlignment="1" applyProtection="1">
      <alignment horizontal="left" vertical="center" wrapText="1" indent="1"/>
    </xf>
    <xf numFmtId="0" fontId="9" fillId="4" borderId="0" xfId="0" applyFont="1" applyFill="1" applyBorder="1" applyProtection="1"/>
    <xf numFmtId="14" fontId="9" fillId="4" borderId="0" xfId="0" applyNumberFormat="1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2" borderId="1" xfId="0" applyFont="1" applyFill="1" applyBorder="1" applyAlignment="1" applyProtection="1">
      <alignment horizontal="left" vertical="center" wrapText="1" indent="1"/>
    </xf>
    <xf numFmtId="3" fontId="9" fillId="2" borderId="1" xfId="0" applyNumberFormat="1" applyFont="1" applyFill="1" applyBorder="1" applyAlignment="1" applyProtection="1">
      <alignment horizontal="left" vertical="center" wrapText="1" indent="1"/>
    </xf>
    <xf numFmtId="0" fontId="9" fillId="0" borderId="0" xfId="0" applyFont="1" applyFill="1" applyProtection="1"/>
    <xf numFmtId="0" fontId="9" fillId="5" borderId="0" xfId="0" applyFont="1" applyFill="1" applyProtection="1"/>
    <xf numFmtId="0" fontId="9" fillId="5" borderId="0" xfId="0" applyFont="1" applyFill="1" applyAlignment="1" applyProtection="1"/>
    <xf numFmtId="0" fontId="9" fillId="5" borderId="0" xfId="0" applyNumberFormat="1" applyFont="1" applyFill="1" applyAlignment="1" applyProtection="1"/>
    <xf numFmtId="0" fontId="9" fillId="6" borderId="0" xfId="0" applyFont="1" applyFill="1" applyBorder="1" applyProtection="1"/>
    <xf numFmtId="0" fontId="9" fillId="6" borderId="0" xfId="1" applyFont="1" applyFill="1" applyBorder="1" applyAlignment="1" applyProtection="1">
      <alignment horizontal="center" vertical="center" wrapText="1"/>
    </xf>
    <xf numFmtId="0" fontId="9" fillId="6" borderId="0" xfId="1" applyNumberFormat="1" applyFont="1" applyFill="1" applyBorder="1" applyAlignment="1" applyProtection="1">
      <alignment horizontal="center" vertical="center"/>
    </xf>
    <xf numFmtId="0" fontId="9" fillId="6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indent="1"/>
    </xf>
    <xf numFmtId="3" fontId="11" fillId="2" borderId="1" xfId="4" applyNumberFormat="1" applyFont="1" applyFill="1" applyBorder="1" applyAlignment="1" applyProtection="1">
      <alignment horizontal="center" vertical="center"/>
    </xf>
    <xf numFmtId="165" fontId="9" fillId="0" borderId="0" xfId="4" applyNumberFormat="1" applyFont="1" applyFill="1" applyBorder="1" applyProtection="1"/>
    <xf numFmtId="0" fontId="3" fillId="0" borderId="0" xfId="0" applyFont="1" applyFill="1" applyBorder="1" applyAlignment="1" applyProtection="1">
      <alignment horizontal="left" vertical="center" indent="2"/>
    </xf>
    <xf numFmtId="0" fontId="3" fillId="0" borderId="0" xfId="0" applyFont="1" applyFill="1" applyBorder="1" applyAlignment="1" applyProtection="1">
      <alignment vertic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Protection="1"/>
    <xf numFmtId="0" fontId="12" fillId="0" borderId="0" xfId="0" applyFont="1" applyFill="1" applyAlignment="1" applyProtection="1">
      <alignment vertical="center"/>
    </xf>
    <xf numFmtId="0" fontId="12" fillId="0" borderId="0" xfId="0" applyFont="1" applyFill="1" applyAlignment="1" applyProtection="1">
      <alignment vertical="center" wrapText="1"/>
    </xf>
    <xf numFmtId="0" fontId="5" fillId="0" borderId="0" xfId="0" applyFont="1" applyFill="1" applyAlignment="1" applyProtection="1"/>
    <xf numFmtId="0" fontId="5" fillId="0" borderId="0" xfId="0" applyFont="1" applyAlignment="1" applyProtection="1"/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 applyAlignment="1" applyProtection="1">
      <alignment horizontal="left" vertical="center"/>
    </xf>
    <xf numFmtId="0" fontId="14" fillId="0" borderId="0" xfId="1" applyFont="1" applyAlignment="1" applyProtection="1">
      <alignment horizontal="left" vertical="center"/>
    </xf>
    <xf numFmtId="0" fontId="3" fillId="3" borderId="0" xfId="1" applyFont="1" applyFill="1" applyAlignment="1" applyProtection="1">
      <alignment horizontal="left" vertical="center" indent="1"/>
      <protection locked="0"/>
    </xf>
    <xf numFmtId="0" fontId="15" fillId="2" borderId="1" xfId="0" applyFont="1" applyFill="1" applyBorder="1" applyAlignment="1" applyProtection="1">
      <alignment horizontal="left" vertical="center" indent="1"/>
    </xf>
    <xf numFmtId="0" fontId="5" fillId="2" borderId="1" xfId="0" applyFont="1" applyFill="1" applyBorder="1" applyProtection="1"/>
    <xf numFmtId="0" fontId="5" fillId="0" borderId="1" xfId="0" applyFont="1" applyFill="1" applyBorder="1" applyAlignment="1" applyProtection="1">
      <alignment horizontal="left" vertical="center" wrapText="1" indent="1"/>
      <protection locked="0"/>
    </xf>
    <xf numFmtId="0" fontId="9" fillId="0" borderId="0" xfId="0" applyFont="1" applyFill="1" applyBorder="1" applyAlignment="1" applyProtection="1">
      <alignment horizontal="left" vertical="center" wrapText="1" indent="1"/>
    </xf>
    <xf numFmtId="0" fontId="10" fillId="5" borderId="5" xfId="0" applyFont="1" applyFill="1" applyBorder="1" applyAlignment="1" applyProtection="1">
      <alignment horizontal="left" vertical="center" wrapText="1" indent="1"/>
    </xf>
    <xf numFmtId="0" fontId="9" fillId="0" borderId="1" xfId="0" applyFont="1" applyFill="1" applyBorder="1" applyAlignment="1" applyProtection="1">
      <alignment horizontal="left" vertical="center" wrapText="1" indent="1"/>
    </xf>
    <xf numFmtId="0" fontId="9" fillId="0" borderId="7" xfId="0" applyNumberFormat="1" applyFont="1" applyFill="1" applyBorder="1" applyAlignment="1" applyProtection="1">
      <alignment horizontal="left" vertical="center" wrapText="1" indent="1"/>
    </xf>
    <xf numFmtId="0" fontId="9" fillId="0" borderId="6" xfId="0" applyFont="1" applyFill="1" applyBorder="1" applyAlignment="1" applyProtection="1">
      <alignment horizontal="left" vertical="center" wrapText="1" indent="1"/>
    </xf>
    <xf numFmtId="0" fontId="9" fillId="0" borderId="4" xfId="0" applyNumberFormat="1" applyFont="1" applyFill="1" applyBorder="1" applyAlignment="1" applyProtection="1">
      <alignment horizontal="left" vertical="center" wrapText="1" indent="1"/>
    </xf>
    <xf numFmtId="0" fontId="2" fillId="0" borderId="7" xfId="1" applyNumberFormat="1" applyFill="1" applyBorder="1" applyAlignment="1" applyProtection="1">
      <alignment horizontal="left" vertical="center" wrapText="1" indent="1"/>
      <protection locked="0"/>
    </xf>
    <xf numFmtId="3" fontId="9" fillId="0" borderId="6" xfId="0" applyNumberFormat="1" applyFont="1" applyFill="1" applyBorder="1" applyAlignment="1" applyProtection="1">
      <alignment horizontal="left" vertical="center" wrapText="1" indent="1"/>
    </xf>
    <xf numFmtId="3" fontId="9" fillId="0" borderId="1" xfId="0" applyNumberFormat="1" applyFont="1" applyFill="1" applyBorder="1" applyAlignment="1" applyProtection="1">
      <alignment horizontal="left" vertical="center" wrapText="1" indent="1"/>
    </xf>
    <xf numFmtId="0" fontId="18" fillId="5" borderId="0" xfId="0" applyFont="1" applyFill="1" applyProtection="1"/>
    <xf numFmtId="0" fontId="18" fillId="6" borderId="0" xfId="0" applyFont="1" applyFill="1" applyBorder="1" applyProtection="1"/>
    <xf numFmtId="0" fontId="18" fillId="0" borderId="0" xfId="0" applyFont="1" applyFill="1" applyBorder="1" applyProtection="1"/>
    <xf numFmtId="0" fontId="10" fillId="5" borderId="13" xfId="0" applyFont="1" applyFill="1" applyBorder="1" applyAlignment="1" applyProtection="1">
      <alignment horizontal="left" vertical="center" wrapText="1" indent="1"/>
    </xf>
    <xf numFmtId="0" fontId="9" fillId="0" borderId="14" xfId="0" applyFont="1" applyFill="1" applyBorder="1" applyAlignment="1" applyProtection="1">
      <alignment horizontal="left" vertical="center" wrapText="1" indent="1"/>
    </xf>
    <xf numFmtId="0" fontId="9" fillId="0" borderId="9" xfId="0" applyNumberFormat="1" applyFont="1" applyFill="1" applyBorder="1" applyAlignment="1" applyProtection="1">
      <alignment horizontal="left" vertical="center" wrapText="1" indent="1"/>
    </xf>
    <xf numFmtId="3" fontId="9" fillId="0" borderId="15" xfId="0" applyNumberFormat="1" applyFont="1" applyFill="1" applyBorder="1" applyAlignment="1" applyProtection="1">
      <alignment horizontal="left" vertical="center" wrapText="1" indent="1"/>
    </xf>
    <xf numFmtId="3" fontId="9" fillId="0" borderId="14" xfId="0" applyNumberFormat="1" applyFont="1" applyFill="1" applyBorder="1" applyAlignment="1" applyProtection="1">
      <alignment horizontal="left" vertical="center" wrapText="1" indent="1"/>
    </xf>
    <xf numFmtId="0" fontId="9" fillId="0" borderId="15" xfId="0" applyFont="1" applyFill="1" applyBorder="1" applyAlignment="1" applyProtection="1">
      <alignment horizontal="left" vertical="center" wrapText="1" indent="1"/>
    </xf>
    <xf numFmtId="3" fontId="9" fillId="2" borderId="15" xfId="0" applyNumberFormat="1" applyFont="1" applyFill="1" applyBorder="1" applyAlignment="1" applyProtection="1">
      <alignment horizontal="left" vertical="center" wrapText="1" indent="1"/>
    </xf>
    <xf numFmtId="0" fontId="9" fillId="2" borderId="14" xfId="0" applyFont="1" applyFill="1" applyBorder="1" applyAlignment="1" applyProtection="1">
      <alignment horizontal="left" vertical="center" wrapText="1" indent="1"/>
    </xf>
    <xf numFmtId="9" fontId="9" fillId="2" borderId="15" xfId="5" applyFont="1" applyFill="1" applyBorder="1" applyAlignment="1" applyProtection="1">
      <alignment horizontal="left" vertical="center" wrapText="1" indent="1"/>
    </xf>
    <xf numFmtId="1" fontId="10" fillId="5" borderId="13" xfId="0" applyNumberFormat="1" applyFont="1" applyFill="1" applyBorder="1" applyAlignment="1" applyProtection="1">
      <alignment horizontal="left" vertical="center" wrapText="1" indent="1"/>
    </xf>
    <xf numFmtId="3" fontId="10" fillId="5" borderId="13" xfId="0" applyNumberFormat="1" applyFont="1" applyFill="1" applyBorder="1" applyAlignment="1" applyProtection="1">
      <alignment horizontal="left" vertical="center" wrapText="1" indent="1"/>
    </xf>
    <xf numFmtId="0" fontId="3" fillId="0" borderId="0" xfId="0" applyFont="1" applyFill="1" applyBorder="1" applyAlignment="1" applyProtection="1">
      <alignment horizontal="left" vertical="center"/>
    </xf>
    <xf numFmtId="0" fontId="5" fillId="0" borderId="16" xfId="0" applyFont="1" applyFill="1" applyBorder="1" applyAlignment="1" applyProtection="1">
      <alignment vertical="center"/>
    </xf>
    <xf numFmtId="0" fontId="9" fillId="0" borderId="16" xfId="0" applyFont="1" applyFill="1" applyBorder="1" applyProtection="1"/>
    <xf numFmtId="0" fontId="5" fillId="0" borderId="16" xfId="0" applyNumberFormat="1" applyFont="1" applyFill="1" applyBorder="1" applyAlignment="1" applyProtection="1">
      <alignment vertical="center"/>
    </xf>
    <xf numFmtId="0" fontId="9" fillId="0" borderId="1" xfId="3" applyNumberFormat="1" applyFont="1" applyFill="1" applyBorder="1" applyAlignment="1" applyProtection="1">
      <alignment horizontal="left" vertical="center" wrapText="1" indent="1"/>
    </xf>
    <xf numFmtId="0" fontId="9" fillId="0" borderId="14" xfId="3" applyNumberFormat="1" applyFont="1" applyFill="1" applyBorder="1" applyAlignment="1" applyProtection="1">
      <alignment horizontal="left" vertical="center" wrapText="1" indent="1"/>
    </xf>
    <xf numFmtId="0" fontId="10" fillId="5" borderId="13" xfId="0" applyNumberFormat="1" applyFont="1" applyFill="1" applyBorder="1" applyAlignment="1" applyProtection="1">
      <alignment horizontal="left" vertical="center" wrapText="1" indent="1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9" fillId="0" borderId="15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left" vertical="center" wrapText="1" indent="1"/>
    </xf>
    <xf numFmtId="3" fontId="9" fillId="2" borderId="4" xfId="0" applyNumberFormat="1" applyFont="1" applyFill="1" applyBorder="1" applyAlignment="1" applyProtection="1">
      <alignment horizontal="left" vertical="center" wrapText="1" indent="1"/>
    </xf>
    <xf numFmtId="0" fontId="9" fillId="2" borderId="1" xfId="0" applyNumberFormat="1" applyFont="1" applyFill="1" applyBorder="1" applyAlignment="1" applyProtection="1">
      <alignment horizontal="left" vertical="center" wrapText="1" indent="1"/>
    </xf>
    <xf numFmtId="0" fontId="10" fillId="5" borderId="18" xfId="0" applyFont="1" applyFill="1" applyBorder="1" applyAlignment="1" applyProtection="1">
      <alignment horizontal="left" vertical="center" wrapText="1" indent="1"/>
    </xf>
    <xf numFmtId="3" fontId="19" fillId="0" borderId="16" xfId="0" applyNumberFormat="1" applyFont="1" applyFill="1" applyBorder="1" applyAlignment="1" applyProtection="1">
      <alignment vertical="center"/>
    </xf>
    <xf numFmtId="3" fontId="9" fillId="0" borderId="16" xfId="0" applyNumberFormat="1" applyFont="1" applyFill="1" applyBorder="1" applyAlignment="1" applyProtection="1">
      <alignment vertical="center"/>
    </xf>
    <xf numFmtId="0" fontId="20" fillId="0" borderId="16" xfId="0" applyFont="1" applyFill="1" applyBorder="1" applyAlignment="1" applyProtection="1">
      <alignment vertical="center"/>
    </xf>
    <xf numFmtId="0" fontId="9" fillId="0" borderId="8" xfId="0" applyFont="1" applyFill="1" applyBorder="1" applyAlignment="1" applyProtection="1">
      <alignment horizontal="right" vertical="center" wrapText="1" indent="1"/>
    </xf>
    <xf numFmtId="0" fontId="9" fillId="0" borderId="9" xfId="0" applyFont="1" applyFill="1" applyBorder="1" applyAlignment="1" applyProtection="1">
      <alignment horizontal="right" vertical="center" wrapText="1" indent="1"/>
    </xf>
    <xf numFmtId="0" fontId="9" fillId="0" borderId="2" xfId="0" applyFont="1" applyFill="1" applyBorder="1" applyAlignment="1" applyProtection="1">
      <alignment horizontal="left" vertical="center" wrapText="1" indent="1"/>
      <protection locked="0"/>
    </xf>
    <xf numFmtId="0" fontId="9" fillId="0" borderId="3" xfId="0" applyFont="1" applyFill="1" applyBorder="1" applyAlignment="1" applyProtection="1">
      <alignment horizontal="left" vertical="center" wrapText="1" indent="1"/>
      <protection locked="0"/>
    </xf>
    <xf numFmtId="0" fontId="9" fillId="0" borderId="4" xfId="0" applyFont="1" applyFill="1" applyBorder="1" applyAlignment="1" applyProtection="1">
      <alignment horizontal="left" vertical="center" wrapText="1" indent="1"/>
      <protection locked="0"/>
    </xf>
    <xf numFmtId="0" fontId="10" fillId="5" borderId="8" xfId="0" applyFont="1" applyFill="1" applyBorder="1" applyAlignment="1" applyProtection="1">
      <alignment horizontal="center" vertical="center" wrapText="1"/>
    </xf>
    <xf numFmtId="0" fontId="10" fillId="5" borderId="17" xfId="0" applyFont="1" applyFill="1" applyBorder="1" applyAlignment="1" applyProtection="1">
      <alignment horizontal="center" vertical="center" wrapText="1"/>
    </xf>
    <xf numFmtId="3" fontId="11" fillId="2" borderId="10" xfId="4" applyNumberFormat="1" applyFont="1" applyFill="1" applyBorder="1" applyAlignment="1" applyProtection="1">
      <alignment horizontal="center" vertical="center"/>
    </xf>
    <xf numFmtId="3" fontId="11" fillId="2" borderId="11" xfId="4" applyNumberFormat="1" applyFont="1" applyFill="1" applyBorder="1" applyAlignment="1" applyProtection="1">
      <alignment horizontal="center" vertical="center"/>
    </xf>
    <xf numFmtId="3" fontId="11" fillId="2" borderId="12" xfId="4" applyNumberFormat="1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 applyProtection="1">
      <alignment horizontal="center" vertical="center" wrapText="1"/>
    </xf>
    <xf numFmtId="3" fontId="19" fillId="0" borderId="16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 wrapText="1"/>
    </xf>
    <xf numFmtId="0" fontId="9" fillId="0" borderId="0" xfId="0" applyFont="1" applyAlignment="1" applyProtection="1">
      <alignment horizontal="left" vertical="center" wrapText="1"/>
    </xf>
    <xf numFmtId="0" fontId="17" fillId="0" borderId="0" xfId="0" applyFont="1" applyAlignment="1" applyProtection="1">
      <alignment horizontal="left" vertical="center" wrapText="1"/>
    </xf>
    <xf numFmtId="0" fontId="9" fillId="0" borderId="2" xfId="0" applyFont="1" applyBorder="1" applyAlignment="1" applyProtection="1">
      <alignment horizontal="left" vertical="center" wrapText="1" indent="1"/>
    </xf>
    <xf numFmtId="0" fontId="9" fillId="0" borderId="3" xfId="0" applyFont="1" applyBorder="1" applyAlignment="1" applyProtection="1">
      <alignment horizontal="left" vertical="center" wrapText="1" indent="1"/>
    </xf>
    <xf numFmtId="0" fontId="9" fillId="0" borderId="4" xfId="0" applyFont="1" applyBorder="1" applyAlignment="1" applyProtection="1">
      <alignment horizontal="left" vertical="center" wrapText="1" indent="1"/>
    </xf>
    <xf numFmtId="3" fontId="3" fillId="2" borderId="1" xfId="4" applyNumberFormat="1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horizontal="center"/>
    </xf>
    <xf numFmtId="0" fontId="9" fillId="0" borderId="16" xfId="0" applyFont="1" applyFill="1" applyBorder="1" applyAlignment="1" applyProtection="1">
      <alignment horizontal="center" vertical="center"/>
    </xf>
  </cellXfs>
  <cellStyles count="7">
    <cellStyle name="Hipervínculo" xfId="1" builtinId="8"/>
    <cellStyle name="Hipervínculo visitado" xfId="2" builtinId="9" hidden="1"/>
    <cellStyle name="Millares" xfId="4" builtinId="3"/>
    <cellStyle name="Moneda" xfId="3" builtinId="4"/>
    <cellStyle name="Normal" xfId="0" builtinId="0"/>
    <cellStyle name="Normal 2" xfId="6"/>
    <cellStyle name="Porcentaje" xfId="5" builtinId="5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border outline="0">
        <top style="thin">
          <color theme="0" tint="-0.14999847407452621"/>
        </top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border outline="0">
        <top style="thick">
          <color theme="0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border outline="0">
        <top style="thick">
          <color theme="0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border outline="0">
        <top style="thick">
          <color theme="0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border outline="0">
        <top style="thick">
          <color theme="0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9847407452621"/>
        </right>
        <top/>
        <bottom style="thin">
          <color theme="0" tint="-0.149998474074526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border outline="0">
        <top style="thick">
          <color theme="0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B4B4D"/>
        </patternFill>
      </fill>
      <alignment horizontal="left" vertical="center" textRotation="0" wrapText="1" indent="1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  <protection locked="1" hidden="0"/>
    </dxf>
  </dxfs>
  <tableStyles count="0" defaultTableStyle="TableStyleMedium9" defaultPivotStyle="PivotStyleMedium7"/>
  <colors>
    <mruColors>
      <color rgb="FF01D6C2"/>
      <color rgb="FF4B4B4D"/>
      <color rgb="FFF0462E"/>
      <color rgb="FF55B03E"/>
      <color rgb="FFFF9300"/>
      <color rgb="FF6699CC"/>
      <color rgb="FFFFFFFF"/>
      <color rgb="FFF2B800"/>
      <color rgb="FF40404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sz="1600" b="1">
                <a:solidFill>
                  <a:sysClr val="windowText" lastClr="000000"/>
                </a:solidFill>
              </a:rPr>
              <a:t>PUNTUACION</a:t>
            </a:r>
            <a:r>
              <a:rPr lang="es-419" sz="1600" b="1" baseline="0">
                <a:solidFill>
                  <a:sysClr val="windowText" lastClr="000000"/>
                </a:solidFill>
              </a:rPr>
              <a:t> DEL PROYECTO</a:t>
            </a:r>
            <a:endParaRPr lang="es-419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ysClr val="window" lastClr="FFFFFF">
            <a:lumMod val="95000"/>
          </a:sysClr>
        </a:solidFill>
        <a:ln>
          <a:noFill/>
        </a:ln>
        <a:effectLst/>
        <a:sp3d/>
      </c:spPr>
    </c:sideWall>
    <c:backWall>
      <c:thickness val="0"/>
      <c:spPr>
        <a:solidFill>
          <a:sysClr val="window" lastClr="FFFFFF">
            <a:lumMod val="95000"/>
          </a:sys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908449826580182E-2"/>
          <c:y val="0.1182868956646287"/>
          <c:w val="0.93333604240679846"/>
          <c:h val="0.80116001180723218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DAS!$E$17</c:f>
              <c:strCache>
                <c:ptCount val="1"/>
                <c:pt idx="0">
                  <c:v>Total por Hacer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E29-4A28-A880-23A15952F1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36000" rIns="0" bIns="3600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DAS!$D$19:$D$118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[0]!TotalPorHacer</c:f>
              <c:numCache>
                <c:formatCode>General</c:formatCode>
                <c:ptCount val="5"/>
                <c:pt idx="0">
                  <c:v>930</c:v>
                </c:pt>
                <c:pt idx="1">
                  <c:v>410</c:v>
                </c:pt>
                <c:pt idx="2">
                  <c:v>360</c:v>
                </c:pt>
                <c:pt idx="3">
                  <c:v>160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7-4B37-9D56-925C668E3534}"/>
            </c:ext>
          </c:extLst>
        </c:ser>
        <c:ser>
          <c:idx val="2"/>
          <c:order val="1"/>
          <c:tx>
            <c:strRef>
              <c:f>DAS!$F$17</c:f>
              <c:strCache>
                <c:ptCount val="1"/>
                <c:pt idx="0">
                  <c:v>Total por Hacer x Semana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36000" rIns="0" bIns="3600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[0]!RealizadosPorSemana</c:f>
              <c:numCache>
                <c:formatCode>General</c:formatCode>
                <c:ptCount val="5"/>
                <c:pt idx="0">
                  <c:v>520</c:v>
                </c:pt>
                <c:pt idx="1">
                  <c:v>50</c:v>
                </c:pt>
                <c:pt idx="2">
                  <c:v>200</c:v>
                </c:pt>
                <c:pt idx="3">
                  <c:v>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1-450D-B6AB-44AE585994F0}"/>
            </c:ext>
          </c:extLst>
        </c:ser>
        <c:ser>
          <c:idx val="0"/>
          <c:order val="2"/>
          <c:tx>
            <c:strRef>
              <c:f>DAS!$G$17</c:f>
              <c:strCache>
                <c:ptCount val="1"/>
                <c:pt idx="0">
                  <c:v>Realizados x Semana</c:v>
                </c:pt>
              </c:strCache>
            </c:strRef>
          </c:tx>
          <c:spPr>
            <a:solidFill>
              <a:srgbClr val="01D6C2"/>
            </a:solidFill>
            <a:ln w="25400"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36000" rIns="0" bIns="36000" anchor="t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DAS!$D$19:$D$118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[0]!RealizadosPorSemana</c:f>
              <c:numCache>
                <c:formatCode>General</c:formatCode>
                <c:ptCount val="5"/>
                <c:pt idx="0">
                  <c:v>520</c:v>
                </c:pt>
                <c:pt idx="1">
                  <c:v>50</c:v>
                </c:pt>
                <c:pt idx="2">
                  <c:v>200</c:v>
                </c:pt>
                <c:pt idx="3">
                  <c:v>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7-4B37-9D56-925C668E3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shape val="box"/>
        <c:axId val="741936680"/>
        <c:axId val="741944912"/>
        <c:axId val="0"/>
      </c:bar3DChart>
      <c:catAx>
        <c:axId val="74193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41944912"/>
        <c:crosses val="autoZero"/>
        <c:auto val="1"/>
        <c:lblAlgn val="ctr"/>
        <c:lblOffset val="100"/>
        <c:noMultiLvlLbl val="0"/>
      </c:catAx>
      <c:valAx>
        <c:axId val="7419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419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419" b="1">
                <a:solidFill>
                  <a:sysClr val="windowText" lastClr="000000"/>
                </a:solidFill>
              </a:rPr>
              <a:t>PUNTOS REALIZADOS POR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8.3710629921259839E-4"/>
          <c:y val="3.9696599864149196E-2"/>
          <c:w val="0.41025910433070861"/>
          <c:h val="0.92074430779595862"/>
        </c:manualLayout>
      </c:layout>
      <c:doughnut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6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E0-4388-B802-FFC4706753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E0-4388-B802-FFC4706753F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E0-4388-B802-FFC4706753F9}"/>
              </c:ext>
            </c:extLst>
          </c:dPt>
          <c:dPt>
            <c:idx val="3"/>
            <c:bubble3D val="0"/>
            <c:spPr>
              <a:solidFill>
                <a:srgbClr val="FF93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E0-4388-B802-FFC4706753F9}"/>
              </c:ext>
            </c:extLst>
          </c:dPt>
          <c:dPt>
            <c:idx val="4"/>
            <c:bubble3D val="0"/>
            <c:spPr>
              <a:solidFill>
                <a:srgbClr val="F0462E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E0-4388-B802-FFC4706753F9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E0-4388-B802-FFC4706753F9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E0-4388-B802-FFC4706753F9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E0-4388-B802-FFC4706753F9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E0-4388-B802-FFC4706753F9}"/>
              </c:ext>
            </c:extLst>
          </c:dPt>
          <c:dPt>
            <c:idx val="9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E0-4388-B802-FFC4706753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1E0-4388-B802-FFC4706753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1E0-4388-B802-FFC4706753F9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1E0-4388-B802-FFC4706753F9}"/>
              </c:ext>
            </c:extLst>
          </c:dPt>
          <c:dPt>
            <c:idx val="1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1E0-4388-B802-FFC4706753F9}"/>
              </c:ext>
            </c:extLst>
          </c:dPt>
          <c:dPt>
            <c:idx val="14"/>
            <c:bubble3D val="0"/>
            <c:spPr>
              <a:solidFill>
                <a:schemeClr val="tx1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1E0-4388-B802-FFC4706753F9}"/>
              </c:ext>
            </c:extLst>
          </c:dPt>
          <c:dPt>
            <c:idx val="15"/>
            <c:bubble3D val="0"/>
            <c:spPr>
              <a:solidFill>
                <a:srgbClr val="C00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1E0-4388-B802-FFC4706753F9}"/>
              </c:ext>
            </c:extLst>
          </c:dPt>
          <c:dPt>
            <c:idx val="16"/>
            <c:bubble3D val="0"/>
            <c:spPr>
              <a:solidFill>
                <a:srgbClr val="00206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1E0-4388-B802-FFC4706753F9}"/>
              </c:ext>
            </c:extLst>
          </c:dPt>
          <c:dPt>
            <c:idx val="17"/>
            <c:bubble3D val="0"/>
            <c:spPr>
              <a:solidFill>
                <a:srgbClr val="7030A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1E0-4388-B802-FFC4706753F9}"/>
              </c:ext>
            </c:extLst>
          </c:dPt>
          <c:dPt>
            <c:idx val="18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1E0-4388-B802-FFC4706753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1E0-4388-B802-FFC4706753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1E0-4388-B802-FFC4706753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1E0-4388-B802-FFC4706753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1E0-4388-B802-FFC4706753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1E0-4388-B802-FFC4706753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1E0-4388-B802-FFC4706753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1E0-4388-B802-FFC4706753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1E0-4388-B802-FFC4706753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1E0-4388-B802-FFC4706753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1E0-4388-B802-FFC4706753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1E0-4388-B802-FFC4706753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1E0-4388-B802-FFC4706753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1E0-4388-B802-FFC4706753F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1E0-4388-B802-FFC4706753F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1E0-4388-B802-FFC4706753F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1E0-4388-B802-FFC4706753F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1E0-4388-B802-FFC4706753F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1E0-4388-B802-FFC4706753F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1E0-4388-B802-FFC4706753F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1E0-4388-B802-FFC4706753F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1E0-4388-B802-FFC4706753F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1E0-4388-B802-FFC4706753F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1E0-4388-B802-FFC4706753F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1E0-4388-B802-FFC4706753F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1E0-4388-B802-FFC4706753F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1E0-4388-B802-FFC4706753F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1E0-4388-B802-FFC4706753F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1E0-4388-B802-FFC4706753F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1E0-4388-B802-FFC4706753F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1E0-4388-B802-FFC4706753F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1E0-4388-B802-FFC4706753F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[0]!Funcionario</c:f>
              <c:strCache>
                <c:ptCount val="2"/>
                <c:pt idx="0">
                  <c:v>Elio Agustín Facchin</c:v>
                </c:pt>
                <c:pt idx="1">
                  <c:v>Emilio Tomás Ryan</c:v>
                </c:pt>
              </c:strCache>
            </c:strRef>
          </c:cat>
          <c:val>
            <c:numRef>
              <c:f>[0]!Funcionario2</c:f>
              <c:numCache>
                <c:formatCode>#,##0</c:formatCode>
                <c:ptCount val="2"/>
                <c:pt idx="0">
                  <c:v>180</c:v>
                </c:pt>
                <c:pt idx="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1E0-4388-B802-FFC470675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53641732283466"/>
          <c:y val="8.6224117818606005E-2"/>
          <c:w val="0.55165526574803148"/>
          <c:h val="0.79977398658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1D6C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1D6C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7-4DFC-BCC6-CBA3024A1A6E}"/>
              </c:ext>
            </c:extLst>
          </c:dPt>
          <c:dPt>
            <c:idx val="1"/>
            <c:invertIfNegative val="0"/>
            <c:bubble3D val="0"/>
            <c:spPr>
              <a:solidFill>
                <a:srgbClr val="4B4B4D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7-4DFC-BCC6-CBA3024A1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PVR!$E$16:$E$17</c:f>
              <c:strCache>
                <c:ptCount val="2"/>
                <c:pt idx="0">
                  <c:v>Horas programadas</c:v>
                </c:pt>
                <c:pt idx="1">
                  <c:v>Horas utilizadas</c:v>
                </c:pt>
              </c:strCache>
            </c:strRef>
          </c:cat>
          <c:val>
            <c:numRef>
              <c:f>PVR!$F$16:$F$17</c:f>
              <c:numCache>
                <c:formatCode>#,##0</c:formatCode>
                <c:ptCount val="2"/>
                <c:pt idx="0">
                  <c:v>1260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7-4DFC-BCC6-CBA3024A1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97840136"/>
        <c:axId val="297839352"/>
      </c:barChart>
      <c:catAx>
        <c:axId val="2978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7839352"/>
        <c:crosses val="autoZero"/>
        <c:auto val="1"/>
        <c:lblAlgn val="ctr"/>
        <c:lblOffset val="100"/>
        <c:noMultiLvlLbl val="0"/>
      </c:catAx>
      <c:valAx>
        <c:axId val="2978393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978401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16905974988424E-2"/>
          <c:y val="5.0231389441130994E-2"/>
          <c:w val="0.60827531264474288"/>
          <c:h val="0.90655124806715259"/>
        </c:manualLayout>
      </c:layout>
      <c:doughnutChart>
        <c:varyColors val="1"/>
        <c:ser>
          <c:idx val="0"/>
          <c:order val="0"/>
          <c:spPr>
            <a:solidFill>
              <a:srgbClr val="F0462E"/>
            </a:solidFill>
            <a:ln w="3175"/>
            <a:effectLst/>
          </c:spPr>
          <c:dPt>
            <c:idx val="0"/>
            <c:bubble3D val="0"/>
            <c:spPr>
              <a:solidFill>
                <a:schemeClr val="accent6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5-478A-A0B7-85303E50749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5-478A-A0B7-85303E507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PVR!$E$20:$E$21</c:f>
              <c:strCache>
                <c:ptCount val="2"/>
                <c:pt idx="0">
                  <c:v>Terminada</c:v>
                </c:pt>
                <c:pt idx="1">
                  <c:v>No Terminada</c:v>
                </c:pt>
              </c:strCache>
            </c:strRef>
          </c:cat>
          <c:val>
            <c:numRef>
              <c:f>PVR!$F$20:$F$21</c:f>
              <c:numCache>
                <c:formatCode>#,##0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5-478A-A0B7-85303E5074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3.5716905974988424E-2"/>
          <c:y val="5.0231389441130994E-2"/>
          <c:w val="0.60827531264474288"/>
          <c:h val="0.90655124806715259"/>
        </c:manualLayout>
      </c:layout>
      <c:pieChart>
        <c:varyColors val="1"/>
        <c:ser>
          <c:idx val="0"/>
          <c:order val="0"/>
          <c:tx>
            <c:strRef>
              <c:f>TIP!$C$30</c:f>
              <c:strCache>
                <c:ptCount val="1"/>
                <c:pt idx="0">
                  <c:v>Tipos de Tareas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E8-4CFB-AC55-385B8C685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E8-4CFB-AC55-385B8C685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E8-4CFB-AC55-385B8C6858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8E8-4CFB-AC55-385B8C6858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E8-4CFB-AC55-385B8C6858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8E8-4CFB-AC55-385B8C6858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E8-4CFB-AC55-385B8C6858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8E8-4CFB-AC55-385B8C6858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8E8-4CFB-AC55-385B8C6858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8E8-4CFB-AC55-385B8C6858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TIP!$C$32:$C$41</c15:sqref>
                  </c15:fullRef>
                </c:ext>
              </c:extLst>
              <c:f>TIP!$C$32:$C$41</c:f>
              <c:strCache>
                <c:ptCount val="10"/>
                <c:pt idx="0">
                  <c:v>Control Bombas</c:v>
                </c:pt>
                <c:pt idx="1">
                  <c:v>Control Valvulas</c:v>
                </c:pt>
                <c:pt idx="2">
                  <c:v>Control Instrumentos</c:v>
                </c:pt>
                <c:pt idx="3">
                  <c:v>Control PID</c:v>
                </c:pt>
                <c:pt idx="4">
                  <c:v>Enclavamientos</c:v>
                </c:pt>
                <c:pt idx="5">
                  <c:v>Alarmero</c:v>
                </c:pt>
                <c:pt idx="6">
                  <c:v>Pantallas</c:v>
                </c:pt>
                <c:pt idx="7">
                  <c:v>Planillas de Transferencia</c:v>
                </c:pt>
                <c:pt idx="8">
                  <c:v>Comentarios en Software</c:v>
                </c:pt>
                <c:pt idx="9">
                  <c:v>Manual de Usuario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TIP!$E$32:$E$41</c15:sqref>
                  </c15:fullRef>
                </c:ext>
              </c:extLst>
              <c:f>TIP!$E$32:$E$41</c:f>
              <c:numCache>
                <c:formatCode>General</c:formatCode>
                <c:ptCount val="10"/>
                <c:pt idx="0">
                  <c:v>47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8-4CFB-AC55-385B8C6858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89939320779755"/>
          <c:y val="8.8995433564534834E-2"/>
          <c:w val="0.22107895670443184"/>
          <c:h val="0.8169308616987139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PVR!A1"/><Relationship Id="rId7" Type="http://schemas.openxmlformats.org/officeDocument/2006/relationships/hyperlink" Target="#TIP!A1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hyperlink" Target="#INI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CAD!A1"/><Relationship Id="rId2" Type="http://schemas.openxmlformats.org/officeDocument/2006/relationships/hyperlink" Target="#DUV!A1"/><Relationship Id="rId1" Type="http://schemas.openxmlformats.org/officeDocument/2006/relationships/hyperlink" Target="#INI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CAD!A1"/><Relationship Id="rId2" Type="http://schemas.openxmlformats.org/officeDocument/2006/relationships/hyperlink" Target="#DUV!A1"/><Relationship Id="rId1" Type="http://schemas.openxmlformats.org/officeDocument/2006/relationships/hyperlink" Target="#INI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R!A1"/><Relationship Id="rId7" Type="http://schemas.openxmlformats.org/officeDocument/2006/relationships/hyperlink" Target="#INI!A1"/><Relationship Id="rId2" Type="http://schemas.openxmlformats.org/officeDocument/2006/relationships/hyperlink" Target="#EQU!A1"/><Relationship Id="rId1" Type="http://schemas.openxmlformats.org/officeDocument/2006/relationships/hyperlink" Target="#CAD!A1"/><Relationship Id="rId6" Type="http://schemas.openxmlformats.org/officeDocument/2006/relationships/hyperlink" Target="#DAS!A1"/><Relationship Id="rId5" Type="http://schemas.openxmlformats.org/officeDocument/2006/relationships/hyperlink" Target="#REL!A1"/><Relationship Id="rId4" Type="http://schemas.openxmlformats.org/officeDocument/2006/relationships/hyperlink" Target="#SC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PR!A1"/><Relationship Id="rId2" Type="http://schemas.openxmlformats.org/officeDocument/2006/relationships/hyperlink" Target="#CAD!A1"/><Relationship Id="rId1" Type="http://schemas.openxmlformats.org/officeDocument/2006/relationships/hyperlink" Target="#SCR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REL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PR!A1"/><Relationship Id="rId2" Type="http://schemas.openxmlformats.org/officeDocument/2006/relationships/hyperlink" Target="#CAD!A1"/><Relationship Id="rId1" Type="http://schemas.openxmlformats.org/officeDocument/2006/relationships/hyperlink" Target="#SCR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REL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DEI!A1"/><Relationship Id="rId2" Type="http://schemas.openxmlformats.org/officeDocument/2006/relationships/hyperlink" Target="#CAD!A1"/><Relationship Id="rId1" Type="http://schemas.openxmlformats.org/officeDocument/2006/relationships/hyperlink" Target="#REL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SCR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DEI!A1"/><Relationship Id="rId2" Type="http://schemas.openxmlformats.org/officeDocument/2006/relationships/hyperlink" Target="#CAD!A1"/><Relationship Id="rId1" Type="http://schemas.openxmlformats.org/officeDocument/2006/relationships/hyperlink" Target="#REL!A1"/><Relationship Id="rId6" Type="http://schemas.openxmlformats.org/officeDocument/2006/relationships/hyperlink" Target="#INI!A1"/><Relationship Id="rId5" Type="http://schemas.openxmlformats.org/officeDocument/2006/relationships/hyperlink" Target="#DAS!A1"/><Relationship Id="rId4" Type="http://schemas.openxmlformats.org/officeDocument/2006/relationships/hyperlink" Target="#SCR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hyperlink" Target="#PVR!A1"/><Relationship Id="rId7" Type="http://schemas.openxmlformats.org/officeDocument/2006/relationships/chart" Target="../charts/chart1.xml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hyperlink" Target="#INI!A1"/><Relationship Id="rId5" Type="http://schemas.openxmlformats.org/officeDocument/2006/relationships/hyperlink" Target="#REL!A1"/><Relationship Id="rId4" Type="http://schemas.openxmlformats.org/officeDocument/2006/relationships/hyperlink" Target="#SCR!A1"/><Relationship Id="rId9" Type="http://schemas.openxmlformats.org/officeDocument/2006/relationships/hyperlink" Target="#TIP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PVR!A1"/><Relationship Id="rId7" Type="http://schemas.openxmlformats.org/officeDocument/2006/relationships/chart" Target="../charts/chart3.xml"/><Relationship Id="rId2" Type="http://schemas.openxmlformats.org/officeDocument/2006/relationships/hyperlink" Target="#CAD!A1"/><Relationship Id="rId1" Type="http://schemas.openxmlformats.org/officeDocument/2006/relationships/hyperlink" Target="#DAS!A1"/><Relationship Id="rId6" Type="http://schemas.openxmlformats.org/officeDocument/2006/relationships/hyperlink" Target="#INI!A1"/><Relationship Id="rId5" Type="http://schemas.openxmlformats.org/officeDocument/2006/relationships/hyperlink" Target="#REL!A1"/><Relationship Id="rId4" Type="http://schemas.openxmlformats.org/officeDocument/2006/relationships/hyperlink" Target="#SCR!A1"/><Relationship Id="rId9" Type="http://schemas.openxmlformats.org/officeDocument/2006/relationships/hyperlink" Target="#TI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698505</xdr:colOff>
      <xdr:row>1</xdr:row>
      <xdr:rowOff>95250</xdr:rowOff>
    </xdr:from>
    <xdr:to>
      <xdr:col>2</xdr:col>
      <xdr:colOff>1809750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0672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PROYECTO</a:t>
          </a:r>
        </a:p>
      </xdr:txBody>
    </xdr:sp>
    <xdr:clientData/>
  </xdr:twoCellAnchor>
  <xdr:twoCellAnchor editAs="absolute">
    <xdr:from>
      <xdr:col>2</xdr:col>
      <xdr:colOff>1111245</xdr:colOff>
      <xdr:row>0</xdr:row>
      <xdr:rowOff>0</xdr:rowOff>
    </xdr:from>
    <xdr:to>
      <xdr:col>2</xdr:col>
      <xdr:colOff>2243663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1824572</xdr:colOff>
      <xdr:row>1</xdr:row>
      <xdr:rowOff>99483</xdr:rowOff>
    </xdr:from>
    <xdr:to>
      <xdr:col>2</xdr:col>
      <xdr:colOff>2928258</xdr:colOff>
      <xdr:row>2</xdr:row>
      <xdr:rowOff>17800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226739" y="59690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EQUIPO</a:t>
          </a:r>
        </a:p>
      </xdr:txBody>
    </xdr:sp>
    <xdr:clientData/>
  </xdr:twoCellAnchor>
  <xdr:twoCellAnchor editAs="absolute">
    <xdr:from>
      <xdr:col>2</xdr:col>
      <xdr:colOff>2932496</xdr:colOff>
      <xdr:row>1</xdr:row>
      <xdr:rowOff>93133</xdr:rowOff>
    </xdr:from>
    <xdr:to>
      <xdr:col>3</xdr:col>
      <xdr:colOff>560312</xdr:colOff>
      <xdr:row>2</xdr:row>
      <xdr:rowOff>11450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42222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ROLES</a:t>
          </a:r>
        </a:p>
      </xdr:txBody>
    </xdr:sp>
    <xdr:clientData/>
  </xdr:twoCellAnchor>
  <xdr:twoCellAnchor editAs="absolute">
    <xdr:from>
      <xdr:col>2</xdr:col>
      <xdr:colOff>2258478</xdr:colOff>
      <xdr:row>0</xdr:row>
      <xdr:rowOff>0</xdr:rowOff>
    </xdr:from>
    <xdr:to>
      <xdr:col>2</xdr:col>
      <xdr:colOff>3383337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2</xdr:col>
      <xdr:colOff>3400273</xdr:colOff>
      <xdr:row>0</xdr:row>
      <xdr:rowOff>0</xdr:rowOff>
    </xdr:from>
    <xdr:to>
      <xdr:col>3</xdr:col>
      <xdr:colOff>1303258</xdr:colOff>
      <xdr:row>1</xdr:row>
      <xdr:rowOff>2910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3</xdr:col>
      <xdr:colOff>1324425</xdr:colOff>
      <xdr:row>0</xdr:row>
      <xdr:rowOff>0</xdr:rowOff>
    </xdr:from>
    <xdr:to>
      <xdr:col>3</xdr:col>
      <xdr:colOff>2577491</xdr:colOff>
      <xdr:row>1</xdr:row>
      <xdr:rowOff>2910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3</xdr:col>
      <xdr:colOff>2668508</xdr:colOff>
      <xdr:row>0</xdr:row>
      <xdr:rowOff>0</xdr:rowOff>
    </xdr:from>
    <xdr:to>
      <xdr:col>3</xdr:col>
      <xdr:colOff>3704024</xdr:colOff>
      <xdr:row>1</xdr:row>
      <xdr:rowOff>2910</xdr:rowOff>
    </xdr:to>
    <xdr:sp macro="" textlink="">
      <xdr:nvSpPr>
        <xdr:cNvPr id="20" name="Retângulo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810953</xdr:colOff>
      <xdr:row>1</xdr:row>
      <xdr:rowOff>93133</xdr:rowOff>
    </xdr:from>
    <xdr:to>
      <xdr:col>2</xdr:col>
      <xdr:colOff>2599531</xdr:colOff>
      <xdr:row>2</xdr:row>
      <xdr:rowOff>11450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481A9-2E06-429E-B93F-5E90BA688944}"/>
            </a:ext>
          </a:extLst>
        </xdr:cNvPr>
        <xdr:cNvSpPr/>
      </xdr:nvSpPr>
      <xdr:spPr>
        <a:xfrm>
          <a:off x="1211003" y="588433"/>
          <a:ext cx="178857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BURN DOWN CHART</a:t>
          </a:r>
        </a:p>
      </xdr:txBody>
    </xdr:sp>
    <xdr:clientData/>
  </xdr:twoCellAnchor>
  <xdr:twoCellAnchor editAs="absolute">
    <xdr:from>
      <xdr:col>2</xdr:col>
      <xdr:colOff>1117863</xdr:colOff>
      <xdr:row>0</xdr:row>
      <xdr:rowOff>0</xdr:rowOff>
    </xdr:from>
    <xdr:to>
      <xdr:col>2</xdr:col>
      <xdr:colOff>2250281</xdr:colOff>
      <xdr:row>1</xdr:row>
      <xdr:rowOff>2910</xdr:rowOff>
    </xdr:to>
    <xdr:sp macro="" textlink="">
      <xdr:nvSpPr>
        <xdr:cNvPr id="3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A6E008-D1F3-4874-85FB-126999D39638}"/>
            </a:ext>
          </a:extLst>
        </xdr:cNvPr>
        <xdr:cNvSpPr>
          <a:spLocks/>
        </xdr:cNvSpPr>
      </xdr:nvSpPr>
      <xdr:spPr>
        <a:xfrm>
          <a:off x="1517913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2608003</xdr:colOff>
      <xdr:row>1</xdr:row>
      <xdr:rowOff>93133</xdr:rowOff>
    </xdr:from>
    <xdr:to>
      <xdr:col>4</xdr:col>
      <xdr:colOff>1059655</xdr:colOff>
      <xdr:row>2</xdr:row>
      <xdr:rowOff>11450</xdr:rowOff>
    </xdr:to>
    <xdr:sp macro="" textlink="">
      <xdr:nvSpPr>
        <xdr:cNvPr id="4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96C4BA-974D-454B-B217-4DD58C4DE3C3}"/>
            </a:ext>
          </a:extLst>
        </xdr:cNvPr>
        <xdr:cNvSpPr/>
      </xdr:nvSpPr>
      <xdr:spPr>
        <a:xfrm>
          <a:off x="3008053" y="588433"/>
          <a:ext cx="2128302" cy="29931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PLANIFICADO VS REALIZADO</a:t>
          </a:r>
        </a:p>
      </xdr:txBody>
    </xdr:sp>
    <xdr:clientData/>
  </xdr:twoCellAnchor>
  <xdr:twoCellAnchor editAs="absolute">
    <xdr:from>
      <xdr:col>2</xdr:col>
      <xdr:colOff>2265096</xdr:colOff>
      <xdr:row>0</xdr:row>
      <xdr:rowOff>0</xdr:rowOff>
    </xdr:from>
    <xdr:to>
      <xdr:col>2</xdr:col>
      <xdr:colOff>3398836</xdr:colOff>
      <xdr:row>1</xdr:row>
      <xdr:rowOff>2910</xdr:rowOff>
    </xdr:to>
    <xdr:sp macro="" textlink="">
      <xdr:nvSpPr>
        <xdr:cNvPr id="5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6318F0-A942-4D03-8F66-23203FD80542}"/>
            </a:ext>
          </a:extLst>
        </xdr:cNvPr>
        <xdr:cNvSpPr>
          <a:spLocks/>
        </xdr:cNvSpPr>
      </xdr:nvSpPr>
      <xdr:spPr>
        <a:xfrm>
          <a:off x="2665146" y="0"/>
          <a:ext cx="1133740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2</xdr:col>
      <xdr:colOff>3415772</xdr:colOff>
      <xdr:row>0</xdr:row>
      <xdr:rowOff>0</xdr:rowOff>
    </xdr:from>
    <xdr:to>
      <xdr:col>4</xdr:col>
      <xdr:colOff>1123155</xdr:colOff>
      <xdr:row>1</xdr:row>
      <xdr:rowOff>2910</xdr:rowOff>
    </xdr:to>
    <xdr:sp macro="" textlink="">
      <xdr:nvSpPr>
        <xdr:cNvPr id="6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A6E660-E743-4409-A9E4-69764E128B72}"/>
            </a:ext>
          </a:extLst>
        </xdr:cNvPr>
        <xdr:cNvSpPr>
          <a:spLocks/>
        </xdr:cNvSpPr>
      </xdr:nvSpPr>
      <xdr:spPr>
        <a:xfrm>
          <a:off x="3815822" y="0"/>
          <a:ext cx="138403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4</xdr:col>
      <xdr:colOff>1144322</xdr:colOff>
      <xdr:row>0</xdr:row>
      <xdr:rowOff>0</xdr:rowOff>
    </xdr:from>
    <xdr:to>
      <xdr:col>4</xdr:col>
      <xdr:colOff>2397388</xdr:colOff>
      <xdr:row>1</xdr:row>
      <xdr:rowOff>2910</xdr:rowOff>
    </xdr:to>
    <xdr:sp macro="" textlink="">
      <xdr:nvSpPr>
        <xdr:cNvPr id="7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07BCE-87FF-4912-9D27-75FDC105C070}"/>
            </a:ext>
          </a:extLst>
        </xdr:cNvPr>
        <xdr:cNvSpPr>
          <a:spLocks/>
        </xdr:cNvSpPr>
      </xdr:nvSpPr>
      <xdr:spPr>
        <a:xfrm>
          <a:off x="5221022" y="0"/>
          <a:ext cx="1253066" cy="498210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4</xdr:col>
      <xdr:colOff>2403739</xdr:colOff>
      <xdr:row>0</xdr:row>
      <xdr:rowOff>1</xdr:rowOff>
    </xdr:from>
    <xdr:to>
      <xdr:col>4</xdr:col>
      <xdr:colOff>3440578</xdr:colOff>
      <xdr:row>1</xdr:row>
      <xdr:rowOff>2911</xdr:rowOff>
    </xdr:to>
    <xdr:sp macro="" textlink="">
      <xdr:nvSpPr>
        <xdr:cNvPr id="8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A62F956-E6C8-4061-BD3D-8EC53B32EE7D}"/>
            </a:ext>
          </a:extLst>
        </xdr:cNvPr>
        <xdr:cNvSpPr>
          <a:spLocks/>
        </xdr:cNvSpPr>
      </xdr:nvSpPr>
      <xdr:spPr>
        <a:xfrm>
          <a:off x="6480439" y="1"/>
          <a:ext cx="103683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  <xdr:twoCellAnchor editAs="absolute">
    <xdr:from>
      <xdr:col>4</xdr:col>
      <xdr:colOff>1374322</xdr:colOff>
      <xdr:row>1</xdr:row>
      <xdr:rowOff>93133</xdr:rowOff>
    </xdr:from>
    <xdr:to>
      <xdr:col>5</xdr:col>
      <xdr:colOff>30081</xdr:colOff>
      <xdr:row>2</xdr:row>
      <xdr:rowOff>11450</xdr:rowOff>
    </xdr:to>
    <xdr:sp macro="" textlink="">
      <xdr:nvSpPr>
        <xdr:cNvPr id="11" name="Retângulo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7D14D90-C176-47A6-AC77-C5A381FD8617}"/>
            </a:ext>
          </a:extLst>
        </xdr:cNvPr>
        <xdr:cNvSpPr/>
      </xdr:nvSpPr>
      <xdr:spPr>
        <a:xfrm>
          <a:off x="5451022" y="588433"/>
          <a:ext cx="2132384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TIPOS</a:t>
          </a:r>
          <a:r>
            <a:rPr lang="pt-BR" sz="1100" b="1" baseline="0">
              <a:solidFill>
                <a:srgbClr val="404040"/>
              </a:solidFill>
            </a:rPr>
            <a:t> DE TAREAS</a:t>
          </a:r>
          <a:endParaRPr lang="pt-BR" sz="1100" b="1">
            <a:solidFill>
              <a:srgbClr val="404040"/>
            </a:solidFill>
          </a:endParaRPr>
        </a:p>
      </xdr:txBody>
    </xdr:sp>
    <xdr:clientData/>
  </xdr:twoCellAnchor>
  <xdr:twoCellAnchor>
    <xdr:from>
      <xdr:col>3</xdr:col>
      <xdr:colOff>196849</xdr:colOff>
      <xdr:row>4</xdr:row>
      <xdr:rowOff>0</xdr:rowOff>
    </xdr:from>
    <xdr:to>
      <xdr:col>8</xdr:col>
      <xdr:colOff>3476624</xdr:colOff>
      <xdr:row>26</xdr:row>
      <xdr:rowOff>31750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5FCC4F-9952-4C41-9795-D3B47600F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698506</xdr:colOff>
      <xdr:row>1</xdr:row>
      <xdr:rowOff>95250</xdr:rowOff>
    </xdr:from>
    <xdr:to>
      <xdr:col>3</xdr:col>
      <xdr:colOff>1037173</xdr:colOff>
      <xdr:row>2</xdr:row>
      <xdr:rowOff>13567</xdr:rowOff>
    </xdr:to>
    <xdr:sp macro="" textlink="">
      <xdr:nvSpPr>
        <xdr:cNvPr id="14" name="Retângul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1100673" y="592667"/>
          <a:ext cx="1248833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PASO A PASO</a:t>
          </a:r>
        </a:p>
      </xdr:txBody>
    </xdr:sp>
    <xdr:clientData/>
  </xdr:twoCellAnchor>
  <xdr:twoCellAnchor editAs="absolute">
    <xdr:from>
      <xdr:col>3</xdr:col>
      <xdr:colOff>1051990</xdr:colOff>
      <xdr:row>1</xdr:row>
      <xdr:rowOff>88901</xdr:rowOff>
    </xdr:from>
    <xdr:to>
      <xdr:col>3</xdr:col>
      <xdr:colOff>2688169</xdr:colOff>
      <xdr:row>2</xdr:row>
      <xdr:rowOff>7218</xdr:rowOff>
    </xdr:to>
    <xdr:sp macro="" textlink="">
      <xdr:nvSpPr>
        <xdr:cNvPr id="24" name="Retângul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2364323" y="586318"/>
          <a:ext cx="1636179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DUDAS FRECUENTES</a:t>
          </a:r>
        </a:p>
      </xdr:txBody>
    </xdr:sp>
    <xdr:clientData/>
  </xdr:twoCellAnchor>
  <xdr:twoCellAnchor editAs="absolute">
    <xdr:from>
      <xdr:col>3</xdr:col>
      <xdr:colOff>232834</xdr:colOff>
      <xdr:row>0</xdr:row>
      <xdr:rowOff>0</xdr:rowOff>
    </xdr:from>
    <xdr:to>
      <xdr:col>3</xdr:col>
      <xdr:colOff>1365252</xdr:colOff>
      <xdr:row>1</xdr:row>
      <xdr:rowOff>2910</xdr:rowOff>
    </xdr:to>
    <xdr:sp macro="" textlink="">
      <xdr:nvSpPr>
        <xdr:cNvPr id="39" name="Retângulo 3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/>
        </xdr:cNvSpPr>
      </xdr:nvSpPr>
      <xdr:spPr>
        <a:xfrm>
          <a:off x="1545167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3</xdr:col>
      <xdr:colOff>1380067</xdr:colOff>
      <xdr:row>0</xdr:row>
      <xdr:rowOff>0</xdr:rowOff>
    </xdr:from>
    <xdr:to>
      <xdr:col>3</xdr:col>
      <xdr:colOff>2512485</xdr:colOff>
      <xdr:row>1</xdr:row>
      <xdr:rowOff>2910</xdr:rowOff>
    </xdr:to>
    <xdr:sp macro="" textlink="">
      <xdr:nvSpPr>
        <xdr:cNvPr id="40" name="Retângulo 3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/>
        </xdr:cNvSpPr>
      </xdr:nvSpPr>
      <xdr:spPr>
        <a:xfrm>
          <a:off x="2692400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2529421</xdr:colOff>
      <xdr:row>0</xdr:row>
      <xdr:rowOff>0</xdr:rowOff>
    </xdr:from>
    <xdr:to>
      <xdr:col>4</xdr:col>
      <xdr:colOff>805393</xdr:colOff>
      <xdr:row>1</xdr:row>
      <xdr:rowOff>2910</xdr:rowOff>
    </xdr:to>
    <xdr:sp macro="" textlink="">
      <xdr:nvSpPr>
        <xdr:cNvPr id="41" name="Retângulo 4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>
          <a:spLocks/>
        </xdr:cNvSpPr>
      </xdr:nvSpPr>
      <xdr:spPr>
        <a:xfrm>
          <a:off x="3841754" y="0"/>
          <a:ext cx="137688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4</xdr:col>
      <xdr:colOff>836085</xdr:colOff>
      <xdr:row>0</xdr:row>
      <xdr:rowOff>0</xdr:rowOff>
    </xdr:from>
    <xdr:to>
      <xdr:col>5</xdr:col>
      <xdr:colOff>4234</xdr:colOff>
      <xdr:row>1</xdr:row>
      <xdr:rowOff>2910</xdr:rowOff>
    </xdr:to>
    <xdr:sp macro="" textlink="">
      <xdr:nvSpPr>
        <xdr:cNvPr id="42" name="Retângulo 4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>
          <a:spLocks/>
        </xdr:cNvSpPr>
      </xdr:nvSpPr>
      <xdr:spPr>
        <a:xfrm>
          <a:off x="5249335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5</xdr:col>
      <xdr:colOff>10585</xdr:colOff>
      <xdr:row>0</xdr:row>
      <xdr:rowOff>1</xdr:rowOff>
    </xdr:from>
    <xdr:to>
      <xdr:col>5</xdr:col>
      <xdr:colOff>1046101</xdr:colOff>
      <xdr:row>1</xdr:row>
      <xdr:rowOff>2911</xdr:rowOff>
    </xdr:to>
    <xdr:sp macro="" textlink="">
      <xdr:nvSpPr>
        <xdr:cNvPr id="43" name="Retângulo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>
          <a:spLocks/>
        </xdr:cNvSpPr>
      </xdr:nvSpPr>
      <xdr:spPr>
        <a:xfrm>
          <a:off x="6508752" y="1"/>
          <a:ext cx="1035516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698504</xdr:colOff>
      <xdr:row>1</xdr:row>
      <xdr:rowOff>95250</xdr:rowOff>
    </xdr:from>
    <xdr:to>
      <xdr:col>2</xdr:col>
      <xdr:colOff>1947337</xdr:colOff>
      <xdr:row>2</xdr:row>
      <xdr:rowOff>13567</xdr:rowOff>
    </xdr:to>
    <xdr:sp macro="" textlink="">
      <xdr:nvSpPr>
        <xdr:cNvPr id="35" name="Retângulo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1100671" y="592667"/>
          <a:ext cx="1248833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PASO A PASO</a:t>
          </a:r>
        </a:p>
      </xdr:txBody>
    </xdr:sp>
    <xdr:clientData/>
  </xdr:twoCellAnchor>
  <xdr:twoCellAnchor editAs="absolute">
    <xdr:from>
      <xdr:col>2</xdr:col>
      <xdr:colOff>1962154</xdr:colOff>
      <xdr:row>1</xdr:row>
      <xdr:rowOff>88901</xdr:rowOff>
    </xdr:from>
    <xdr:to>
      <xdr:col>2</xdr:col>
      <xdr:colOff>3598333</xdr:colOff>
      <xdr:row>2</xdr:row>
      <xdr:rowOff>7218</xdr:rowOff>
    </xdr:to>
    <xdr:sp macro="" textlink="">
      <xdr:nvSpPr>
        <xdr:cNvPr id="36" name="Retângulo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/>
      </xdr:nvSpPr>
      <xdr:spPr>
        <a:xfrm>
          <a:off x="2364321" y="586318"/>
          <a:ext cx="1636179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DUDAS FRECUENTES</a:t>
          </a:r>
        </a:p>
      </xdr:txBody>
    </xdr:sp>
    <xdr:clientData/>
  </xdr:twoCellAnchor>
  <xdr:twoCellAnchor editAs="absolute">
    <xdr:from>
      <xdr:col>2</xdr:col>
      <xdr:colOff>1142998</xdr:colOff>
      <xdr:row>0</xdr:row>
      <xdr:rowOff>0</xdr:rowOff>
    </xdr:from>
    <xdr:to>
      <xdr:col>2</xdr:col>
      <xdr:colOff>2275416</xdr:colOff>
      <xdr:row>1</xdr:row>
      <xdr:rowOff>2910</xdr:rowOff>
    </xdr:to>
    <xdr:sp macro="" textlink="">
      <xdr:nvSpPr>
        <xdr:cNvPr id="40" name="Retângulo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/>
        </xdr:cNvSpPr>
      </xdr:nvSpPr>
      <xdr:spPr>
        <a:xfrm>
          <a:off x="154516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2290231</xdr:colOff>
      <xdr:row>0</xdr:row>
      <xdr:rowOff>0</xdr:rowOff>
    </xdr:from>
    <xdr:to>
      <xdr:col>2</xdr:col>
      <xdr:colOff>3422649</xdr:colOff>
      <xdr:row>1</xdr:row>
      <xdr:rowOff>2910</xdr:rowOff>
    </xdr:to>
    <xdr:sp macro="" textlink="">
      <xdr:nvSpPr>
        <xdr:cNvPr id="41" name="Retângulo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>
          <a:spLocks/>
        </xdr:cNvSpPr>
      </xdr:nvSpPr>
      <xdr:spPr>
        <a:xfrm>
          <a:off x="269239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2</xdr:col>
      <xdr:colOff>3439585</xdr:colOff>
      <xdr:row>0</xdr:row>
      <xdr:rowOff>0</xdr:rowOff>
    </xdr:from>
    <xdr:to>
      <xdr:col>2</xdr:col>
      <xdr:colOff>4816474</xdr:colOff>
      <xdr:row>1</xdr:row>
      <xdr:rowOff>2910</xdr:rowOff>
    </xdr:to>
    <xdr:sp macro="" textlink="">
      <xdr:nvSpPr>
        <xdr:cNvPr id="42" name="Retângulo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>
          <a:spLocks/>
        </xdr:cNvSpPr>
      </xdr:nvSpPr>
      <xdr:spPr>
        <a:xfrm>
          <a:off x="3841752" y="0"/>
          <a:ext cx="1376889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2</xdr:col>
      <xdr:colOff>4847166</xdr:colOff>
      <xdr:row>0</xdr:row>
      <xdr:rowOff>0</xdr:rowOff>
    </xdr:from>
    <xdr:to>
      <xdr:col>2</xdr:col>
      <xdr:colOff>6100232</xdr:colOff>
      <xdr:row>1</xdr:row>
      <xdr:rowOff>2910</xdr:rowOff>
    </xdr:to>
    <xdr:sp macro="" textlink="">
      <xdr:nvSpPr>
        <xdr:cNvPr id="43" name="Retângulo 4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>
          <a:spLocks/>
        </xdr:cNvSpPr>
      </xdr:nvSpPr>
      <xdr:spPr>
        <a:xfrm>
          <a:off x="524933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2</xdr:col>
      <xdr:colOff>6106583</xdr:colOff>
      <xdr:row>0</xdr:row>
      <xdr:rowOff>1</xdr:rowOff>
    </xdr:from>
    <xdr:to>
      <xdr:col>4</xdr:col>
      <xdr:colOff>432266</xdr:colOff>
      <xdr:row>1</xdr:row>
      <xdr:rowOff>2911</xdr:rowOff>
    </xdr:to>
    <xdr:sp macro="" textlink="">
      <xdr:nvSpPr>
        <xdr:cNvPr id="44" name="Retângulo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>
          <a:spLocks/>
        </xdr:cNvSpPr>
      </xdr:nvSpPr>
      <xdr:spPr>
        <a:xfrm>
          <a:off x="6508750" y="1"/>
          <a:ext cx="1035516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698505</xdr:colOff>
      <xdr:row>1</xdr:row>
      <xdr:rowOff>95250</xdr:rowOff>
    </xdr:from>
    <xdr:to>
      <xdr:col>2</xdr:col>
      <xdr:colOff>1809750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97497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PROYECTO</a:t>
          </a:r>
        </a:p>
      </xdr:txBody>
    </xdr:sp>
    <xdr:clientData/>
  </xdr:twoCellAnchor>
  <xdr:twoCellAnchor editAs="absolute">
    <xdr:from>
      <xdr:col>2</xdr:col>
      <xdr:colOff>1111245</xdr:colOff>
      <xdr:row>0</xdr:row>
      <xdr:rowOff>0</xdr:rowOff>
    </xdr:from>
    <xdr:to>
      <xdr:col>2</xdr:col>
      <xdr:colOff>2251223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1824572</xdr:colOff>
      <xdr:row>1</xdr:row>
      <xdr:rowOff>99483</xdr:rowOff>
    </xdr:from>
    <xdr:to>
      <xdr:col>3</xdr:col>
      <xdr:colOff>602948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223564" y="594783"/>
          <a:ext cx="1111245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EQUIPO</a:t>
          </a:r>
        </a:p>
      </xdr:txBody>
    </xdr:sp>
    <xdr:clientData/>
  </xdr:twoCellAnchor>
  <xdr:twoCellAnchor editAs="absolute">
    <xdr:from>
      <xdr:col>3</xdr:col>
      <xdr:colOff>607186</xdr:colOff>
      <xdr:row>1</xdr:row>
      <xdr:rowOff>93133</xdr:rowOff>
    </xdr:from>
    <xdr:to>
      <xdr:col>3</xdr:col>
      <xdr:colOff>1718431</xdr:colOff>
      <xdr:row>2</xdr:row>
      <xdr:rowOff>11450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39047" y="588433"/>
          <a:ext cx="1107012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ROLES</a:t>
          </a:r>
        </a:p>
      </xdr:txBody>
    </xdr:sp>
    <xdr:clientData/>
  </xdr:twoCellAnchor>
  <xdr:twoCellAnchor editAs="absolute">
    <xdr:from>
      <xdr:col>2</xdr:col>
      <xdr:colOff>2266038</xdr:colOff>
      <xdr:row>0</xdr:row>
      <xdr:rowOff>0</xdr:rowOff>
    </xdr:from>
    <xdr:to>
      <xdr:col>3</xdr:col>
      <xdr:colOff>1058027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3</xdr:col>
      <xdr:colOff>1074963</xdr:colOff>
      <xdr:row>0</xdr:row>
      <xdr:rowOff>0</xdr:rowOff>
    </xdr:from>
    <xdr:to>
      <xdr:col>4</xdr:col>
      <xdr:colOff>119438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4</xdr:col>
      <xdr:colOff>140605</xdr:colOff>
      <xdr:row>0</xdr:row>
      <xdr:rowOff>0</xdr:rowOff>
    </xdr:from>
    <xdr:to>
      <xdr:col>5</xdr:col>
      <xdr:colOff>194729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5</xdr:col>
      <xdr:colOff>285746</xdr:colOff>
      <xdr:row>0</xdr:row>
      <xdr:rowOff>0</xdr:rowOff>
    </xdr:from>
    <xdr:to>
      <xdr:col>5</xdr:col>
      <xdr:colOff>1321262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698505</xdr:colOff>
      <xdr:row>1</xdr:row>
      <xdr:rowOff>95250</xdr:rowOff>
    </xdr:from>
    <xdr:to>
      <xdr:col>2</xdr:col>
      <xdr:colOff>1809750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7497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PROYECTO</a:t>
          </a:r>
        </a:p>
      </xdr:txBody>
    </xdr:sp>
    <xdr:clientData/>
  </xdr:twoCellAnchor>
  <xdr:twoCellAnchor editAs="absolute">
    <xdr:from>
      <xdr:col>2</xdr:col>
      <xdr:colOff>1111245</xdr:colOff>
      <xdr:row>0</xdr:row>
      <xdr:rowOff>0</xdr:rowOff>
    </xdr:from>
    <xdr:to>
      <xdr:col>2</xdr:col>
      <xdr:colOff>2245176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>
        <a:xfrm>
          <a:off x="1513412" y="0"/>
          <a:ext cx="1132418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1824572</xdr:colOff>
      <xdr:row>1</xdr:row>
      <xdr:rowOff>99483</xdr:rowOff>
    </xdr:from>
    <xdr:to>
      <xdr:col>3</xdr:col>
      <xdr:colOff>604460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223564" y="594783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EQUIPO</a:t>
          </a:r>
        </a:p>
      </xdr:txBody>
    </xdr:sp>
    <xdr:clientData/>
  </xdr:twoCellAnchor>
  <xdr:twoCellAnchor editAs="absolute">
    <xdr:from>
      <xdr:col>3</xdr:col>
      <xdr:colOff>608698</xdr:colOff>
      <xdr:row>1</xdr:row>
      <xdr:rowOff>93133</xdr:rowOff>
    </xdr:from>
    <xdr:to>
      <xdr:col>4</xdr:col>
      <xdr:colOff>911075</xdr:colOff>
      <xdr:row>2</xdr:row>
      <xdr:rowOff>11450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339047" y="588433"/>
          <a:ext cx="1107012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ROLES</a:t>
          </a:r>
        </a:p>
      </xdr:txBody>
    </xdr:sp>
    <xdr:clientData/>
  </xdr:twoCellAnchor>
  <xdr:twoCellAnchor editAs="absolute">
    <xdr:from>
      <xdr:col>2</xdr:col>
      <xdr:colOff>2259991</xdr:colOff>
      <xdr:row>0</xdr:row>
      <xdr:rowOff>0</xdr:rowOff>
    </xdr:from>
    <xdr:to>
      <xdr:col>4</xdr:col>
      <xdr:colOff>243111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/>
        </xdr:cNvSpPr>
      </xdr:nvSpPr>
      <xdr:spPr>
        <a:xfrm>
          <a:off x="266064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260047</xdr:colOff>
      <xdr:row>0</xdr:row>
      <xdr:rowOff>0</xdr:rowOff>
    </xdr:from>
    <xdr:to>
      <xdr:col>4</xdr:col>
      <xdr:colOff>1661580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>
        <a:xfrm>
          <a:off x="3809999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4</xdr:col>
      <xdr:colOff>1682747</xdr:colOff>
      <xdr:row>0</xdr:row>
      <xdr:rowOff>0</xdr:rowOff>
    </xdr:from>
    <xdr:to>
      <xdr:col>5</xdr:col>
      <xdr:colOff>605967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>
        <a:xfrm>
          <a:off x="5217580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5</xdr:col>
      <xdr:colOff>696984</xdr:colOff>
      <xdr:row>0</xdr:row>
      <xdr:rowOff>0</xdr:rowOff>
    </xdr:from>
    <xdr:to>
      <xdr:col>7</xdr:col>
      <xdr:colOff>107203</xdr:colOff>
      <xdr:row>1</xdr:row>
      <xdr:rowOff>2910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>
        <a:xfrm>
          <a:off x="656166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804338</xdr:colOff>
      <xdr:row>1</xdr:row>
      <xdr:rowOff>95250</xdr:rowOff>
    </xdr:from>
    <xdr:to>
      <xdr:col>2</xdr:col>
      <xdr:colOff>1908779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06505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BACKLOG</a:t>
          </a:r>
        </a:p>
      </xdr:txBody>
    </xdr:sp>
    <xdr:clientData/>
  </xdr:twoCellAnchor>
  <xdr:twoCellAnchor editAs="absolute">
    <xdr:from>
      <xdr:col>2</xdr:col>
      <xdr:colOff>1111248</xdr:colOff>
      <xdr:row>0</xdr:row>
      <xdr:rowOff>0</xdr:rowOff>
    </xdr:from>
    <xdr:to>
      <xdr:col>2</xdr:col>
      <xdr:colOff>2236862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1923601</xdr:colOff>
      <xdr:row>1</xdr:row>
      <xdr:rowOff>99483</xdr:rowOff>
    </xdr:from>
    <xdr:to>
      <xdr:col>2</xdr:col>
      <xdr:colOff>3034846</xdr:colOff>
      <xdr:row>2</xdr:row>
      <xdr:rowOff>17800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332572" y="59690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SPRINT</a:t>
          </a:r>
        </a:p>
      </xdr:txBody>
    </xdr:sp>
    <xdr:clientData/>
  </xdr:twoCellAnchor>
  <xdr:twoCellAnchor editAs="absolute">
    <xdr:from>
      <xdr:col>2</xdr:col>
      <xdr:colOff>2251677</xdr:colOff>
      <xdr:row>0</xdr:row>
      <xdr:rowOff>0</xdr:rowOff>
    </xdr:from>
    <xdr:to>
      <xdr:col>2</xdr:col>
      <xdr:colOff>3384095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2</xdr:col>
      <xdr:colOff>3401031</xdr:colOff>
      <xdr:row>0</xdr:row>
      <xdr:rowOff>0</xdr:rowOff>
    </xdr:from>
    <xdr:to>
      <xdr:col>3</xdr:col>
      <xdr:colOff>161017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3</xdr:col>
      <xdr:colOff>182184</xdr:colOff>
      <xdr:row>0</xdr:row>
      <xdr:rowOff>0</xdr:rowOff>
    </xdr:from>
    <xdr:to>
      <xdr:col>4</xdr:col>
      <xdr:colOff>233286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4</xdr:col>
      <xdr:colOff>218470</xdr:colOff>
      <xdr:row>0</xdr:row>
      <xdr:rowOff>0</xdr:rowOff>
    </xdr:from>
    <xdr:to>
      <xdr:col>5</xdr:col>
      <xdr:colOff>56557</xdr:colOff>
      <xdr:row>1</xdr:row>
      <xdr:rowOff>2910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/>
        </xdr:cNvSpPr>
      </xdr:nvSpPr>
      <xdr:spPr>
        <a:xfrm>
          <a:off x="6455833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804338</xdr:colOff>
      <xdr:row>1</xdr:row>
      <xdr:rowOff>95250</xdr:rowOff>
    </xdr:from>
    <xdr:to>
      <xdr:col>2</xdr:col>
      <xdr:colOff>1915583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08622" y="590550"/>
          <a:ext cx="1111245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BACKLOG</a:t>
          </a:r>
        </a:p>
      </xdr:txBody>
    </xdr:sp>
    <xdr:clientData/>
  </xdr:twoCellAnchor>
  <xdr:twoCellAnchor editAs="absolute">
    <xdr:from>
      <xdr:col>2</xdr:col>
      <xdr:colOff>1111248</xdr:colOff>
      <xdr:row>0</xdr:row>
      <xdr:rowOff>0</xdr:rowOff>
    </xdr:from>
    <xdr:to>
      <xdr:col>2</xdr:col>
      <xdr:colOff>2243666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/>
        </xdr:cNvSpPr>
      </xdr:nvSpPr>
      <xdr:spPr>
        <a:xfrm>
          <a:off x="1515532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1930405</xdr:colOff>
      <xdr:row>1</xdr:row>
      <xdr:rowOff>99483</xdr:rowOff>
    </xdr:from>
    <xdr:to>
      <xdr:col>2</xdr:col>
      <xdr:colOff>3041650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334689" y="594783"/>
          <a:ext cx="1111245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SPRINT</a:t>
          </a:r>
        </a:p>
      </xdr:txBody>
    </xdr:sp>
    <xdr:clientData/>
  </xdr:twoCellAnchor>
  <xdr:twoCellAnchor editAs="absolute">
    <xdr:from>
      <xdr:col>2</xdr:col>
      <xdr:colOff>2258481</xdr:colOff>
      <xdr:row>0</xdr:row>
      <xdr:rowOff>0</xdr:rowOff>
    </xdr:from>
    <xdr:to>
      <xdr:col>2</xdr:col>
      <xdr:colOff>3390899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>
        <a:xfrm>
          <a:off x="2662765" y="0"/>
          <a:ext cx="1132418" cy="498210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2</xdr:col>
      <xdr:colOff>3407835</xdr:colOff>
      <xdr:row>0</xdr:row>
      <xdr:rowOff>0</xdr:rowOff>
    </xdr:from>
    <xdr:to>
      <xdr:col>3</xdr:col>
      <xdr:colOff>170844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>
        <a:xfrm>
          <a:off x="3812119" y="0"/>
          <a:ext cx="1386414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3</xdr:col>
      <xdr:colOff>192011</xdr:colOff>
      <xdr:row>0</xdr:row>
      <xdr:rowOff>0</xdr:rowOff>
    </xdr:from>
    <xdr:to>
      <xdr:col>4</xdr:col>
      <xdr:colOff>247649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>
        <a:xfrm>
          <a:off x="5219700" y="0"/>
          <a:ext cx="1252007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4</xdr:col>
      <xdr:colOff>232833</xdr:colOff>
      <xdr:row>0</xdr:row>
      <xdr:rowOff>0</xdr:rowOff>
    </xdr:from>
    <xdr:to>
      <xdr:col>5</xdr:col>
      <xdr:colOff>450409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/>
        </xdr:cNvSpPr>
      </xdr:nvSpPr>
      <xdr:spPr>
        <a:xfrm>
          <a:off x="6454775" y="0"/>
          <a:ext cx="1037632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804338</xdr:colOff>
      <xdr:row>1</xdr:row>
      <xdr:rowOff>95250</xdr:rowOff>
    </xdr:from>
    <xdr:to>
      <xdr:col>3</xdr:col>
      <xdr:colOff>1100667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206505" y="592667"/>
          <a:ext cx="1111245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PUNTOS</a:t>
          </a:r>
        </a:p>
      </xdr:txBody>
    </xdr:sp>
    <xdr:clientData/>
  </xdr:twoCellAnchor>
  <xdr:twoCellAnchor editAs="absolute">
    <xdr:from>
      <xdr:col>3</xdr:col>
      <xdr:colOff>296332</xdr:colOff>
      <xdr:row>0</xdr:row>
      <xdr:rowOff>0</xdr:rowOff>
    </xdr:from>
    <xdr:to>
      <xdr:col>4</xdr:col>
      <xdr:colOff>232833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3</xdr:col>
      <xdr:colOff>1115489</xdr:colOff>
      <xdr:row>1</xdr:row>
      <xdr:rowOff>99483</xdr:rowOff>
    </xdr:from>
    <xdr:to>
      <xdr:col>5</xdr:col>
      <xdr:colOff>1090083</xdr:colOff>
      <xdr:row>2</xdr:row>
      <xdr:rowOff>17800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2332572" y="596900"/>
          <a:ext cx="236642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RENDIMIENTO INDIVIDUAL</a:t>
          </a:r>
        </a:p>
      </xdr:txBody>
    </xdr:sp>
    <xdr:clientData/>
  </xdr:twoCellAnchor>
  <xdr:twoCellAnchor editAs="absolute">
    <xdr:from>
      <xdr:col>4</xdr:col>
      <xdr:colOff>247648</xdr:colOff>
      <xdr:row>0</xdr:row>
      <xdr:rowOff>0</xdr:rowOff>
    </xdr:from>
    <xdr:to>
      <xdr:col>5</xdr:col>
      <xdr:colOff>184149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5</xdr:col>
      <xdr:colOff>201085</xdr:colOff>
      <xdr:row>0</xdr:row>
      <xdr:rowOff>0</xdr:rowOff>
    </xdr:from>
    <xdr:to>
      <xdr:col>6</xdr:col>
      <xdr:colOff>391583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6</xdr:col>
      <xdr:colOff>412750</xdr:colOff>
      <xdr:row>0</xdr:row>
      <xdr:rowOff>0</xdr:rowOff>
    </xdr:from>
    <xdr:to>
      <xdr:col>8</xdr:col>
      <xdr:colOff>35982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8</xdr:col>
      <xdr:colOff>52915</xdr:colOff>
      <xdr:row>0</xdr:row>
      <xdr:rowOff>0</xdr:rowOff>
    </xdr:from>
    <xdr:to>
      <xdr:col>9</xdr:col>
      <xdr:colOff>273515</xdr:colOff>
      <xdr:row>1</xdr:row>
      <xdr:rowOff>2910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/>
        </xdr:cNvSpPr>
      </xdr:nvSpPr>
      <xdr:spPr>
        <a:xfrm>
          <a:off x="6487582" y="0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804338</xdr:colOff>
      <xdr:row>1</xdr:row>
      <xdr:rowOff>95250</xdr:rowOff>
    </xdr:from>
    <xdr:to>
      <xdr:col>3</xdr:col>
      <xdr:colOff>1091595</xdr:colOff>
      <xdr:row>2</xdr:row>
      <xdr:rowOff>13567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08622" y="590550"/>
          <a:ext cx="1108070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PUNTOS</a:t>
          </a:r>
        </a:p>
      </xdr:txBody>
    </xdr:sp>
    <xdr:clientData/>
  </xdr:twoCellAnchor>
  <xdr:twoCellAnchor editAs="absolute">
    <xdr:from>
      <xdr:col>3</xdr:col>
      <xdr:colOff>294819</xdr:colOff>
      <xdr:row>0</xdr:row>
      <xdr:rowOff>0</xdr:rowOff>
    </xdr:from>
    <xdr:to>
      <xdr:col>4</xdr:col>
      <xdr:colOff>222250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/>
        </xdr:cNvSpPr>
      </xdr:nvSpPr>
      <xdr:spPr>
        <a:xfrm>
          <a:off x="1515532" y="0"/>
          <a:ext cx="112924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3</xdr:col>
      <xdr:colOff>1106417</xdr:colOff>
      <xdr:row>1</xdr:row>
      <xdr:rowOff>99483</xdr:rowOff>
    </xdr:from>
    <xdr:to>
      <xdr:col>5</xdr:col>
      <xdr:colOff>1062869</xdr:colOff>
      <xdr:row>2</xdr:row>
      <xdr:rowOff>17800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331514" y="594783"/>
          <a:ext cx="236007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RENDIMIENTO INDIVIDUAL</a:t>
          </a:r>
        </a:p>
      </xdr:txBody>
    </xdr:sp>
    <xdr:clientData/>
  </xdr:twoCellAnchor>
  <xdr:twoCellAnchor editAs="absolute">
    <xdr:from>
      <xdr:col>4</xdr:col>
      <xdr:colOff>237065</xdr:colOff>
      <xdr:row>0</xdr:row>
      <xdr:rowOff>0</xdr:rowOff>
    </xdr:from>
    <xdr:to>
      <xdr:col>5</xdr:col>
      <xdr:colOff>164495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/>
        </xdr:cNvSpPr>
      </xdr:nvSpPr>
      <xdr:spPr>
        <a:xfrm>
          <a:off x="2659590" y="0"/>
          <a:ext cx="1129243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5</xdr:col>
      <xdr:colOff>181431</xdr:colOff>
      <xdr:row>0</xdr:row>
      <xdr:rowOff>0</xdr:rowOff>
    </xdr:from>
    <xdr:to>
      <xdr:col>6</xdr:col>
      <xdr:colOff>362856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/>
        </xdr:cNvSpPr>
      </xdr:nvSpPr>
      <xdr:spPr>
        <a:xfrm>
          <a:off x="3805769" y="0"/>
          <a:ext cx="1383239" cy="498210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6</xdr:col>
      <xdr:colOff>384023</xdr:colOff>
      <xdr:row>0</xdr:row>
      <xdr:rowOff>0</xdr:rowOff>
    </xdr:from>
    <xdr:to>
      <xdr:col>7</xdr:col>
      <xdr:colOff>432102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/>
        </xdr:cNvSpPr>
      </xdr:nvSpPr>
      <xdr:spPr>
        <a:xfrm>
          <a:off x="5210175" y="0"/>
          <a:ext cx="1249891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7</xdr:col>
      <xdr:colOff>449035</xdr:colOff>
      <xdr:row>0</xdr:row>
      <xdr:rowOff>0</xdr:rowOff>
    </xdr:from>
    <xdr:to>
      <xdr:col>8</xdr:col>
      <xdr:colOff>279562</xdr:colOff>
      <xdr:row>1</xdr:row>
      <xdr:rowOff>2910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/>
        </xdr:cNvSpPr>
      </xdr:nvSpPr>
      <xdr:spPr>
        <a:xfrm>
          <a:off x="6476999" y="0"/>
          <a:ext cx="103339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811775</xdr:colOff>
      <xdr:row>1</xdr:row>
      <xdr:rowOff>95250</xdr:rowOff>
    </xdr:from>
    <xdr:to>
      <xdr:col>4</xdr:col>
      <xdr:colOff>200271</xdr:colOff>
      <xdr:row>2</xdr:row>
      <xdr:rowOff>13567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206505" y="592667"/>
          <a:ext cx="1788578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</a:rPr>
            <a:t>BURN DOWN CHART</a:t>
          </a:r>
        </a:p>
      </xdr:txBody>
    </xdr:sp>
    <xdr:clientData/>
  </xdr:twoCellAnchor>
  <xdr:twoCellAnchor editAs="absolute">
    <xdr:from>
      <xdr:col>2</xdr:col>
      <xdr:colOff>1117284</xdr:colOff>
      <xdr:row>0</xdr:row>
      <xdr:rowOff>0</xdr:rowOff>
    </xdr:from>
    <xdr:to>
      <xdr:col>3</xdr:col>
      <xdr:colOff>1047205</xdr:colOff>
      <xdr:row>1</xdr:row>
      <xdr:rowOff>2910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/>
        </xdr:cNvSpPr>
      </xdr:nvSpPr>
      <xdr:spPr>
        <a:xfrm>
          <a:off x="1513415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4</xdr:col>
      <xdr:colOff>208743</xdr:colOff>
      <xdr:row>1</xdr:row>
      <xdr:rowOff>93133</xdr:rowOff>
    </xdr:from>
    <xdr:to>
      <xdr:col>5</xdr:col>
      <xdr:colOff>1116085</xdr:colOff>
      <xdr:row>2</xdr:row>
      <xdr:rowOff>11450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3003555" y="590550"/>
          <a:ext cx="2129361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PLANIFICADO VS REALIZADO</a:t>
          </a:r>
        </a:p>
      </xdr:txBody>
    </xdr:sp>
    <xdr:clientData/>
  </xdr:twoCellAnchor>
  <xdr:twoCellAnchor editAs="absolute">
    <xdr:from>
      <xdr:col>3</xdr:col>
      <xdr:colOff>1062020</xdr:colOff>
      <xdr:row>0</xdr:row>
      <xdr:rowOff>0</xdr:rowOff>
    </xdr:from>
    <xdr:to>
      <xdr:col>4</xdr:col>
      <xdr:colOff>990739</xdr:colOff>
      <xdr:row>1</xdr:row>
      <xdr:rowOff>2910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/>
        </xdr:cNvSpPr>
      </xdr:nvSpPr>
      <xdr:spPr>
        <a:xfrm>
          <a:off x="2660648" y="0"/>
          <a:ext cx="1132418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4</xdr:col>
      <xdr:colOff>1007675</xdr:colOff>
      <xdr:row>0</xdr:row>
      <xdr:rowOff>0</xdr:rowOff>
    </xdr:from>
    <xdr:to>
      <xdr:col>5</xdr:col>
      <xdr:colOff>1182231</xdr:colOff>
      <xdr:row>1</xdr:row>
      <xdr:rowOff>2910</xdr:rowOff>
    </xdr:to>
    <xdr:sp macro="" textlink="">
      <xdr:nvSpPr>
        <xdr:cNvPr id="16" name="Retângul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/>
        </xdr:cNvSpPr>
      </xdr:nvSpPr>
      <xdr:spPr>
        <a:xfrm>
          <a:off x="3810002" y="0"/>
          <a:ext cx="1386414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6</xdr:col>
      <xdr:colOff>12773</xdr:colOff>
      <xdr:row>0</xdr:row>
      <xdr:rowOff>0</xdr:rowOff>
    </xdr:from>
    <xdr:to>
      <xdr:col>7</xdr:col>
      <xdr:colOff>30125</xdr:colOff>
      <xdr:row>1</xdr:row>
      <xdr:rowOff>2910</xdr:rowOff>
    </xdr:to>
    <xdr:sp macro="" textlink="">
      <xdr:nvSpPr>
        <xdr:cNvPr id="17" name="Retângulo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/>
        </xdr:cNvSpPr>
      </xdr:nvSpPr>
      <xdr:spPr>
        <a:xfrm>
          <a:off x="5217583" y="0"/>
          <a:ext cx="1253066" cy="50032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7</xdr:col>
      <xdr:colOff>36476</xdr:colOff>
      <xdr:row>0</xdr:row>
      <xdr:rowOff>1</xdr:rowOff>
    </xdr:from>
    <xdr:to>
      <xdr:col>8</xdr:col>
      <xdr:colOff>610518</xdr:colOff>
      <xdr:row>1</xdr:row>
      <xdr:rowOff>2911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/>
        </xdr:cNvSpPr>
      </xdr:nvSpPr>
      <xdr:spPr>
        <a:xfrm>
          <a:off x="6477000" y="1"/>
          <a:ext cx="1035516" cy="500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  <xdr:twoCellAnchor>
    <xdr:from>
      <xdr:col>2</xdr:col>
      <xdr:colOff>10581</xdr:colOff>
      <xdr:row>5</xdr:row>
      <xdr:rowOff>443441</xdr:rowOff>
    </xdr:from>
    <xdr:to>
      <xdr:col>11</xdr:col>
      <xdr:colOff>767331</xdr:colOff>
      <xdr:row>12</xdr:row>
      <xdr:rowOff>941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26</xdr:col>
      <xdr:colOff>24500</xdr:colOff>
      <xdr:row>12</xdr:row>
      <xdr:rowOff>2000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39E761-ED33-4399-AD13-D366C9A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6</xdr:col>
      <xdr:colOff>136070</xdr:colOff>
      <xdr:row>1</xdr:row>
      <xdr:rowOff>81642</xdr:rowOff>
    </xdr:from>
    <xdr:to>
      <xdr:col>8</xdr:col>
      <xdr:colOff>642401</xdr:colOff>
      <xdr:row>1</xdr:row>
      <xdr:rowOff>380959</xdr:rowOff>
    </xdr:to>
    <xdr:sp macro="" textlink="">
      <xdr:nvSpPr>
        <xdr:cNvPr id="21" name="Retângulo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008C0E6-8210-4608-A4B7-1373D440EF55}"/>
            </a:ext>
          </a:extLst>
        </xdr:cNvPr>
        <xdr:cNvSpPr/>
      </xdr:nvSpPr>
      <xdr:spPr>
        <a:xfrm>
          <a:off x="5333999" y="571499"/>
          <a:ext cx="2139188" cy="29931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TIPOS</a:t>
          </a:r>
          <a:r>
            <a:rPr lang="pt-BR" sz="1100" b="1" baseline="0">
              <a:solidFill>
                <a:schemeClr val="bg1"/>
              </a:solidFill>
            </a:rPr>
            <a:t> DE TAREAS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810953</xdr:colOff>
      <xdr:row>1</xdr:row>
      <xdr:rowOff>93133</xdr:rowOff>
    </xdr:from>
    <xdr:to>
      <xdr:col>2</xdr:col>
      <xdr:colOff>2599531</xdr:colOff>
      <xdr:row>2</xdr:row>
      <xdr:rowOff>11450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19167" y="582990"/>
          <a:ext cx="1788578" cy="2993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BURN DOWN CHART</a:t>
          </a:r>
        </a:p>
      </xdr:txBody>
    </xdr:sp>
    <xdr:clientData/>
  </xdr:twoCellAnchor>
  <xdr:twoCellAnchor editAs="absolute">
    <xdr:from>
      <xdr:col>2</xdr:col>
      <xdr:colOff>1117863</xdr:colOff>
      <xdr:row>0</xdr:row>
      <xdr:rowOff>0</xdr:rowOff>
    </xdr:from>
    <xdr:to>
      <xdr:col>2</xdr:col>
      <xdr:colOff>2250281</xdr:colOff>
      <xdr:row>1</xdr:row>
      <xdr:rowOff>2910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/>
        </xdr:cNvSpPr>
      </xdr:nvSpPr>
      <xdr:spPr>
        <a:xfrm>
          <a:off x="1515532" y="0"/>
          <a:ext cx="113347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PROYECTO</a:t>
          </a:r>
        </a:p>
      </xdr:txBody>
    </xdr:sp>
    <xdr:clientData/>
  </xdr:twoCellAnchor>
  <xdr:twoCellAnchor editAs="absolute">
    <xdr:from>
      <xdr:col>2</xdr:col>
      <xdr:colOff>2608003</xdr:colOff>
      <xdr:row>1</xdr:row>
      <xdr:rowOff>93133</xdr:rowOff>
    </xdr:from>
    <xdr:to>
      <xdr:col>4</xdr:col>
      <xdr:colOff>1059655</xdr:colOff>
      <xdr:row>2</xdr:row>
      <xdr:rowOff>11450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3016217" y="582990"/>
          <a:ext cx="2139188" cy="29931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404040"/>
              </a:solidFill>
            </a:rPr>
            <a:t>PLANIFICADO VS REALIZADO</a:t>
          </a:r>
        </a:p>
      </xdr:txBody>
    </xdr:sp>
    <xdr:clientData/>
  </xdr:twoCellAnchor>
  <xdr:twoCellAnchor editAs="absolute">
    <xdr:from>
      <xdr:col>2</xdr:col>
      <xdr:colOff>2265096</xdr:colOff>
      <xdr:row>0</xdr:row>
      <xdr:rowOff>0</xdr:rowOff>
    </xdr:from>
    <xdr:to>
      <xdr:col>2</xdr:col>
      <xdr:colOff>3398836</xdr:colOff>
      <xdr:row>1</xdr:row>
      <xdr:rowOff>2910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/>
        </xdr:cNvSpPr>
      </xdr:nvSpPr>
      <xdr:spPr>
        <a:xfrm>
          <a:off x="2663823" y="0"/>
          <a:ext cx="1132418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SCRUM</a:t>
          </a:r>
        </a:p>
      </xdr:txBody>
    </xdr:sp>
    <xdr:clientData/>
  </xdr:twoCellAnchor>
  <xdr:twoCellAnchor editAs="absolute">
    <xdr:from>
      <xdr:col>2</xdr:col>
      <xdr:colOff>3415772</xdr:colOff>
      <xdr:row>0</xdr:row>
      <xdr:rowOff>0</xdr:rowOff>
    </xdr:from>
    <xdr:to>
      <xdr:col>4</xdr:col>
      <xdr:colOff>1123155</xdr:colOff>
      <xdr:row>1</xdr:row>
      <xdr:rowOff>2910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/>
        </xdr:cNvSpPr>
      </xdr:nvSpPr>
      <xdr:spPr>
        <a:xfrm>
          <a:off x="3813177" y="0"/>
          <a:ext cx="1383239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INFORMES</a:t>
          </a:r>
        </a:p>
      </xdr:txBody>
    </xdr:sp>
    <xdr:clientData/>
  </xdr:twoCellAnchor>
  <xdr:twoCellAnchor editAs="absolute">
    <xdr:from>
      <xdr:col>4</xdr:col>
      <xdr:colOff>1144322</xdr:colOff>
      <xdr:row>0</xdr:row>
      <xdr:rowOff>0</xdr:rowOff>
    </xdr:from>
    <xdr:to>
      <xdr:col>4</xdr:col>
      <xdr:colOff>2397388</xdr:colOff>
      <xdr:row>1</xdr:row>
      <xdr:rowOff>2910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/>
        </xdr:cNvSpPr>
      </xdr:nvSpPr>
      <xdr:spPr>
        <a:xfrm>
          <a:off x="5217583" y="0"/>
          <a:ext cx="1255183" cy="498210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4</xdr:col>
      <xdr:colOff>2403739</xdr:colOff>
      <xdr:row>0</xdr:row>
      <xdr:rowOff>1</xdr:rowOff>
    </xdr:from>
    <xdr:to>
      <xdr:col>4</xdr:col>
      <xdr:colOff>3440578</xdr:colOff>
      <xdr:row>1</xdr:row>
      <xdr:rowOff>2911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/>
        </xdr:cNvSpPr>
      </xdr:nvSpPr>
      <xdr:spPr>
        <a:xfrm>
          <a:off x="6479117" y="1"/>
          <a:ext cx="1035516" cy="49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INSTRUCCION</a:t>
          </a:r>
        </a:p>
      </xdr:txBody>
    </xdr:sp>
    <xdr:clientData/>
  </xdr:twoCellAnchor>
  <xdr:twoCellAnchor>
    <xdr:from>
      <xdr:col>2</xdr:col>
      <xdr:colOff>-1</xdr:colOff>
      <xdr:row>7</xdr:row>
      <xdr:rowOff>0</xdr:rowOff>
    </xdr:from>
    <xdr:to>
      <xdr:col>5</xdr:col>
      <xdr:colOff>8343</xdr:colOff>
      <xdr:row>11</xdr:row>
      <xdr:rowOff>286800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13F206-882F-4311-8289-1DC620659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9</xdr:col>
      <xdr:colOff>8344</xdr:colOff>
      <xdr:row>11</xdr:row>
      <xdr:rowOff>286800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66BFEF4-EB62-4729-98F2-57B27546C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</xdr:col>
      <xdr:colOff>1374322</xdr:colOff>
      <xdr:row>1</xdr:row>
      <xdr:rowOff>93133</xdr:rowOff>
    </xdr:from>
    <xdr:to>
      <xdr:col>5</xdr:col>
      <xdr:colOff>30081</xdr:colOff>
      <xdr:row>2</xdr:row>
      <xdr:rowOff>11450</xdr:rowOff>
    </xdr:to>
    <xdr:sp macro="" textlink="">
      <xdr:nvSpPr>
        <xdr:cNvPr id="12" name="Retângulo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EBDB8A1-A33A-4255-804F-F02898723B3D}"/>
            </a:ext>
          </a:extLst>
        </xdr:cNvPr>
        <xdr:cNvSpPr/>
      </xdr:nvSpPr>
      <xdr:spPr>
        <a:xfrm>
          <a:off x="5470072" y="582990"/>
          <a:ext cx="2139188" cy="299317"/>
        </a:xfrm>
        <a:prstGeom prst="rect">
          <a:avLst/>
        </a:prstGeom>
        <a:solidFill>
          <a:srgbClr val="01D6C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TIPOS</a:t>
          </a:r>
          <a:r>
            <a:rPr lang="pt-BR" sz="1100" b="1" baseline="0">
              <a:solidFill>
                <a:schemeClr val="bg1"/>
              </a:solidFill>
            </a:rPr>
            <a:t> DE TAREAS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5" name="Equipo" displayName="Equipo" ref="C4:G54" totalsRowShown="0" headerRowDxfId="76" tableBorderDxfId="75">
  <autoFilter ref="C4:G54"/>
  <tableColumns count="5">
    <tableColumn id="1" name="Nombre y Apellido" dataDxfId="74"/>
    <tableColumn id="2" name="E-mail" dataDxfId="73"/>
    <tableColumn id="3" name="GitHub" dataDxfId="72"/>
    <tableColumn id="4" name="Teléfono" dataDxfId="71"/>
    <tableColumn id="5" name="Rol" dataDxfId="7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Product_Backlog" displayName="Product_Backlog" ref="C4:I65" totalsRowCount="1" headerRowDxfId="69" totalsRowDxfId="67" tableBorderDxfId="68">
  <autoFilter ref="C4:I64"/>
  <tableColumns count="7">
    <tableColumn id="1" name="Épica o Historia de Usuario" totalsRowLabel="Total" dataDxfId="13" totalsRowDxfId="6"/>
    <tableColumn id="6" name="ID" dataDxfId="12" totalsRowDxfId="5"/>
    <tableColumn id="2" name="Tipo" dataDxfId="11" totalsRowDxfId="4"/>
    <tableColumn id="3" name="Puntos" totalsRowFunction="sum" dataDxfId="10" totalsRowDxfId="3"/>
    <tableColumn id="4" name="Horas programadas" totalsRowFunction="sum" dataDxfId="9" totalsRowDxfId="2"/>
    <tableColumn id="5" name="Estado" totalsRowFunction="count" dataDxfId="8" totalsRowDxfId="1">
      <calculatedColumnFormula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calculatedColumnFormula>
    </tableColumn>
    <tableColumn id="7" name="Criterio de Aceptación" dataDxfId="7" totalsRowDxfId="0" dataCellStyle="Moned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print_Backlog" displayName="Sprint_Backlog" ref="C4:K65" totalsRowCount="1" headerRowDxfId="66" totalsRowDxfId="64" tableBorderDxfId="65">
  <autoFilter ref="C4:K64"/>
  <tableColumns count="9">
    <tableColumn id="1" name="Historia de Usuario o Tareas" totalsRowLabel="Total" dataDxfId="63" totalsRowDxfId="62"/>
    <tableColumn id="8" name="ID" dataDxfId="61" totalsRowDxfId="60">
      <calculatedColumnFormula>IFERROR(VLOOKUP(Sprint_Backlog[[#This Row],[Historia de Usuario o Tareas]],Product_Backlog[],2,0),"")</calculatedColumnFormula>
    </tableColumn>
    <tableColumn id="2" name="Semana" dataDxfId="59" totalsRowDxfId="58"/>
    <tableColumn id="3" name="Responsable" dataDxfId="57" totalsRowDxfId="56"/>
    <tableColumn id="4" name="Puntos" totalsRowFunction="sum" dataDxfId="55" totalsRowDxfId="54">
      <calculatedColumnFormula>IFERROR(VLOOKUP(Sprint_Backlog[[#This Row],[Historia de Usuario o Tareas]],Product_Backlog[],4,0),"")</calculatedColumnFormula>
    </tableColumn>
    <tableColumn id="7" name="Horas programadas" totalsRowFunction="sum" dataDxfId="53" totalsRowDxfId="52">
      <calculatedColumnFormula>IFERROR(VLOOKUP(Sprint_Backlog[[#This Row],[Historia de Usuario o Tareas]],Product_Backlog[],5,0),"")</calculatedColumnFormula>
    </tableColumn>
    <tableColumn id="5" name="Horas utilizadas" totalsRowFunction="sum" dataDxfId="51" totalsRowDxfId="50"/>
    <tableColumn id="6" name="Estado" totalsRowFunction="count" dataDxfId="49" totalsRowDxfId="48"/>
    <tableColumn id="9" name="Criterio de Aceptación" dataDxfId="47" totalsRowDxfId="46" dataCellStyle="Moned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Puntos" displayName="Puntos" ref="C4:F56" totalsRowShown="0" headerRowDxfId="45" tableBorderDxfId="44">
  <autoFilter ref="C4:F56"/>
  <tableColumns count="4">
    <tableColumn id="1" name="Semana" dataDxfId="43">
      <calculatedColumnFormula>IF(DAS!C18&gt;Duracion_Proyecto,"",DAS!C18)</calculatedColumnFormula>
    </tableColumn>
    <tableColumn id="2" name="Puntuación total temprana" dataDxfId="42">
      <calculatedColumnFormula>IF(Puntos[[#This Row],[Semana]]="","",SUMIF(Sprint_Backlog[Semana],Puntos[[#This Row],[Semana]],Sprint_Backlog[Puntos]))</calculatedColumnFormula>
    </tableColumn>
    <tableColumn id="3" name="Puntuación realizada" dataDxfId="41">
      <calculatedColumnFormula>IF(Puntos[[#This Row],[Semana]]="","",SUMIFS(Sprint_Backlog[Puntos],Sprint_Backlog[Estado],"Terminada",Sprint_Backlog[Semana],Puntos[[#This Row],[Semana]]))</calculatedColumnFormula>
    </tableColumn>
    <tableColumn id="4" name="Puntuación total restante" dataDxfId="40">
      <calculatedColumnFormula>IF(Puntos[[#This Row],[Semana]]="","",Puntos[[#This Row],[Puntuación total temprana]]-Puntos[[#This Row],[Puntuación realizada]])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Rendimiento_Individual" displayName="Rendimiento_Individual" ref="C6:J58" totalsRowShown="0" headerRowDxfId="39" dataDxfId="38" tableBorderDxfId="37">
  <autoFilter ref="C6:J58"/>
  <tableColumns count="8">
    <tableColumn id="1" name="Semana" dataDxfId="36">
      <calculatedColumnFormula>IF(DAS!C18&gt;Duracion_Proyecto,"",DAS!C18)</calculatedColumnFormula>
    </tableColumn>
    <tableColumn id="2" name="Tareas asignadas" dataDxfId="35">
      <calculatedColumnFormula>IF(Rendimiento_Individual[[#This Row],[Semana]]="","",COUNTIFS(Sprint_Backlog[Responsable],Empleado,Sprint_Backlog[Semana],Rendimiento_Individual[[#This Row],[Semana]]))</calculatedColumnFormula>
    </tableColumn>
    <tableColumn id="3" name="Tareas terminadas" dataDxfId="34">
      <calculatedColumnFormula>IF(Rendimiento_Individual[[#This Row],[Semana]]="","",COUNTIFS(Sprint_Backlog[Responsable],Empleado,Sprint_Backlog[Semana],Rendimiento_Individual[[#This Row],[Semana]],Sprint_Backlog[Estado],"Terminada"))</calculatedColumnFormula>
    </tableColumn>
    <tableColumn id="4" name="% terminadas" dataDxfId="33" dataCellStyle="Porcentaje">
      <calculatedColumnFormula>IF(Rendimiento_Individual[[#This Row],[Semana]]="","",IFERROR(Rendimiento_Individual[[#This Row],[Tareas terminadas]]/Rendimiento_Individual[[#This Row],[Tareas asignadas]],0))</calculatedColumnFormula>
    </tableColumn>
    <tableColumn id="5" name="Puntos realizados" dataDxfId="32">
      <calculatedColumnFormula>IF(Rendimiento_Individual[[#This Row],[Semana]]="","",SUMIFS(Sprint_Backlog[Puntos],Sprint_Backlog[Estado],"Terminada",Sprint_Backlog[Responsable],Empleado,Sprint_Backlog[Semana],Rendimiento_Individual[[#This Row],[Semana]]))</calculatedColumnFormula>
    </tableColumn>
    <tableColumn id="6" name="Horas programadas" dataDxfId="31">
      <calculatedColumnFormula>IF(Rendimiento_Individual[[#This Row],[Semana]]="","",SUMIFS(Sprint_Backlog[Horas programadas],Sprint_Backlog[Responsable],Empleado,Sprint_Backlog[Semana],Rendimiento_Individual[[#This Row],[Semana]]))</calculatedColumnFormula>
    </tableColumn>
    <tableColumn id="7" name="Horas utilizadas" dataDxfId="30">
      <calculatedColumnFormula>IF(Rendimiento_Individual[[#This Row],[Semana]]="","",SUMIFS(Sprint_Backlog[Horas utilizadas],Sprint_Backlog[Responsable],Empleado,Sprint_Backlog[Semana],Rendimiento_Individual[[#This Row],[Semana]]))</calculatedColumnFormula>
    </tableColumn>
    <tableColumn id="8" name="Diferencia Hs" dataDxfId="29">
      <calculatedColumnFormula>IF(Rendimiento_Individual[[#This Row],[Semana]]="","",Rendimiento_Individual[[#This Row],[Horas programadas]]-Rendimiento_Individual[[#This Row],[Horas utilizadas]])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Semanas_Proyecto" displayName="Semanas_Proyecto" ref="C17:D118" totalsRowShown="0" headerRowDxfId="28">
  <autoFilter ref="C17:D118"/>
  <tableColumns count="2">
    <tableColumn id="1" name="Ref." dataDxfId="27"/>
    <tableColumn id="2" name="SEM Proyecto" dataDxfId="26">
      <calculatedColumnFormula>IF(Semanas_Proyecto[[#This Row],[Ref.]]&gt;Duracion_Proyecto,"",Semanas_Proyecto[[#This Row],[Ref.]])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Puntuacion_Proyecto" displayName="Puntuacion_Proyecto" ref="E17:G118" totalsRowShown="0" headerRowDxfId="25" headerRowBorderDxfId="24" tableBorderDxfId="23" totalsRowBorderDxfId="22">
  <autoFilter ref="E17:G118"/>
  <tableColumns count="3">
    <tableColumn id="3" name="Total por Hacer" dataDxfId="21">
      <calculatedColumnFormula>+Puntos_Totales</calculatedColumnFormula>
    </tableColumn>
    <tableColumn id="1" name="Total por Hacer x Semana" dataDxfId="20"/>
    <tableColumn id="2" name="Realizados x Semana" dataDxfId="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milio.ryan@inntech.com.ar" TargetMode="External"/><Relationship Id="rId1" Type="http://schemas.openxmlformats.org/officeDocument/2006/relationships/hyperlink" Target="mailto:elio.facchin@inntech.com.ar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showGridLines="0" tabSelected="1" zoomScale="70" zoomScaleNormal="70" zoomScalePageLayoutView="80" workbookViewId="0">
      <pane ySplit="2" topLeftCell="A3" activePane="bottomLeft" state="frozen"/>
      <selection activeCell="C4" sqref="C4:G4"/>
      <selection pane="bottomLeft"/>
    </sheetView>
  </sheetViews>
  <sheetFormatPr baseColWidth="10" defaultColWidth="11" defaultRowHeight="30" customHeight="1"/>
  <cols>
    <col min="1" max="2" width="2.625" style="3" customWidth="1"/>
    <col min="3" max="3" width="45.625" style="3" customWidth="1"/>
    <col min="4" max="4" width="90.625" style="3" customWidth="1"/>
    <col min="5" max="5" width="10.625" style="11" customWidth="1"/>
    <col min="6" max="11" width="10.625" style="3" customWidth="1"/>
    <col min="12" max="12" width="5.125" style="3" customWidth="1"/>
    <col min="13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ht="35.25" customHeight="1" thickBot="1"/>
    <row r="4" spans="1:11" ht="32.25" customHeight="1" thickTop="1">
      <c r="C4" s="50" t="s">
        <v>82</v>
      </c>
      <c r="D4" s="7" t="s">
        <v>47</v>
      </c>
    </row>
    <row r="5" spans="1:11" ht="13.5" customHeight="1" thickBot="1">
      <c r="E5" s="3"/>
    </row>
    <row r="6" spans="1:11" ht="32.25" customHeight="1" thickTop="1">
      <c r="C6" s="50" t="s">
        <v>133</v>
      </c>
      <c r="D6" s="7" t="s">
        <v>132</v>
      </c>
    </row>
    <row r="7" spans="1:11" ht="13.5" customHeight="1" thickBot="1">
      <c r="E7" s="3"/>
    </row>
    <row r="8" spans="1:11" ht="30" customHeight="1" thickTop="1">
      <c r="C8" s="50" t="s">
        <v>48</v>
      </c>
      <c r="D8" s="9" t="s">
        <v>49</v>
      </c>
      <c r="E8" s="3"/>
    </row>
    <row r="9" spans="1:11" ht="13.5" customHeight="1" thickBot="1">
      <c r="E9" s="3"/>
    </row>
    <row r="10" spans="1:11" ht="30" customHeight="1" thickTop="1">
      <c r="C10" s="50" t="s">
        <v>37</v>
      </c>
      <c r="D10" s="8">
        <v>5</v>
      </c>
      <c r="E10" s="3"/>
    </row>
    <row r="11" spans="1:11" ht="30" customHeight="1">
      <c r="E11" s="3"/>
    </row>
    <row r="12" spans="1:11" ht="30" customHeight="1">
      <c r="E12" s="3"/>
    </row>
    <row r="13" spans="1:11" ht="30" customHeight="1">
      <c r="E13" s="3"/>
    </row>
    <row r="14" spans="1:11" ht="30" customHeight="1">
      <c r="E14" s="3"/>
    </row>
    <row r="15" spans="1:11" ht="30" customHeight="1">
      <c r="E15" s="3"/>
    </row>
    <row r="16" spans="1:11" ht="30" customHeight="1">
      <c r="E16" s="3"/>
    </row>
    <row r="17" spans="5:5" ht="30" customHeight="1">
      <c r="E17" s="3"/>
    </row>
    <row r="18" spans="5:5" ht="30" customHeight="1">
      <c r="E18" s="3"/>
    </row>
    <row r="19" spans="5:5" ht="30" customHeight="1">
      <c r="E19" s="3"/>
    </row>
    <row r="20" spans="5:5" ht="30" customHeight="1">
      <c r="E20" s="3"/>
    </row>
    <row r="21" spans="5:5" ht="30" customHeight="1">
      <c r="E21" s="3"/>
    </row>
    <row r="22" spans="5:5" ht="30" customHeight="1">
      <c r="E22" s="3"/>
    </row>
    <row r="23" spans="5:5" ht="30" customHeight="1">
      <c r="E23" s="3"/>
    </row>
    <row r="24" spans="5:5" ht="30" customHeight="1">
      <c r="E24" s="3"/>
    </row>
    <row r="25" spans="5:5" ht="30" customHeight="1">
      <c r="E25" s="3"/>
    </row>
    <row r="26" spans="5:5" ht="30" customHeight="1">
      <c r="E26" s="3"/>
    </row>
    <row r="27" spans="5:5" ht="30" customHeight="1">
      <c r="E27" s="3"/>
    </row>
    <row r="28" spans="5:5" ht="30" customHeight="1">
      <c r="E28" s="3"/>
    </row>
    <row r="29" spans="5:5" ht="30" customHeight="1">
      <c r="E29" s="3"/>
    </row>
    <row r="30" spans="5:5" ht="30" customHeight="1">
      <c r="E30" s="3"/>
    </row>
    <row r="31" spans="5:5" ht="30" customHeight="1">
      <c r="E31" s="3"/>
    </row>
    <row r="32" spans="5:5" ht="30" customHeight="1">
      <c r="E32" s="3"/>
    </row>
    <row r="33" spans="5:5" ht="30" customHeight="1">
      <c r="E33" s="3"/>
    </row>
    <row r="34" spans="5:5" ht="30" customHeight="1">
      <c r="E34" s="3"/>
    </row>
    <row r="35" spans="5:5" ht="30" customHeight="1">
      <c r="E35" s="3"/>
    </row>
    <row r="36" spans="5:5" ht="30" customHeight="1">
      <c r="E36" s="3"/>
    </row>
    <row r="37" spans="5:5" ht="30" customHeight="1">
      <c r="E37" s="3"/>
    </row>
    <row r="38" spans="5:5" ht="30" customHeight="1">
      <c r="E38" s="3"/>
    </row>
    <row r="39" spans="5:5" ht="30" customHeight="1">
      <c r="E39" s="3"/>
    </row>
    <row r="40" spans="5:5" ht="30" customHeight="1">
      <c r="E40" s="3"/>
    </row>
    <row r="41" spans="5:5" ht="30" customHeight="1">
      <c r="E41" s="3"/>
    </row>
    <row r="42" spans="5:5" ht="30" customHeight="1">
      <c r="E42" s="3"/>
    </row>
    <row r="43" spans="5:5" ht="30" customHeight="1">
      <c r="E43" s="3"/>
    </row>
    <row r="44" spans="5:5" ht="30" customHeight="1">
      <c r="E44" s="3"/>
    </row>
    <row r="45" spans="5:5" ht="30" customHeight="1">
      <c r="E45" s="3"/>
    </row>
    <row r="46" spans="5:5" ht="30" customHeight="1">
      <c r="E46" s="3"/>
    </row>
    <row r="47" spans="5:5" ht="30" customHeight="1">
      <c r="E47" s="3"/>
    </row>
    <row r="48" spans="5:5" ht="30" customHeight="1">
      <c r="E48" s="3"/>
    </row>
    <row r="49" spans="5:5" ht="30" customHeight="1">
      <c r="E49" s="3"/>
    </row>
    <row r="50" spans="5:5" ht="30" customHeight="1">
      <c r="E50" s="3"/>
    </row>
    <row r="51" spans="5:5" ht="30" customHeight="1">
      <c r="E51" s="3"/>
    </row>
    <row r="52" spans="5:5" ht="30" customHeight="1">
      <c r="E52" s="3"/>
    </row>
    <row r="53" spans="5:5" ht="30" customHeight="1">
      <c r="E53" s="3"/>
    </row>
    <row r="54" spans="5:5" ht="30" customHeight="1">
      <c r="E54" s="3"/>
    </row>
    <row r="55" spans="5:5" ht="30" customHeight="1">
      <c r="E55" s="3"/>
    </row>
    <row r="56" spans="5:5" ht="30" customHeight="1">
      <c r="E56" s="3"/>
    </row>
    <row r="57" spans="5:5" ht="30" customHeight="1">
      <c r="E57" s="3"/>
    </row>
    <row r="58" spans="5:5" ht="30" customHeight="1">
      <c r="E58" s="3"/>
    </row>
    <row r="59" spans="5:5" ht="30" customHeight="1">
      <c r="E59" s="3"/>
    </row>
    <row r="60" spans="5:5" ht="30" customHeight="1">
      <c r="E60" s="3"/>
    </row>
    <row r="61" spans="5:5" ht="30" customHeight="1">
      <c r="E61" s="3"/>
    </row>
    <row r="62" spans="5:5" ht="30" customHeight="1">
      <c r="E62" s="3"/>
    </row>
    <row r="63" spans="5:5" ht="30" customHeight="1">
      <c r="E63" s="3"/>
    </row>
    <row r="64" spans="5:5" ht="30" customHeight="1">
      <c r="E64" s="3"/>
    </row>
    <row r="65" spans="5:5" ht="30" customHeight="1">
      <c r="E65" s="3"/>
    </row>
    <row r="66" spans="5:5" ht="30" customHeight="1">
      <c r="E66" s="3"/>
    </row>
    <row r="67" spans="5:5" ht="30" customHeight="1">
      <c r="E67" s="3"/>
    </row>
    <row r="68" spans="5:5" ht="30" customHeight="1">
      <c r="E68" s="3"/>
    </row>
    <row r="69" spans="5:5" ht="30" customHeight="1">
      <c r="E69" s="3"/>
    </row>
    <row r="70" spans="5:5" ht="30" customHeight="1">
      <c r="E70" s="3"/>
    </row>
    <row r="71" spans="5:5" ht="30" customHeight="1">
      <c r="E71" s="3"/>
    </row>
    <row r="72" spans="5:5" ht="30" customHeight="1">
      <c r="E72" s="3"/>
    </row>
    <row r="73" spans="5:5" ht="30" customHeight="1">
      <c r="E73" s="3"/>
    </row>
    <row r="74" spans="5:5" ht="30" customHeight="1">
      <c r="E74" s="3"/>
    </row>
    <row r="75" spans="5:5" ht="30" customHeight="1">
      <c r="E75" s="3"/>
    </row>
    <row r="76" spans="5:5" ht="30" customHeight="1">
      <c r="E76" s="3"/>
    </row>
    <row r="77" spans="5:5" ht="30" customHeight="1">
      <c r="E77" s="3"/>
    </row>
    <row r="78" spans="5:5" ht="30" customHeight="1">
      <c r="E78" s="3"/>
    </row>
    <row r="79" spans="5:5" ht="30" customHeight="1">
      <c r="E79" s="3"/>
    </row>
    <row r="80" spans="5:5" ht="30" customHeight="1">
      <c r="E80" s="3"/>
    </row>
    <row r="81" spans="5:5" ht="30" customHeight="1">
      <c r="E81" s="3"/>
    </row>
    <row r="82" spans="5:5" ht="30" customHeight="1">
      <c r="E82" s="3"/>
    </row>
    <row r="83" spans="5:5" ht="30" customHeight="1">
      <c r="E83" s="3"/>
    </row>
    <row r="84" spans="5:5" ht="30" customHeight="1">
      <c r="E84" s="3"/>
    </row>
    <row r="85" spans="5:5" ht="30" customHeight="1">
      <c r="E85" s="3"/>
    </row>
    <row r="86" spans="5:5" ht="30" customHeight="1">
      <c r="E86" s="3"/>
    </row>
    <row r="87" spans="5:5" ht="30" customHeight="1">
      <c r="E87" s="3"/>
    </row>
    <row r="88" spans="5:5" ht="30" customHeight="1">
      <c r="E88" s="3"/>
    </row>
    <row r="89" spans="5:5" ht="30" customHeight="1">
      <c r="E89" s="3"/>
    </row>
    <row r="90" spans="5:5" ht="30" customHeight="1">
      <c r="E90" s="3"/>
    </row>
    <row r="91" spans="5:5" ht="30" customHeight="1">
      <c r="E91" s="3"/>
    </row>
    <row r="92" spans="5:5" ht="30" customHeight="1">
      <c r="E92" s="3"/>
    </row>
    <row r="93" spans="5:5" ht="30" customHeight="1">
      <c r="E93" s="3"/>
    </row>
    <row r="94" spans="5:5" ht="30" customHeight="1">
      <c r="E94" s="3"/>
    </row>
    <row r="95" spans="5:5" ht="30" customHeight="1">
      <c r="E95" s="3"/>
    </row>
    <row r="96" spans="5:5" ht="30" customHeight="1">
      <c r="E96" s="3"/>
    </row>
    <row r="97" spans="5:5" ht="30" customHeight="1">
      <c r="E97" s="3"/>
    </row>
    <row r="98" spans="5:5" ht="30" customHeight="1">
      <c r="E98" s="3"/>
    </row>
    <row r="99" spans="5:5" ht="30" customHeight="1">
      <c r="E99" s="3"/>
    </row>
    <row r="100" spans="5:5" ht="30" customHeight="1">
      <c r="E100" s="3"/>
    </row>
    <row r="101" spans="5:5" ht="30" customHeight="1">
      <c r="E101" s="3"/>
    </row>
    <row r="102" spans="5:5" ht="30" customHeight="1">
      <c r="E102" s="3"/>
    </row>
    <row r="103" spans="5:5" ht="30" customHeight="1">
      <c r="E103" s="3"/>
    </row>
    <row r="104" spans="5:5" ht="30" customHeight="1">
      <c r="E104" s="3"/>
    </row>
    <row r="105" spans="5:5" ht="30" customHeight="1">
      <c r="E105" s="3"/>
    </row>
    <row r="106" spans="5:5" ht="30" customHeight="1">
      <c r="E106" s="3"/>
    </row>
    <row r="107" spans="5:5" ht="30" customHeight="1">
      <c r="E107" s="3"/>
    </row>
    <row r="108" spans="5:5" ht="30" customHeight="1">
      <c r="E108" s="3"/>
    </row>
    <row r="109" spans="5:5" ht="30" customHeight="1">
      <c r="E109" s="3"/>
    </row>
  </sheetData>
  <sheetProtection algorithmName="SHA-512" hashValue="i4TNA7Xgy++q//Yhipm9zA3lm2NjCehQ3qnPJEqnNUC3/MbKW9y8HvYAObiZWU0YIdsq9brJz+dcOPj/BymoKQ==" saltValue="4ZOkQITFwb56BtZST+95hw==" spinCount="100000" formatCells="0" formatColumns="0" formatRows="0" selectLockedCells="1"/>
  <protectedRanges>
    <protectedRange sqref="D4 D10 D8 D6" name="Intervalo1"/>
  </protectedRange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="60" zoomScaleNormal="60" zoomScalePageLayoutView="80" workbookViewId="0">
      <pane ySplit="2" topLeftCell="A3" activePane="bottomLeft" state="frozen"/>
      <selection activeCell="C4" sqref="C4:G4"/>
      <selection pane="bottomLeft" activeCell="I4" sqref="I4"/>
    </sheetView>
  </sheetViews>
  <sheetFormatPr baseColWidth="10" defaultColWidth="11" defaultRowHeight="30" customHeight="1"/>
  <cols>
    <col min="1" max="2" width="2.625" style="3" customWidth="1"/>
    <col min="3" max="3" width="45.625" style="3" customWidth="1"/>
    <col min="4" max="4" width="2.625" style="3" customWidth="1"/>
    <col min="5" max="5" width="45.625" style="3" customWidth="1"/>
    <col min="6" max="6" width="2.625" style="3" customWidth="1"/>
    <col min="7" max="7" width="45.625" style="3" customWidth="1"/>
    <col min="8" max="8" width="2.625" style="3" customWidth="1"/>
    <col min="9" max="9" width="45.625" style="3" customWidth="1"/>
    <col min="10" max="11" width="8.25" style="3" customWidth="1"/>
    <col min="12" max="18" width="15.625" style="3" customWidth="1"/>
    <col min="19" max="20" width="11" style="3"/>
    <col min="21" max="21" width="5.125" style="3" customWidth="1"/>
    <col min="22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ht="15"/>
    <row r="4" spans="1:11" ht="23.25" customHeight="1">
      <c r="C4" s="28" t="str">
        <f>+C32</f>
        <v>Control Bombas</v>
      </c>
    </row>
    <row r="5" spans="1:11" s="13" customFormat="1" ht="20.100000000000001" customHeight="1">
      <c r="C5" s="110">
        <f>+E32</f>
        <v>47</v>
      </c>
    </row>
    <row r="6" spans="1:11" ht="9.75" customHeight="1"/>
    <row r="7" spans="1:11" ht="23.25" customHeight="1">
      <c r="C7" s="28" t="str">
        <f>+C33</f>
        <v>Control Valvulas</v>
      </c>
    </row>
    <row r="8" spans="1:11" s="13" customFormat="1" ht="20.100000000000001" customHeight="1">
      <c r="C8" s="110">
        <f>+E33</f>
        <v>1</v>
      </c>
    </row>
    <row r="9" spans="1:11" ht="9.75" customHeight="1"/>
    <row r="10" spans="1:11" ht="23.25" customHeight="1">
      <c r="C10" s="28" t="str">
        <f>+C34</f>
        <v>Control Instrumentos</v>
      </c>
    </row>
    <row r="11" spans="1:11" s="13" customFormat="1" ht="20.100000000000001" customHeight="1">
      <c r="C11" s="110">
        <f>+E34</f>
        <v>1</v>
      </c>
    </row>
    <row r="12" spans="1:11" ht="9.75" customHeight="1"/>
    <row r="13" spans="1:11" ht="23.25" customHeight="1">
      <c r="C13" s="28" t="str">
        <f>+C35</f>
        <v>Control PID</v>
      </c>
    </row>
    <row r="14" spans="1:11" s="13" customFormat="1" ht="20.100000000000001" customHeight="1">
      <c r="C14" s="110">
        <f>+E35</f>
        <v>1</v>
      </c>
    </row>
    <row r="15" spans="1:11" ht="9.75" customHeight="1"/>
    <row r="16" spans="1:11" ht="23.25" customHeight="1">
      <c r="C16" s="28" t="str">
        <f>+C36</f>
        <v>Enclavamientos</v>
      </c>
    </row>
    <row r="17" spans="3:8" s="13" customFormat="1" ht="20.100000000000001" customHeight="1">
      <c r="C17" s="110">
        <f>+E36</f>
        <v>2</v>
      </c>
    </row>
    <row r="18" spans="3:8" ht="9.75" customHeight="1"/>
    <row r="19" spans="3:8" ht="23.25" customHeight="1">
      <c r="C19" s="28" t="str">
        <f>+C37</f>
        <v>Alarmero</v>
      </c>
    </row>
    <row r="20" spans="3:8" s="13" customFormat="1" ht="20.100000000000001" customHeight="1">
      <c r="C20" s="110">
        <f>+E37</f>
        <v>2</v>
      </c>
    </row>
    <row r="21" spans="3:8" ht="9.75" customHeight="1"/>
    <row r="22" spans="3:8" ht="23.25" customHeight="1">
      <c r="C22" s="28" t="str">
        <f>+C38</f>
        <v>Pantallas</v>
      </c>
    </row>
    <row r="23" spans="3:8" s="13" customFormat="1" ht="20.100000000000001" customHeight="1">
      <c r="C23" s="110">
        <f>+E38</f>
        <v>4</v>
      </c>
    </row>
    <row r="24" spans="3:8" ht="9.75" customHeight="1"/>
    <row r="25" spans="3:8" ht="23.25" customHeight="1">
      <c r="C25" s="28" t="str">
        <f>+C39</f>
        <v>Planillas de Transferencia</v>
      </c>
    </row>
    <row r="26" spans="3:8" s="13" customFormat="1" ht="20.100000000000001" customHeight="1">
      <c r="C26" s="110">
        <f>+E39</f>
        <v>2</v>
      </c>
    </row>
    <row r="27" spans="3:8" ht="9.75" customHeight="1"/>
    <row r="29" spans="3:8" ht="30" customHeight="1">
      <c r="C29" s="72" t="s">
        <v>134</v>
      </c>
    </row>
    <row r="30" spans="3:8" ht="30" customHeight="1">
      <c r="C30" s="28" t="s">
        <v>220</v>
      </c>
    </row>
    <row r="31" spans="3:8" ht="30" customHeight="1">
      <c r="C31" s="28"/>
      <c r="E31" s="112" t="s">
        <v>231</v>
      </c>
    </row>
    <row r="32" spans="3:8" ht="30" customHeight="1">
      <c r="C32" s="74" t="s">
        <v>226</v>
      </c>
      <c r="D32" s="74"/>
      <c r="E32" s="111">
        <f>COUNTIF(Product_Backlog[Tipo],C32)</f>
        <v>47</v>
      </c>
      <c r="H32" s="13"/>
    </row>
    <row r="33" spans="3:5" ht="30" customHeight="1">
      <c r="C33" s="74" t="s">
        <v>227</v>
      </c>
      <c r="D33" s="74"/>
      <c r="E33" s="111">
        <f>COUNTIF(Product_Backlog[Tipo],C33)</f>
        <v>1</v>
      </c>
    </row>
    <row r="34" spans="3:5" ht="30" customHeight="1">
      <c r="C34" s="74" t="s">
        <v>228</v>
      </c>
      <c r="D34" s="74"/>
      <c r="E34" s="111">
        <f>COUNTIF(Product_Backlog[Tipo],C34)</f>
        <v>1</v>
      </c>
    </row>
    <row r="35" spans="3:5" ht="30" customHeight="1">
      <c r="C35" s="74" t="s">
        <v>221</v>
      </c>
      <c r="D35" s="74"/>
      <c r="E35" s="111">
        <f>COUNTIF(Product_Backlog[Tipo],C35)</f>
        <v>1</v>
      </c>
    </row>
    <row r="36" spans="3:5" ht="30" customHeight="1">
      <c r="C36" s="74" t="s">
        <v>229</v>
      </c>
      <c r="D36" s="74"/>
      <c r="E36" s="111">
        <f>COUNTIF(Product_Backlog[Tipo],C36)</f>
        <v>2</v>
      </c>
    </row>
    <row r="37" spans="3:5" ht="30" customHeight="1">
      <c r="C37" s="74" t="s">
        <v>225</v>
      </c>
      <c r="D37" s="74"/>
      <c r="E37" s="111">
        <f>COUNTIF(Product_Backlog[Tipo],C37)</f>
        <v>2</v>
      </c>
    </row>
    <row r="38" spans="3:5" ht="30" customHeight="1">
      <c r="C38" s="74" t="s">
        <v>222</v>
      </c>
      <c r="D38" s="74"/>
      <c r="E38" s="111">
        <f>COUNTIF(Product_Backlog[Tipo],C38)</f>
        <v>4</v>
      </c>
    </row>
    <row r="39" spans="3:5" ht="30" customHeight="1">
      <c r="C39" s="74" t="s">
        <v>230</v>
      </c>
      <c r="D39" s="74"/>
      <c r="E39" s="111">
        <f>COUNTIF(Product_Backlog[Tipo],C39)</f>
        <v>2</v>
      </c>
    </row>
    <row r="40" spans="3:5" ht="30" customHeight="1">
      <c r="C40" s="74" t="s">
        <v>223</v>
      </c>
      <c r="D40" s="74"/>
      <c r="E40" s="111">
        <f>COUNTIF(Product_Backlog[Tipo],C40)</f>
        <v>0</v>
      </c>
    </row>
    <row r="41" spans="3:5" ht="30" customHeight="1">
      <c r="C41" s="74" t="s">
        <v>224</v>
      </c>
      <c r="D41" s="74"/>
      <c r="E41" s="111">
        <f>COUNTIF(Product_Backlog[Tipo],C41)</f>
        <v>0</v>
      </c>
    </row>
    <row r="42" spans="3:5" ht="30" customHeight="1">
      <c r="C42" s="74"/>
      <c r="D42" s="74"/>
      <c r="E42" s="111">
        <f>COUNTIF(Product_Backlog[Tipo],C42)</f>
        <v>0</v>
      </c>
    </row>
    <row r="43" spans="3:5" ht="30" customHeight="1">
      <c r="C43" s="74"/>
      <c r="D43" s="74"/>
      <c r="E43" s="111">
        <f>COUNTIF(Product_Backlog[Tipo],C43)</f>
        <v>0</v>
      </c>
    </row>
    <row r="44" spans="3:5" ht="30" customHeight="1">
      <c r="C44" s="74"/>
      <c r="D44" s="74"/>
      <c r="E44" s="111">
        <f>COUNTIF(Product_Backlog[Tipo],C44)</f>
        <v>0</v>
      </c>
    </row>
    <row r="45" spans="3:5" ht="30" customHeight="1">
      <c r="C45" s="74"/>
      <c r="D45" s="74"/>
      <c r="E45" s="111">
        <f>COUNTIF(Product_Backlog[Tipo],C45)</f>
        <v>0</v>
      </c>
    </row>
    <row r="46" spans="3:5" ht="30" customHeight="1">
      <c r="C46" s="74"/>
      <c r="D46" s="74"/>
      <c r="E46" s="111">
        <f>COUNTIF(Product_Backlog[Tipo],C46)</f>
        <v>0</v>
      </c>
    </row>
    <row r="72" spans="14:14" ht="30" customHeight="1">
      <c r="N72" s="30"/>
    </row>
  </sheetData>
  <sheetProtection algorithmName="SHA-512" hashValue="HHSByj00MnPswNDmCFLrVKuV4L67yjW0lpeXC52Rg+8UBOO5TS+F5odZg5F+45ddh/efJFecu0mInXlpq34EWw==" saltValue="x1WNcvIRziR1vX3/2/q8Bw==" spinCount="100000" formatCells="0" formatColumns="0" formatRows="0" selectLockedCells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5"/>
  <dimension ref="A1:Q14"/>
  <sheetViews>
    <sheetView showGridLines="0" zoomScale="90" zoomScaleNormal="90" zoomScalePageLayoutView="80" workbookViewId="0">
      <pane ySplit="2" topLeftCell="A3" activePane="bottomLeft" state="frozen"/>
      <selection activeCell="C4" sqref="C4:G4"/>
      <selection pane="bottomLeft"/>
    </sheetView>
  </sheetViews>
  <sheetFormatPr baseColWidth="10" defaultColWidth="11" defaultRowHeight="15.75"/>
  <cols>
    <col min="1" max="2" width="2.625" style="13" customWidth="1"/>
    <col min="3" max="3" width="12" style="13" customWidth="1"/>
    <col min="4" max="4" width="40.625" style="13" bestFit="1" customWidth="1"/>
    <col min="5" max="7" width="27.375" style="13" customWidth="1"/>
    <col min="8" max="8" width="12.625" style="13" customWidth="1"/>
    <col min="9" max="9" width="21.25" style="13" customWidth="1"/>
    <col min="10" max="10" width="5.625" style="13" customWidth="1"/>
    <col min="11" max="11" width="11" style="13" customWidth="1"/>
    <col min="12" max="14" width="11" style="13"/>
    <col min="15" max="15" width="11" style="13" customWidth="1"/>
    <col min="16" max="19" width="11" style="13"/>
    <col min="20" max="20" width="5.125" style="13" customWidth="1"/>
    <col min="21" max="16384" width="11" style="13"/>
  </cols>
  <sheetData>
    <row r="1" spans="1:17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7" s="3" customFormat="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7" ht="13.5" customHeight="1">
      <c r="D3" s="33"/>
      <c r="E3" s="34"/>
      <c r="F3" s="34"/>
      <c r="G3" s="34"/>
      <c r="H3" s="34"/>
      <c r="I3" s="35"/>
      <c r="J3" s="35"/>
      <c r="K3" s="35"/>
      <c r="L3" s="35"/>
      <c r="M3" s="35"/>
      <c r="N3" s="35"/>
      <c r="O3" s="35"/>
      <c r="P3" s="35"/>
      <c r="Q3" s="35"/>
    </row>
    <row r="4" spans="1:17" s="36" customFormat="1" ht="50.1" customHeight="1">
      <c r="C4" s="37" t="s">
        <v>42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7" s="40" customFormat="1" ht="27" customHeight="1">
      <c r="A5" s="39"/>
      <c r="C5" s="2" t="s">
        <v>4</v>
      </c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7" s="42" customFormat="1" ht="27" customHeight="1">
      <c r="A6" s="36"/>
      <c r="C6" s="105"/>
      <c r="D6" s="105"/>
      <c r="E6" s="105"/>
      <c r="F6" s="105"/>
      <c r="G6" s="105"/>
      <c r="H6" s="105"/>
      <c r="I6" s="43"/>
      <c r="J6" s="43"/>
      <c r="K6" s="43"/>
      <c r="L6" s="43"/>
      <c r="M6" s="44"/>
    </row>
    <row r="7" spans="1:17" s="42" customFormat="1" ht="36" customHeight="1">
      <c r="A7" s="36"/>
      <c r="C7" s="45" t="s">
        <v>0</v>
      </c>
      <c r="D7" s="46" t="s">
        <v>79</v>
      </c>
      <c r="E7" s="107" t="s">
        <v>80</v>
      </c>
      <c r="F7" s="108"/>
      <c r="G7" s="108"/>
      <c r="H7" s="108"/>
      <c r="I7" s="109"/>
      <c r="J7" s="47"/>
    </row>
    <row r="8" spans="1:17" s="42" customFormat="1" ht="8.1" customHeight="1">
      <c r="A8" s="36"/>
      <c r="C8" s="104"/>
      <c r="D8" s="104"/>
      <c r="E8" s="104"/>
      <c r="F8" s="104"/>
      <c r="G8" s="106"/>
      <c r="H8" s="104"/>
      <c r="I8" s="104"/>
    </row>
    <row r="9" spans="1:17" s="42" customFormat="1" ht="36" customHeight="1">
      <c r="A9" s="36"/>
      <c r="C9" s="45" t="s">
        <v>1</v>
      </c>
      <c r="D9" s="46" t="s">
        <v>14</v>
      </c>
      <c r="E9" s="107" t="s">
        <v>81</v>
      </c>
      <c r="F9" s="108"/>
      <c r="G9" s="108"/>
      <c r="H9" s="108"/>
      <c r="I9" s="109"/>
      <c r="J9" s="47"/>
    </row>
    <row r="10" spans="1:17" s="42" customFormat="1" ht="8.1" customHeight="1">
      <c r="A10" s="36"/>
      <c r="C10" s="104"/>
      <c r="D10" s="104"/>
      <c r="E10" s="104"/>
      <c r="F10" s="104"/>
      <c r="G10" s="104"/>
      <c r="H10" s="104"/>
      <c r="I10" s="104"/>
    </row>
    <row r="11" spans="1:17" s="42" customFormat="1" ht="36" customHeight="1">
      <c r="A11" s="36"/>
      <c r="C11" s="45" t="s">
        <v>2</v>
      </c>
      <c r="D11" s="46" t="s">
        <v>13</v>
      </c>
      <c r="E11" s="107" t="s">
        <v>38</v>
      </c>
      <c r="F11" s="108"/>
      <c r="G11" s="108"/>
      <c r="H11" s="108"/>
      <c r="I11" s="109"/>
      <c r="J11" s="47"/>
    </row>
    <row r="12" spans="1:17" s="42" customFormat="1" ht="8.1" customHeight="1">
      <c r="A12" s="36"/>
      <c r="C12" s="104"/>
      <c r="D12" s="104"/>
      <c r="E12" s="104"/>
      <c r="F12" s="104"/>
      <c r="G12" s="104"/>
      <c r="H12" s="104"/>
      <c r="I12" s="104"/>
    </row>
    <row r="13" spans="1:17" s="42" customFormat="1" ht="36" customHeight="1">
      <c r="A13" s="36"/>
      <c r="C13" s="45" t="s">
        <v>3</v>
      </c>
      <c r="D13" s="46" t="s">
        <v>40</v>
      </c>
      <c r="E13" s="107" t="s">
        <v>39</v>
      </c>
      <c r="F13" s="108"/>
      <c r="G13" s="108"/>
      <c r="H13" s="108"/>
      <c r="I13" s="109"/>
      <c r="J13" s="47"/>
    </row>
    <row r="14" spans="1:17" s="42" customFormat="1" ht="8.1" customHeight="1">
      <c r="A14" s="36"/>
      <c r="C14" s="104"/>
      <c r="D14" s="104"/>
      <c r="E14" s="104"/>
      <c r="F14" s="104"/>
      <c r="G14" s="104"/>
      <c r="H14" s="104"/>
      <c r="I14" s="104"/>
    </row>
  </sheetData>
  <sheetProtection algorithmName="SHA-512" hashValue="WTiL9CVJgdXgV/u6Z0eDdNKqUfuHyABumtYTLZtfgm2Pl8cMWtiuq1/dwtXvBYLBp73/xNIoPN4HoAGER+Dsdw==" saltValue="Etz6euUmzDyTZbbVIBn3wA==" spinCount="100000" formatCells="0" formatColumns="0" formatRows="0" selectLockedCells="1"/>
  <mergeCells count="9">
    <mergeCell ref="C14:I14"/>
    <mergeCell ref="C6:H6"/>
    <mergeCell ref="C8:I8"/>
    <mergeCell ref="C10:I10"/>
    <mergeCell ref="C12:I12"/>
    <mergeCell ref="E7:I7"/>
    <mergeCell ref="E9:I9"/>
    <mergeCell ref="E11:I11"/>
    <mergeCell ref="E13:I1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6"/>
  <dimension ref="A1:L11"/>
  <sheetViews>
    <sheetView showGridLines="0" zoomScale="90" zoomScaleNormal="90" zoomScalePageLayoutView="80" workbookViewId="0">
      <pane ySplit="2" topLeftCell="A3" activePane="bottomLeft" state="frozen"/>
      <selection activeCell="C4" sqref="C4:G4"/>
      <selection pane="bottomLeft" activeCell="C3" sqref="C3"/>
    </sheetView>
  </sheetViews>
  <sheetFormatPr baseColWidth="10" defaultColWidth="11" defaultRowHeight="15.75"/>
  <cols>
    <col min="1" max="2" width="2.625" style="13" customWidth="1"/>
    <col min="3" max="3" width="85.125" style="13" customWidth="1"/>
    <col min="4" max="4" width="2.875" style="13" customWidth="1"/>
    <col min="5" max="5" width="85.125" style="13" customWidth="1"/>
    <col min="6" max="7" width="1.5" style="13" customWidth="1"/>
    <col min="8" max="9" width="11" style="13"/>
    <col min="10" max="10" width="11" style="13" customWidth="1"/>
    <col min="11" max="14" width="11" style="13"/>
    <col min="15" max="15" width="5.125" style="13" customWidth="1"/>
    <col min="16" max="16384" width="11" style="13"/>
  </cols>
  <sheetData>
    <row r="1" spans="1:12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2" s="3" customFormat="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2" ht="19.5" customHeight="1">
      <c r="D3" s="33"/>
      <c r="E3" s="34"/>
      <c r="F3" s="34"/>
      <c r="G3" s="35"/>
      <c r="H3" s="35"/>
      <c r="I3" s="35"/>
      <c r="J3" s="35"/>
      <c r="K3" s="35"/>
      <c r="L3" s="35"/>
    </row>
    <row r="4" spans="1:12" ht="28.5" customHeight="1">
      <c r="C4" s="1" t="s">
        <v>5</v>
      </c>
      <c r="E4" s="1" t="s">
        <v>8</v>
      </c>
    </row>
    <row r="5" spans="1:12" ht="69.75" customHeight="1">
      <c r="C5" s="48" t="s">
        <v>43</v>
      </c>
      <c r="D5" s="49"/>
      <c r="E5" s="48" t="s">
        <v>9</v>
      </c>
      <c r="F5" s="10"/>
    </row>
    <row r="6" spans="1:12" ht="7.5" customHeight="1"/>
    <row r="7" spans="1:12" ht="28.5" customHeight="1">
      <c r="C7" s="1" t="s">
        <v>6</v>
      </c>
      <c r="D7" s="49"/>
      <c r="E7" s="1" t="s">
        <v>11</v>
      </c>
    </row>
    <row r="8" spans="1:12" ht="69.75" customHeight="1">
      <c r="C8" s="48" t="s">
        <v>44</v>
      </c>
      <c r="E8" s="48" t="s">
        <v>12</v>
      </c>
    </row>
    <row r="9" spans="1:12" ht="7.5" customHeight="1"/>
    <row r="10" spans="1:12" ht="28.5" customHeight="1">
      <c r="C10" s="1" t="s">
        <v>7</v>
      </c>
      <c r="E10" s="1" t="s">
        <v>10</v>
      </c>
    </row>
    <row r="11" spans="1:12" ht="69.75" customHeight="1">
      <c r="C11" s="48" t="s">
        <v>45</v>
      </c>
      <c r="E11" s="48" t="s">
        <v>46</v>
      </c>
    </row>
  </sheetData>
  <sheetProtection algorithmName="SHA-512" hashValue="LD0s6wIcQD45fWo/OtlOJ+l5WPJcpIUPJ0JehrFqhXx02uAlW8w1pG6lMIxrAG3R4op+Q5tSBTXcRSR18txKIg==" saltValue="DLLY3l0Wy6H/IXi65Kl3Ug==" spinCount="100000" formatCells="0" formatColumns="0" formatRows="0" selectLockedCell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zoomScale="70" zoomScaleNormal="70" zoomScalePageLayoutView="80" workbookViewId="0">
      <pane ySplit="2" topLeftCell="A3" activePane="bottomLeft" state="frozen"/>
      <selection activeCell="C4" sqref="C4:G4"/>
      <selection pane="bottomLeft"/>
    </sheetView>
  </sheetViews>
  <sheetFormatPr baseColWidth="10" defaultColWidth="11" defaultRowHeight="30" customHeight="1"/>
  <cols>
    <col min="1" max="2" width="2.625" style="3" customWidth="1"/>
    <col min="3" max="4" width="30.625" style="3" customWidth="1"/>
    <col min="5" max="5" width="15.625" style="11" customWidth="1"/>
    <col min="6" max="6" width="30.625" style="11" customWidth="1"/>
    <col min="7" max="7" width="15.625" style="11" customWidth="1"/>
    <col min="8" max="11" width="10.625" style="3" customWidth="1"/>
    <col min="12" max="12" width="5.125" style="3" customWidth="1"/>
    <col min="13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ht="15"/>
    <row r="4" spans="1:11" ht="32.25" customHeight="1">
      <c r="C4" s="61" t="s">
        <v>57</v>
      </c>
      <c r="D4" s="61" t="s">
        <v>15</v>
      </c>
      <c r="E4" s="61" t="s">
        <v>58</v>
      </c>
      <c r="F4" s="61" t="s">
        <v>50</v>
      </c>
      <c r="G4" s="61" t="s">
        <v>83</v>
      </c>
    </row>
    <row r="5" spans="1:11" ht="30" customHeight="1">
      <c r="C5" s="6" t="s">
        <v>51</v>
      </c>
      <c r="D5" s="55" t="s">
        <v>52</v>
      </c>
      <c r="E5" s="79"/>
      <c r="F5" s="79" t="s">
        <v>59</v>
      </c>
      <c r="G5" s="79" t="s">
        <v>136</v>
      </c>
    </row>
    <row r="6" spans="1:11" ht="30" customHeight="1">
      <c r="C6" s="7" t="s">
        <v>53</v>
      </c>
      <c r="D6" s="55" t="s">
        <v>54</v>
      </c>
      <c r="E6" s="80" t="s">
        <v>55</v>
      </c>
      <c r="F6" s="80" t="s">
        <v>56</v>
      </c>
      <c r="G6" s="79" t="s">
        <v>148</v>
      </c>
    </row>
    <row r="7" spans="1:11" ht="30" customHeight="1">
      <c r="C7" s="51"/>
      <c r="D7" s="52"/>
      <c r="E7" s="81"/>
      <c r="F7" s="81"/>
      <c r="G7" s="83"/>
    </row>
    <row r="8" spans="1:11" ht="30" customHeight="1">
      <c r="C8" s="51"/>
      <c r="D8" s="52"/>
      <c r="E8" s="81"/>
      <c r="F8" s="81"/>
      <c r="G8" s="83"/>
    </row>
    <row r="9" spans="1:11" ht="30" customHeight="1">
      <c r="C9" s="51"/>
      <c r="D9" s="52"/>
      <c r="E9" s="81"/>
      <c r="F9" s="81"/>
      <c r="G9" s="83"/>
    </row>
    <row r="10" spans="1:11" ht="30" customHeight="1">
      <c r="C10" s="51"/>
      <c r="D10" s="54"/>
      <c r="E10" s="81"/>
      <c r="F10" s="81"/>
      <c r="G10" s="83"/>
    </row>
    <row r="11" spans="1:11" ht="30" customHeight="1">
      <c r="C11" s="51"/>
      <c r="D11" s="52"/>
      <c r="E11" s="81"/>
      <c r="F11" s="81"/>
      <c r="G11" s="83"/>
    </row>
    <row r="12" spans="1:11" ht="30" customHeight="1">
      <c r="C12" s="51"/>
      <c r="D12" s="52"/>
      <c r="E12" s="81"/>
      <c r="F12" s="81"/>
      <c r="G12" s="83"/>
    </row>
    <row r="13" spans="1:11" ht="30" customHeight="1">
      <c r="C13" s="51"/>
      <c r="D13" s="52"/>
      <c r="E13" s="81"/>
      <c r="F13" s="81"/>
      <c r="G13" s="83"/>
    </row>
    <row r="14" spans="1:11" ht="30" customHeight="1">
      <c r="C14" s="51"/>
      <c r="D14" s="52"/>
      <c r="E14" s="81"/>
      <c r="F14" s="81"/>
      <c r="G14" s="83"/>
    </row>
    <row r="15" spans="1:11" ht="30" customHeight="1">
      <c r="C15" s="51"/>
      <c r="D15" s="52"/>
      <c r="E15" s="81"/>
      <c r="F15" s="81"/>
      <c r="G15" s="83"/>
    </row>
    <row r="16" spans="1:11" ht="30" customHeight="1">
      <c r="C16" s="51"/>
      <c r="D16" s="52"/>
      <c r="E16" s="81"/>
      <c r="F16" s="81"/>
      <c r="G16" s="83"/>
    </row>
    <row r="17" spans="3:7" ht="30" customHeight="1">
      <c r="C17" s="51"/>
      <c r="D17" s="52"/>
      <c r="E17" s="81"/>
      <c r="F17" s="81"/>
      <c r="G17" s="83"/>
    </row>
    <row r="18" spans="3:7" ht="30" customHeight="1">
      <c r="C18" s="51"/>
      <c r="D18" s="52"/>
      <c r="E18" s="81"/>
      <c r="F18" s="81"/>
      <c r="G18" s="83"/>
    </row>
    <row r="19" spans="3:7" ht="30" customHeight="1">
      <c r="C19" s="51"/>
      <c r="D19" s="52"/>
      <c r="E19" s="81"/>
      <c r="F19" s="81"/>
      <c r="G19" s="83"/>
    </row>
    <row r="20" spans="3:7" ht="30" customHeight="1">
      <c r="C20" s="51"/>
      <c r="D20" s="52"/>
      <c r="E20" s="81"/>
      <c r="F20" s="81"/>
      <c r="G20" s="83"/>
    </row>
    <row r="21" spans="3:7" ht="30" customHeight="1">
      <c r="C21" s="51"/>
      <c r="D21" s="52"/>
      <c r="E21" s="81"/>
      <c r="F21" s="81"/>
      <c r="G21" s="83"/>
    </row>
    <row r="22" spans="3:7" ht="30" customHeight="1">
      <c r="C22" s="51"/>
      <c r="D22" s="52"/>
      <c r="E22" s="81"/>
      <c r="F22" s="81"/>
      <c r="G22" s="83"/>
    </row>
    <row r="23" spans="3:7" ht="30" customHeight="1">
      <c r="C23" s="51"/>
      <c r="D23" s="52"/>
      <c r="E23" s="81"/>
      <c r="F23" s="81"/>
      <c r="G23" s="83"/>
    </row>
    <row r="24" spans="3:7" ht="30" customHeight="1">
      <c r="C24" s="51"/>
      <c r="D24" s="52"/>
      <c r="E24" s="81"/>
      <c r="F24" s="81"/>
      <c r="G24" s="83"/>
    </row>
    <row r="25" spans="3:7" ht="30" customHeight="1">
      <c r="C25" s="51"/>
      <c r="D25" s="52"/>
      <c r="E25" s="81"/>
      <c r="F25" s="81"/>
      <c r="G25" s="83"/>
    </row>
    <row r="26" spans="3:7" ht="30" customHeight="1">
      <c r="C26" s="51"/>
      <c r="D26" s="52"/>
      <c r="E26" s="81"/>
      <c r="F26" s="81"/>
      <c r="G26" s="83"/>
    </row>
    <row r="27" spans="3:7" ht="30" customHeight="1">
      <c r="C27" s="51"/>
      <c r="D27" s="52"/>
      <c r="E27" s="81"/>
      <c r="F27" s="81"/>
      <c r="G27" s="83"/>
    </row>
    <row r="28" spans="3:7" ht="30" customHeight="1">
      <c r="C28" s="51"/>
      <c r="D28" s="52"/>
      <c r="E28" s="81"/>
      <c r="F28" s="81"/>
      <c r="G28" s="83"/>
    </row>
    <row r="29" spans="3:7" ht="30" customHeight="1">
      <c r="C29" s="51"/>
      <c r="D29" s="52"/>
      <c r="E29" s="81"/>
      <c r="F29" s="81"/>
      <c r="G29" s="83"/>
    </row>
    <row r="30" spans="3:7" ht="30" customHeight="1">
      <c r="C30" s="51"/>
      <c r="D30" s="52"/>
      <c r="E30" s="81"/>
      <c r="F30" s="81"/>
      <c r="G30" s="83"/>
    </row>
    <row r="31" spans="3:7" ht="30" customHeight="1">
      <c r="C31" s="51"/>
      <c r="D31" s="52"/>
      <c r="E31" s="81"/>
      <c r="F31" s="81"/>
      <c r="G31" s="83"/>
    </row>
    <row r="32" spans="3:7" ht="30" customHeight="1">
      <c r="C32" s="51"/>
      <c r="D32" s="52"/>
      <c r="E32" s="81"/>
      <c r="F32" s="81"/>
      <c r="G32" s="83"/>
    </row>
    <row r="33" spans="3:7" ht="30" customHeight="1">
      <c r="C33" s="51"/>
      <c r="D33" s="52"/>
      <c r="E33" s="81"/>
      <c r="F33" s="81"/>
      <c r="G33" s="83"/>
    </row>
    <row r="34" spans="3:7" ht="30" customHeight="1">
      <c r="C34" s="51"/>
      <c r="D34" s="52"/>
      <c r="E34" s="81"/>
      <c r="F34" s="81"/>
      <c r="G34" s="83"/>
    </row>
    <row r="35" spans="3:7" ht="30" customHeight="1">
      <c r="C35" s="51"/>
      <c r="D35" s="52"/>
      <c r="E35" s="81"/>
      <c r="F35" s="81"/>
      <c r="G35" s="83"/>
    </row>
    <row r="36" spans="3:7" ht="30" customHeight="1">
      <c r="C36" s="51"/>
      <c r="D36" s="52"/>
      <c r="E36" s="81"/>
      <c r="F36" s="81"/>
      <c r="G36" s="83"/>
    </row>
    <row r="37" spans="3:7" ht="30" customHeight="1">
      <c r="C37" s="51"/>
      <c r="D37" s="52"/>
      <c r="E37" s="81"/>
      <c r="F37" s="81"/>
      <c r="G37" s="83"/>
    </row>
    <row r="38" spans="3:7" ht="30" customHeight="1">
      <c r="C38" s="51"/>
      <c r="D38" s="52"/>
      <c r="E38" s="81"/>
      <c r="F38" s="81"/>
      <c r="G38" s="83"/>
    </row>
    <row r="39" spans="3:7" ht="30" customHeight="1">
      <c r="C39" s="51"/>
      <c r="D39" s="52"/>
      <c r="E39" s="81"/>
      <c r="F39" s="81"/>
      <c r="G39" s="83"/>
    </row>
    <row r="40" spans="3:7" ht="30" customHeight="1">
      <c r="C40" s="51"/>
      <c r="D40" s="52"/>
      <c r="E40" s="81"/>
      <c r="F40" s="81"/>
      <c r="G40" s="83"/>
    </row>
    <row r="41" spans="3:7" ht="30" customHeight="1">
      <c r="C41" s="51"/>
      <c r="D41" s="52"/>
      <c r="E41" s="81"/>
      <c r="F41" s="81"/>
      <c r="G41" s="83"/>
    </row>
    <row r="42" spans="3:7" ht="30" customHeight="1">
      <c r="C42" s="51"/>
      <c r="D42" s="52"/>
      <c r="E42" s="81"/>
      <c r="F42" s="81"/>
      <c r="G42" s="83"/>
    </row>
    <row r="43" spans="3:7" ht="30" customHeight="1">
      <c r="C43" s="51"/>
      <c r="D43" s="52"/>
      <c r="E43" s="81"/>
      <c r="F43" s="81"/>
      <c r="G43" s="83"/>
    </row>
    <row r="44" spans="3:7" ht="30" customHeight="1">
      <c r="C44" s="51"/>
      <c r="D44" s="52"/>
      <c r="E44" s="81"/>
      <c r="F44" s="81"/>
      <c r="G44" s="83"/>
    </row>
    <row r="45" spans="3:7" ht="30" customHeight="1">
      <c r="C45" s="51"/>
      <c r="D45" s="52"/>
      <c r="E45" s="81"/>
      <c r="F45" s="81"/>
      <c r="G45" s="83"/>
    </row>
    <row r="46" spans="3:7" ht="30" customHeight="1">
      <c r="C46" s="51"/>
      <c r="D46" s="52"/>
      <c r="E46" s="81"/>
      <c r="F46" s="81"/>
      <c r="G46" s="83"/>
    </row>
    <row r="47" spans="3:7" ht="30" customHeight="1">
      <c r="C47" s="51"/>
      <c r="D47" s="52"/>
      <c r="E47" s="81"/>
      <c r="F47" s="81"/>
      <c r="G47" s="83"/>
    </row>
    <row r="48" spans="3:7" ht="30" customHeight="1">
      <c r="C48" s="51"/>
      <c r="D48" s="52"/>
      <c r="E48" s="81"/>
      <c r="F48" s="81"/>
      <c r="G48" s="83"/>
    </row>
    <row r="49" spans="3:7" ht="30" customHeight="1">
      <c r="C49" s="51"/>
      <c r="D49" s="52"/>
      <c r="E49" s="81"/>
      <c r="F49" s="81"/>
      <c r="G49" s="83"/>
    </row>
    <row r="50" spans="3:7" ht="30" customHeight="1">
      <c r="C50" s="51"/>
      <c r="D50" s="52"/>
      <c r="E50" s="81"/>
      <c r="F50" s="81"/>
      <c r="G50" s="83"/>
    </row>
    <row r="51" spans="3:7" ht="30" customHeight="1">
      <c r="C51" s="51"/>
      <c r="D51" s="52"/>
      <c r="E51" s="81"/>
      <c r="F51" s="81"/>
      <c r="G51" s="83"/>
    </row>
    <row r="52" spans="3:7" ht="30" customHeight="1">
      <c r="C52" s="51"/>
      <c r="D52" s="52"/>
      <c r="E52" s="81"/>
      <c r="F52" s="81"/>
      <c r="G52" s="83"/>
    </row>
    <row r="53" spans="3:7" ht="30" customHeight="1">
      <c r="C53" s="51"/>
      <c r="D53" s="52"/>
      <c r="E53" s="81"/>
      <c r="F53" s="81"/>
      <c r="G53" s="83"/>
    </row>
    <row r="54" spans="3:7" ht="30" customHeight="1">
      <c r="C54" s="62"/>
      <c r="D54" s="63"/>
      <c r="E54" s="82"/>
      <c r="F54" s="82"/>
      <c r="G54" s="84"/>
    </row>
  </sheetData>
  <sheetProtection algorithmName="SHA-512" hashValue="yezulx8TwVdgoRFyzAWw7VTFo5mepLcwP0CguvDHWGL93Y+sEVKyXzx0B4Y3GezTlCimduqf0GwwKtxqMXYmZw==" saltValue="AsigNc5ijIMk4+OZNxR7/Q==" spinCount="100000" formatCells="0" formatColumns="0" formatRows="0" selectLockedCells="1"/>
  <protectedRanges>
    <protectedRange sqref="C5:G54" name="Intervalo1"/>
  </protectedRanges>
  <hyperlinks>
    <hyperlink ref="D5" r:id="rId1"/>
    <hyperlink ref="D6" r:id="rId2"/>
  </hyperlinks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CAR!$C$5:$C$14</xm:f>
          </x14:formula1>
          <xm:sqref>G5:G54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zoomScale="70" zoomScaleNormal="70" zoomScalePageLayoutView="80" workbookViewId="0">
      <pane ySplit="2" topLeftCell="A3" activePane="bottomLeft" state="frozen"/>
      <selection activeCell="C4" sqref="C4:G4"/>
      <selection pane="bottomLeft"/>
    </sheetView>
  </sheetViews>
  <sheetFormatPr baseColWidth="10" defaultColWidth="11" defaultRowHeight="30" customHeight="1"/>
  <cols>
    <col min="1" max="2" width="2.625" style="3" customWidth="1"/>
    <col min="3" max="3" width="30.625" style="3" customWidth="1"/>
    <col min="4" max="4" width="10.625" style="3" customWidth="1"/>
    <col min="5" max="5" width="30.625" style="3" customWidth="1"/>
    <col min="6" max="11" width="10.625" style="3" customWidth="1"/>
    <col min="12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ht="15.75" thickBot="1"/>
    <row r="4" spans="1:11" ht="32.25" customHeight="1" thickTop="1">
      <c r="C4" s="50" t="s">
        <v>84</v>
      </c>
    </row>
    <row r="5" spans="1:11" ht="30" customHeight="1">
      <c r="C5" s="6" t="s">
        <v>136</v>
      </c>
      <c r="E5" s="3" t="s">
        <v>145</v>
      </c>
    </row>
    <row r="6" spans="1:11" ht="30" customHeight="1">
      <c r="C6" s="7" t="s">
        <v>148</v>
      </c>
      <c r="E6" s="3" t="s">
        <v>146</v>
      </c>
    </row>
    <row r="7" spans="1:11" ht="30" customHeight="1">
      <c r="C7" s="51" t="s">
        <v>137</v>
      </c>
      <c r="E7" s="3" t="s">
        <v>147</v>
      </c>
    </row>
    <row r="8" spans="1:11" ht="30" customHeight="1">
      <c r="C8" s="51" t="s">
        <v>138</v>
      </c>
    </row>
    <row r="9" spans="1:11" ht="30" customHeight="1">
      <c r="C9" s="51" t="s">
        <v>139</v>
      </c>
    </row>
    <row r="10" spans="1:11" ht="30" customHeight="1">
      <c r="C10" s="51" t="s">
        <v>140</v>
      </c>
    </row>
    <row r="11" spans="1:11" ht="30" customHeight="1">
      <c r="C11" s="51" t="s">
        <v>141</v>
      </c>
    </row>
    <row r="12" spans="1:11" ht="30" customHeight="1">
      <c r="C12" s="51" t="s">
        <v>142</v>
      </c>
    </row>
    <row r="13" spans="1:11" ht="30" customHeight="1">
      <c r="C13" s="51" t="s">
        <v>143</v>
      </c>
    </row>
    <row r="14" spans="1:11" ht="30" customHeight="1">
      <c r="C14" s="51" t="s">
        <v>144</v>
      </c>
    </row>
  </sheetData>
  <sheetProtection algorithmName="SHA-512" hashValue="SGETzOjlKQu5fSn3uYG/yd+y8i4WXVfNPkqBNiuSVNvH4N3ldneMv/Ctng/oqKTC3Ulvi33HurKdJtXLM2DeTw==" saltValue="V/1SOSfTErYD/7BqFTdubg==" spinCount="100000" formatCells="0" formatColumns="0" formatRows="0" selectLockedCells="1"/>
  <protectedRanges>
    <protectedRange sqref="C5:C14" name="Intervalo1"/>
  </protectedRanges>
  <autoFilter ref="C4:C1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GridLines="0" topLeftCell="D1" zoomScale="70" zoomScaleNormal="70" zoomScalePageLayoutView="80" workbookViewId="0">
      <pane ySplit="2" topLeftCell="A48" activePane="bottomLeft" state="frozen"/>
      <selection activeCell="C4" sqref="C4:G4"/>
      <selection pane="bottomLeft" activeCell="E58" sqref="E58"/>
    </sheetView>
  </sheetViews>
  <sheetFormatPr baseColWidth="10" defaultColWidth="11" defaultRowHeight="30" customHeight="1"/>
  <cols>
    <col min="1" max="2" width="2.625" style="3" customWidth="1"/>
    <col min="3" max="3" width="60.625" style="3" customWidth="1"/>
    <col min="4" max="5" width="15.625" style="11" customWidth="1"/>
    <col min="6" max="8" width="15.625" style="3" customWidth="1"/>
    <col min="9" max="9" width="60.625" style="11" customWidth="1"/>
    <col min="10" max="11" width="10.625" style="3" customWidth="1"/>
    <col min="12" max="13" width="11" style="3"/>
    <col min="14" max="14" width="11" style="3" customWidth="1"/>
    <col min="15" max="18" width="11" style="3"/>
    <col min="19" max="19" width="5.125" style="3" customWidth="1"/>
    <col min="20" max="16384" width="11" style="3"/>
  </cols>
  <sheetData>
    <row r="1" spans="1:12" s="20" customFormat="1" ht="39" customHeight="1">
      <c r="A1" s="21"/>
      <c r="B1" s="21"/>
      <c r="C1" s="22"/>
      <c r="D1" s="23"/>
      <c r="E1" s="23"/>
      <c r="F1" s="21"/>
      <c r="G1" s="21"/>
      <c r="H1" s="21"/>
      <c r="I1" s="23"/>
      <c r="J1" s="21"/>
      <c r="K1" s="21"/>
    </row>
    <row r="2" spans="1:12" ht="30" customHeight="1">
      <c r="A2" s="24"/>
      <c r="B2" s="24"/>
      <c r="C2" s="24"/>
      <c r="D2" s="26"/>
      <c r="E2" s="26"/>
      <c r="F2" s="27"/>
      <c r="G2" s="27"/>
      <c r="H2" s="27"/>
      <c r="I2" s="26"/>
      <c r="J2" s="24"/>
      <c r="K2" s="24"/>
    </row>
    <row r="3" spans="1:12" ht="15"/>
    <row r="4" spans="1:12" ht="32.25" customHeight="1">
      <c r="C4" s="61" t="s">
        <v>135</v>
      </c>
      <c r="D4" s="61" t="s">
        <v>149</v>
      </c>
      <c r="E4" s="61" t="s">
        <v>60</v>
      </c>
      <c r="F4" s="61" t="s">
        <v>61</v>
      </c>
      <c r="G4" s="61" t="s">
        <v>122</v>
      </c>
      <c r="H4" s="61" t="s">
        <v>62</v>
      </c>
      <c r="I4" s="61" t="s">
        <v>150</v>
      </c>
      <c r="K4" s="13"/>
      <c r="L4" s="13"/>
    </row>
    <row r="5" spans="1:12" ht="30" customHeight="1">
      <c r="C5" s="51" t="s">
        <v>16</v>
      </c>
      <c r="D5" s="52" t="s">
        <v>151</v>
      </c>
      <c r="E5" s="52" t="s">
        <v>226</v>
      </c>
      <c r="F5" s="56">
        <v>100</v>
      </c>
      <c r="G5" s="57">
        <v>30</v>
      </c>
      <c r="H5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" s="52"/>
      <c r="K5" s="13"/>
      <c r="L5" s="13"/>
    </row>
    <row r="6" spans="1:12" ht="30" customHeight="1">
      <c r="C6" s="51" t="s">
        <v>17</v>
      </c>
      <c r="D6" s="52" t="s">
        <v>152</v>
      </c>
      <c r="E6" s="52" t="s">
        <v>226</v>
      </c>
      <c r="F6" s="56">
        <v>10</v>
      </c>
      <c r="G6" s="57">
        <v>20</v>
      </c>
      <c r="H6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6" s="52"/>
      <c r="K6" s="13"/>
    </row>
    <row r="7" spans="1:12" ht="30" customHeight="1">
      <c r="C7" s="51" t="s">
        <v>18</v>
      </c>
      <c r="D7" s="52" t="s">
        <v>153</v>
      </c>
      <c r="E7" s="52" t="s">
        <v>227</v>
      </c>
      <c r="F7" s="56">
        <v>10</v>
      </c>
      <c r="G7" s="57">
        <v>10</v>
      </c>
      <c r="H7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Haciendo</v>
      </c>
      <c r="I7" s="52"/>
    </row>
    <row r="8" spans="1:12" ht="30" customHeight="1">
      <c r="C8" s="51" t="s">
        <v>19</v>
      </c>
      <c r="D8" s="52" t="s">
        <v>154</v>
      </c>
      <c r="E8" s="52" t="s">
        <v>226</v>
      </c>
      <c r="F8" s="56">
        <v>10</v>
      </c>
      <c r="G8" s="57">
        <v>10</v>
      </c>
      <c r="H8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Haciendo</v>
      </c>
      <c r="I8" s="52"/>
    </row>
    <row r="9" spans="1:12" ht="30" customHeight="1">
      <c r="C9" s="51" t="s">
        <v>20</v>
      </c>
      <c r="D9" s="52" t="s">
        <v>155</v>
      </c>
      <c r="E9" s="52" t="s">
        <v>226</v>
      </c>
      <c r="F9" s="56">
        <v>10</v>
      </c>
      <c r="G9" s="57">
        <v>20</v>
      </c>
      <c r="H9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Haciendo</v>
      </c>
      <c r="I9" s="52"/>
    </row>
    <row r="10" spans="1:12" ht="30" customHeight="1">
      <c r="C10" s="51" t="s">
        <v>21</v>
      </c>
      <c r="D10" s="52" t="s">
        <v>156</v>
      </c>
      <c r="E10" s="52" t="s">
        <v>228</v>
      </c>
      <c r="F10" s="56">
        <v>10</v>
      </c>
      <c r="G10" s="57">
        <v>100</v>
      </c>
      <c r="H10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0" s="52"/>
    </row>
    <row r="11" spans="1:12" ht="30" customHeight="1">
      <c r="C11" s="51" t="s">
        <v>22</v>
      </c>
      <c r="D11" s="52" t="s">
        <v>157</v>
      </c>
      <c r="E11" s="52" t="s">
        <v>226</v>
      </c>
      <c r="F11" s="56">
        <v>50</v>
      </c>
      <c r="G11" s="57">
        <v>30</v>
      </c>
      <c r="H11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1" s="52"/>
    </row>
    <row r="12" spans="1:12" ht="30" customHeight="1">
      <c r="C12" s="51" t="s">
        <v>115</v>
      </c>
      <c r="D12" s="52" t="s">
        <v>158</v>
      </c>
      <c r="E12" s="52" t="s">
        <v>221</v>
      </c>
      <c r="F12" s="56">
        <v>10</v>
      </c>
      <c r="G12" s="57">
        <v>20</v>
      </c>
      <c r="H12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2" s="52"/>
    </row>
    <row r="13" spans="1:12" ht="30" customHeight="1">
      <c r="C13" s="51" t="s">
        <v>23</v>
      </c>
      <c r="D13" s="52" t="s">
        <v>159</v>
      </c>
      <c r="E13" s="52" t="s">
        <v>226</v>
      </c>
      <c r="F13" s="56">
        <v>10</v>
      </c>
      <c r="G13" s="57">
        <v>10</v>
      </c>
      <c r="H13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3" s="52"/>
    </row>
    <row r="14" spans="1:12" ht="30" customHeight="1">
      <c r="C14" s="51" t="s">
        <v>24</v>
      </c>
      <c r="D14" s="52" t="s">
        <v>160</v>
      </c>
      <c r="E14" s="52" t="s">
        <v>226</v>
      </c>
      <c r="F14" s="56">
        <v>10</v>
      </c>
      <c r="G14" s="57">
        <v>10</v>
      </c>
      <c r="H14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4" s="52"/>
    </row>
    <row r="15" spans="1:12" ht="30" customHeight="1">
      <c r="C15" s="51" t="s">
        <v>25</v>
      </c>
      <c r="D15" s="52" t="s">
        <v>161</v>
      </c>
      <c r="E15" s="52" t="s">
        <v>226</v>
      </c>
      <c r="F15" s="56">
        <v>10</v>
      </c>
      <c r="G15" s="57">
        <v>20</v>
      </c>
      <c r="H15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5" s="52"/>
    </row>
    <row r="16" spans="1:12" ht="30" customHeight="1">
      <c r="C16" s="51" t="s">
        <v>26</v>
      </c>
      <c r="D16" s="52" t="s">
        <v>162</v>
      </c>
      <c r="E16" s="52" t="s">
        <v>226</v>
      </c>
      <c r="F16" s="56">
        <v>10</v>
      </c>
      <c r="G16" s="57">
        <v>30</v>
      </c>
      <c r="H16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6" s="52"/>
    </row>
    <row r="17" spans="3:9" ht="30" customHeight="1">
      <c r="C17" s="51" t="s">
        <v>27</v>
      </c>
      <c r="D17" s="52" t="s">
        <v>163</v>
      </c>
      <c r="E17" s="52" t="s">
        <v>226</v>
      </c>
      <c r="F17" s="56">
        <v>10</v>
      </c>
      <c r="G17" s="57">
        <v>20</v>
      </c>
      <c r="H17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7" s="52"/>
    </row>
    <row r="18" spans="3:9" ht="30" customHeight="1">
      <c r="C18" s="51" t="s">
        <v>28</v>
      </c>
      <c r="D18" s="52" t="s">
        <v>164</v>
      </c>
      <c r="E18" s="52" t="s">
        <v>226</v>
      </c>
      <c r="F18" s="56">
        <v>10</v>
      </c>
      <c r="G18" s="56">
        <v>30</v>
      </c>
      <c r="H18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8" s="52"/>
    </row>
    <row r="19" spans="3:9" ht="30" customHeight="1">
      <c r="C19" s="51" t="s">
        <v>29</v>
      </c>
      <c r="D19" s="52" t="s">
        <v>165</v>
      </c>
      <c r="E19" s="52" t="s">
        <v>229</v>
      </c>
      <c r="F19" s="56">
        <v>10</v>
      </c>
      <c r="G19" s="57">
        <v>20</v>
      </c>
      <c r="H19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19" s="52"/>
    </row>
    <row r="20" spans="3:9" ht="30" customHeight="1">
      <c r="C20" s="51" t="s">
        <v>30</v>
      </c>
      <c r="D20" s="52" t="s">
        <v>166</v>
      </c>
      <c r="E20" s="52" t="s">
        <v>229</v>
      </c>
      <c r="F20" s="56">
        <v>10</v>
      </c>
      <c r="G20" s="57">
        <v>10</v>
      </c>
      <c r="H20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0" s="52"/>
    </row>
    <row r="21" spans="3:9" ht="30" customHeight="1">
      <c r="C21" s="51" t="s">
        <v>31</v>
      </c>
      <c r="D21" s="52" t="s">
        <v>167</v>
      </c>
      <c r="E21" s="52" t="s">
        <v>226</v>
      </c>
      <c r="F21" s="56">
        <v>10</v>
      </c>
      <c r="G21" s="57">
        <v>10</v>
      </c>
      <c r="H21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1" s="52"/>
    </row>
    <row r="22" spans="3:9" ht="30" customHeight="1">
      <c r="C22" s="51" t="s">
        <v>32</v>
      </c>
      <c r="D22" s="52" t="s">
        <v>168</v>
      </c>
      <c r="E22" s="52" t="s">
        <v>226</v>
      </c>
      <c r="F22" s="56">
        <v>10</v>
      </c>
      <c r="G22" s="57">
        <v>20</v>
      </c>
      <c r="H22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2" s="52"/>
    </row>
    <row r="23" spans="3:9" ht="30" customHeight="1">
      <c r="C23" s="51" t="s">
        <v>63</v>
      </c>
      <c r="D23" s="52" t="s">
        <v>169</v>
      </c>
      <c r="E23" s="52" t="s">
        <v>225</v>
      </c>
      <c r="F23" s="56">
        <v>10</v>
      </c>
      <c r="G23" s="57">
        <v>20</v>
      </c>
      <c r="H23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3" s="52"/>
    </row>
    <row r="24" spans="3:9" ht="30" customHeight="1">
      <c r="C24" s="51" t="s">
        <v>64</v>
      </c>
      <c r="D24" s="52" t="s">
        <v>170</v>
      </c>
      <c r="E24" s="52" t="s">
        <v>225</v>
      </c>
      <c r="F24" s="56">
        <v>10</v>
      </c>
      <c r="G24" s="57">
        <v>20</v>
      </c>
      <c r="H24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4" s="52"/>
    </row>
    <row r="25" spans="3:9" ht="30" customHeight="1">
      <c r="C25" s="51" t="s">
        <v>67</v>
      </c>
      <c r="D25" s="52" t="s">
        <v>171</v>
      </c>
      <c r="E25" s="52" t="s">
        <v>226</v>
      </c>
      <c r="F25" s="56">
        <v>10</v>
      </c>
      <c r="G25" s="57">
        <v>20</v>
      </c>
      <c r="H25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5" s="52"/>
    </row>
    <row r="26" spans="3:9" ht="30" customHeight="1">
      <c r="C26" s="51" t="s">
        <v>68</v>
      </c>
      <c r="D26" s="52" t="s">
        <v>172</v>
      </c>
      <c r="E26" s="52" t="s">
        <v>226</v>
      </c>
      <c r="F26" s="56">
        <v>10</v>
      </c>
      <c r="G26" s="57">
        <v>20</v>
      </c>
      <c r="H26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6" s="52"/>
    </row>
    <row r="27" spans="3:9" ht="30" customHeight="1">
      <c r="C27" s="51" t="s">
        <v>69</v>
      </c>
      <c r="D27" s="52" t="s">
        <v>173</v>
      </c>
      <c r="E27" s="52" t="s">
        <v>226</v>
      </c>
      <c r="F27" s="56">
        <v>10</v>
      </c>
      <c r="G27" s="57">
        <v>20</v>
      </c>
      <c r="H27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7" s="52"/>
    </row>
    <row r="28" spans="3:9" ht="30" customHeight="1">
      <c r="C28" s="51" t="s">
        <v>70</v>
      </c>
      <c r="D28" s="52" t="s">
        <v>174</v>
      </c>
      <c r="E28" s="52" t="s">
        <v>226</v>
      </c>
      <c r="F28" s="56">
        <v>10</v>
      </c>
      <c r="G28" s="57">
        <v>20</v>
      </c>
      <c r="H28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8" s="52"/>
    </row>
    <row r="29" spans="3:9" ht="30" customHeight="1">
      <c r="C29" s="51" t="s">
        <v>71</v>
      </c>
      <c r="D29" s="52" t="s">
        <v>175</v>
      </c>
      <c r="E29" s="52" t="s">
        <v>226</v>
      </c>
      <c r="F29" s="56">
        <v>100</v>
      </c>
      <c r="G29" s="57">
        <v>20</v>
      </c>
      <c r="H29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29" s="52"/>
    </row>
    <row r="30" spans="3:9" ht="30" customHeight="1">
      <c r="C30" s="51" t="s">
        <v>72</v>
      </c>
      <c r="D30" s="52" t="s">
        <v>176</v>
      </c>
      <c r="E30" s="52" t="s">
        <v>226</v>
      </c>
      <c r="F30" s="56">
        <v>10</v>
      </c>
      <c r="G30" s="57">
        <v>20</v>
      </c>
      <c r="H30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0" s="52"/>
    </row>
    <row r="31" spans="3:9" ht="30" customHeight="1">
      <c r="C31" s="51" t="s">
        <v>73</v>
      </c>
      <c r="D31" s="52" t="s">
        <v>177</v>
      </c>
      <c r="E31" s="52" t="s">
        <v>226</v>
      </c>
      <c r="F31" s="56">
        <v>10</v>
      </c>
      <c r="G31" s="57">
        <v>20</v>
      </c>
      <c r="H31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1" s="52"/>
    </row>
    <row r="32" spans="3:9" ht="30" customHeight="1">
      <c r="C32" s="51" t="s">
        <v>74</v>
      </c>
      <c r="D32" s="52" t="s">
        <v>178</v>
      </c>
      <c r="E32" s="52" t="s">
        <v>226</v>
      </c>
      <c r="F32" s="56">
        <v>10</v>
      </c>
      <c r="G32" s="57">
        <v>20</v>
      </c>
      <c r="H32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2" s="52"/>
    </row>
    <row r="33" spans="3:9" ht="30" customHeight="1">
      <c r="C33" s="51" t="s">
        <v>75</v>
      </c>
      <c r="D33" s="52" t="s">
        <v>179</v>
      </c>
      <c r="E33" s="52" t="s">
        <v>226</v>
      </c>
      <c r="F33" s="56">
        <v>10</v>
      </c>
      <c r="G33" s="57">
        <v>20</v>
      </c>
      <c r="H33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3" s="52"/>
    </row>
    <row r="34" spans="3:9" ht="30" customHeight="1">
      <c r="C34" s="51" t="s">
        <v>76</v>
      </c>
      <c r="D34" s="52" t="s">
        <v>180</v>
      </c>
      <c r="E34" s="52" t="s">
        <v>226</v>
      </c>
      <c r="F34" s="56">
        <v>10</v>
      </c>
      <c r="G34" s="57">
        <v>20</v>
      </c>
      <c r="H34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4" s="52"/>
    </row>
    <row r="35" spans="3:9" ht="30" customHeight="1">
      <c r="C35" s="51" t="s">
        <v>85</v>
      </c>
      <c r="D35" s="52" t="s">
        <v>181</v>
      </c>
      <c r="E35" s="52" t="s">
        <v>226</v>
      </c>
      <c r="F35" s="56">
        <v>10</v>
      </c>
      <c r="G35" s="57">
        <v>20</v>
      </c>
      <c r="H35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5" s="52"/>
    </row>
    <row r="36" spans="3:9" ht="30" customHeight="1">
      <c r="C36" s="51" t="s">
        <v>86</v>
      </c>
      <c r="D36" s="52" t="s">
        <v>182</v>
      </c>
      <c r="E36" s="52" t="s">
        <v>226</v>
      </c>
      <c r="F36" s="56">
        <v>10</v>
      </c>
      <c r="G36" s="57">
        <v>20</v>
      </c>
      <c r="H36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6" s="52"/>
    </row>
    <row r="37" spans="3:9" ht="30" customHeight="1">
      <c r="C37" s="51" t="s">
        <v>87</v>
      </c>
      <c r="D37" s="52" t="s">
        <v>183</v>
      </c>
      <c r="E37" s="52" t="s">
        <v>226</v>
      </c>
      <c r="F37" s="56">
        <v>10</v>
      </c>
      <c r="G37" s="57">
        <v>20</v>
      </c>
      <c r="H37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7" s="52"/>
    </row>
    <row r="38" spans="3:9" ht="30" customHeight="1">
      <c r="C38" s="51" t="s">
        <v>88</v>
      </c>
      <c r="D38" s="52" t="s">
        <v>184</v>
      </c>
      <c r="E38" s="52" t="s">
        <v>226</v>
      </c>
      <c r="F38" s="56">
        <v>10</v>
      </c>
      <c r="G38" s="57">
        <v>20</v>
      </c>
      <c r="H38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8" s="52"/>
    </row>
    <row r="39" spans="3:9" ht="30" customHeight="1">
      <c r="C39" s="51" t="s">
        <v>89</v>
      </c>
      <c r="D39" s="52" t="s">
        <v>185</v>
      </c>
      <c r="E39" s="52" t="s">
        <v>222</v>
      </c>
      <c r="F39" s="56">
        <v>10</v>
      </c>
      <c r="G39" s="57">
        <v>20</v>
      </c>
      <c r="H39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39" s="52"/>
    </row>
    <row r="40" spans="3:9" ht="30" customHeight="1">
      <c r="C40" s="51" t="s">
        <v>90</v>
      </c>
      <c r="D40" s="52" t="s">
        <v>186</v>
      </c>
      <c r="E40" s="52" t="s">
        <v>222</v>
      </c>
      <c r="F40" s="56">
        <v>10</v>
      </c>
      <c r="G40" s="57">
        <v>20</v>
      </c>
      <c r="H40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0" s="52"/>
    </row>
    <row r="41" spans="3:9" ht="30" customHeight="1">
      <c r="C41" s="51" t="s">
        <v>91</v>
      </c>
      <c r="D41" s="52" t="s">
        <v>187</v>
      </c>
      <c r="E41" s="52" t="s">
        <v>222</v>
      </c>
      <c r="F41" s="56">
        <v>10</v>
      </c>
      <c r="G41" s="57">
        <v>20</v>
      </c>
      <c r="H41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1" s="52"/>
    </row>
    <row r="42" spans="3:9" ht="30" customHeight="1">
      <c r="C42" s="51" t="s">
        <v>92</v>
      </c>
      <c r="D42" s="52" t="s">
        <v>188</v>
      </c>
      <c r="E42" s="52" t="s">
        <v>222</v>
      </c>
      <c r="F42" s="56">
        <v>10</v>
      </c>
      <c r="G42" s="57">
        <v>20</v>
      </c>
      <c r="H42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2" s="52"/>
    </row>
    <row r="43" spans="3:9" ht="30" customHeight="1">
      <c r="C43" s="51" t="s">
        <v>93</v>
      </c>
      <c r="D43" s="52" t="s">
        <v>189</v>
      </c>
      <c r="E43" s="52" t="s">
        <v>226</v>
      </c>
      <c r="F43" s="56">
        <v>10</v>
      </c>
      <c r="G43" s="57">
        <v>20</v>
      </c>
      <c r="H43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3" s="52"/>
    </row>
    <row r="44" spans="3:9" ht="30" customHeight="1">
      <c r="C44" s="51" t="s">
        <v>94</v>
      </c>
      <c r="D44" s="52" t="s">
        <v>190</v>
      </c>
      <c r="E44" s="52" t="s">
        <v>226</v>
      </c>
      <c r="F44" s="56">
        <v>10</v>
      </c>
      <c r="G44" s="57">
        <v>20</v>
      </c>
      <c r="H44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4" s="52"/>
    </row>
    <row r="45" spans="3:9" ht="30" customHeight="1">
      <c r="C45" s="51" t="s">
        <v>95</v>
      </c>
      <c r="D45" s="52" t="s">
        <v>191</v>
      </c>
      <c r="E45" s="52" t="s">
        <v>226</v>
      </c>
      <c r="F45" s="56">
        <v>10</v>
      </c>
      <c r="G45" s="57">
        <v>20</v>
      </c>
      <c r="H45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5" s="52"/>
    </row>
    <row r="46" spans="3:9" ht="30" customHeight="1">
      <c r="C46" s="51" t="s">
        <v>96</v>
      </c>
      <c r="D46" s="52" t="s">
        <v>192</v>
      </c>
      <c r="E46" s="52" t="s">
        <v>226</v>
      </c>
      <c r="F46" s="56">
        <v>10</v>
      </c>
      <c r="G46" s="57">
        <v>20</v>
      </c>
      <c r="H46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6" s="52"/>
    </row>
    <row r="47" spans="3:9" ht="30" customHeight="1">
      <c r="C47" s="51" t="s">
        <v>97</v>
      </c>
      <c r="D47" s="52" t="s">
        <v>193</v>
      </c>
      <c r="E47" s="52" t="s">
        <v>226</v>
      </c>
      <c r="F47" s="56">
        <v>10</v>
      </c>
      <c r="G47" s="57">
        <v>20</v>
      </c>
      <c r="H47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7" s="52"/>
    </row>
    <row r="48" spans="3:9" ht="30" customHeight="1">
      <c r="C48" s="51" t="s">
        <v>98</v>
      </c>
      <c r="D48" s="52" t="s">
        <v>194</v>
      </c>
      <c r="E48" s="52" t="s">
        <v>226</v>
      </c>
      <c r="F48" s="56">
        <v>10</v>
      </c>
      <c r="G48" s="57">
        <v>20</v>
      </c>
      <c r="H48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8" s="52"/>
    </row>
    <row r="49" spans="3:9" ht="30" customHeight="1">
      <c r="C49" s="51" t="s">
        <v>99</v>
      </c>
      <c r="D49" s="52" t="s">
        <v>195</v>
      </c>
      <c r="E49" s="52" t="s">
        <v>226</v>
      </c>
      <c r="F49" s="56">
        <v>10</v>
      </c>
      <c r="G49" s="57">
        <v>20</v>
      </c>
      <c r="H49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49" s="52"/>
    </row>
    <row r="50" spans="3:9" ht="30" customHeight="1">
      <c r="C50" s="51" t="s">
        <v>100</v>
      </c>
      <c r="D50" s="52" t="s">
        <v>196</v>
      </c>
      <c r="E50" s="52" t="s">
        <v>226</v>
      </c>
      <c r="F50" s="56">
        <v>10</v>
      </c>
      <c r="G50" s="57">
        <v>20</v>
      </c>
      <c r="H50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0" s="52"/>
    </row>
    <row r="51" spans="3:9" ht="30" customHeight="1">
      <c r="C51" s="51" t="s">
        <v>101</v>
      </c>
      <c r="D51" s="52" t="s">
        <v>197</v>
      </c>
      <c r="E51" s="52" t="s">
        <v>226</v>
      </c>
      <c r="F51" s="56">
        <v>10</v>
      </c>
      <c r="G51" s="57">
        <v>20</v>
      </c>
      <c r="H51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1" s="52"/>
    </row>
    <row r="52" spans="3:9" ht="30" customHeight="1">
      <c r="C52" s="51" t="s">
        <v>102</v>
      </c>
      <c r="D52" s="52" t="s">
        <v>198</v>
      </c>
      <c r="E52" s="52" t="s">
        <v>226</v>
      </c>
      <c r="F52" s="56">
        <v>10</v>
      </c>
      <c r="G52" s="57">
        <v>20</v>
      </c>
      <c r="H52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2" s="52"/>
    </row>
    <row r="53" spans="3:9" ht="30" customHeight="1">
      <c r="C53" s="51" t="s">
        <v>103</v>
      </c>
      <c r="D53" s="52" t="s">
        <v>199</v>
      </c>
      <c r="E53" s="52" t="s">
        <v>226</v>
      </c>
      <c r="F53" s="56">
        <v>10</v>
      </c>
      <c r="G53" s="57">
        <v>20</v>
      </c>
      <c r="H53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3" s="52"/>
    </row>
    <row r="54" spans="3:9" ht="30" customHeight="1">
      <c r="C54" s="51" t="s">
        <v>104</v>
      </c>
      <c r="D54" s="52" t="s">
        <v>200</v>
      </c>
      <c r="E54" s="52" t="s">
        <v>226</v>
      </c>
      <c r="F54" s="56">
        <v>10</v>
      </c>
      <c r="G54" s="57">
        <v>20</v>
      </c>
      <c r="H54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4" s="52"/>
    </row>
    <row r="55" spans="3:9" ht="30" customHeight="1">
      <c r="C55" s="51" t="s">
        <v>105</v>
      </c>
      <c r="D55" s="52" t="s">
        <v>201</v>
      </c>
      <c r="E55" s="52" t="s">
        <v>226</v>
      </c>
      <c r="F55" s="56">
        <v>10</v>
      </c>
      <c r="G55" s="57">
        <v>20</v>
      </c>
      <c r="H55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5" s="52"/>
    </row>
    <row r="56" spans="3:9" ht="30" customHeight="1">
      <c r="C56" s="51" t="s">
        <v>106</v>
      </c>
      <c r="D56" s="52" t="s">
        <v>202</v>
      </c>
      <c r="E56" s="52" t="s">
        <v>226</v>
      </c>
      <c r="F56" s="56">
        <v>10</v>
      </c>
      <c r="G56" s="57">
        <v>20</v>
      </c>
      <c r="H56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6" s="52"/>
    </row>
    <row r="57" spans="3:9" ht="30" customHeight="1">
      <c r="C57" s="51" t="s">
        <v>107</v>
      </c>
      <c r="D57" s="52" t="s">
        <v>203</v>
      </c>
      <c r="E57" s="52" t="s">
        <v>230</v>
      </c>
      <c r="F57" s="56">
        <v>10</v>
      </c>
      <c r="G57" s="57">
        <v>20</v>
      </c>
      <c r="H57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7" s="52"/>
    </row>
    <row r="58" spans="3:9" ht="30" customHeight="1">
      <c r="C58" s="51" t="s">
        <v>108</v>
      </c>
      <c r="D58" s="52" t="s">
        <v>204</v>
      </c>
      <c r="E58" s="52" t="s">
        <v>226</v>
      </c>
      <c r="F58" s="56">
        <v>10</v>
      </c>
      <c r="G58" s="57">
        <v>20</v>
      </c>
      <c r="H58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8" s="52"/>
    </row>
    <row r="59" spans="3:9" ht="30" customHeight="1">
      <c r="C59" s="51" t="s">
        <v>109</v>
      </c>
      <c r="D59" s="52" t="s">
        <v>205</v>
      </c>
      <c r="E59" s="52" t="s">
        <v>226</v>
      </c>
      <c r="F59" s="56">
        <v>10</v>
      </c>
      <c r="G59" s="57">
        <v>20</v>
      </c>
      <c r="H59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59" s="52"/>
    </row>
    <row r="60" spans="3:9" ht="30" customHeight="1">
      <c r="C60" s="51" t="s">
        <v>110</v>
      </c>
      <c r="D60" s="52" t="s">
        <v>206</v>
      </c>
      <c r="E60" s="52" t="s">
        <v>226</v>
      </c>
      <c r="F60" s="56">
        <v>10</v>
      </c>
      <c r="G60" s="57">
        <v>20</v>
      </c>
      <c r="H60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60" s="52"/>
    </row>
    <row r="61" spans="3:9" ht="30" customHeight="1">
      <c r="C61" s="51" t="s">
        <v>111</v>
      </c>
      <c r="D61" s="52" t="s">
        <v>207</v>
      </c>
      <c r="E61" s="52" t="s">
        <v>226</v>
      </c>
      <c r="F61" s="56">
        <v>10</v>
      </c>
      <c r="G61" s="57">
        <v>20</v>
      </c>
      <c r="H61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61" s="52"/>
    </row>
    <row r="62" spans="3:9" ht="30" customHeight="1">
      <c r="C62" s="51" t="s">
        <v>112</v>
      </c>
      <c r="D62" s="52" t="s">
        <v>208</v>
      </c>
      <c r="E62" s="52" t="s">
        <v>226</v>
      </c>
      <c r="F62" s="56">
        <v>80</v>
      </c>
      <c r="G62" s="57">
        <v>20</v>
      </c>
      <c r="H62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62" s="52"/>
    </row>
    <row r="63" spans="3:9" ht="30" customHeight="1">
      <c r="C63" s="51" t="s">
        <v>113</v>
      </c>
      <c r="D63" s="52" t="s">
        <v>209</v>
      </c>
      <c r="E63" s="52" t="s">
        <v>230</v>
      </c>
      <c r="F63" s="56">
        <v>10</v>
      </c>
      <c r="G63" s="57">
        <v>20</v>
      </c>
      <c r="H63" s="53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Terminada</v>
      </c>
      <c r="I63" s="52"/>
    </row>
    <row r="64" spans="3:9" ht="30" customHeight="1">
      <c r="C64" s="62" t="s">
        <v>114</v>
      </c>
      <c r="D64" s="52" t="s">
        <v>210</v>
      </c>
      <c r="E64" s="52" t="s">
        <v>226</v>
      </c>
      <c r="F64" s="64">
        <v>50</v>
      </c>
      <c r="G64" s="65">
        <v>20</v>
      </c>
      <c r="H64" s="66" t="str">
        <f>IFERROR(IF(Product_Backlog[[#This Row],[Épica o Historia de Usuario]]="","",IF(VLOOKUP(Product_Backlog[[#This Row],[Épica o Historia de Usuario]],Sprint_Backlog[],8,0)="","Haciendo",IF(VLOOKUP(Product_Backlog[[#This Row],[Épica o Historia de Usuario]],Sprint_Backlog[],8,0)="No Terminada","Haciendo",IF(VLOOKUP(Product_Backlog[[#This Row],[Épica o Historia de Usuario]],Sprint_Backlog[],8,0)="Terminada","Terminada","")))),"No Backlog")</f>
        <v>Haciendo</v>
      </c>
      <c r="I64" s="63"/>
    </row>
    <row r="65" spans="3:9" ht="30" customHeight="1">
      <c r="C65" s="61" t="s">
        <v>116</v>
      </c>
      <c r="D65" s="61"/>
      <c r="E65" s="61"/>
      <c r="F65" s="70">
        <f>SUBTOTAL(109,Product_Backlog[Puntos])</f>
        <v>930</v>
      </c>
      <c r="G65" s="70">
        <f>SUBTOTAL(109,Product_Backlog[Horas programadas])</f>
        <v>1260</v>
      </c>
      <c r="H65" s="61">
        <f>SUBTOTAL(103,Product_Backlog[Estado])</f>
        <v>60</v>
      </c>
      <c r="I65" s="61"/>
    </row>
  </sheetData>
  <sheetProtection algorithmName="SHA-512" hashValue="VI5rV+wfestRg/Ej4zCINVo3nTrEf8i0MMXxuTmvFxCmlKObxLmL9EyvgMe6iKNm4ALbdNfnvdo+ckChSPQjKw==" saltValue="7OxSeyUXou4ySRQdVfnehw==" spinCount="100000" formatCells="0" formatColumns="0" formatRows="0" selectLockedCells="1"/>
  <protectedRanges>
    <protectedRange sqref="I5:I64 C5:G64" name="Intervalo1"/>
  </protectedRanges>
  <conditionalFormatting sqref="H5:H64">
    <cfRule type="cellIs" dxfId="18" priority="1" operator="equal">
      <formula>"Haciendo"</formula>
    </cfRule>
    <cfRule type="cellIs" dxfId="17" priority="2" operator="equal">
      <formula>"Terminada"</formula>
    </cfRule>
    <cfRule type="cellIs" dxfId="16" priority="3" operator="equal">
      <formula>"No Backlog"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TIP!$C$32:$C$46</xm:f>
          </x14:formula1>
          <xm:sqref>E5:E64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1D6C2"/>
  </sheetPr>
  <dimension ref="A1:K65"/>
  <sheetViews>
    <sheetView showGridLines="0" zoomScale="67" zoomScaleNormal="67" zoomScalePageLayoutView="80" workbookViewId="0">
      <pane ySplit="2" topLeftCell="A3" activePane="bottomLeft" state="frozen"/>
      <selection activeCell="C4" sqref="C4:G4"/>
      <selection pane="bottomLeft" activeCell="I5" sqref="I5"/>
    </sheetView>
  </sheetViews>
  <sheetFormatPr baseColWidth="10" defaultColWidth="11" defaultRowHeight="30" customHeight="1"/>
  <cols>
    <col min="1" max="2" width="2.625" style="60" customWidth="1"/>
    <col min="3" max="3" width="60.625" style="3" customWidth="1"/>
    <col min="4" max="4" width="15.625" style="3" customWidth="1"/>
    <col min="5" max="5" width="10.625" style="11" customWidth="1"/>
    <col min="6" max="6" width="30.625" style="3" customWidth="1"/>
    <col min="7" max="10" width="15.625" style="3" customWidth="1"/>
    <col min="11" max="11" width="60.625" style="3" customWidth="1"/>
    <col min="12" max="15" width="11" style="3"/>
    <col min="16" max="16" width="5.125" style="3" customWidth="1"/>
    <col min="17" max="16384" width="11" style="3"/>
  </cols>
  <sheetData>
    <row r="1" spans="1:11" s="20" customFormat="1" ht="39" customHeight="1">
      <c r="A1" s="58"/>
      <c r="B1" s="58"/>
      <c r="C1" s="22"/>
      <c r="D1" s="21"/>
      <c r="E1" s="23"/>
      <c r="F1" s="21"/>
      <c r="G1" s="21"/>
      <c r="H1" s="21"/>
      <c r="I1" s="21"/>
      <c r="J1" s="21"/>
      <c r="K1" s="21"/>
    </row>
    <row r="2" spans="1:11" ht="30" customHeight="1">
      <c r="A2" s="59"/>
      <c r="B2" s="59"/>
      <c r="C2" s="24"/>
      <c r="D2" s="27"/>
      <c r="E2" s="26"/>
      <c r="F2" s="27"/>
      <c r="G2" s="27"/>
      <c r="H2" s="27"/>
      <c r="I2" s="27"/>
      <c r="J2" s="24"/>
      <c r="K2" s="24"/>
    </row>
    <row r="3" spans="1:11" ht="15"/>
    <row r="4" spans="1:11" ht="32.25" customHeight="1">
      <c r="C4" s="61" t="s">
        <v>211</v>
      </c>
      <c r="D4" s="61" t="s">
        <v>149</v>
      </c>
      <c r="E4" s="61" t="s">
        <v>65</v>
      </c>
      <c r="F4" s="61" t="s">
        <v>66</v>
      </c>
      <c r="G4" s="61" t="s">
        <v>61</v>
      </c>
      <c r="H4" s="61" t="s">
        <v>122</v>
      </c>
      <c r="I4" s="61" t="s">
        <v>123</v>
      </c>
      <c r="J4" s="61" t="s">
        <v>62</v>
      </c>
      <c r="K4" s="61" t="s">
        <v>150</v>
      </c>
    </row>
    <row r="5" spans="1:11" ht="30" customHeight="1">
      <c r="C5" s="51" t="s">
        <v>16</v>
      </c>
      <c r="D5" s="14" t="str">
        <f>IFERROR(VLOOKUP(Sprint_Backlog[[#This Row],[Historia de Usuario o Tareas]],Product_Backlog[],2,0),"")</f>
        <v>HU-001</v>
      </c>
      <c r="E5" s="51">
        <v>3</v>
      </c>
      <c r="F5" s="52" t="s">
        <v>51</v>
      </c>
      <c r="G5" s="14">
        <f>IFERROR(VLOOKUP(Sprint_Backlog[[#This Row],[Historia de Usuario o Tareas]],Product_Backlog[],4,0),"")</f>
        <v>100</v>
      </c>
      <c r="H5" s="14">
        <f>IFERROR(VLOOKUP(Sprint_Backlog[[#This Row],[Historia de Usuario o Tareas]],Product_Backlog[],5,0),"")</f>
        <v>30</v>
      </c>
      <c r="I5" s="57">
        <v>50</v>
      </c>
      <c r="J5" s="6" t="s">
        <v>117</v>
      </c>
      <c r="K5" s="76"/>
    </row>
    <row r="6" spans="1:11" ht="30" customHeight="1">
      <c r="C6" s="51" t="s">
        <v>17</v>
      </c>
      <c r="D6" s="14" t="str">
        <f>IFERROR(VLOOKUP(Sprint_Backlog[[#This Row],[Historia de Usuario o Tareas]],Product_Backlog[],2,0),"")</f>
        <v>HU-002</v>
      </c>
      <c r="E6" s="51">
        <v>1</v>
      </c>
      <c r="F6" s="52" t="s">
        <v>51</v>
      </c>
      <c r="G6" s="14">
        <f>IFERROR(VLOOKUP(Sprint_Backlog[[#This Row],[Historia de Usuario o Tareas]],Product_Backlog[],4,0),"")</f>
        <v>10</v>
      </c>
      <c r="H6" s="14">
        <f>IFERROR(VLOOKUP(Sprint_Backlog[[#This Row],[Historia de Usuario o Tareas]],Product_Backlog[],5,0),"")</f>
        <v>20</v>
      </c>
      <c r="I6" s="57">
        <v>50</v>
      </c>
      <c r="J6" s="6" t="s">
        <v>117</v>
      </c>
      <c r="K6" s="76"/>
    </row>
    <row r="7" spans="1:11" ht="30" customHeight="1">
      <c r="C7" s="51" t="s">
        <v>18</v>
      </c>
      <c r="D7" s="14" t="str">
        <f>IFERROR(VLOOKUP(Sprint_Backlog[[#This Row],[Historia de Usuario o Tareas]],Product_Backlog[],2,0),"")</f>
        <v>HU-003</v>
      </c>
      <c r="E7" s="51">
        <v>4</v>
      </c>
      <c r="F7" s="52" t="s">
        <v>53</v>
      </c>
      <c r="G7" s="14">
        <f>IFERROR(VLOOKUP(Sprint_Backlog[[#This Row],[Historia de Usuario o Tareas]],Product_Backlog[],4,0),"")</f>
        <v>10</v>
      </c>
      <c r="H7" s="14">
        <f>IFERROR(VLOOKUP(Sprint_Backlog[[#This Row],[Historia de Usuario o Tareas]],Product_Backlog[],5,0),"")</f>
        <v>10</v>
      </c>
      <c r="I7" s="57">
        <v>50</v>
      </c>
      <c r="J7" s="6" t="s">
        <v>118</v>
      </c>
      <c r="K7" s="76"/>
    </row>
    <row r="8" spans="1:11" ht="30" customHeight="1">
      <c r="C8" s="51" t="s">
        <v>19</v>
      </c>
      <c r="D8" s="14" t="str">
        <f>IFERROR(VLOOKUP(Sprint_Backlog[[#This Row],[Historia de Usuario o Tareas]],Product_Backlog[],2,0),"")</f>
        <v>HU-004</v>
      </c>
      <c r="E8" s="51">
        <v>1</v>
      </c>
      <c r="F8" s="52" t="s">
        <v>53</v>
      </c>
      <c r="G8" s="14">
        <f>IFERROR(VLOOKUP(Sprint_Backlog[[#This Row],[Historia de Usuario o Tareas]],Product_Backlog[],4,0),"")</f>
        <v>10</v>
      </c>
      <c r="H8" s="14">
        <f>IFERROR(VLOOKUP(Sprint_Backlog[[#This Row],[Historia de Usuario o Tareas]],Product_Backlog[],5,0),"")</f>
        <v>10</v>
      </c>
      <c r="I8" s="57">
        <v>50</v>
      </c>
      <c r="J8" s="6" t="s">
        <v>118</v>
      </c>
      <c r="K8" s="76"/>
    </row>
    <row r="9" spans="1:11" ht="30" customHeight="1">
      <c r="C9" s="51" t="s">
        <v>20</v>
      </c>
      <c r="D9" s="14" t="str">
        <f>IFERROR(VLOOKUP(Sprint_Backlog[[#This Row],[Historia de Usuario o Tareas]],Product_Backlog[],2,0),"")</f>
        <v>HU-005</v>
      </c>
      <c r="E9" s="51">
        <v>1</v>
      </c>
      <c r="F9" s="52" t="s">
        <v>51</v>
      </c>
      <c r="G9" s="14">
        <f>IFERROR(VLOOKUP(Sprint_Backlog[[#This Row],[Historia de Usuario o Tareas]],Product_Backlog[],4,0),"")</f>
        <v>10</v>
      </c>
      <c r="H9" s="14">
        <f>IFERROR(VLOOKUP(Sprint_Backlog[[#This Row],[Historia de Usuario o Tareas]],Product_Backlog[],5,0),"")</f>
        <v>20</v>
      </c>
      <c r="I9" s="57">
        <v>50</v>
      </c>
      <c r="J9" s="6" t="s">
        <v>118</v>
      </c>
      <c r="K9" s="76"/>
    </row>
    <row r="10" spans="1:11" ht="30" customHeight="1">
      <c r="C10" s="51" t="s">
        <v>21</v>
      </c>
      <c r="D10" s="14" t="str">
        <f>IFERROR(VLOOKUP(Sprint_Backlog[[#This Row],[Historia de Usuario o Tareas]],Product_Backlog[],2,0),"")</f>
        <v>HU-006</v>
      </c>
      <c r="E10" s="51">
        <v>1</v>
      </c>
      <c r="F10" s="52" t="s">
        <v>51</v>
      </c>
      <c r="G10" s="14">
        <f>IFERROR(VLOOKUP(Sprint_Backlog[[#This Row],[Historia de Usuario o Tareas]],Product_Backlog[],4,0),"")</f>
        <v>10</v>
      </c>
      <c r="H10" s="14">
        <f>IFERROR(VLOOKUP(Sprint_Backlog[[#This Row],[Historia de Usuario o Tareas]],Product_Backlog[],5,0),"")</f>
        <v>100</v>
      </c>
      <c r="I10" s="57">
        <v>50</v>
      </c>
      <c r="J10" s="6" t="s">
        <v>117</v>
      </c>
      <c r="K10" s="76"/>
    </row>
    <row r="11" spans="1:11" ht="30" customHeight="1">
      <c r="C11" s="51" t="s">
        <v>22</v>
      </c>
      <c r="D11" s="14" t="str">
        <f>IFERROR(VLOOKUP(Sprint_Backlog[[#This Row],[Historia de Usuario o Tareas]],Product_Backlog[],2,0),"")</f>
        <v>HU-007</v>
      </c>
      <c r="E11" s="51">
        <v>2</v>
      </c>
      <c r="F11" s="52" t="s">
        <v>53</v>
      </c>
      <c r="G11" s="14">
        <f>IFERROR(VLOOKUP(Sprint_Backlog[[#This Row],[Historia de Usuario o Tareas]],Product_Backlog[],4,0),"")</f>
        <v>50</v>
      </c>
      <c r="H11" s="14">
        <f>IFERROR(VLOOKUP(Sprint_Backlog[[#This Row],[Historia de Usuario o Tareas]],Product_Backlog[],5,0),"")</f>
        <v>30</v>
      </c>
      <c r="I11" s="57">
        <v>50</v>
      </c>
      <c r="J11" s="6" t="s">
        <v>117</v>
      </c>
      <c r="K11" s="76"/>
    </row>
    <row r="12" spans="1:11" ht="30" customHeight="1">
      <c r="C12" s="51" t="s">
        <v>115</v>
      </c>
      <c r="D12" s="14" t="str">
        <f>IFERROR(VLOOKUP(Sprint_Backlog[[#This Row],[Historia de Usuario o Tareas]],Product_Backlog[],2,0),"")</f>
        <v>HU-008</v>
      </c>
      <c r="E12" s="51">
        <v>1</v>
      </c>
      <c r="F12" s="52" t="s">
        <v>53</v>
      </c>
      <c r="G12" s="14">
        <f>IFERROR(VLOOKUP(Sprint_Backlog[[#This Row],[Historia de Usuario o Tareas]],Product_Backlog[],4,0),"")</f>
        <v>10</v>
      </c>
      <c r="H12" s="14">
        <f>IFERROR(VLOOKUP(Sprint_Backlog[[#This Row],[Historia de Usuario o Tareas]],Product_Backlog[],5,0),"")</f>
        <v>20</v>
      </c>
      <c r="I12" s="57">
        <v>50</v>
      </c>
      <c r="J12" s="6" t="s">
        <v>117</v>
      </c>
      <c r="K12" s="76"/>
    </row>
    <row r="13" spans="1:11" ht="30" customHeight="1">
      <c r="C13" s="51" t="s">
        <v>23</v>
      </c>
      <c r="D13" s="14" t="str">
        <f>IFERROR(VLOOKUP(Sprint_Backlog[[#This Row],[Historia de Usuario o Tareas]],Product_Backlog[],2,0),"")</f>
        <v>HU-009</v>
      </c>
      <c r="E13" s="51">
        <v>1</v>
      </c>
      <c r="F13" s="52" t="s">
        <v>51</v>
      </c>
      <c r="G13" s="14">
        <f>IFERROR(VLOOKUP(Sprint_Backlog[[#This Row],[Historia de Usuario o Tareas]],Product_Backlog[],4,0),"")</f>
        <v>10</v>
      </c>
      <c r="H13" s="14">
        <f>IFERROR(VLOOKUP(Sprint_Backlog[[#This Row],[Historia de Usuario o Tareas]],Product_Backlog[],5,0),"")</f>
        <v>10</v>
      </c>
      <c r="I13" s="57">
        <v>50</v>
      </c>
      <c r="J13" s="6" t="s">
        <v>117</v>
      </c>
      <c r="K13" s="76"/>
    </row>
    <row r="14" spans="1:11" ht="30" customHeight="1">
      <c r="C14" s="51" t="s">
        <v>24</v>
      </c>
      <c r="D14" s="14" t="str">
        <f>IFERROR(VLOOKUP(Sprint_Backlog[[#This Row],[Historia de Usuario o Tareas]],Product_Backlog[],2,0),"")</f>
        <v>HU-010</v>
      </c>
      <c r="E14" s="51">
        <v>1</v>
      </c>
      <c r="F14" s="52" t="s">
        <v>53</v>
      </c>
      <c r="G14" s="14">
        <f>IFERROR(VLOOKUP(Sprint_Backlog[[#This Row],[Historia de Usuario o Tareas]],Product_Backlog[],4,0),"")</f>
        <v>10</v>
      </c>
      <c r="H14" s="14">
        <f>IFERROR(VLOOKUP(Sprint_Backlog[[#This Row],[Historia de Usuario o Tareas]],Product_Backlog[],5,0),"")</f>
        <v>10</v>
      </c>
      <c r="I14" s="57">
        <v>50</v>
      </c>
      <c r="J14" s="6" t="s">
        <v>117</v>
      </c>
      <c r="K14" s="76"/>
    </row>
    <row r="15" spans="1:11" ht="30" customHeight="1">
      <c r="C15" s="51" t="s">
        <v>25</v>
      </c>
      <c r="D15" s="14" t="str">
        <f>IFERROR(VLOOKUP(Sprint_Backlog[[#This Row],[Historia de Usuario o Tareas]],Product_Backlog[],2,0),"")</f>
        <v>HU-011</v>
      </c>
      <c r="E15" s="51">
        <v>1</v>
      </c>
      <c r="F15" s="52" t="s">
        <v>53</v>
      </c>
      <c r="G15" s="14">
        <f>IFERROR(VLOOKUP(Sprint_Backlog[[#This Row],[Historia de Usuario o Tareas]],Product_Backlog[],4,0),"")</f>
        <v>10</v>
      </c>
      <c r="H15" s="14">
        <f>IFERROR(VLOOKUP(Sprint_Backlog[[#This Row],[Historia de Usuario o Tareas]],Product_Backlog[],5,0),"")</f>
        <v>20</v>
      </c>
      <c r="I15" s="57">
        <v>50</v>
      </c>
      <c r="J15" s="6" t="s">
        <v>117</v>
      </c>
      <c r="K15" s="76"/>
    </row>
    <row r="16" spans="1:11" ht="30" customHeight="1">
      <c r="C16" s="51" t="s">
        <v>26</v>
      </c>
      <c r="D16" s="14" t="str">
        <f>IFERROR(VLOOKUP(Sprint_Backlog[[#This Row],[Historia de Usuario o Tareas]],Product_Backlog[],2,0),"")</f>
        <v>HU-012</v>
      </c>
      <c r="E16" s="51">
        <v>1</v>
      </c>
      <c r="F16" s="52" t="s">
        <v>51</v>
      </c>
      <c r="G16" s="14">
        <f>IFERROR(VLOOKUP(Sprint_Backlog[[#This Row],[Historia de Usuario o Tareas]],Product_Backlog[],4,0),"")</f>
        <v>10</v>
      </c>
      <c r="H16" s="14">
        <f>IFERROR(VLOOKUP(Sprint_Backlog[[#This Row],[Historia de Usuario o Tareas]],Product_Backlog[],5,0),"")</f>
        <v>30</v>
      </c>
      <c r="I16" s="57">
        <v>50</v>
      </c>
      <c r="J16" s="6" t="s">
        <v>117</v>
      </c>
      <c r="K16" s="76"/>
    </row>
    <row r="17" spans="3:11" ht="30" customHeight="1">
      <c r="C17" s="51" t="s">
        <v>27</v>
      </c>
      <c r="D17" s="14" t="str">
        <f>IFERROR(VLOOKUP(Sprint_Backlog[[#This Row],[Historia de Usuario o Tareas]],Product_Backlog[],2,0),"")</f>
        <v>HU-013</v>
      </c>
      <c r="E17" s="51">
        <v>1</v>
      </c>
      <c r="F17" s="52" t="s">
        <v>51</v>
      </c>
      <c r="G17" s="14">
        <f>IFERROR(VLOOKUP(Sprint_Backlog[[#This Row],[Historia de Usuario o Tareas]],Product_Backlog[],4,0),"")</f>
        <v>10</v>
      </c>
      <c r="H17" s="14">
        <f>IFERROR(VLOOKUP(Sprint_Backlog[[#This Row],[Historia de Usuario o Tareas]],Product_Backlog[],5,0),"")</f>
        <v>20</v>
      </c>
      <c r="I17" s="57">
        <v>50</v>
      </c>
      <c r="J17" s="6" t="s">
        <v>117</v>
      </c>
      <c r="K17" s="76"/>
    </row>
    <row r="18" spans="3:11" ht="30" customHeight="1">
      <c r="C18" s="51" t="s">
        <v>28</v>
      </c>
      <c r="D18" s="14" t="str">
        <f>IFERROR(VLOOKUP(Sprint_Backlog[[#This Row],[Historia de Usuario o Tareas]],Product_Backlog[],2,0),"")</f>
        <v>HU-014</v>
      </c>
      <c r="E18" s="51">
        <v>1</v>
      </c>
      <c r="F18" s="52" t="s">
        <v>51</v>
      </c>
      <c r="G18" s="14">
        <f>IFERROR(VLOOKUP(Sprint_Backlog[[#This Row],[Historia de Usuario o Tareas]],Product_Backlog[],4,0),"")</f>
        <v>10</v>
      </c>
      <c r="H18" s="14">
        <f>IFERROR(VLOOKUP(Sprint_Backlog[[#This Row],[Historia de Usuario o Tareas]],Product_Backlog[],5,0),"")</f>
        <v>30</v>
      </c>
      <c r="I18" s="56">
        <v>50</v>
      </c>
      <c r="J18" s="6" t="s">
        <v>117</v>
      </c>
      <c r="K18" s="76"/>
    </row>
    <row r="19" spans="3:11" ht="30" customHeight="1">
      <c r="C19" s="51" t="s">
        <v>29</v>
      </c>
      <c r="D19" s="14" t="str">
        <f>IFERROR(VLOOKUP(Sprint_Backlog[[#This Row],[Historia de Usuario o Tareas]],Product_Backlog[],2,0),"")</f>
        <v>HU-015</v>
      </c>
      <c r="E19" s="51">
        <v>1</v>
      </c>
      <c r="F19" s="52" t="s">
        <v>53</v>
      </c>
      <c r="G19" s="14">
        <f>IFERROR(VLOOKUP(Sprint_Backlog[[#This Row],[Historia de Usuario o Tareas]],Product_Backlog[],4,0),"")</f>
        <v>10</v>
      </c>
      <c r="H19" s="14">
        <f>IFERROR(VLOOKUP(Sprint_Backlog[[#This Row],[Historia de Usuario o Tareas]],Product_Backlog[],5,0),"")</f>
        <v>20</v>
      </c>
      <c r="I19" s="56">
        <v>50</v>
      </c>
      <c r="J19" s="6" t="s">
        <v>117</v>
      </c>
      <c r="K19" s="76"/>
    </row>
    <row r="20" spans="3:11" ht="30" customHeight="1">
      <c r="C20" s="51" t="s">
        <v>30</v>
      </c>
      <c r="D20" s="14" t="str">
        <f>IFERROR(VLOOKUP(Sprint_Backlog[[#This Row],[Historia de Usuario o Tareas]],Product_Backlog[],2,0),"")</f>
        <v>HU-016</v>
      </c>
      <c r="E20" s="51">
        <v>1</v>
      </c>
      <c r="F20" s="52" t="s">
        <v>53</v>
      </c>
      <c r="G20" s="14">
        <f>IFERROR(VLOOKUP(Sprint_Backlog[[#This Row],[Historia de Usuario o Tareas]],Product_Backlog[],4,0),"")</f>
        <v>10</v>
      </c>
      <c r="H20" s="14">
        <f>IFERROR(VLOOKUP(Sprint_Backlog[[#This Row],[Historia de Usuario o Tareas]],Product_Backlog[],5,0),"")</f>
        <v>10</v>
      </c>
      <c r="I20" s="56">
        <v>50</v>
      </c>
      <c r="J20" s="6" t="s">
        <v>117</v>
      </c>
      <c r="K20" s="76"/>
    </row>
    <row r="21" spans="3:11" ht="30" customHeight="1">
      <c r="C21" s="51" t="s">
        <v>31</v>
      </c>
      <c r="D21" s="14" t="str">
        <f>IFERROR(VLOOKUP(Sprint_Backlog[[#This Row],[Historia de Usuario o Tareas]],Product_Backlog[],2,0),"")</f>
        <v>HU-017</v>
      </c>
      <c r="E21" s="51">
        <v>1</v>
      </c>
      <c r="F21" s="52" t="s">
        <v>51</v>
      </c>
      <c r="G21" s="14">
        <f>IFERROR(VLOOKUP(Sprint_Backlog[[#This Row],[Historia de Usuario o Tareas]],Product_Backlog[],4,0),"")</f>
        <v>10</v>
      </c>
      <c r="H21" s="14">
        <f>IFERROR(VLOOKUP(Sprint_Backlog[[#This Row],[Historia de Usuario o Tareas]],Product_Backlog[],5,0),"")</f>
        <v>10</v>
      </c>
      <c r="I21" s="56">
        <v>50</v>
      </c>
      <c r="J21" s="6" t="s">
        <v>117</v>
      </c>
      <c r="K21" s="76"/>
    </row>
    <row r="22" spans="3:11" ht="30" customHeight="1">
      <c r="C22" s="51" t="s">
        <v>32</v>
      </c>
      <c r="D22" s="14" t="str">
        <f>IFERROR(VLOOKUP(Sprint_Backlog[[#This Row],[Historia de Usuario o Tareas]],Product_Backlog[],2,0),"")</f>
        <v>HU-018</v>
      </c>
      <c r="E22" s="51">
        <v>1</v>
      </c>
      <c r="F22" s="52" t="s">
        <v>51</v>
      </c>
      <c r="G22" s="14">
        <f>IFERROR(VLOOKUP(Sprint_Backlog[[#This Row],[Historia de Usuario o Tareas]],Product_Backlog[],4,0),"")</f>
        <v>10</v>
      </c>
      <c r="H22" s="14">
        <f>IFERROR(VLOOKUP(Sprint_Backlog[[#This Row],[Historia de Usuario o Tareas]],Product_Backlog[],5,0),"")</f>
        <v>20</v>
      </c>
      <c r="I22" s="56">
        <v>50</v>
      </c>
      <c r="J22" s="6" t="s">
        <v>117</v>
      </c>
      <c r="K22" s="76"/>
    </row>
    <row r="23" spans="3:11" ht="30" customHeight="1">
      <c r="C23" s="51" t="s">
        <v>63</v>
      </c>
      <c r="D23" s="14" t="str">
        <f>IFERROR(VLOOKUP(Sprint_Backlog[[#This Row],[Historia de Usuario o Tareas]],Product_Backlog[],2,0),"")</f>
        <v>HU-019</v>
      </c>
      <c r="E23" s="51">
        <v>1</v>
      </c>
      <c r="F23" s="52" t="s">
        <v>53</v>
      </c>
      <c r="G23" s="14">
        <f>IFERROR(VLOOKUP(Sprint_Backlog[[#This Row],[Historia de Usuario o Tareas]],Product_Backlog[],4,0),"")</f>
        <v>10</v>
      </c>
      <c r="H23" s="14">
        <f>IFERROR(VLOOKUP(Sprint_Backlog[[#This Row],[Historia de Usuario o Tareas]],Product_Backlog[],5,0),"")</f>
        <v>20</v>
      </c>
      <c r="I23" s="56">
        <v>50</v>
      </c>
      <c r="J23" s="6" t="s">
        <v>117</v>
      </c>
      <c r="K23" s="76"/>
    </row>
    <row r="24" spans="3:11" ht="30" customHeight="1">
      <c r="C24" s="51" t="s">
        <v>64</v>
      </c>
      <c r="D24" s="14" t="str">
        <f>IFERROR(VLOOKUP(Sprint_Backlog[[#This Row],[Historia de Usuario o Tareas]],Product_Backlog[],2,0),"")</f>
        <v>HU-020</v>
      </c>
      <c r="E24" s="51">
        <v>1</v>
      </c>
      <c r="F24" s="52" t="s">
        <v>53</v>
      </c>
      <c r="G24" s="14">
        <f>IFERROR(VLOOKUP(Sprint_Backlog[[#This Row],[Historia de Usuario o Tareas]],Product_Backlog[],4,0),"")</f>
        <v>10</v>
      </c>
      <c r="H24" s="14">
        <f>IFERROR(VLOOKUP(Sprint_Backlog[[#This Row],[Historia de Usuario o Tareas]],Product_Backlog[],5,0),"")</f>
        <v>20</v>
      </c>
      <c r="I24" s="56">
        <v>50</v>
      </c>
      <c r="J24" s="6" t="s">
        <v>117</v>
      </c>
      <c r="K24" s="76"/>
    </row>
    <row r="25" spans="3:11" ht="30" customHeight="1">
      <c r="C25" s="51" t="s">
        <v>67</v>
      </c>
      <c r="D25" s="14" t="str">
        <f>IFERROR(VLOOKUP(Sprint_Backlog[[#This Row],[Historia de Usuario o Tareas]],Product_Backlog[],2,0),"")</f>
        <v>HU-021</v>
      </c>
      <c r="E25" s="51">
        <v>1</v>
      </c>
      <c r="F25" s="52" t="s">
        <v>53</v>
      </c>
      <c r="G25" s="14">
        <f>IFERROR(VLOOKUP(Sprint_Backlog[[#This Row],[Historia de Usuario o Tareas]],Product_Backlog[],4,0),"")</f>
        <v>10</v>
      </c>
      <c r="H25" s="14">
        <f>IFERROR(VLOOKUP(Sprint_Backlog[[#This Row],[Historia de Usuario o Tareas]],Product_Backlog[],5,0),"")</f>
        <v>20</v>
      </c>
      <c r="I25" s="56">
        <v>50</v>
      </c>
      <c r="J25" s="6" t="s">
        <v>117</v>
      </c>
      <c r="K25" s="76"/>
    </row>
    <row r="26" spans="3:11" ht="30" customHeight="1">
      <c r="C26" s="51" t="s">
        <v>68</v>
      </c>
      <c r="D26" s="14" t="str">
        <f>IFERROR(VLOOKUP(Sprint_Backlog[[#This Row],[Historia de Usuario o Tareas]],Product_Backlog[],2,0),"")</f>
        <v>HU-022</v>
      </c>
      <c r="E26" s="51">
        <v>1</v>
      </c>
      <c r="F26" s="52" t="s">
        <v>53</v>
      </c>
      <c r="G26" s="14">
        <f>IFERROR(VLOOKUP(Sprint_Backlog[[#This Row],[Historia de Usuario o Tareas]],Product_Backlog[],4,0),"")</f>
        <v>10</v>
      </c>
      <c r="H26" s="14">
        <f>IFERROR(VLOOKUP(Sprint_Backlog[[#This Row],[Historia de Usuario o Tareas]],Product_Backlog[],5,0),"")</f>
        <v>20</v>
      </c>
      <c r="I26" s="56">
        <v>50</v>
      </c>
      <c r="J26" s="6" t="s">
        <v>117</v>
      </c>
      <c r="K26" s="76"/>
    </row>
    <row r="27" spans="3:11" ht="30" customHeight="1">
      <c r="C27" s="51" t="s">
        <v>69</v>
      </c>
      <c r="D27" s="14" t="str">
        <f>IFERROR(VLOOKUP(Sprint_Backlog[[#This Row],[Historia de Usuario o Tareas]],Product_Backlog[],2,0),"")</f>
        <v>HU-023</v>
      </c>
      <c r="E27" s="51">
        <v>1</v>
      </c>
      <c r="F27" s="52" t="s">
        <v>53</v>
      </c>
      <c r="G27" s="14">
        <f>IFERROR(VLOOKUP(Sprint_Backlog[[#This Row],[Historia de Usuario o Tareas]],Product_Backlog[],4,0),"")</f>
        <v>10</v>
      </c>
      <c r="H27" s="14">
        <f>IFERROR(VLOOKUP(Sprint_Backlog[[#This Row],[Historia de Usuario o Tareas]],Product_Backlog[],5,0),"")</f>
        <v>20</v>
      </c>
      <c r="I27" s="56">
        <v>50</v>
      </c>
      <c r="J27" s="6" t="s">
        <v>117</v>
      </c>
      <c r="K27" s="76"/>
    </row>
    <row r="28" spans="3:11" ht="30" customHeight="1">
      <c r="C28" s="51" t="s">
        <v>70</v>
      </c>
      <c r="D28" s="14" t="str">
        <f>IFERROR(VLOOKUP(Sprint_Backlog[[#This Row],[Historia de Usuario o Tareas]],Product_Backlog[],2,0),"")</f>
        <v>HU-024</v>
      </c>
      <c r="E28" s="51">
        <v>1</v>
      </c>
      <c r="F28" s="52" t="s">
        <v>53</v>
      </c>
      <c r="G28" s="14">
        <f>IFERROR(VLOOKUP(Sprint_Backlog[[#This Row],[Historia de Usuario o Tareas]],Product_Backlog[],4,0),"")</f>
        <v>10</v>
      </c>
      <c r="H28" s="14">
        <f>IFERROR(VLOOKUP(Sprint_Backlog[[#This Row],[Historia de Usuario o Tareas]],Product_Backlog[],5,0),"")</f>
        <v>20</v>
      </c>
      <c r="I28" s="56">
        <v>50</v>
      </c>
      <c r="J28" s="6" t="s">
        <v>117</v>
      </c>
      <c r="K28" s="76"/>
    </row>
    <row r="29" spans="3:11" ht="30" customHeight="1">
      <c r="C29" s="51" t="s">
        <v>71</v>
      </c>
      <c r="D29" s="14" t="str">
        <f>IFERROR(VLOOKUP(Sprint_Backlog[[#This Row],[Historia de Usuario o Tareas]],Product_Backlog[],2,0),"")</f>
        <v>HU-025</v>
      </c>
      <c r="E29" s="51">
        <v>3</v>
      </c>
      <c r="F29" s="52" t="s">
        <v>53</v>
      </c>
      <c r="G29" s="14">
        <f>IFERROR(VLOOKUP(Sprint_Backlog[[#This Row],[Historia de Usuario o Tareas]],Product_Backlog[],4,0),"")</f>
        <v>100</v>
      </c>
      <c r="H29" s="14">
        <f>IFERROR(VLOOKUP(Sprint_Backlog[[#This Row],[Historia de Usuario o Tareas]],Product_Backlog[],5,0),"")</f>
        <v>20</v>
      </c>
      <c r="I29" s="56">
        <v>50</v>
      </c>
      <c r="J29" s="6" t="s">
        <v>117</v>
      </c>
      <c r="K29" s="76"/>
    </row>
    <row r="30" spans="3:11" ht="30" customHeight="1">
      <c r="C30" s="51" t="s">
        <v>72</v>
      </c>
      <c r="D30" s="14" t="str">
        <f>IFERROR(VLOOKUP(Sprint_Backlog[[#This Row],[Historia de Usuario o Tareas]],Product_Backlog[],2,0),"")</f>
        <v>HU-026</v>
      </c>
      <c r="E30" s="51">
        <v>1</v>
      </c>
      <c r="F30" s="52" t="s">
        <v>53</v>
      </c>
      <c r="G30" s="14">
        <f>IFERROR(VLOOKUP(Sprint_Backlog[[#This Row],[Historia de Usuario o Tareas]],Product_Backlog[],4,0),"")</f>
        <v>10</v>
      </c>
      <c r="H30" s="14">
        <f>IFERROR(VLOOKUP(Sprint_Backlog[[#This Row],[Historia de Usuario o Tareas]],Product_Backlog[],5,0),"")</f>
        <v>20</v>
      </c>
      <c r="I30" s="56">
        <v>50</v>
      </c>
      <c r="J30" s="6" t="s">
        <v>117</v>
      </c>
      <c r="K30" s="76"/>
    </row>
    <row r="31" spans="3:11" ht="30" customHeight="1">
      <c r="C31" s="51" t="s">
        <v>73</v>
      </c>
      <c r="D31" s="14" t="str">
        <f>IFERROR(VLOOKUP(Sprint_Backlog[[#This Row],[Historia de Usuario o Tareas]],Product_Backlog[],2,0),"")</f>
        <v>HU-027</v>
      </c>
      <c r="E31" s="51">
        <v>1</v>
      </c>
      <c r="F31" s="52" t="s">
        <v>53</v>
      </c>
      <c r="G31" s="14">
        <f>IFERROR(VLOOKUP(Sprint_Backlog[[#This Row],[Historia de Usuario o Tareas]],Product_Backlog[],4,0),"")</f>
        <v>10</v>
      </c>
      <c r="H31" s="14">
        <f>IFERROR(VLOOKUP(Sprint_Backlog[[#This Row],[Historia de Usuario o Tareas]],Product_Backlog[],5,0),"")</f>
        <v>20</v>
      </c>
      <c r="I31" s="56">
        <v>50</v>
      </c>
      <c r="J31" s="6" t="s">
        <v>117</v>
      </c>
      <c r="K31" s="76"/>
    </row>
    <row r="32" spans="3:11" ht="30" customHeight="1">
      <c r="C32" s="51" t="s">
        <v>74</v>
      </c>
      <c r="D32" s="14" t="str">
        <f>IFERROR(VLOOKUP(Sprint_Backlog[[#This Row],[Historia de Usuario o Tareas]],Product_Backlog[],2,0),"")</f>
        <v>HU-028</v>
      </c>
      <c r="E32" s="51">
        <v>1</v>
      </c>
      <c r="F32" s="52" t="s">
        <v>53</v>
      </c>
      <c r="G32" s="14">
        <f>IFERROR(VLOOKUP(Sprint_Backlog[[#This Row],[Historia de Usuario o Tareas]],Product_Backlog[],4,0),"")</f>
        <v>10</v>
      </c>
      <c r="H32" s="14">
        <f>IFERROR(VLOOKUP(Sprint_Backlog[[#This Row],[Historia de Usuario o Tareas]],Product_Backlog[],5,0),"")</f>
        <v>20</v>
      </c>
      <c r="I32" s="56">
        <v>50</v>
      </c>
      <c r="J32" s="6" t="s">
        <v>117</v>
      </c>
      <c r="K32" s="76"/>
    </row>
    <row r="33" spans="3:11" ht="30" customHeight="1">
      <c r="C33" s="51" t="s">
        <v>75</v>
      </c>
      <c r="D33" s="14" t="str">
        <f>IFERROR(VLOOKUP(Sprint_Backlog[[#This Row],[Historia de Usuario o Tareas]],Product_Backlog[],2,0),"")</f>
        <v>HU-029</v>
      </c>
      <c r="E33" s="51">
        <v>1</v>
      </c>
      <c r="F33" s="52" t="s">
        <v>53</v>
      </c>
      <c r="G33" s="14">
        <f>IFERROR(VLOOKUP(Sprint_Backlog[[#This Row],[Historia de Usuario o Tareas]],Product_Backlog[],4,0),"")</f>
        <v>10</v>
      </c>
      <c r="H33" s="14">
        <f>IFERROR(VLOOKUP(Sprint_Backlog[[#This Row],[Historia de Usuario o Tareas]],Product_Backlog[],5,0),"")</f>
        <v>20</v>
      </c>
      <c r="I33" s="56">
        <v>50</v>
      </c>
      <c r="J33" s="6" t="s">
        <v>117</v>
      </c>
      <c r="K33" s="76"/>
    </row>
    <row r="34" spans="3:11" ht="30" customHeight="1">
      <c r="C34" s="51" t="s">
        <v>76</v>
      </c>
      <c r="D34" s="14" t="str">
        <f>IFERROR(VLOOKUP(Sprint_Backlog[[#This Row],[Historia de Usuario o Tareas]],Product_Backlog[],2,0),"")</f>
        <v>HU-030</v>
      </c>
      <c r="E34" s="51">
        <v>1</v>
      </c>
      <c r="F34" s="52" t="s">
        <v>53</v>
      </c>
      <c r="G34" s="14">
        <f>IFERROR(VLOOKUP(Sprint_Backlog[[#This Row],[Historia de Usuario o Tareas]],Product_Backlog[],4,0),"")</f>
        <v>10</v>
      </c>
      <c r="H34" s="14">
        <f>IFERROR(VLOOKUP(Sprint_Backlog[[#This Row],[Historia de Usuario o Tareas]],Product_Backlog[],5,0),"")</f>
        <v>20</v>
      </c>
      <c r="I34" s="56">
        <v>50</v>
      </c>
      <c r="J34" s="6" t="s">
        <v>117</v>
      </c>
      <c r="K34" s="76"/>
    </row>
    <row r="35" spans="3:11" ht="30" customHeight="1">
      <c r="C35" s="51" t="s">
        <v>85</v>
      </c>
      <c r="D35" s="14" t="str">
        <f>IFERROR(VLOOKUP(Sprint_Backlog[[#This Row],[Historia de Usuario o Tareas]],Product_Backlog[],2,0),"")</f>
        <v>HU-031</v>
      </c>
      <c r="E35" s="51">
        <v>1</v>
      </c>
      <c r="F35" s="52" t="s">
        <v>53</v>
      </c>
      <c r="G35" s="14">
        <f>IFERROR(VLOOKUP(Sprint_Backlog[[#This Row],[Historia de Usuario o Tareas]],Product_Backlog[],4,0),"")</f>
        <v>10</v>
      </c>
      <c r="H35" s="14">
        <f>IFERROR(VLOOKUP(Sprint_Backlog[[#This Row],[Historia de Usuario o Tareas]],Product_Backlog[],5,0),"")</f>
        <v>20</v>
      </c>
      <c r="I35" s="56">
        <v>50</v>
      </c>
      <c r="J35" s="6" t="s">
        <v>117</v>
      </c>
      <c r="K35" s="76"/>
    </row>
    <row r="36" spans="3:11" ht="30" customHeight="1">
      <c r="C36" s="51" t="s">
        <v>86</v>
      </c>
      <c r="D36" s="14" t="str">
        <f>IFERROR(VLOOKUP(Sprint_Backlog[[#This Row],[Historia de Usuario o Tareas]],Product_Backlog[],2,0),"")</f>
        <v>HU-032</v>
      </c>
      <c r="E36" s="51">
        <v>1</v>
      </c>
      <c r="F36" s="52" t="s">
        <v>53</v>
      </c>
      <c r="G36" s="14">
        <f>IFERROR(VLOOKUP(Sprint_Backlog[[#This Row],[Historia de Usuario o Tareas]],Product_Backlog[],4,0),"")</f>
        <v>10</v>
      </c>
      <c r="H36" s="14">
        <f>IFERROR(VLOOKUP(Sprint_Backlog[[#This Row],[Historia de Usuario o Tareas]],Product_Backlog[],5,0),"")</f>
        <v>20</v>
      </c>
      <c r="I36" s="56">
        <v>50</v>
      </c>
      <c r="J36" s="6" t="s">
        <v>117</v>
      </c>
      <c r="K36" s="76"/>
    </row>
    <row r="37" spans="3:11" ht="30" customHeight="1">
      <c r="C37" s="51" t="s">
        <v>87</v>
      </c>
      <c r="D37" s="14" t="str">
        <f>IFERROR(VLOOKUP(Sprint_Backlog[[#This Row],[Historia de Usuario o Tareas]],Product_Backlog[],2,0),"")</f>
        <v>HU-033</v>
      </c>
      <c r="E37" s="51">
        <v>1</v>
      </c>
      <c r="F37" s="52" t="s">
        <v>53</v>
      </c>
      <c r="G37" s="14">
        <f>IFERROR(VLOOKUP(Sprint_Backlog[[#This Row],[Historia de Usuario o Tareas]],Product_Backlog[],4,0),"")</f>
        <v>10</v>
      </c>
      <c r="H37" s="14">
        <f>IFERROR(VLOOKUP(Sprint_Backlog[[#This Row],[Historia de Usuario o Tareas]],Product_Backlog[],5,0),"")</f>
        <v>20</v>
      </c>
      <c r="I37" s="56">
        <v>50</v>
      </c>
      <c r="J37" s="6" t="s">
        <v>117</v>
      </c>
      <c r="K37" s="76"/>
    </row>
    <row r="38" spans="3:11" ht="30" customHeight="1">
      <c r="C38" s="51" t="s">
        <v>88</v>
      </c>
      <c r="D38" s="14" t="str">
        <f>IFERROR(VLOOKUP(Sprint_Backlog[[#This Row],[Historia de Usuario o Tareas]],Product_Backlog[],2,0),"")</f>
        <v>HU-034</v>
      </c>
      <c r="E38" s="51">
        <v>1</v>
      </c>
      <c r="F38" s="52" t="s">
        <v>53</v>
      </c>
      <c r="G38" s="14">
        <f>IFERROR(VLOOKUP(Sprint_Backlog[[#This Row],[Historia de Usuario o Tareas]],Product_Backlog[],4,0),"")</f>
        <v>10</v>
      </c>
      <c r="H38" s="14">
        <f>IFERROR(VLOOKUP(Sprint_Backlog[[#This Row],[Historia de Usuario o Tareas]],Product_Backlog[],5,0),"")</f>
        <v>20</v>
      </c>
      <c r="I38" s="56">
        <v>50</v>
      </c>
      <c r="J38" s="6" t="s">
        <v>117</v>
      </c>
      <c r="K38" s="76"/>
    </row>
    <row r="39" spans="3:11" ht="30" customHeight="1">
      <c r="C39" s="51" t="s">
        <v>89</v>
      </c>
      <c r="D39" s="14" t="str">
        <f>IFERROR(VLOOKUP(Sprint_Backlog[[#This Row],[Historia de Usuario o Tareas]],Product_Backlog[],2,0),"")</f>
        <v>HU-035</v>
      </c>
      <c r="E39" s="51">
        <v>1</v>
      </c>
      <c r="F39" s="52" t="s">
        <v>53</v>
      </c>
      <c r="G39" s="14">
        <f>IFERROR(VLOOKUP(Sprint_Backlog[[#This Row],[Historia de Usuario o Tareas]],Product_Backlog[],4,0),"")</f>
        <v>10</v>
      </c>
      <c r="H39" s="14">
        <f>IFERROR(VLOOKUP(Sprint_Backlog[[#This Row],[Historia de Usuario o Tareas]],Product_Backlog[],5,0),"")</f>
        <v>20</v>
      </c>
      <c r="I39" s="56">
        <v>50</v>
      </c>
      <c r="J39" s="6" t="s">
        <v>117</v>
      </c>
      <c r="K39" s="76"/>
    </row>
    <row r="40" spans="3:11" ht="30" customHeight="1">
      <c r="C40" s="51" t="s">
        <v>90</v>
      </c>
      <c r="D40" s="14" t="str">
        <f>IFERROR(VLOOKUP(Sprint_Backlog[[#This Row],[Historia de Usuario o Tareas]],Product_Backlog[],2,0),"")</f>
        <v>HU-036</v>
      </c>
      <c r="E40" s="51">
        <v>1</v>
      </c>
      <c r="F40" s="52" t="s">
        <v>53</v>
      </c>
      <c r="G40" s="14">
        <f>IFERROR(VLOOKUP(Sprint_Backlog[[#This Row],[Historia de Usuario o Tareas]],Product_Backlog[],4,0),"")</f>
        <v>10</v>
      </c>
      <c r="H40" s="14">
        <f>IFERROR(VLOOKUP(Sprint_Backlog[[#This Row],[Historia de Usuario o Tareas]],Product_Backlog[],5,0),"")</f>
        <v>20</v>
      </c>
      <c r="I40" s="56">
        <v>50</v>
      </c>
      <c r="J40" s="6" t="s">
        <v>117</v>
      </c>
      <c r="K40" s="76"/>
    </row>
    <row r="41" spans="3:11" ht="30" customHeight="1">
      <c r="C41" s="51" t="s">
        <v>91</v>
      </c>
      <c r="D41" s="14" t="str">
        <f>IFERROR(VLOOKUP(Sprint_Backlog[[#This Row],[Historia de Usuario o Tareas]],Product_Backlog[],2,0),"")</f>
        <v>HU-037</v>
      </c>
      <c r="E41" s="51">
        <v>1</v>
      </c>
      <c r="F41" s="52" t="s">
        <v>53</v>
      </c>
      <c r="G41" s="14">
        <f>IFERROR(VLOOKUP(Sprint_Backlog[[#This Row],[Historia de Usuario o Tareas]],Product_Backlog[],4,0),"")</f>
        <v>10</v>
      </c>
      <c r="H41" s="14">
        <f>IFERROR(VLOOKUP(Sprint_Backlog[[#This Row],[Historia de Usuario o Tareas]],Product_Backlog[],5,0),"")</f>
        <v>20</v>
      </c>
      <c r="I41" s="56">
        <v>50</v>
      </c>
      <c r="J41" s="6" t="s">
        <v>117</v>
      </c>
      <c r="K41" s="76"/>
    </row>
    <row r="42" spans="3:11" ht="30" customHeight="1">
      <c r="C42" s="51" t="s">
        <v>92</v>
      </c>
      <c r="D42" s="14" t="str">
        <f>IFERROR(VLOOKUP(Sprint_Backlog[[#This Row],[Historia de Usuario o Tareas]],Product_Backlog[],2,0),"")</f>
        <v>HU-038</v>
      </c>
      <c r="E42" s="51">
        <v>1</v>
      </c>
      <c r="F42" s="52" t="s">
        <v>53</v>
      </c>
      <c r="G42" s="14">
        <f>IFERROR(VLOOKUP(Sprint_Backlog[[#This Row],[Historia de Usuario o Tareas]],Product_Backlog[],4,0),"")</f>
        <v>10</v>
      </c>
      <c r="H42" s="14">
        <f>IFERROR(VLOOKUP(Sprint_Backlog[[#This Row],[Historia de Usuario o Tareas]],Product_Backlog[],5,0),"")</f>
        <v>20</v>
      </c>
      <c r="I42" s="56">
        <v>50</v>
      </c>
      <c r="J42" s="6" t="s">
        <v>117</v>
      </c>
      <c r="K42" s="76"/>
    </row>
    <row r="43" spans="3:11" ht="30" customHeight="1">
      <c r="C43" s="51" t="s">
        <v>93</v>
      </c>
      <c r="D43" s="14" t="str">
        <f>IFERROR(VLOOKUP(Sprint_Backlog[[#This Row],[Historia de Usuario o Tareas]],Product_Backlog[],2,0),"")</f>
        <v>HU-039</v>
      </c>
      <c r="E43" s="51">
        <v>1</v>
      </c>
      <c r="F43" s="52" t="s">
        <v>53</v>
      </c>
      <c r="G43" s="14">
        <f>IFERROR(VLOOKUP(Sprint_Backlog[[#This Row],[Historia de Usuario o Tareas]],Product_Backlog[],4,0),"")</f>
        <v>10</v>
      </c>
      <c r="H43" s="14">
        <f>IFERROR(VLOOKUP(Sprint_Backlog[[#This Row],[Historia de Usuario o Tareas]],Product_Backlog[],5,0),"")</f>
        <v>20</v>
      </c>
      <c r="I43" s="56">
        <v>50</v>
      </c>
      <c r="J43" s="6" t="s">
        <v>117</v>
      </c>
      <c r="K43" s="76"/>
    </row>
    <row r="44" spans="3:11" ht="30" customHeight="1">
      <c r="C44" s="51" t="s">
        <v>94</v>
      </c>
      <c r="D44" s="14" t="str">
        <f>IFERROR(VLOOKUP(Sprint_Backlog[[#This Row],[Historia de Usuario o Tareas]],Product_Backlog[],2,0),"")</f>
        <v>HU-040</v>
      </c>
      <c r="E44" s="51">
        <v>1</v>
      </c>
      <c r="F44" s="52" t="s">
        <v>53</v>
      </c>
      <c r="G44" s="14">
        <f>IFERROR(VLOOKUP(Sprint_Backlog[[#This Row],[Historia de Usuario o Tareas]],Product_Backlog[],4,0),"")</f>
        <v>10</v>
      </c>
      <c r="H44" s="14">
        <f>IFERROR(VLOOKUP(Sprint_Backlog[[#This Row],[Historia de Usuario o Tareas]],Product_Backlog[],5,0),"")</f>
        <v>20</v>
      </c>
      <c r="I44" s="56">
        <v>50</v>
      </c>
      <c r="J44" s="6" t="s">
        <v>117</v>
      </c>
      <c r="K44" s="76"/>
    </row>
    <row r="45" spans="3:11" ht="30" customHeight="1">
      <c r="C45" s="51" t="s">
        <v>95</v>
      </c>
      <c r="D45" s="14" t="str">
        <f>IFERROR(VLOOKUP(Sprint_Backlog[[#This Row],[Historia de Usuario o Tareas]],Product_Backlog[],2,0),"")</f>
        <v>HU-041</v>
      </c>
      <c r="E45" s="51">
        <v>1</v>
      </c>
      <c r="F45" s="52" t="s">
        <v>53</v>
      </c>
      <c r="G45" s="14">
        <f>IFERROR(VLOOKUP(Sprint_Backlog[[#This Row],[Historia de Usuario o Tareas]],Product_Backlog[],4,0),"")</f>
        <v>10</v>
      </c>
      <c r="H45" s="14">
        <f>IFERROR(VLOOKUP(Sprint_Backlog[[#This Row],[Historia de Usuario o Tareas]],Product_Backlog[],5,0),"")</f>
        <v>20</v>
      </c>
      <c r="I45" s="56">
        <v>50</v>
      </c>
      <c r="J45" s="6" t="s">
        <v>117</v>
      </c>
      <c r="K45" s="76"/>
    </row>
    <row r="46" spans="3:11" ht="30" customHeight="1">
      <c r="C46" s="51" t="s">
        <v>96</v>
      </c>
      <c r="D46" s="14" t="str">
        <f>IFERROR(VLOOKUP(Sprint_Backlog[[#This Row],[Historia de Usuario o Tareas]],Product_Backlog[],2,0),"")</f>
        <v>HU-042</v>
      </c>
      <c r="E46" s="51">
        <v>1</v>
      </c>
      <c r="F46" s="52" t="s">
        <v>53</v>
      </c>
      <c r="G46" s="14">
        <f>IFERROR(VLOOKUP(Sprint_Backlog[[#This Row],[Historia de Usuario o Tareas]],Product_Backlog[],4,0),"")</f>
        <v>10</v>
      </c>
      <c r="H46" s="14">
        <f>IFERROR(VLOOKUP(Sprint_Backlog[[#This Row],[Historia de Usuario o Tareas]],Product_Backlog[],5,0),"")</f>
        <v>20</v>
      </c>
      <c r="I46" s="56">
        <v>50</v>
      </c>
      <c r="J46" s="6" t="s">
        <v>117</v>
      </c>
      <c r="K46" s="76"/>
    </row>
    <row r="47" spans="3:11" ht="30" customHeight="1">
      <c r="C47" s="51" t="s">
        <v>97</v>
      </c>
      <c r="D47" s="14" t="str">
        <f>IFERROR(VLOOKUP(Sprint_Backlog[[#This Row],[Historia de Usuario o Tareas]],Product_Backlog[],2,0),"")</f>
        <v>HU-043</v>
      </c>
      <c r="E47" s="51">
        <v>1</v>
      </c>
      <c r="F47" s="52" t="s">
        <v>53</v>
      </c>
      <c r="G47" s="14">
        <f>IFERROR(VLOOKUP(Sprint_Backlog[[#This Row],[Historia de Usuario o Tareas]],Product_Backlog[],4,0),"")</f>
        <v>10</v>
      </c>
      <c r="H47" s="14">
        <f>IFERROR(VLOOKUP(Sprint_Backlog[[#This Row],[Historia de Usuario o Tareas]],Product_Backlog[],5,0),"")</f>
        <v>20</v>
      </c>
      <c r="I47" s="56">
        <v>50</v>
      </c>
      <c r="J47" s="6" t="s">
        <v>117</v>
      </c>
      <c r="K47" s="76"/>
    </row>
    <row r="48" spans="3:11" ht="30" customHeight="1">
      <c r="C48" s="51" t="s">
        <v>98</v>
      </c>
      <c r="D48" s="14" t="str">
        <f>IFERROR(VLOOKUP(Sprint_Backlog[[#This Row],[Historia de Usuario o Tareas]],Product_Backlog[],2,0),"")</f>
        <v>HU-044</v>
      </c>
      <c r="E48" s="51">
        <v>1</v>
      </c>
      <c r="F48" s="52" t="s">
        <v>53</v>
      </c>
      <c r="G48" s="14">
        <f>IFERROR(VLOOKUP(Sprint_Backlog[[#This Row],[Historia de Usuario o Tareas]],Product_Backlog[],4,0),"")</f>
        <v>10</v>
      </c>
      <c r="H48" s="14">
        <f>IFERROR(VLOOKUP(Sprint_Backlog[[#This Row],[Historia de Usuario o Tareas]],Product_Backlog[],5,0),"")</f>
        <v>20</v>
      </c>
      <c r="I48" s="56">
        <v>50</v>
      </c>
      <c r="J48" s="6" t="s">
        <v>117</v>
      </c>
      <c r="K48" s="76"/>
    </row>
    <row r="49" spans="3:11" ht="30" customHeight="1">
      <c r="C49" s="51" t="s">
        <v>99</v>
      </c>
      <c r="D49" s="14" t="str">
        <f>IFERROR(VLOOKUP(Sprint_Backlog[[#This Row],[Historia de Usuario o Tareas]],Product_Backlog[],2,0),"")</f>
        <v>HU-045</v>
      </c>
      <c r="E49" s="51">
        <v>1</v>
      </c>
      <c r="F49" s="52" t="s">
        <v>53</v>
      </c>
      <c r="G49" s="14">
        <f>IFERROR(VLOOKUP(Sprint_Backlog[[#This Row],[Historia de Usuario o Tareas]],Product_Backlog[],4,0),"")</f>
        <v>10</v>
      </c>
      <c r="H49" s="14">
        <f>IFERROR(VLOOKUP(Sprint_Backlog[[#This Row],[Historia de Usuario o Tareas]],Product_Backlog[],5,0),"")</f>
        <v>20</v>
      </c>
      <c r="I49" s="56">
        <v>50</v>
      </c>
      <c r="J49" s="6" t="s">
        <v>117</v>
      </c>
      <c r="K49" s="76"/>
    </row>
    <row r="50" spans="3:11" ht="30" customHeight="1">
      <c r="C50" s="51" t="s">
        <v>100</v>
      </c>
      <c r="D50" s="14" t="str">
        <f>IFERROR(VLOOKUP(Sprint_Backlog[[#This Row],[Historia de Usuario o Tareas]],Product_Backlog[],2,0),"")</f>
        <v>HU-046</v>
      </c>
      <c r="E50" s="51">
        <v>1</v>
      </c>
      <c r="F50" s="52" t="s">
        <v>53</v>
      </c>
      <c r="G50" s="14">
        <f>IFERROR(VLOOKUP(Sprint_Backlog[[#This Row],[Historia de Usuario o Tareas]],Product_Backlog[],4,0),"")</f>
        <v>10</v>
      </c>
      <c r="H50" s="14">
        <f>IFERROR(VLOOKUP(Sprint_Backlog[[#This Row],[Historia de Usuario o Tareas]],Product_Backlog[],5,0),"")</f>
        <v>20</v>
      </c>
      <c r="I50" s="56">
        <v>50</v>
      </c>
      <c r="J50" s="6" t="s">
        <v>117</v>
      </c>
      <c r="K50" s="76"/>
    </row>
    <row r="51" spans="3:11" ht="30" customHeight="1">
      <c r="C51" s="51" t="s">
        <v>101</v>
      </c>
      <c r="D51" s="14" t="str">
        <f>IFERROR(VLOOKUP(Sprint_Backlog[[#This Row],[Historia de Usuario o Tareas]],Product_Backlog[],2,0),"")</f>
        <v>HU-047</v>
      </c>
      <c r="E51" s="51">
        <v>1</v>
      </c>
      <c r="F51" s="52" t="s">
        <v>53</v>
      </c>
      <c r="G51" s="14">
        <f>IFERROR(VLOOKUP(Sprint_Backlog[[#This Row],[Historia de Usuario o Tareas]],Product_Backlog[],4,0),"")</f>
        <v>10</v>
      </c>
      <c r="H51" s="14">
        <f>IFERROR(VLOOKUP(Sprint_Backlog[[#This Row],[Historia de Usuario o Tareas]],Product_Backlog[],5,0),"")</f>
        <v>20</v>
      </c>
      <c r="I51" s="56">
        <v>50</v>
      </c>
      <c r="J51" s="6" t="s">
        <v>117</v>
      </c>
      <c r="K51" s="76"/>
    </row>
    <row r="52" spans="3:11" ht="30" customHeight="1">
      <c r="C52" s="51" t="s">
        <v>102</v>
      </c>
      <c r="D52" s="14" t="str">
        <f>IFERROR(VLOOKUP(Sprint_Backlog[[#This Row],[Historia de Usuario o Tareas]],Product_Backlog[],2,0),"")</f>
        <v>HU-048</v>
      </c>
      <c r="E52" s="51">
        <v>1</v>
      </c>
      <c r="F52" s="52" t="s">
        <v>53</v>
      </c>
      <c r="G52" s="14">
        <f>IFERROR(VLOOKUP(Sprint_Backlog[[#This Row],[Historia de Usuario o Tareas]],Product_Backlog[],4,0),"")</f>
        <v>10</v>
      </c>
      <c r="H52" s="14">
        <f>IFERROR(VLOOKUP(Sprint_Backlog[[#This Row],[Historia de Usuario o Tareas]],Product_Backlog[],5,0),"")</f>
        <v>20</v>
      </c>
      <c r="I52" s="56">
        <v>50</v>
      </c>
      <c r="J52" s="6" t="s">
        <v>117</v>
      </c>
      <c r="K52" s="76"/>
    </row>
    <row r="53" spans="3:11" ht="30" customHeight="1">
      <c r="C53" s="51" t="s">
        <v>103</v>
      </c>
      <c r="D53" s="14" t="str">
        <f>IFERROR(VLOOKUP(Sprint_Backlog[[#This Row],[Historia de Usuario o Tareas]],Product_Backlog[],2,0),"")</f>
        <v>HU-049</v>
      </c>
      <c r="E53" s="51">
        <v>1</v>
      </c>
      <c r="F53" s="52" t="s">
        <v>53</v>
      </c>
      <c r="G53" s="14">
        <f>IFERROR(VLOOKUP(Sprint_Backlog[[#This Row],[Historia de Usuario o Tareas]],Product_Backlog[],4,0),"")</f>
        <v>10</v>
      </c>
      <c r="H53" s="14">
        <f>IFERROR(VLOOKUP(Sprint_Backlog[[#This Row],[Historia de Usuario o Tareas]],Product_Backlog[],5,0),"")</f>
        <v>20</v>
      </c>
      <c r="I53" s="56">
        <v>50</v>
      </c>
      <c r="J53" s="6" t="s">
        <v>117</v>
      </c>
      <c r="K53" s="76"/>
    </row>
    <row r="54" spans="3:11" ht="30" customHeight="1">
      <c r="C54" s="51" t="s">
        <v>104</v>
      </c>
      <c r="D54" s="14" t="str">
        <f>IFERROR(VLOOKUP(Sprint_Backlog[[#This Row],[Historia de Usuario o Tareas]],Product_Backlog[],2,0),"")</f>
        <v>HU-050</v>
      </c>
      <c r="E54" s="51">
        <v>1</v>
      </c>
      <c r="F54" s="52" t="s">
        <v>53</v>
      </c>
      <c r="G54" s="14">
        <f>IFERROR(VLOOKUP(Sprint_Backlog[[#This Row],[Historia de Usuario o Tareas]],Product_Backlog[],4,0),"")</f>
        <v>10</v>
      </c>
      <c r="H54" s="14">
        <f>IFERROR(VLOOKUP(Sprint_Backlog[[#This Row],[Historia de Usuario o Tareas]],Product_Backlog[],5,0),"")</f>
        <v>20</v>
      </c>
      <c r="I54" s="56">
        <v>50</v>
      </c>
      <c r="J54" s="6" t="s">
        <v>117</v>
      </c>
      <c r="K54" s="76"/>
    </row>
    <row r="55" spans="3:11" ht="30" customHeight="1">
      <c r="C55" s="51" t="s">
        <v>105</v>
      </c>
      <c r="D55" s="14" t="str">
        <f>IFERROR(VLOOKUP(Sprint_Backlog[[#This Row],[Historia de Usuario o Tareas]],Product_Backlog[],2,0),"")</f>
        <v>HU-051</v>
      </c>
      <c r="E55" s="51">
        <v>1</v>
      </c>
      <c r="F55" s="52" t="s">
        <v>53</v>
      </c>
      <c r="G55" s="14">
        <f>IFERROR(VLOOKUP(Sprint_Backlog[[#This Row],[Historia de Usuario o Tareas]],Product_Backlog[],4,0),"")</f>
        <v>10</v>
      </c>
      <c r="H55" s="14">
        <f>IFERROR(VLOOKUP(Sprint_Backlog[[#This Row],[Historia de Usuario o Tareas]],Product_Backlog[],5,0),"")</f>
        <v>20</v>
      </c>
      <c r="I55" s="56">
        <v>50</v>
      </c>
      <c r="J55" s="6" t="s">
        <v>117</v>
      </c>
      <c r="K55" s="76"/>
    </row>
    <row r="56" spans="3:11" ht="30" customHeight="1">
      <c r="C56" s="51" t="s">
        <v>106</v>
      </c>
      <c r="D56" s="14" t="str">
        <f>IFERROR(VLOOKUP(Sprint_Backlog[[#This Row],[Historia de Usuario o Tareas]],Product_Backlog[],2,0),"")</f>
        <v>HU-052</v>
      </c>
      <c r="E56" s="51">
        <v>1</v>
      </c>
      <c r="F56" s="52" t="s">
        <v>53</v>
      </c>
      <c r="G56" s="14">
        <f>IFERROR(VLOOKUP(Sprint_Backlog[[#This Row],[Historia de Usuario o Tareas]],Product_Backlog[],4,0),"")</f>
        <v>10</v>
      </c>
      <c r="H56" s="14">
        <f>IFERROR(VLOOKUP(Sprint_Backlog[[#This Row],[Historia de Usuario o Tareas]],Product_Backlog[],5,0),"")</f>
        <v>20</v>
      </c>
      <c r="I56" s="56">
        <v>50</v>
      </c>
      <c r="J56" s="6" t="s">
        <v>117</v>
      </c>
      <c r="K56" s="76"/>
    </row>
    <row r="57" spans="3:11" ht="30" customHeight="1">
      <c r="C57" s="51" t="s">
        <v>107</v>
      </c>
      <c r="D57" s="14" t="str">
        <f>IFERROR(VLOOKUP(Sprint_Backlog[[#This Row],[Historia de Usuario o Tareas]],Product_Backlog[],2,0),"")</f>
        <v>HU-053</v>
      </c>
      <c r="E57" s="51">
        <v>1</v>
      </c>
      <c r="F57" s="52" t="s">
        <v>53</v>
      </c>
      <c r="G57" s="14">
        <f>IFERROR(VLOOKUP(Sprint_Backlog[[#This Row],[Historia de Usuario o Tareas]],Product_Backlog[],4,0),"")</f>
        <v>10</v>
      </c>
      <c r="H57" s="14">
        <f>IFERROR(VLOOKUP(Sprint_Backlog[[#This Row],[Historia de Usuario o Tareas]],Product_Backlog[],5,0),"")</f>
        <v>20</v>
      </c>
      <c r="I57" s="56">
        <v>50</v>
      </c>
      <c r="J57" s="6" t="s">
        <v>117</v>
      </c>
      <c r="K57" s="76"/>
    </row>
    <row r="58" spans="3:11" ht="30" customHeight="1">
      <c r="C58" s="51" t="s">
        <v>108</v>
      </c>
      <c r="D58" s="14" t="str">
        <f>IFERROR(VLOOKUP(Sprint_Backlog[[#This Row],[Historia de Usuario o Tareas]],Product_Backlog[],2,0),"")</f>
        <v>HU-054</v>
      </c>
      <c r="E58" s="51">
        <v>1</v>
      </c>
      <c r="F58" s="52" t="s">
        <v>53</v>
      </c>
      <c r="G58" s="14">
        <f>IFERROR(VLOOKUP(Sprint_Backlog[[#This Row],[Historia de Usuario o Tareas]],Product_Backlog[],4,0),"")</f>
        <v>10</v>
      </c>
      <c r="H58" s="14">
        <f>IFERROR(VLOOKUP(Sprint_Backlog[[#This Row],[Historia de Usuario o Tareas]],Product_Backlog[],5,0),"")</f>
        <v>20</v>
      </c>
      <c r="I58" s="56">
        <v>50</v>
      </c>
      <c r="J58" s="6" t="s">
        <v>117</v>
      </c>
      <c r="K58" s="76"/>
    </row>
    <row r="59" spans="3:11" ht="30" customHeight="1">
      <c r="C59" s="51" t="s">
        <v>109</v>
      </c>
      <c r="D59" s="14" t="str">
        <f>IFERROR(VLOOKUP(Sprint_Backlog[[#This Row],[Historia de Usuario o Tareas]],Product_Backlog[],2,0),"")</f>
        <v>HU-055</v>
      </c>
      <c r="E59" s="51">
        <v>1</v>
      </c>
      <c r="F59" s="52" t="s">
        <v>53</v>
      </c>
      <c r="G59" s="14">
        <f>IFERROR(VLOOKUP(Sprint_Backlog[[#This Row],[Historia de Usuario o Tareas]],Product_Backlog[],4,0),"")</f>
        <v>10</v>
      </c>
      <c r="H59" s="14">
        <f>IFERROR(VLOOKUP(Sprint_Backlog[[#This Row],[Historia de Usuario o Tareas]],Product_Backlog[],5,0),"")</f>
        <v>20</v>
      </c>
      <c r="I59" s="56">
        <v>50</v>
      </c>
      <c r="J59" s="6" t="s">
        <v>117</v>
      </c>
      <c r="K59" s="76"/>
    </row>
    <row r="60" spans="3:11" ht="30" customHeight="1">
      <c r="C60" s="51" t="s">
        <v>110</v>
      </c>
      <c r="D60" s="14" t="str">
        <f>IFERROR(VLOOKUP(Sprint_Backlog[[#This Row],[Historia de Usuario o Tareas]],Product_Backlog[],2,0),"")</f>
        <v>HU-056</v>
      </c>
      <c r="E60" s="51">
        <v>1</v>
      </c>
      <c r="F60" s="52" t="s">
        <v>53</v>
      </c>
      <c r="G60" s="14">
        <f>IFERROR(VLOOKUP(Sprint_Backlog[[#This Row],[Historia de Usuario o Tareas]],Product_Backlog[],4,0),"")</f>
        <v>10</v>
      </c>
      <c r="H60" s="14">
        <f>IFERROR(VLOOKUP(Sprint_Backlog[[#This Row],[Historia de Usuario o Tareas]],Product_Backlog[],5,0),"")</f>
        <v>20</v>
      </c>
      <c r="I60" s="56">
        <v>50</v>
      </c>
      <c r="J60" s="6" t="s">
        <v>117</v>
      </c>
      <c r="K60" s="76"/>
    </row>
    <row r="61" spans="3:11" ht="30" customHeight="1">
      <c r="C61" s="51" t="s">
        <v>111</v>
      </c>
      <c r="D61" s="14" t="str">
        <f>IFERROR(VLOOKUP(Sprint_Backlog[[#This Row],[Historia de Usuario o Tareas]],Product_Backlog[],2,0),"")</f>
        <v>HU-057</v>
      </c>
      <c r="E61" s="51">
        <v>1</v>
      </c>
      <c r="F61" s="52" t="s">
        <v>53</v>
      </c>
      <c r="G61" s="14">
        <f>IFERROR(VLOOKUP(Sprint_Backlog[[#This Row],[Historia de Usuario o Tareas]],Product_Backlog[],4,0),"")</f>
        <v>10</v>
      </c>
      <c r="H61" s="14">
        <f>IFERROR(VLOOKUP(Sprint_Backlog[[#This Row],[Historia de Usuario o Tareas]],Product_Backlog[],5,0),"")</f>
        <v>20</v>
      </c>
      <c r="I61" s="56">
        <v>50</v>
      </c>
      <c r="J61" s="6" t="s">
        <v>117</v>
      </c>
      <c r="K61" s="76"/>
    </row>
    <row r="62" spans="3:11" ht="30" customHeight="1">
      <c r="C62" s="51" t="s">
        <v>112</v>
      </c>
      <c r="D62" s="14" t="str">
        <f>IFERROR(VLOOKUP(Sprint_Backlog[[#This Row],[Historia de Usuario o Tareas]],Product_Backlog[],2,0),"")</f>
        <v>HU-058</v>
      </c>
      <c r="E62" s="51">
        <v>5</v>
      </c>
      <c r="F62" s="52" t="s">
        <v>53</v>
      </c>
      <c r="G62" s="14">
        <f>IFERROR(VLOOKUP(Sprint_Backlog[[#This Row],[Historia de Usuario o Tareas]],Product_Backlog[],4,0),"")</f>
        <v>80</v>
      </c>
      <c r="H62" s="14">
        <f>IFERROR(VLOOKUP(Sprint_Backlog[[#This Row],[Historia de Usuario o Tareas]],Product_Backlog[],5,0),"")</f>
        <v>20</v>
      </c>
      <c r="I62" s="56">
        <v>50</v>
      </c>
      <c r="J62" s="6" t="s">
        <v>117</v>
      </c>
      <c r="K62" s="76"/>
    </row>
    <row r="63" spans="3:11" ht="30" customHeight="1">
      <c r="C63" s="51" t="s">
        <v>113</v>
      </c>
      <c r="D63" s="14" t="str">
        <f>IFERROR(VLOOKUP(Sprint_Backlog[[#This Row],[Historia de Usuario o Tareas]],Product_Backlog[],2,0),"")</f>
        <v>HU-059</v>
      </c>
      <c r="E63" s="51">
        <v>1</v>
      </c>
      <c r="F63" s="52" t="s">
        <v>53</v>
      </c>
      <c r="G63" s="14">
        <f>IFERROR(VLOOKUP(Sprint_Backlog[[#This Row],[Historia de Usuario o Tareas]],Product_Backlog[],4,0),"")</f>
        <v>10</v>
      </c>
      <c r="H63" s="14">
        <f>IFERROR(VLOOKUP(Sprint_Backlog[[#This Row],[Historia de Usuario o Tareas]],Product_Backlog[],5,0),"")</f>
        <v>20</v>
      </c>
      <c r="I63" s="56">
        <v>50</v>
      </c>
      <c r="J63" s="6" t="s">
        <v>117</v>
      </c>
      <c r="K63" s="76"/>
    </row>
    <row r="64" spans="3:11" ht="30" customHeight="1">
      <c r="C64" s="62" t="s">
        <v>114</v>
      </c>
      <c r="D64" s="14" t="str">
        <f>IFERROR(VLOOKUP(Sprint_Backlog[[#This Row],[Historia de Usuario o Tareas]],Product_Backlog[],2,0),"")</f>
        <v>HU-060</v>
      </c>
      <c r="E64" s="51">
        <v>4</v>
      </c>
      <c r="F64" s="63" t="s">
        <v>53</v>
      </c>
      <c r="G64" s="14">
        <f>IFERROR(VLOOKUP(Sprint_Backlog[[#This Row],[Historia de Usuario o Tareas]],Product_Backlog[],4,0),"")</f>
        <v>50</v>
      </c>
      <c r="H64" s="14">
        <f>IFERROR(VLOOKUP(Sprint_Backlog[[#This Row],[Historia de Usuario o Tareas]],Product_Backlog[],5,0),"")</f>
        <v>20</v>
      </c>
      <c r="I64" s="64">
        <v>50</v>
      </c>
      <c r="J64" s="6" t="s">
        <v>118</v>
      </c>
      <c r="K64" s="77"/>
    </row>
    <row r="65" spans="3:11" ht="30" customHeight="1">
      <c r="C65" s="61" t="s">
        <v>116</v>
      </c>
      <c r="D65" s="71"/>
      <c r="E65" s="61"/>
      <c r="F65" s="61"/>
      <c r="G65" s="71">
        <f>SUBTOTAL(109,Sprint_Backlog[Puntos])</f>
        <v>930</v>
      </c>
      <c r="H65" s="71">
        <f>SUBTOTAL(109,Sprint_Backlog[Horas programadas])</f>
        <v>1260</v>
      </c>
      <c r="I65" s="71">
        <f>SUBTOTAL(109,Sprint_Backlog[Horas utilizadas])</f>
        <v>3000</v>
      </c>
      <c r="J65" s="61">
        <f>SUBTOTAL(103,Sprint_Backlog[Estado])</f>
        <v>60</v>
      </c>
      <c r="K65" s="78"/>
    </row>
  </sheetData>
  <sheetProtection algorithmName="SHA-512" hashValue="knpt9hZL2DYUSiSpaA6uibyvYhrmPrNnabZ6GuSwpLhA+fWAXYFHfRkG/hlOdyHu74COHgD7WhvUL/Hdd68S+A==" saltValue="VbAaUzMQlx628eIdsbAIaw==" spinCount="100000" formatCells="0" formatColumns="0" formatRows="0" selectLockedCells="1"/>
  <protectedRanges>
    <protectedRange sqref="C5:C64 E5:F64 I5:J64" name="Intervalo1"/>
    <protectedRange sqref="K5:K64" name="Intervalo1_1"/>
    <protectedRange sqref="D5:D64" name="Intervalo1_2"/>
  </protectedRanges>
  <conditionalFormatting sqref="J5:J64">
    <cfRule type="cellIs" dxfId="15" priority="1" operator="equal">
      <formula>"No Terminada"</formula>
    </cfRule>
    <cfRule type="cellIs" dxfId="14" priority="2" operator="equal">
      <formula>"Terminada"</formula>
    </cfRule>
  </conditionalFormatting>
  <dataValidations count="1">
    <dataValidation type="list" allowBlank="1" showInputMessage="1" showErrorMessage="1" sqref="J5:J64">
      <formula1>"Terminada,No Terminada"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EQU!$C$5:$C$54</xm:f>
          </x14:formula1>
          <xm:sqref>F5:F64</xm:sqref>
        </x14:dataValidation>
        <x14:dataValidation type="list" allowBlank="1" showInputMessage="1" showErrorMessage="1">
          <x14:formula1>
            <xm:f>DAS!$D$18:$D$118</xm:f>
          </x14:formula1>
          <xm:sqref>E5:E64</xm:sqref>
        </x14:dataValidation>
        <x14:dataValidation type="list" allowBlank="1" showInputMessage="1" showErrorMessage="1">
          <x14:formula1>
            <xm:f>SCR!$C$5:$C$64</xm:f>
          </x14:formula1>
          <xm:sqref>C5:C64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showGridLines="0" zoomScale="90" zoomScaleNormal="90" zoomScalePageLayoutView="80" workbookViewId="0">
      <pane ySplit="4" topLeftCell="A5" activePane="bottomLeft" state="frozen"/>
      <selection pane="bottomLeft"/>
    </sheetView>
  </sheetViews>
  <sheetFormatPr baseColWidth="10" defaultColWidth="11" defaultRowHeight="30" customHeight="1"/>
  <cols>
    <col min="1" max="2" width="2.625" style="3" customWidth="1"/>
    <col min="3" max="3" width="10.625" style="3" customWidth="1"/>
    <col min="4" max="6" width="15.625" style="3" customWidth="1"/>
    <col min="7" max="11" width="10.625" style="3" customWidth="1"/>
    <col min="12" max="15" width="11" style="3"/>
    <col min="16" max="16" width="5.125" style="3" customWidth="1"/>
    <col min="17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ht="15"/>
    <row r="4" spans="1:11" ht="32.25" customHeight="1">
      <c r="C4" s="61" t="s">
        <v>65</v>
      </c>
      <c r="D4" s="61" t="s">
        <v>33</v>
      </c>
      <c r="E4" s="61" t="s">
        <v>119</v>
      </c>
      <c r="F4" s="61" t="s">
        <v>34</v>
      </c>
      <c r="H4" s="13"/>
      <c r="I4" s="13"/>
    </row>
    <row r="5" spans="1:11" ht="30" customHeight="1">
      <c r="C5" s="18">
        <f>IF(DAS!C18&gt;Duracion_Proyecto,"",DAS!C18)</f>
        <v>0</v>
      </c>
      <c r="D5" s="14">
        <f>IF(Puntos[[#This Row],[Semana]]="","",SUMIF(Sprint_Backlog[Semana],Puntos[[#This Row],[Semana]],Sprint_Backlog[Puntos]))</f>
        <v>0</v>
      </c>
      <c r="E5" s="14">
        <f>IF(Puntos[[#This Row],[Semana]]="","",SUMIFS(Sprint_Backlog[Puntos],Sprint_Backlog[Estado],"Terminada",Sprint_Backlog[Semana],Puntos[[#This Row],[Semana]]))</f>
        <v>0</v>
      </c>
      <c r="F5" s="19">
        <f>IF(Puntos[[#This Row],[Semana]]="","",Puntos[[#This Row],[Puntuación total temprana]]-Puntos[[#This Row],[Puntuación realizada]])</f>
        <v>0</v>
      </c>
      <c r="H5" s="13"/>
      <c r="I5" s="13"/>
    </row>
    <row r="6" spans="1:11" ht="30" customHeight="1">
      <c r="C6" s="18">
        <f>IF(DAS!C19&gt;Duracion_Proyecto,"",DAS!C19)</f>
        <v>1</v>
      </c>
      <c r="D6" s="14">
        <f>IF(Puntos[[#This Row],[Semana]]="","",SUMIF(Sprint_Backlog[Semana],Puntos[[#This Row],[Semana]],Sprint_Backlog[Puntos]))</f>
        <v>540</v>
      </c>
      <c r="E6" s="14">
        <f>IF(Puntos[[#This Row],[Semana]]="","",SUMIFS(Sprint_Backlog[Puntos],Sprint_Backlog[Estado],"Terminada",Sprint_Backlog[Semana],Puntos[[#This Row],[Semana]]))</f>
        <v>520</v>
      </c>
      <c r="F6" s="19">
        <f>IF(Puntos[[#This Row],[Semana]]="","",Puntos[[#This Row],[Puntuación total temprana]]-Puntos[[#This Row],[Puntuación realizada]])</f>
        <v>20</v>
      </c>
    </row>
    <row r="7" spans="1:11" ht="30" customHeight="1">
      <c r="C7" s="18">
        <f>IF(DAS!C20&gt;Duracion_Proyecto,"",DAS!C20)</f>
        <v>2</v>
      </c>
      <c r="D7" s="14">
        <f>IF(Puntos[[#This Row],[Semana]]="","",SUMIF(Sprint_Backlog[Semana],Puntos[[#This Row],[Semana]],Sprint_Backlog[Puntos]))</f>
        <v>50</v>
      </c>
      <c r="E7" s="14">
        <f>IF(Puntos[[#This Row],[Semana]]="","",SUMIFS(Sprint_Backlog[Puntos],Sprint_Backlog[Estado],"Terminada",Sprint_Backlog[Semana],Puntos[[#This Row],[Semana]]))</f>
        <v>50</v>
      </c>
      <c r="F7" s="19">
        <f>IF(Puntos[[#This Row],[Semana]]="","",Puntos[[#This Row],[Puntuación total temprana]]-Puntos[[#This Row],[Puntuación realizada]])</f>
        <v>0</v>
      </c>
    </row>
    <row r="8" spans="1:11" ht="30" customHeight="1">
      <c r="C8" s="18">
        <f>IF(DAS!C21&gt;Duracion_Proyecto,"",DAS!C21)</f>
        <v>3</v>
      </c>
      <c r="D8" s="14">
        <f>IF(Puntos[[#This Row],[Semana]]="","",SUMIF(Sprint_Backlog[Semana],Puntos[[#This Row],[Semana]],Sprint_Backlog[Puntos]))</f>
        <v>200</v>
      </c>
      <c r="E8" s="14">
        <f>IF(Puntos[[#This Row],[Semana]]="","",SUMIFS(Sprint_Backlog[Puntos],Sprint_Backlog[Estado],"Terminada",Sprint_Backlog[Semana],Puntos[[#This Row],[Semana]]))</f>
        <v>200</v>
      </c>
      <c r="F8" s="19">
        <f>IF(Puntos[[#This Row],[Semana]]="","",Puntos[[#This Row],[Puntuación total temprana]]-Puntos[[#This Row],[Puntuación realizada]])</f>
        <v>0</v>
      </c>
    </row>
    <row r="9" spans="1:11" ht="30" customHeight="1">
      <c r="C9" s="18">
        <f>IF(DAS!C22&gt;Duracion_Proyecto,"",DAS!C22)</f>
        <v>4</v>
      </c>
      <c r="D9" s="14">
        <f>IF(Puntos[[#This Row],[Semana]]="","",SUMIF(Sprint_Backlog[Semana],Puntos[[#This Row],[Semana]],Sprint_Backlog[Puntos]))</f>
        <v>60</v>
      </c>
      <c r="E9" s="14">
        <f>IF(Puntos[[#This Row],[Semana]]="","",SUMIFS(Sprint_Backlog[Puntos],Sprint_Backlog[Estado],"Terminada",Sprint_Backlog[Semana],Puntos[[#This Row],[Semana]]))</f>
        <v>0</v>
      </c>
      <c r="F9" s="19">
        <f>IF(Puntos[[#This Row],[Semana]]="","",Puntos[[#This Row],[Puntuación total temprana]]-Puntos[[#This Row],[Puntuación realizada]])</f>
        <v>60</v>
      </c>
    </row>
    <row r="10" spans="1:11" ht="30" customHeight="1">
      <c r="C10" s="18">
        <f>IF(DAS!C23&gt;Duracion_Proyecto,"",DAS!C23)</f>
        <v>5</v>
      </c>
      <c r="D10" s="14">
        <f>IF(Puntos[[#This Row],[Semana]]="","",SUMIF(Sprint_Backlog[Semana],Puntos[[#This Row],[Semana]],Sprint_Backlog[Puntos]))</f>
        <v>80</v>
      </c>
      <c r="E10" s="14">
        <f>IF(Puntos[[#This Row],[Semana]]="","",SUMIFS(Sprint_Backlog[Puntos],Sprint_Backlog[Estado],"Terminada",Sprint_Backlog[Semana],Puntos[[#This Row],[Semana]]))</f>
        <v>80</v>
      </c>
      <c r="F10" s="19">
        <f>IF(Puntos[[#This Row],[Semana]]="","",Puntos[[#This Row],[Puntuación total temprana]]-Puntos[[#This Row],[Puntuación realizada]])</f>
        <v>0</v>
      </c>
    </row>
    <row r="11" spans="1:11" ht="30" customHeight="1">
      <c r="C11" s="18" t="str">
        <f>IF(DAS!C24&gt;Duracion_Proyecto,"",DAS!C24)</f>
        <v/>
      </c>
      <c r="D11" s="14" t="str">
        <f>IF(Puntos[[#This Row],[Semana]]="","",SUMIF(Sprint_Backlog[Semana],Puntos[[#This Row],[Semana]],Sprint_Backlog[Puntos]))</f>
        <v/>
      </c>
      <c r="E11" s="14" t="str">
        <f>IF(Puntos[[#This Row],[Semana]]="","",SUMIFS(Sprint_Backlog[Puntos],Sprint_Backlog[Estado],"Terminada",Sprint_Backlog[Semana],Puntos[[#This Row],[Semana]]))</f>
        <v/>
      </c>
      <c r="F11" s="19" t="str">
        <f>IF(Puntos[[#This Row],[Semana]]="","",Puntos[[#This Row],[Puntuación total temprana]]-Puntos[[#This Row],[Puntuación realizada]])</f>
        <v/>
      </c>
    </row>
    <row r="12" spans="1:11" ht="30" customHeight="1">
      <c r="C12" s="18" t="str">
        <f>IF(DAS!C25&gt;Duracion_Proyecto,"",DAS!C25)</f>
        <v/>
      </c>
      <c r="D12" s="14" t="str">
        <f>IF(Puntos[[#This Row],[Semana]]="","",SUMIF(Sprint_Backlog[Semana],Puntos[[#This Row],[Semana]],Sprint_Backlog[Puntos]))</f>
        <v/>
      </c>
      <c r="E12" s="14" t="str">
        <f>IF(Puntos[[#This Row],[Semana]]="","",SUMIFS(Sprint_Backlog[Puntos],Sprint_Backlog[Estado],"Terminada",Sprint_Backlog[Semana],Puntos[[#This Row],[Semana]]))</f>
        <v/>
      </c>
      <c r="F12" s="19" t="str">
        <f>IF(Puntos[[#This Row],[Semana]]="","",Puntos[[#This Row],[Puntuación total temprana]]-Puntos[[#This Row],[Puntuación realizada]])</f>
        <v/>
      </c>
    </row>
    <row r="13" spans="1:11" ht="30" customHeight="1">
      <c r="C13" s="18" t="str">
        <f>IF(DAS!C26&gt;Duracion_Proyecto,"",DAS!C26)</f>
        <v/>
      </c>
      <c r="D13" s="14" t="str">
        <f>IF(Puntos[[#This Row],[Semana]]="","",SUMIF(Sprint_Backlog[Semana],Puntos[[#This Row],[Semana]],Sprint_Backlog[Puntos]))</f>
        <v/>
      </c>
      <c r="E13" s="14" t="str">
        <f>IF(Puntos[[#This Row],[Semana]]="","",SUMIFS(Sprint_Backlog[Puntos],Sprint_Backlog[Estado],"Terminada",Sprint_Backlog[Semana],Puntos[[#This Row],[Semana]]))</f>
        <v/>
      </c>
      <c r="F13" s="19" t="str">
        <f>IF(Puntos[[#This Row],[Semana]]="","",Puntos[[#This Row],[Puntuación total temprana]]-Puntos[[#This Row],[Puntuación realizada]])</f>
        <v/>
      </c>
    </row>
    <row r="14" spans="1:11" ht="30" customHeight="1">
      <c r="C14" s="18" t="str">
        <f>IF(DAS!C27&gt;Duracion_Proyecto,"",DAS!C27)</f>
        <v/>
      </c>
      <c r="D14" s="14" t="str">
        <f>IF(Puntos[[#This Row],[Semana]]="","",SUMIF(Sprint_Backlog[Semana],Puntos[[#This Row],[Semana]],Sprint_Backlog[Puntos]))</f>
        <v/>
      </c>
      <c r="E14" s="14" t="str">
        <f>IF(Puntos[[#This Row],[Semana]]="","",SUMIFS(Sprint_Backlog[Puntos],Sprint_Backlog[Estado],"Terminada",Sprint_Backlog[Semana],Puntos[[#This Row],[Semana]]))</f>
        <v/>
      </c>
      <c r="F14" s="19" t="str">
        <f>IF(Puntos[[#This Row],[Semana]]="","",Puntos[[#This Row],[Puntuación total temprana]]-Puntos[[#This Row],[Puntuación realizada]])</f>
        <v/>
      </c>
    </row>
    <row r="15" spans="1:11" ht="30" customHeight="1">
      <c r="C15" s="18" t="str">
        <f>IF(DAS!C28&gt;Duracion_Proyecto,"",DAS!C28)</f>
        <v/>
      </c>
      <c r="D15" s="14" t="str">
        <f>IF(Puntos[[#This Row],[Semana]]="","",SUMIF(Sprint_Backlog[Semana],Puntos[[#This Row],[Semana]],Sprint_Backlog[Puntos]))</f>
        <v/>
      </c>
      <c r="E15" s="14" t="str">
        <f>IF(Puntos[[#This Row],[Semana]]="","",SUMIFS(Sprint_Backlog[Puntos],Sprint_Backlog[Estado],"Terminada",Sprint_Backlog[Semana],Puntos[[#This Row],[Semana]]))</f>
        <v/>
      </c>
      <c r="F15" s="19" t="str">
        <f>IF(Puntos[[#This Row],[Semana]]="","",Puntos[[#This Row],[Puntuación total temprana]]-Puntos[[#This Row],[Puntuación realizada]])</f>
        <v/>
      </c>
    </row>
    <row r="16" spans="1:11" ht="30" customHeight="1">
      <c r="C16" s="18" t="str">
        <f>IF(DAS!C29&gt;Duracion_Proyecto,"",DAS!C29)</f>
        <v/>
      </c>
      <c r="D16" s="14" t="str">
        <f>IF(Puntos[[#This Row],[Semana]]="","",SUMIF(Sprint_Backlog[Semana],Puntos[[#This Row],[Semana]],Sprint_Backlog[Puntos]))</f>
        <v/>
      </c>
      <c r="E16" s="14" t="str">
        <f>IF(Puntos[[#This Row],[Semana]]="","",SUMIFS(Sprint_Backlog[Puntos],Sprint_Backlog[Estado],"Terminada",Sprint_Backlog[Semana],Puntos[[#This Row],[Semana]]))</f>
        <v/>
      </c>
      <c r="F16" s="19" t="str">
        <f>IF(Puntos[[#This Row],[Semana]]="","",Puntos[[#This Row],[Puntuación total temprana]]-Puntos[[#This Row],[Puntuación realizada]])</f>
        <v/>
      </c>
    </row>
    <row r="17" spans="3:6" ht="30" customHeight="1">
      <c r="C17" s="18" t="str">
        <f>IF(DAS!C30&gt;Duracion_Proyecto,"",DAS!C30)</f>
        <v/>
      </c>
      <c r="D17" s="14" t="str">
        <f>IF(Puntos[[#This Row],[Semana]]="","",SUMIF(Sprint_Backlog[Semana],Puntos[[#This Row],[Semana]],Sprint_Backlog[Puntos]))</f>
        <v/>
      </c>
      <c r="E17" s="14" t="str">
        <f>IF(Puntos[[#This Row],[Semana]]="","",SUMIFS(Sprint_Backlog[Puntos],Sprint_Backlog[Estado],"Terminada",Sprint_Backlog[Semana],Puntos[[#This Row],[Semana]]))</f>
        <v/>
      </c>
      <c r="F17" s="19" t="str">
        <f>IF(Puntos[[#This Row],[Semana]]="","",Puntos[[#This Row],[Puntuación total temprana]]-Puntos[[#This Row],[Puntuación realizada]])</f>
        <v/>
      </c>
    </row>
    <row r="18" spans="3:6" ht="30" customHeight="1">
      <c r="C18" s="18" t="str">
        <f>IF(DAS!C31&gt;Duracion_Proyecto,"",DAS!C31)</f>
        <v/>
      </c>
      <c r="D18" s="14" t="str">
        <f>IF(Puntos[[#This Row],[Semana]]="","",SUMIF(Sprint_Backlog[Semana],Puntos[[#This Row],[Semana]],Sprint_Backlog[Puntos]))</f>
        <v/>
      </c>
      <c r="E18" s="14" t="str">
        <f>IF(Puntos[[#This Row],[Semana]]="","",SUMIFS(Sprint_Backlog[Puntos],Sprint_Backlog[Estado],"Terminada",Sprint_Backlog[Semana],Puntos[[#This Row],[Semana]]))</f>
        <v/>
      </c>
      <c r="F18" s="19" t="str">
        <f>IF(Puntos[[#This Row],[Semana]]="","",Puntos[[#This Row],[Puntuación total temprana]]-Puntos[[#This Row],[Puntuación realizada]])</f>
        <v/>
      </c>
    </row>
    <row r="19" spans="3:6" ht="30" customHeight="1">
      <c r="C19" s="18" t="str">
        <f>IF(DAS!C32&gt;Duracion_Proyecto,"",DAS!C32)</f>
        <v/>
      </c>
      <c r="D19" s="14" t="str">
        <f>IF(Puntos[[#This Row],[Semana]]="","",SUMIF(Sprint_Backlog[Semana],Puntos[[#This Row],[Semana]],Sprint_Backlog[Puntos]))</f>
        <v/>
      </c>
      <c r="E19" s="14" t="str">
        <f>IF(Puntos[[#This Row],[Semana]]="","",SUMIFS(Sprint_Backlog[Puntos],Sprint_Backlog[Estado],"Terminada",Sprint_Backlog[Semana],Puntos[[#This Row],[Semana]]))</f>
        <v/>
      </c>
      <c r="F19" s="19" t="str">
        <f>IF(Puntos[[#This Row],[Semana]]="","",Puntos[[#This Row],[Puntuación total temprana]]-Puntos[[#This Row],[Puntuación realizada]])</f>
        <v/>
      </c>
    </row>
    <row r="20" spans="3:6" ht="30" customHeight="1">
      <c r="C20" s="18" t="str">
        <f>IF(DAS!C33&gt;Duracion_Proyecto,"",DAS!C33)</f>
        <v/>
      </c>
      <c r="D20" s="14" t="str">
        <f>IF(Puntos[[#This Row],[Semana]]="","",SUMIF(Sprint_Backlog[Semana],Puntos[[#This Row],[Semana]],Sprint_Backlog[Puntos]))</f>
        <v/>
      </c>
      <c r="E20" s="14" t="str">
        <f>IF(Puntos[[#This Row],[Semana]]="","",SUMIFS(Sprint_Backlog[Puntos],Sprint_Backlog[Estado],"Terminada",Sprint_Backlog[Semana],Puntos[[#This Row],[Semana]]))</f>
        <v/>
      </c>
      <c r="F20" s="19" t="str">
        <f>IF(Puntos[[#This Row],[Semana]]="","",Puntos[[#This Row],[Puntuación total temprana]]-Puntos[[#This Row],[Puntuación realizada]])</f>
        <v/>
      </c>
    </row>
    <row r="21" spans="3:6" ht="30" customHeight="1">
      <c r="C21" s="18" t="str">
        <f>IF(DAS!C34&gt;Duracion_Proyecto,"",DAS!C34)</f>
        <v/>
      </c>
      <c r="D21" s="14" t="str">
        <f>IF(Puntos[[#This Row],[Semana]]="","",SUMIF(Sprint_Backlog[Semana],Puntos[[#This Row],[Semana]],Sprint_Backlog[Puntos]))</f>
        <v/>
      </c>
      <c r="E21" s="14" t="str">
        <f>IF(Puntos[[#This Row],[Semana]]="","",SUMIFS(Sprint_Backlog[Puntos],Sprint_Backlog[Estado],"Terminada",Sprint_Backlog[Semana],Puntos[[#This Row],[Semana]]))</f>
        <v/>
      </c>
      <c r="F21" s="19" t="str">
        <f>IF(Puntos[[#This Row],[Semana]]="","",Puntos[[#This Row],[Puntuación total temprana]]-Puntos[[#This Row],[Puntuación realizada]])</f>
        <v/>
      </c>
    </row>
    <row r="22" spans="3:6" ht="30" customHeight="1">
      <c r="C22" s="18" t="str">
        <f>IF(DAS!C35&gt;Duracion_Proyecto,"",DAS!C35)</f>
        <v/>
      </c>
      <c r="D22" s="14" t="str">
        <f>IF(Puntos[[#This Row],[Semana]]="","",SUMIF(Sprint_Backlog[Semana],Puntos[[#This Row],[Semana]],Sprint_Backlog[Puntos]))</f>
        <v/>
      </c>
      <c r="E22" s="14" t="str">
        <f>IF(Puntos[[#This Row],[Semana]]="","",SUMIFS(Sprint_Backlog[Puntos],Sprint_Backlog[Estado],"Terminada",Sprint_Backlog[Semana],Puntos[[#This Row],[Semana]]))</f>
        <v/>
      </c>
      <c r="F22" s="19" t="str">
        <f>IF(Puntos[[#This Row],[Semana]]="","",Puntos[[#This Row],[Puntuación total temprana]]-Puntos[[#This Row],[Puntuación realizada]])</f>
        <v/>
      </c>
    </row>
    <row r="23" spans="3:6" ht="30" customHeight="1">
      <c r="C23" s="18" t="str">
        <f>IF(DAS!C36&gt;Duracion_Proyecto,"",DAS!C36)</f>
        <v/>
      </c>
      <c r="D23" s="14" t="str">
        <f>IF(Puntos[[#This Row],[Semana]]="","",SUMIF(Sprint_Backlog[Semana],Puntos[[#This Row],[Semana]],Sprint_Backlog[Puntos]))</f>
        <v/>
      </c>
      <c r="E23" s="14" t="str">
        <f>IF(Puntos[[#This Row],[Semana]]="","",SUMIFS(Sprint_Backlog[Puntos],Sprint_Backlog[Estado],"Terminada",Sprint_Backlog[Semana],Puntos[[#This Row],[Semana]]))</f>
        <v/>
      </c>
      <c r="F23" s="19" t="str">
        <f>IF(Puntos[[#This Row],[Semana]]="","",Puntos[[#This Row],[Puntuación total temprana]]-Puntos[[#This Row],[Puntuación realizada]])</f>
        <v/>
      </c>
    </row>
    <row r="24" spans="3:6" ht="30" customHeight="1">
      <c r="C24" s="18" t="str">
        <f>IF(DAS!C37&gt;Duracion_Proyecto,"",DAS!C37)</f>
        <v/>
      </c>
      <c r="D24" s="14" t="str">
        <f>IF(Puntos[[#This Row],[Semana]]="","",SUMIF(Sprint_Backlog[Semana],Puntos[[#This Row],[Semana]],Sprint_Backlog[Puntos]))</f>
        <v/>
      </c>
      <c r="E24" s="14" t="str">
        <f>IF(Puntos[[#This Row],[Semana]]="","",SUMIFS(Sprint_Backlog[Puntos],Sprint_Backlog[Estado],"Terminada",Sprint_Backlog[Semana],Puntos[[#This Row],[Semana]]))</f>
        <v/>
      </c>
      <c r="F24" s="19" t="str">
        <f>IF(Puntos[[#This Row],[Semana]]="","",Puntos[[#This Row],[Puntuación total temprana]]-Puntos[[#This Row],[Puntuación realizada]])</f>
        <v/>
      </c>
    </row>
    <row r="25" spans="3:6" ht="30" customHeight="1">
      <c r="C25" s="18" t="str">
        <f>IF(DAS!C38&gt;Duracion_Proyecto,"",DAS!C38)</f>
        <v/>
      </c>
      <c r="D25" s="14" t="str">
        <f>IF(Puntos[[#This Row],[Semana]]="","",SUMIF(Sprint_Backlog[Semana],Puntos[[#This Row],[Semana]],Sprint_Backlog[Puntos]))</f>
        <v/>
      </c>
      <c r="E25" s="14" t="str">
        <f>IF(Puntos[[#This Row],[Semana]]="","",SUMIFS(Sprint_Backlog[Puntos],Sprint_Backlog[Estado],"Terminada",Sprint_Backlog[Semana],Puntos[[#This Row],[Semana]]))</f>
        <v/>
      </c>
      <c r="F25" s="19" t="str">
        <f>IF(Puntos[[#This Row],[Semana]]="","",Puntos[[#This Row],[Puntuación total temprana]]-Puntos[[#This Row],[Puntuación realizada]])</f>
        <v/>
      </c>
    </row>
    <row r="26" spans="3:6" ht="30" customHeight="1">
      <c r="C26" s="18" t="str">
        <f>IF(DAS!C39&gt;Duracion_Proyecto,"",DAS!C39)</f>
        <v/>
      </c>
      <c r="D26" s="14" t="str">
        <f>IF(Puntos[[#This Row],[Semana]]="","",SUMIF(Sprint_Backlog[Semana],Puntos[[#This Row],[Semana]],Sprint_Backlog[Puntos]))</f>
        <v/>
      </c>
      <c r="E26" s="14" t="str">
        <f>IF(Puntos[[#This Row],[Semana]]="","",SUMIFS(Sprint_Backlog[Puntos],Sprint_Backlog[Estado],"Terminada",Sprint_Backlog[Semana],Puntos[[#This Row],[Semana]]))</f>
        <v/>
      </c>
      <c r="F26" s="19" t="str">
        <f>IF(Puntos[[#This Row],[Semana]]="","",Puntos[[#This Row],[Puntuación total temprana]]-Puntos[[#This Row],[Puntuación realizada]])</f>
        <v/>
      </c>
    </row>
    <row r="27" spans="3:6" ht="30" customHeight="1">
      <c r="C27" s="18" t="str">
        <f>IF(DAS!C40&gt;Duracion_Proyecto,"",DAS!C40)</f>
        <v/>
      </c>
      <c r="D27" s="14" t="str">
        <f>IF(Puntos[[#This Row],[Semana]]="","",SUMIF(Sprint_Backlog[Semana],Puntos[[#This Row],[Semana]],Sprint_Backlog[Puntos]))</f>
        <v/>
      </c>
      <c r="E27" s="14" t="str">
        <f>IF(Puntos[[#This Row],[Semana]]="","",SUMIFS(Sprint_Backlog[Puntos],Sprint_Backlog[Estado],"Terminada",Sprint_Backlog[Semana],Puntos[[#This Row],[Semana]]))</f>
        <v/>
      </c>
      <c r="F27" s="19" t="str">
        <f>IF(Puntos[[#This Row],[Semana]]="","",Puntos[[#This Row],[Puntuación total temprana]]-Puntos[[#This Row],[Puntuación realizada]])</f>
        <v/>
      </c>
    </row>
    <row r="28" spans="3:6" ht="30" customHeight="1">
      <c r="C28" s="18" t="str">
        <f>IF(DAS!C41&gt;Duracion_Proyecto,"",DAS!C41)</f>
        <v/>
      </c>
      <c r="D28" s="14" t="str">
        <f>IF(Puntos[[#This Row],[Semana]]="","",SUMIF(Sprint_Backlog[Semana],Puntos[[#This Row],[Semana]],Sprint_Backlog[Puntos]))</f>
        <v/>
      </c>
      <c r="E28" s="14" t="str">
        <f>IF(Puntos[[#This Row],[Semana]]="","",SUMIFS(Sprint_Backlog[Puntos],Sprint_Backlog[Estado],"Terminada",Sprint_Backlog[Semana],Puntos[[#This Row],[Semana]]))</f>
        <v/>
      </c>
      <c r="F28" s="19" t="str">
        <f>IF(Puntos[[#This Row],[Semana]]="","",Puntos[[#This Row],[Puntuación total temprana]]-Puntos[[#This Row],[Puntuación realizada]])</f>
        <v/>
      </c>
    </row>
    <row r="29" spans="3:6" ht="30" customHeight="1">
      <c r="C29" s="18" t="str">
        <f>IF(DAS!C42&gt;Duracion_Proyecto,"",DAS!C42)</f>
        <v/>
      </c>
      <c r="D29" s="14" t="str">
        <f>IF(Puntos[[#This Row],[Semana]]="","",SUMIF(Sprint_Backlog[Semana],Puntos[[#This Row],[Semana]],Sprint_Backlog[Puntos]))</f>
        <v/>
      </c>
      <c r="E29" s="14" t="str">
        <f>IF(Puntos[[#This Row],[Semana]]="","",SUMIFS(Sprint_Backlog[Puntos],Sprint_Backlog[Estado],"Terminada",Sprint_Backlog[Semana],Puntos[[#This Row],[Semana]]))</f>
        <v/>
      </c>
      <c r="F29" s="19" t="str">
        <f>IF(Puntos[[#This Row],[Semana]]="","",Puntos[[#This Row],[Puntuación total temprana]]-Puntos[[#This Row],[Puntuación realizada]])</f>
        <v/>
      </c>
    </row>
    <row r="30" spans="3:6" ht="30" customHeight="1">
      <c r="C30" s="18" t="str">
        <f>IF(DAS!C43&gt;Duracion_Proyecto,"",DAS!C43)</f>
        <v/>
      </c>
      <c r="D30" s="14" t="str">
        <f>IF(Puntos[[#This Row],[Semana]]="","",SUMIF(Sprint_Backlog[Semana],Puntos[[#This Row],[Semana]],Sprint_Backlog[Puntos]))</f>
        <v/>
      </c>
      <c r="E30" s="14" t="str">
        <f>IF(Puntos[[#This Row],[Semana]]="","",SUMIFS(Sprint_Backlog[Puntos],Sprint_Backlog[Estado],"Terminada",Sprint_Backlog[Semana],Puntos[[#This Row],[Semana]]))</f>
        <v/>
      </c>
      <c r="F30" s="19" t="str">
        <f>IF(Puntos[[#This Row],[Semana]]="","",Puntos[[#This Row],[Puntuación total temprana]]-Puntos[[#This Row],[Puntuación realizada]])</f>
        <v/>
      </c>
    </row>
    <row r="31" spans="3:6" ht="30" customHeight="1">
      <c r="C31" s="18" t="str">
        <f>IF(DAS!C44&gt;Duracion_Proyecto,"",DAS!C44)</f>
        <v/>
      </c>
      <c r="D31" s="14" t="str">
        <f>IF(Puntos[[#This Row],[Semana]]="","",SUMIF(Sprint_Backlog[Semana],Puntos[[#This Row],[Semana]],Sprint_Backlog[Puntos]))</f>
        <v/>
      </c>
      <c r="E31" s="14" t="str">
        <f>IF(Puntos[[#This Row],[Semana]]="","",SUMIFS(Sprint_Backlog[Puntos],Sprint_Backlog[Estado],"Terminada",Sprint_Backlog[Semana],Puntos[[#This Row],[Semana]]))</f>
        <v/>
      </c>
      <c r="F31" s="19" t="str">
        <f>IF(Puntos[[#This Row],[Semana]]="","",Puntos[[#This Row],[Puntuación total temprana]]-Puntos[[#This Row],[Puntuación realizada]])</f>
        <v/>
      </c>
    </row>
    <row r="32" spans="3:6" ht="30" customHeight="1">
      <c r="C32" s="18" t="str">
        <f>IF(DAS!C45&gt;Duracion_Proyecto,"",DAS!C45)</f>
        <v/>
      </c>
      <c r="D32" s="14" t="str">
        <f>IF(Puntos[[#This Row],[Semana]]="","",SUMIF(Sprint_Backlog[Semana],Puntos[[#This Row],[Semana]],Sprint_Backlog[Puntos]))</f>
        <v/>
      </c>
      <c r="E32" s="14" t="str">
        <f>IF(Puntos[[#This Row],[Semana]]="","",SUMIFS(Sprint_Backlog[Puntos],Sprint_Backlog[Estado],"Terminada",Sprint_Backlog[Semana],Puntos[[#This Row],[Semana]]))</f>
        <v/>
      </c>
      <c r="F32" s="19" t="str">
        <f>IF(Puntos[[#This Row],[Semana]]="","",Puntos[[#This Row],[Puntuación total temprana]]-Puntos[[#This Row],[Puntuación realizada]])</f>
        <v/>
      </c>
    </row>
    <row r="33" spans="3:6" ht="30" customHeight="1">
      <c r="C33" s="18" t="str">
        <f>IF(DAS!C46&gt;Duracion_Proyecto,"",DAS!C46)</f>
        <v/>
      </c>
      <c r="D33" s="14" t="str">
        <f>IF(Puntos[[#This Row],[Semana]]="","",SUMIF(Sprint_Backlog[Semana],Puntos[[#This Row],[Semana]],Sprint_Backlog[Puntos]))</f>
        <v/>
      </c>
      <c r="E33" s="14" t="str">
        <f>IF(Puntos[[#This Row],[Semana]]="","",SUMIFS(Sprint_Backlog[Puntos],Sprint_Backlog[Estado],"Terminada",Sprint_Backlog[Semana],Puntos[[#This Row],[Semana]]))</f>
        <v/>
      </c>
      <c r="F33" s="19" t="str">
        <f>IF(Puntos[[#This Row],[Semana]]="","",Puntos[[#This Row],[Puntuación total temprana]]-Puntos[[#This Row],[Puntuación realizada]])</f>
        <v/>
      </c>
    </row>
    <row r="34" spans="3:6" ht="30" customHeight="1">
      <c r="C34" s="18" t="str">
        <f>IF(DAS!C47&gt;Duracion_Proyecto,"",DAS!C47)</f>
        <v/>
      </c>
      <c r="D34" s="14" t="str">
        <f>IF(Puntos[[#This Row],[Semana]]="","",SUMIF(Sprint_Backlog[Semana],Puntos[[#This Row],[Semana]],Sprint_Backlog[Puntos]))</f>
        <v/>
      </c>
      <c r="E34" s="14" t="str">
        <f>IF(Puntos[[#This Row],[Semana]]="","",SUMIFS(Sprint_Backlog[Puntos],Sprint_Backlog[Estado],"Terminada",Sprint_Backlog[Semana],Puntos[[#This Row],[Semana]]))</f>
        <v/>
      </c>
      <c r="F34" s="19" t="str">
        <f>IF(Puntos[[#This Row],[Semana]]="","",Puntos[[#This Row],[Puntuación total temprana]]-Puntos[[#This Row],[Puntuación realizada]])</f>
        <v/>
      </c>
    </row>
    <row r="35" spans="3:6" ht="30" customHeight="1">
      <c r="C35" s="18" t="str">
        <f>IF(DAS!C48&gt;Duracion_Proyecto,"",DAS!C48)</f>
        <v/>
      </c>
      <c r="D35" s="14" t="str">
        <f>IF(Puntos[[#This Row],[Semana]]="","",SUMIF(Sprint_Backlog[Semana],Puntos[[#This Row],[Semana]],Sprint_Backlog[Puntos]))</f>
        <v/>
      </c>
      <c r="E35" s="14" t="str">
        <f>IF(Puntos[[#This Row],[Semana]]="","",SUMIFS(Sprint_Backlog[Puntos],Sprint_Backlog[Estado],"Terminada",Sprint_Backlog[Semana],Puntos[[#This Row],[Semana]]))</f>
        <v/>
      </c>
      <c r="F35" s="19" t="str">
        <f>IF(Puntos[[#This Row],[Semana]]="","",Puntos[[#This Row],[Puntuación total temprana]]-Puntos[[#This Row],[Puntuación realizada]])</f>
        <v/>
      </c>
    </row>
    <row r="36" spans="3:6" ht="30" customHeight="1">
      <c r="C36" s="18" t="str">
        <f>IF(DAS!C49&gt;Duracion_Proyecto,"",DAS!C49)</f>
        <v/>
      </c>
      <c r="D36" s="14" t="str">
        <f>IF(Puntos[[#This Row],[Semana]]="","",SUMIF(Sprint_Backlog[Semana],Puntos[[#This Row],[Semana]],Sprint_Backlog[Puntos]))</f>
        <v/>
      </c>
      <c r="E36" s="14" t="str">
        <f>IF(Puntos[[#This Row],[Semana]]="","",SUMIFS(Sprint_Backlog[Puntos],Sprint_Backlog[Estado],"Terminada",Sprint_Backlog[Semana],Puntos[[#This Row],[Semana]]))</f>
        <v/>
      </c>
      <c r="F36" s="19" t="str">
        <f>IF(Puntos[[#This Row],[Semana]]="","",Puntos[[#This Row],[Puntuación total temprana]]-Puntos[[#This Row],[Puntuación realizada]])</f>
        <v/>
      </c>
    </row>
    <row r="37" spans="3:6" ht="30" customHeight="1">
      <c r="C37" s="18" t="str">
        <f>IF(DAS!C50&gt;Duracion_Proyecto,"",DAS!C50)</f>
        <v/>
      </c>
      <c r="D37" s="14" t="str">
        <f>IF(Puntos[[#This Row],[Semana]]="","",SUMIF(Sprint_Backlog[Semana],Puntos[[#This Row],[Semana]],Sprint_Backlog[Puntos]))</f>
        <v/>
      </c>
      <c r="E37" s="14" t="str">
        <f>IF(Puntos[[#This Row],[Semana]]="","",SUMIFS(Sprint_Backlog[Puntos],Sprint_Backlog[Estado],"Terminada",Sprint_Backlog[Semana],Puntos[[#This Row],[Semana]]))</f>
        <v/>
      </c>
      <c r="F37" s="19" t="str">
        <f>IF(Puntos[[#This Row],[Semana]]="","",Puntos[[#This Row],[Puntuación total temprana]]-Puntos[[#This Row],[Puntuación realizada]])</f>
        <v/>
      </c>
    </row>
    <row r="38" spans="3:6" ht="30" customHeight="1">
      <c r="C38" s="18" t="str">
        <f>IF(DAS!C51&gt;Duracion_Proyecto,"",DAS!C51)</f>
        <v/>
      </c>
      <c r="D38" s="14" t="str">
        <f>IF(Puntos[[#This Row],[Semana]]="","",SUMIF(Sprint_Backlog[Semana],Puntos[[#This Row],[Semana]],Sprint_Backlog[Puntos]))</f>
        <v/>
      </c>
      <c r="E38" s="14" t="str">
        <f>IF(Puntos[[#This Row],[Semana]]="","",SUMIFS(Sprint_Backlog[Puntos],Sprint_Backlog[Estado],"Terminada",Sprint_Backlog[Semana],Puntos[[#This Row],[Semana]]))</f>
        <v/>
      </c>
      <c r="F38" s="19" t="str">
        <f>IF(Puntos[[#This Row],[Semana]]="","",Puntos[[#This Row],[Puntuación total temprana]]-Puntos[[#This Row],[Puntuación realizada]])</f>
        <v/>
      </c>
    </row>
    <row r="39" spans="3:6" ht="30" customHeight="1">
      <c r="C39" s="18" t="str">
        <f>IF(DAS!C52&gt;Duracion_Proyecto,"",DAS!C52)</f>
        <v/>
      </c>
      <c r="D39" s="14" t="str">
        <f>IF(Puntos[[#This Row],[Semana]]="","",SUMIF(Sprint_Backlog[Semana],Puntos[[#This Row],[Semana]],Sprint_Backlog[Puntos]))</f>
        <v/>
      </c>
      <c r="E39" s="14" t="str">
        <f>IF(Puntos[[#This Row],[Semana]]="","",SUMIFS(Sprint_Backlog[Puntos],Sprint_Backlog[Estado],"Terminada",Sprint_Backlog[Semana],Puntos[[#This Row],[Semana]]))</f>
        <v/>
      </c>
      <c r="F39" s="19" t="str">
        <f>IF(Puntos[[#This Row],[Semana]]="","",Puntos[[#This Row],[Puntuación total temprana]]-Puntos[[#This Row],[Puntuación realizada]])</f>
        <v/>
      </c>
    </row>
    <row r="40" spans="3:6" ht="30" customHeight="1">
      <c r="C40" s="18" t="str">
        <f>IF(DAS!C53&gt;Duracion_Proyecto,"",DAS!C53)</f>
        <v/>
      </c>
      <c r="D40" s="14" t="str">
        <f>IF(Puntos[[#This Row],[Semana]]="","",SUMIF(Sprint_Backlog[Semana],Puntos[[#This Row],[Semana]],Sprint_Backlog[Puntos]))</f>
        <v/>
      </c>
      <c r="E40" s="14" t="str">
        <f>IF(Puntos[[#This Row],[Semana]]="","",SUMIFS(Sprint_Backlog[Puntos],Sprint_Backlog[Estado],"Terminada",Sprint_Backlog[Semana],Puntos[[#This Row],[Semana]]))</f>
        <v/>
      </c>
      <c r="F40" s="19" t="str">
        <f>IF(Puntos[[#This Row],[Semana]]="","",Puntos[[#This Row],[Puntuación total temprana]]-Puntos[[#This Row],[Puntuación realizada]])</f>
        <v/>
      </c>
    </row>
    <row r="41" spans="3:6" ht="30" customHeight="1">
      <c r="C41" s="18" t="str">
        <f>IF(DAS!C54&gt;Duracion_Proyecto,"",DAS!C54)</f>
        <v/>
      </c>
      <c r="D41" s="14" t="str">
        <f>IF(Puntos[[#This Row],[Semana]]="","",SUMIF(Sprint_Backlog[Semana],Puntos[[#This Row],[Semana]],Sprint_Backlog[Puntos]))</f>
        <v/>
      </c>
      <c r="E41" s="14" t="str">
        <f>IF(Puntos[[#This Row],[Semana]]="","",SUMIFS(Sprint_Backlog[Puntos],Sprint_Backlog[Estado],"Terminada",Sprint_Backlog[Semana],Puntos[[#This Row],[Semana]]))</f>
        <v/>
      </c>
      <c r="F41" s="19" t="str">
        <f>IF(Puntos[[#This Row],[Semana]]="","",Puntos[[#This Row],[Puntuación total temprana]]-Puntos[[#This Row],[Puntuación realizada]])</f>
        <v/>
      </c>
    </row>
    <row r="42" spans="3:6" ht="30" customHeight="1">
      <c r="C42" s="18" t="str">
        <f>IF(DAS!C55&gt;Duracion_Proyecto,"",DAS!C55)</f>
        <v/>
      </c>
      <c r="D42" s="14" t="str">
        <f>IF(Puntos[[#This Row],[Semana]]="","",SUMIF(Sprint_Backlog[Semana],Puntos[[#This Row],[Semana]],Sprint_Backlog[Puntos]))</f>
        <v/>
      </c>
      <c r="E42" s="14" t="str">
        <f>IF(Puntos[[#This Row],[Semana]]="","",SUMIFS(Sprint_Backlog[Puntos],Sprint_Backlog[Estado],"Terminada",Sprint_Backlog[Semana],Puntos[[#This Row],[Semana]]))</f>
        <v/>
      </c>
      <c r="F42" s="19" t="str">
        <f>IF(Puntos[[#This Row],[Semana]]="","",Puntos[[#This Row],[Puntuación total temprana]]-Puntos[[#This Row],[Puntuación realizada]])</f>
        <v/>
      </c>
    </row>
    <row r="43" spans="3:6" ht="30" customHeight="1">
      <c r="C43" s="18" t="str">
        <f>IF(DAS!C56&gt;Duracion_Proyecto,"",DAS!C56)</f>
        <v/>
      </c>
      <c r="D43" s="14" t="str">
        <f>IF(Puntos[[#This Row],[Semana]]="","",SUMIF(Sprint_Backlog[Semana],Puntos[[#This Row],[Semana]],Sprint_Backlog[Puntos]))</f>
        <v/>
      </c>
      <c r="E43" s="14" t="str">
        <f>IF(Puntos[[#This Row],[Semana]]="","",SUMIFS(Sprint_Backlog[Puntos],Sprint_Backlog[Estado],"Terminada",Sprint_Backlog[Semana],Puntos[[#This Row],[Semana]]))</f>
        <v/>
      </c>
      <c r="F43" s="19" t="str">
        <f>IF(Puntos[[#This Row],[Semana]]="","",Puntos[[#This Row],[Puntuación total temprana]]-Puntos[[#This Row],[Puntuación realizada]])</f>
        <v/>
      </c>
    </row>
    <row r="44" spans="3:6" ht="30" customHeight="1">
      <c r="C44" s="18" t="str">
        <f>IF(DAS!C57&gt;Duracion_Proyecto,"",DAS!C57)</f>
        <v/>
      </c>
      <c r="D44" s="14" t="str">
        <f>IF(Puntos[[#This Row],[Semana]]="","",SUMIF(Sprint_Backlog[Semana],Puntos[[#This Row],[Semana]],Sprint_Backlog[Puntos]))</f>
        <v/>
      </c>
      <c r="E44" s="14" t="str">
        <f>IF(Puntos[[#This Row],[Semana]]="","",SUMIFS(Sprint_Backlog[Puntos],Sprint_Backlog[Estado],"Terminada",Sprint_Backlog[Semana],Puntos[[#This Row],[Semana]]))</f>
        <v/>
      </c>
      <c r="F44" s="19" t="str">
        <f>IF(Puntos[[#This Row],[Semana]]="","",Puntos[[#This Row],[Puntuación total temprana]]-Puntos[[#This Row],[Puntuación realizada]])</f>
        <v/>
      </c>
    </row>
    <row r="45" spans="3:6" ht="30" customHeight="1">
      <c r="C45" s="18" t="str">
        <f>IF(DAS!C58&gt;Duracion_Proyecto,"",DAS!C58)</f>
        <v/>
      </c>
      <c r="D45" s="14" t="str">
        <f>IF(Puntos[[#This Row],[Semana]]="","",SUMIF(Sprint_Backlog[Semana],Puntos[[#This Row],[Semana]],Sprint_Backlog[Puntos]))</f>
        <v/>
      </c>
      <c r="E45" s="14" t="str">
        <f>IF(Puntos[[#This Row],[Semana]]="","",SUMIFS(Sprint_Backlog[Puntos],Sprint_Backlog[Estado],"Terminada",Sprint_Backlog[Semana],Puntos[[#This Row],[Semana]]))</f>
        <v/>
      </c>
      <c r="F45" s="19" t="str">
        <f>IF(Puntos[[#This Row],[Semana]]="","",Puntos[[#This Row],[Puntuación total temprana]]-Puntos[[#This Row],[Puntuación realizada]])</f>
        <v/>
      </c>
    </row>
    <row r="46" spans="3:6" ht="30" customHeight="1">
      <c r="C46" s="18" t="str">
        <f>IF(DAS!C59&gt;Duracion_Proyecto,"",DAS!C59)</f>
        <v/>
      </c>
      <c r="D46" s="14" t="str">
        <f>IF(Puntos[[#This Row],[Semana]]="","",SUMIF(Sprint_Backlog[Semana],Puntos[[#This Row],[Semana]],Sprint_Backlog[Puntos]))</f>
        <v/>
      </c>
      <c r="E46" s="14" t="str">
        <f>IF(Puntos[[#This Row],[Semana]]="","",SUMIFS(Sprint_Backlog[Puntos],Sprint_Backlog[Estado],"Terminada",Sprint_Backlog[Semana],Puntos[[#This Row],[Semana]]))</f>
        <v/>
      </c>
      <c r="F46" s="19" t="str">
        <f>IF(Puntos[[#This Row],[Semana]]="","",Puntos[[#This Row],[Puntuación total temprana]]-Puntos[[#This Row],[Puntuación realizada]])</f>
        <v/>
      </c>
    </row>
    <row r="47" spans="3:6" ht="30" customHeight="1">
      <c r="C47" s="18" t="str">
        <f>IF(DAS!C60&gt;Duracion_Proyecto,"",DAS!C60)</f>
        <v/>
      </c>
      <c r="D47" s="14" t="str">
        <f>IF(Puntos[[#This Row],[Semana]]="","",SUMIF(Sprint_Backlog[Semana],Puntos[[#This Row],[Semana]],Sprint_Backlog[Puntos]))</f>
        <v/>
      </c>
      <c r="E47" s="14" t="str">
        <f>IF(Puntos[[#This Row],[Semana]]="","",SUMIFS(Sprint_Backlog[Puntos],Sprint_Backlog[Estado],"Terminada",Sprint_Backlog[Semana],Puntos[[#This Row],[Semana]]))</f>
        <v/>
      </c>
      <c r="F47" s="19" t="str">
        <f>IF(Puntos[[#This Row],[Semana]]="","",Puntos[[#This Row],[Puntuación total temprana]]-Puntos[[#This Row],[Puntuación realizada]])</f>
        <v/>
      </c>
    </row>
    <row r="48" spans="3:6" ht="30" customHeight="1">
      <c r="C48" s="18" t="str">
        <f>IF(DAS!C61&gt;Duracion_Proyecto,"",DAS!C61)</f>
        <v/>
      </c>
      <c r="D48" s="14" t="str">
        <f>IF(Puntos[[#This Row],[Semana]]="","",SUMIF(Sprint_Backlog[Semana],Puntos[[#This Row],[Semana]],Sprint_Backlog[Puntos]))</f>
        <v/>
      </c>
      <c r="E48" s="14" t="str">
        <f>IF(Puntos[[#This Row],[Semana]]="","",SUMIFS(Sprint_Backlog[Puntos],Sprint_Backlog[Estado],"Terminada",Sprint_Backlog[Semana],Puntos[[#This Row],[Semana]]))</f>
        <v/>
      </c>
      <c r="F48" s="19" t="str">
        <f>IF(Puntos[[#This Row],[Semana]]="","",Puntos[[#This Row],[Puntuación total temprana]]-Puntos[[#This Row],[Puntuación realizada]])</f>
        <v/>
      </c>
    </row>
    <row r="49" spans="3:6" ht="30" customHeight="1">
      <c r="C49" s="18" t="str">
        <f>IF(DAS!C62&gt;Duracion_Proyecto,"",DAS!C62)</f>
        <v/>
      </c>
      <c r="D49" s="14" t="str">
        <f>IF(Puntos[[#This Row],[Semana]]="","",SUMIF(Sprint_Backlog[Semana],Puntos[[#This Row],[Semana]],Sprint_Backlog[Puntos]))</f>
        <v/>
      </c>
      <c r="E49" s="14" t="str">
        <f>IF(Puntos[[#This Row],[Semana]]="","",SUMIFS(Sprint_Backlog[Puntos],Sprint_Backlog[Estado],"Terminada",Sprint_Backlog[Semana],Puntos[[#This Row],[Semana]]))</f>
        <v/>
      </c>
      <c r="F49" s="19" t="str">
        <f>IF(Puntos[[#This Row],[Semana]]="","",Puntos[[#This Row],[Puntuación total temprana]]-Puntos[[#This Row],[Puntuación realizada]])</f>
        <v/>
      </c>
    </row>
    <row r="50" spans="3:6" ht="30" customHeight="1">
      <c r="C50" s="18" t="str">
        <f>IF(DAS!C63&gt;Duracion_Proyecto,"",DAS!C63)</f>
        <v/>
      </c>
      <c r="D50" s="14" t="str">
        <f>IF(Puntos[[#This Row],[Semana]]="","",SUMIF(Sprint_Backlog[Semana],Puntos[[#This Row],[Semana]],Sprint_Backlog[Puntos]))</f>
        <v/>
      </c>
      <c r="E50" s="14" t="str">
        <f>IF(Puntos[[#This Row],[Semana]]="","",SUMIFS(Sprint_Backlog[Puntos],Sprint_Backlog[Estado],"Terminada",Sprint_Backlog[Semana],Puntos[[#This Row],[Semana]]))</f>
        <v/>
      </c>
      <c r="F50" s="19" t="str">
        <f>IF(Puntos[[#This Row],[Semana]]="","",Puntos[[#This Row],[Puntuación total temprana]]-Puntos[[#This Row],[Puntuación realizada]])</f>
        <v/>
      </c>
    </row>
    <row r="51" spans="3:6" ht="30" customHeight="1">
      <c r="C51" s="18" t="str">
        <f>IF(DAS!C64&gt;Duracion_Proyecto,"",DAS!C64)</f>
        <v/>
      </c>
      <c r="D51" s="14" t="str">
        <f>IF(Puntos[[#This Row],[Semana]]="","",SUMIF(Sprint_Backlog[Semana],Puntos[[#This Row],[Semana]],Sprint_Backlog[Puntos]))</f>
        <v/>
      </c>
      <c r="E51" s="14" t="str">
        <f>IF(Puntos[[#This Row],[Semana]]="","",SUMIFS(Sprint_Backlog[Puntos],Sprint_Backlog[Estado],"Terminada",Sprint_Backlog[Semana],Puntos[[#This Row],[Semana]]))</f>
        <v/>
      </c>
      <c r="F51" s="19" t="str">
        <f>IF(Puntos[[#This Row],[Semana]]="","",Puntos[[#This Row],[Puntuación total temprana]]-Puntos[[#This Row],[Puntuación realizada]])</f>
        <v/>
      </c>
    </row>
    <row r="52" spans="3:6" ht="30" customHeight="1">
      <c r="C52" s="18" t="str">
        <f>IF(DAS!C65&gt;Duracion_Proyecto,"",DAS!C65)</f>
        <v/>
      </c>
      <c r="D52" s="14" t="str">
        <f>IF(Puntos[[#This Row],[Semana]]="","",SUMIF(Sprint_Backlog[Semana],Puntos[[#This Row],[Semana]],Sprint_Backlog[Puntos]))</f>
        <v/>
      </c>
      <c r="E52" s="14" t="str">
        <f>IF(Puntos[[#This Row],[Semana]]="","",SUMIFS(Sprint_Backlog[Puntos],Sprint_Backlog[Estado],"Terminada",Sprint_Backlog[Semana],Puntos[[#This Row],[Semana]]))</f>
        <v/>
      </c>
      <c r="F52" s="19" t="str">
        <f>IF(Puntos[[#This Row],[Semana]]="","",Puntos[[#This Row],[Puntuación total temprana]]-Puntos[[#This Row],[Puntuación realizada]])</f>
        <v/>
      </c>
    </row>
    <row r="53" spans="3:6" ht="30" customHeight="1">
      <c r="C53" s="18" t="str">
        <f>IF(DAS!C66&gt;Duracion_Proyecto,"",DAS!C66)</f>
        <v/>
      </c>
      <c r="D53" s="14" t="str">
        <f>IF(Puntos[[#This Row],[Semana]]="","",SUMIF(Sprint_Backlog[Semana],Puntos[[#This Row],[Semana]],Sprint_Backlog[Puntos]))</f>
        <v/>
      </c>
      <c r="E53" s="14" t="str">
        <f>IF(Puntos[[#This Row],[Semana]]="","",SUMIFS(Sprint_Backlog[Puntos],Sprint_Backlog[Estado],"Terminada",Sprint_Backlog[Semana],Puntos[[#This Row],[Semana]]))</f>
        <v/>
      </c>
      <c r="F53" s="19" t="str">
        <f>IF(Puntos[[#This Row],[Semana]]="","",Puntos[[#This Row],[Puntuación total temprana]]-Puntos[[#This Row],[Puntuación realizada]])</f>
        <v/>
      </c>
    </row>
    <row r="54" spans="3:6" ht="30" customHeight="1">
      <c r="C54" s="18" t="str">
        <f>IF(DAS!C67&gt;Duracion_Proyecto,"",DAS!C67)</f>
        <v/>
      </c>
      <c r="D54" s="14" t="str">
        <f>IF(Puntos[[#This Row],[Semana]]="","",SUMIF(Sprint_Backlog[Semana],Puntos[[#This Row],[Semana]],Sprint_Backlog[Puntos]))</f>
        <v/>
      </c>
      <c r="E54" s="14" t="str">
        <f>IF(Puntos[[#This Row],[Semana]]="","",SUMIFS(Sprint_Backlog[Puntos],Sprint_Backlog[Estado],"Terminada",Sprint_Backlog[Semana],Puntos[[#This Row],[Semana]]))</f>
        <v/>
      </c>
      <c r="F54" s="19" t="str">
        <f>IF(Puntos[[#This Row],[Semana]]="","",Puntos[[#This Row],[Puntuación total temprana]]-Puntos[[#This Row],[Puntuación realizada]])</f>
        <v/>
      </c>
    </row>
    <row r="55" spans="3:6" ht="30" customHeight="1">
      <c r="C55" s="18" t="str">
        <f>IF(DAS!C68&gt;Duracion_Proyecto,"",DAS!C68)</f>
        <v/>
      </c>
      <c r="D55" s="14" t="str">
        <f>IF(Puntos[[#This Row],[Semana]]="","",SUMIF(Sprint_Backlog[Semana],Puntos[[#This Row],[Semana]],Sprint_Backlog[Puntos]))</f>
        <v/>
      </c>
      <c r="E55" s="14" t="str">
        <f>IF(Puntos[[#This Row],[Semana]]="","",SUMIFS(Sprint_Backlog[Puntos],Sprint_Backlog[Estado],"Terminada",Sprint_Backlog[Semana],Puntos[[#This Row],[Semana]]))</f>
        <v/>
      </c>
      <c r="F55" s="19" t="str">
        <f>IF(Puntos[[#This Row],[Semana]]="","",Puntos[[#This Row],[Puntuación total temprana]]-Puntos[[#This Row],[Puntuación realizada]])</f>
        <v/>
      </c>
    </row>
    <row r="56" spans="3:6" ht="30" customHeight="1">
      <c r="C56" s="68" t="str">
        <f>IF(DAS!C69&gt;Duracion_Proyecto,"",DAS!C69)</f>
        <v/>
      </c>
      <c r="D56" s="14" t="str">
        <f>IF(Puntos[[#This Row],[Semana]]="","",SUMIF(Sprint_Backlog[Semana],Puntos[[#This Row],[Semana]],Sprint_Backlog[Puntos]))</f>
        <v/>
      </c>
      <c r="E56" s="14" t="str">
        <f>IF(Puntos[[#This Row],[Semana]]="","",SUMIFS(Sprint_Backlog[Puntos],Sprint_Backlog[Estado],"Terminada",Sprint_Backlog[Semana],Puntos[[#This Row],[Semana]]))</f>
        <v/>
      </c>
      <c r="F56" s="19" t="str">
        <f>IF(Puntos[[#This Row],[Semana]]="","",Puntos[[#This Row],[Puntuación total temprana]]-Puntos[[#This Row],[Puntuación realizada]])</f>
        <v/>
      </c>
    </row>
  </sheetData>
  <sheetProtection algorithmName="SHA-512" hashValue="ZebBsAqBUjSonMYBxU1bBjBxZv0DaBEfkjrcnTlcF134GsUqbox1CI2sb6iYBnk0k/tSRkGII0t0PTGqYr52Og==" saltValue="uVIsAJwEG62HejWFamktow==" spinCount="100000" formatCells="0" formatColumns="0" formatRows="0" selectLockedCells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GridLines="0" zoomScale="70" zoomScaleNormal="70" zoomScalePageLayoutView="80" workbookViewId="0">
      <pane ySplit="6" topLeftCell="A7" activePane="bottomLeft" state="frozen"/>
      <selection pane="bottomLeft"/>
    </sheetView>
  </sheetViews>
  <sheetFormatPr baseColWidth="10" defaultColWidth="11" defaultRowHeight="30" customHeight="1"/>
  <cols>
    <col min="1" max="2" width="2.625" style="3" customWidth="1"/>
    <col min="3" max="3" width="10.625" style="3" customWidth="1"/>
    <col min="4" max="10" width="15.625" style="3" customWidth="1"/>
    <col min="11" max="11" width="11" style="3" customWidth="1"/>
    <col min="12" max="15" width="11" style="3"/>
    <col min="16" max="16" width="5.125" style="3" customWidth="1"/>
    <col min="17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s="10" customFormat="1" ht="9.75" customHeight="1"/>
    <row r="4" spans="1:11" s="10" customFormat="1" ht="24.75" customHeight="1">
      <c r="A4" s="4"/>
      <c r="B4" s="4"/>
      <c r="C4" s="92" t="s">
        <v>35</v>
      </c>
      <c r="D4" s="93"/>
      <c r="E4" s="94" t="s">
        <v>51</v>
      </c>
      <c r="F4" s="95"/>
      <c r="G4" s="96"/>
    </row>
    <row r="5" spans="1:11" s="10" customFormat="1" ht="6.75" customHeight="1">
      <c r="A5" s="4"/>
    </row>
    <row r="6" spans="1:11" ht="32.25" customHeight="1">
      <c r="C6" s="61" t="s">
        <v>65</v>
      </c>
      <c r="D6" s="61" t="s">
        <v>77</v>
      </c>
      <c r="E6" s="61" t="s">
        <v>120</v>
      </c>
      <c r="F6" s="61" t="s">
        <v>121</v>
      </c>
      <c r="G6" s="61" t="s">
        <v>126</v>
      </c>
      <c r="H6" s="61" t="s">
        <v>122</v>
      </c>
      <c r="I6" s="61" t="s">
        <v>123</v>
      </c>
      <c r="J6" s="61" t="s">
        <v>124</v>
      </c>
    </row>
    <row r="7" spans="1:11" ht="30" customHeight="1">
      <c r="C7" s="18">
        <f>IF(DAS!C18&gt;Duracion_Proyecto,"",DAS!C18)</f>
        <v>0</v>
      </c>
      <c r="D7" s="18">
        <f>IF(Rendimiento_Individual[[#This Row],[Semana]]="","",COUNTIFS(Sprint_Backlog[Responsable],Empleado,Sprint_Backlog[Semana],Rendimiento_Individual[[#This Row],[Semana]]))</f>
        <v>0</v>
      </c>
      <c r="E7" s="18">
        <f>IF(Rendimiento_Individual[[#This Row],[Semana]]="","",COUNTIFS(Sprint_Backlog[Responsable],Empleado,Sprint_Backlog[Semana],Rendimiento_Individual[[#This Row],[Semana]],Sprint_Backlog[Estado],"Terminada"))</f>
        <v>0</v>
      </c>
      <c r="F7" s="12">
        <f>IF(Rendimiento_Individual[[#This Row],[Semana]]="","",IFERROR(Rendimiento_Individual[[#This Row],[Tareas terminadas]]/Rendimiento_Individual[[#This Row],[Tareas asignadas]],0))</f>
        <v>0</v>
      </c>
      <c r="G7" s="14">
        <f>IF(Rendimiento_Individual[[#This Row],[Semana]]="","",SUMIFS(Sprint_Backlog[Puntos],Sprint_Backlog[Estado],"Terminada",Sprint_Backlog[Responsable],Empleado,Sprint_Backlog[Semana],Rendimiento_Individual[[#This Row],[Semana]]))</f>
        <v>0</v>
      </c>
      <c r="H7" s="14">
        <f>IF(Rendimiento_Individual[[#This Row],[Semana]]="","",SUMIFS(Sprint_Backlog[Horas programadas],Sprint_Backlog[Responsable],Empleado,Sprint_Backlog[Semana],Rendimiento_Individual[[#This Row],[Semana]]))</f>
        <v>0</v>
      </c>
      <c r="I7" s="14">
        <f>IF(Rendimiento_Individual[[#This Row],[Semana]]="","",SUMIFS(Sprint_Backlog[Horas utilizadas],Sprint_Backlog[Responsable],Empleado,Sprint_Backlog[Semana],Rendimiento_Individual[[#This Row],[Semana]]))</f>
        <v>0</v>
      </c>
      <c r="J7" s="14">
        <f>IF(Rendimiento_Individual[[#This Row],[Semana]]="","",Rendimiento_Individual[[#This Row],[Horas programadas]]-Rendimiento_Individual[[#This Row],[Horas utilizadas]])</f>
        <v>0</v>
      </c>
    </row>
    <row r="8" spans="1:11" ht="30" customHeight="1">
      <c r="C8" s="18">
        <f>IF(DAS!C19&gt;Duracion_Proyecto,"",DAS!C19)</f>
        <v>1</v>
      </c>
      <c r="D8" s="18">
        <f>IF(Rendimiento_Individual[[#This Row],[Semana]]="","",COUNTIFS(Sprint_Backlog[Responsable],Empleado,Sprint_Backlog[Semana],Rendimiento_Individual[[#This Row],[Semana]]))</f>
        <v>9</v>
      </c>
      <c r="E8" s="18">
        <f>IF(Rendimiento_Individual[[#This Row],[Semana]]="","",COUNTIFS(Sprint_Backlog[Responsable],Empleado,Sprint_Backlog[Semana],Rendimiento_Individual[[#This Row],[Semana]],Sprint_Backlog[Estado],"Terminada"))</f>
        <v>8</v>
      </c>
      <c r="F8" s="12">
        <f>IF(Rendimiento_Individual[[#This Row],[Semana]]="","",IFERROR(Rendimiento_Individual[[#This Row],[Tareas terminadas]]/Rendimiento_Individual[[#This Row],[Tareas asignadas]],0))</f>
        <v>0.88888888888888884</v>
      </c>
      <c r="G8" s="14">
        <f>IF(Rendimiento_Individual[[#This Row],[Semana]]="","",SUMIFS(Sprint_Backlog[Puntos],Sprint_Backlog[Estado],"Terminada",Sprint_Backlog[Responsable],Empleado,Sprint_Backlog[Semana],Rendimiento_Individual[[#This Row],[Semana]]))</f>
        <v>80</v>
      </c>
      <c r="H8" s="14">
        <f>IF(Rendimiento_Individual[[#This Row],[Semana]]="","",SUMIFS(Sprint_Backlog[Horas programadas],Sprint_Backlog[Responsable],Empleado,Sprint_Backlog[Semana],Rendimiento_Individual[[#This Row],[Semana]]))</f>
        <v>260</v>
      </c>
      <c r="I8" s="14">
        <f>IF(Rendimiento_Individual[[#This Row],[Semana]]="","",SUMIFS(Sprint_Backlog[Horas utilizadas],Sprint_Backlog[Responsable],Empleado,Sprint_Backlog[Semana],Rendimiento_Individual[[#This Row],[Semana]]))</f>
        <v>450</v>
      </c>
      <c r="J8" s="14">
        <f>IF(Rendimiento_Individual[[#This Row],[Semana]]="","",Rendimiento_Individual[[#This Row],[Horas programadas]]-Rendimiento_Individual[[#This Row],[Horas utilizadas]])</f>
        <v>-190</v>
      </c>
    </row>
    <row r="9" spans="1:11" ht="30" customHeight="1">
      <c r="C9" s="18">
        <f>IF(DAS!C20&gt;Duracion_Proyecto,"",DAS!C20)</f>
        <v>2</v>
      </c>
      <c r="D9" s="18">
        <f>IF(Rendimiento_Individual[[#This Row],[Semana]]="","",COUNTIFS(Sprint_Backlog[Responsable],Empleado,Sprint_Backlog[Semana],Rendimiento_Individual[[#This Row],[Semana]]))</f>
        <v>0</v>
      </c>
      <c r="E9" s="18">
        <f>IF(Rendimiento_Individual[[#This Row],[Semana]]="","",COUNTIFS(Sprint_Backlog[Responsable],Empleado,Sprint_Backlog[Semana],Rendimiento_Individual[[#This Row],[Semana]],Sprint_Backlog[Estado],"Terminada"))</f>
        <v>0</v>
      </c>
      <c r="F9" s="12">
        <f>IF(Rendimiento_Individual[[#This Row],[Semana]]="","",IFERROR(Rendimiento_Individual[[#This Row],[Tareas terminadas]]/Rendimiento_Individual[[#This Row],[Tareas asignadas]],0))</f>
        <v>0</v>
      </c>
      <c r="G9" s="14">
        <f>IF(Rendimiento_Individual[[#This Row],[Semana]]="","",SUMIFS(Sprint_Backlog[Puntos],Sprint_Backlog[Estado],"Terminada",Sprint_Backlog[Responsable],Empleado,Sprint_Backlog[Semana],Rendimiento_Individual[[#This Row],[Semana]]))</f>
        <v>0</v>
      </c>
      <c r="H9" s="14">
        <f>IF(Rendimiento_Individual[[#This Row],[Semana]]="","",SUMIFS(Sprint_Backlog[Horas programadas],Sprint_Backlog[Responsable],Empleado,Sprint_Backlog[Semana],Rendimiento_Individual[[#This Row],[Semana]]))</f>
        <v>0</v>
      </c>
      <c r="I9" s="14">
        <f>IF(Rendimiento_Individual[[#This Row],[Semana]]="","",SUMIFS(Sprint_Backlog[Horas utilizadas],Sprint_Backlog[Responsable],Empleado,Sprint_Backlog[Semana],Rendimiento_Individual[[#This Row],[Semana]]))</f>
        <v>0</v>
      </c>
      <c r="J9" s="14">
        <f>IF(Rendimiento_Individual[[#This Row],[Semana]]="","",Rendimiento_Individual[[#This Row],[Horas programadas]]-Rendimiento_Individual[[#This Row],[Horas utilizadas]])</f>
        <v>0</v>
      </c>
    </row>
    <row r="10" spans="1:11" ht="30" customHeight="1">
      <c r="C10" s="18">
        <f>IF(DAS!C21&gt;Duracion_Proyecto,"",DAS!C21)</f>
        <v>3</v>
      </c>
      <c r="D10" s="18">
        <f>IF(Rendimiento_Individual[[#This Row],[Semana]]="","",COUNTIFS(Sprint_Backlog[Responsable],Empleado,Sprint_Backlog[Semana],Rendimiento_Individual[[#This Row],[Semana]]))</f>
        <v>1</v>
      </c>
      <c r="E10" s="18">
        <f>IF(Rendimiento_Individual[[#This Row],[Semana]]="","",COUNTIFS(Sprint_Backlog[Responsable],Empleado,Sprint_Backlog[Semana],Rendimiento_Individual[[#This Row],[Semana]],Sprint_Backlog[Estado],"Terminada"))</f>
        <v>1</v>
      </c>
      <c r="F10" s="12">
        <f>IF(Rendimiento_Individual[[#This Row],[Semana]]="","",IFERROR(Rendimiento_Individual[[#This Row],[Tareas terminadas]]/Rendimiento_Individual[[#This Row],[Tareas asignadas]],0))</f>
        <v>1</v>
      </c>
      <c r="G10" s="14">
        <f>IF(Rendimiento_Individual[[#This Row],[Semana]]="","",SUMIFS(Sprint_Backlog[Puntos],Sprint_Backlog[Estado],"Terminada",Sprint_Backlog[Responsable],Empleado,Sprint_Backlog[Semana],Rendimiento_Individual[[#This Row],[Semana]]))</f>
        <v>100</v>
      </c>
      <c r="H10" s="14">
        <f>IF(Rendimiento_Individual[[#This Row],[Semana]]="","",SUMIFS(Sprint_Backlog[Horas programadas],Sprint_Backlog[Responsable],Empleado,Sprint_Backlog[Semana],Rendimiento_Individual[[#This Row],[Semana]]))</f>
        <v>30</v>
      </c>
      <c r="I10" s="14">
        <f>IF(Rendimiento_Individual[[#This Row],[Semana]]="","",SUMIFS(Sprint_Backlog[Horas utilizadas],Sprint_Backlog[Responsable],Empleado,Sprint_Backlog[Semana],Rendimiento_Individual[[#This Row],[Semana]]))</f>
        <v>50</v>
      </c>
      <c r="J10" s="14">
        <f>IF(Rendimiento_Individual[[#This Row],[Semana]]="","",Rendimiento_Individual[[#This Row],[Horas programadas]]-Rendimiento_Individual[[#This Row],[Horas utilizadas]])</f>
        <v>-20</v>
      </c>
    </row>
    <row r="11" spans="1:11" ht="30" customHeight="1">
      <c r="C11" s="18">
        <f>IF(DAS!C22&gt;Duracion_Proyecto,"",DAS!C22)</f>
        <v>4</v>
      </c>
      <c r="D11" s="18">
        <f>IF(Rendimiento_Individual[[#This Row],[Semana]]="","",COUNTIFS(Sprint_Backlog[Responsable],Empleado,Sprint_Backlog[Semana],Rendimiento_Individual[[#This Row],[Semana]]))</f>
        <v>0</v>
      </c>
      <c r="E11" s="18">
        <f>IF(Rendimiento_Individual[[#This Row],[Semana]]="","",COUNTIFS(Sprint_Backlog[Responsable],Empleado,Sprint_Backlog[Semana],Rendimiento_Individual[[#This Row],[Semana]],Sprint_Backlog[Estado],"Terminada"))</f>
        <v>0</v>
      </c>
      <c r="F11" s="12">
        <f>IF(Rendimiento_Individual[[#This Row],[Semana]]="","",IFERROR(Rendimiento_Individual[[#This Row],[Tareas terminadas]]/Rendimiento_Individual[[#This Row],[Tareas asignadas]],0))</f>
        <v>0</v>
      </c>
      <c r="G11" s="14">
        <f>IF(Rendimiento_Individual[[#This Row],[Semana]]="","",SUMIFS(Sprint_Backlog[Puntos],Sprint_Backlog[Estado],"Terminada",Sprint_Backlog[Responsable],Empleado,Sprint_Backlog[Semana],Rendimiento_Individual[[#This Row],[Semana]]))</f>
        <v>0</v>
      </c>
      <c r="H11" s="14">
        <f>IF(Rendimiento_Individual[[#This Row],[Semana]]="","",SUMIFS(Sprint_Backlog[Horas programadas],Sprint_Backlog[Responsable],Empleado,Sprint_Backlog[Semana],Rendimiento_Individual[[#This Row],[Semana]]))</f>
        <v>0</v>
      </c>
      <c r="I11" s="14">
        <f>IF(Rendimiento_Individual[[#This Row],[Semana]]="","",SUMIFS(Sprint_Backlog[Horas utilizadas],Sprint_Backlog[Responsable],Empleado,Sprint_Backlog[Semana],Rendimiento_Individual[[#This Row],[Semana]]))</f>
        <v>0</v>
      </c>
      <c r="J11" s="14">
        <f>IF(Rendimiento_Individual[[#This Row],[Semana]]="","",Rendimiento_Individual[[#This Row],[Horas programadas]]-Rendimiento_Individual[[#This Row],[Horas utilizadas]])</f>
        <v>0</v>
      </c>
    </row>
    <row r="12" spans="1:11" ht="30" customHeight="1">
      <c r="C12" s="18">
        <f>IF(DAS!C23&gt;Duracion_Proyecto,"",DAS!C23)</f>
        <v>5</v>
      </c>
      <c r="D12" s="18">
        <f>IF(Rendimiento_Individual[[#This Row],[Semana]]="","",COUNTIFS(Sprint_Backlog[Responsable],Empleado,Sprint_Backlog[Semana],Rendimiento_Individual[[#This Row],[Semana]]))</f>
        <v>0</v>
      </c>
      <c r="E12" s="18">
        <f>IF(Rendimiento_Individual[[#This Row],[Semana]]="","",COUNTIFS(Sprint_Backlog[Responsable],Empleado,Sprint_Backlog[Semana],Rendimiento_Individual[[#This Row],[Semana]],Sprint_Backlog[Estado],"Terminada"))</f>
        <v>0</v>
      </c>
      <c r="F12" s="12">
        <f>IF(Rendimiento_Individual[[#This Row],[Semana]]="","",IFERROR(Rendimiento_Individual[[#This Row],[Tareas terminadas]]/Rendimiento_Individual[[#This Row],[Tareas asignadas]],0))</f>
        <v>0</v>
      </c>
      <c r="G12" s="14">
        <f>IF(Rendimiento_Individual[[#This Row],[Semana]]="","",SUMIFS(Sprint_Backlog[Puntos],Sprint_Backlog[Estado],"Terminada",Sprint_Backlog[Responsable],Empleado,Sprint_Backlog[Semana],Rendimiento_Individual[[#This Row],[Semana]]))</f>
        <v>0</v>
      </c>
      <c r="H12" s="14">
        <f>IF(Rendimiento_Individual[[#This Row],[Semana]]="","",SUMIFS(Sprint_Backlog[Horas programadas],Sprint_Backlog[Responsable],Empleado,Sprint_Backlog[Semana],Rendimiento_Individual[[#This Row],[Semana]]))</f>
        <v>0</v>
      </c>
      <c r="I12" s="14">
        <f>IF(Rendimiento_Individual[[#This Row],[Semana]]="","",SUMIFS(Sprint_Backlog[Horas utilizadas],Sprint_Backlog[Responsable],Empleado,Sprint_Backlog[Semana],Rendimiento_Individual[[#This Row],[Semana]]))</f>
        <v>0</v>
      </c>
      <c r="J12" s="14">
        <f>IF(Rendimiento_Individual[[#This Row],[Semana]]="","",Rendimiento_Individual[[#This Row],[Horas programadas]]-Rendimiento_Individual[[#This Row],[Horas utilizadas]])</f>
        <v>0</v>
      </c>
    </row>
    <row r="13" spans="1:11" ht="30" customHeight="1">
      <c r="C13" s="18" t="str">
        <f>IF(DAS!C24&gt;Duracion_Proyecto,"",DAS!C24)</f>
        <v/>
      </c>
      <c r="D13" s="18" t="str">
        <f>IF(Rendimiento_Individual[[#This Row],[Semana]]="","",COUNTIFS(Sprint_Backlog[Responsable],Empleado,Sprint_Backlog[Semana],Rendimiento_Individual[[#This Row],[Semana]]))</f>
        <v/>
      </c>
      <c r="E13" s="18" t="str">
        <f>IF(Rendimiento_Individual[[#This Row],[Semana]]="","",COUNTIFS(Sprint_Backlog[Responsable],Empleado,Sprint_Backlog[Semana],Rendimiento_Individual[[#This Row],[Semana]],Sprint_Backlog[Estado],"Terminada"))</f>
        <v/>
      </c>
      <c r="F13" s="12" t="str">
        <f>IF(Rendimiento_Individual[[#This Row],[Semana]]="","",IFERROR(Rendimiento_Individual[[#This Row],[Tareas terminadas]]/Rendimiento_Individual[[#This Row],[Tareas asignadas]],0))</f>
        <v/>
      </c>
      <c r="G13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3" s="14" t="str">
        <f>IF(Rendimiento_Individual[[#This Row],[Semana]]="","",SUMIFS(Sprint_Backlog[Horas programadas],Sprint_Backlog[Responsable],Empleado,Sprint_Backlog[Semana],Rendimiento_Individual[[#This Row],[Semana]]))</f>
        <v/>
      </c>
      <c r="I13" s="14" t="str">
        <f>IF(Rendimiento_Individual[[#This Row],[Semana]]="","",SUMIFS(Sprint_Backlog[Horas utilizadas],Sprint_Backlog[Responsable],Empleado,Sprint_Backlog[Semana],Rendimiento_Individual[[#This Row],[Semana]]))</f>
        <v/>
      </c>
      <c r="J13" s="14" t="str">
        <f>IF(Rendimiento_Individual[[#This Row],[Semana]]="","",Rendimiento_Individual[[#This Row],[Horas programadas]]-Rendimiento_Individual[[#This Row],[Horas utilizadas]])</f>
        <v/>
      </c>
    </row>
    <row r="14" spans="1:11" ht="30" customHeight="1">
      <c r="C14" s="18" t="str">
        <f>IF(DAS!C25&gt;Duracion_Proyecto,"",DAS!C25)</f>
        <v/>
      </c>
      <c r="D14" s="18" t="str">
        <f>IF(Rendimiento_Individual[[#This Row],[Semana]]="","",COUNTIFS(Sprint_Backlog[Responsable],Empleado,Sprint_Backlog[Semana],Rendimiento_Individual[[#This Row],[Semana]]))</f>
        <v/>
      </c>
      <c r="E14" s="18" t="str">
        <f>IF(Rendimiento_Individual[[#This Row],[Semana]]="","",COUNTIFS(Sprint_Backlog[Responsable],Empleado,Sprint_Backlog[Semana],Rendimiento_Individual[[#This Row],[Semana]],Sprint_Backlog[Estado],"Terminada"))</f>
        <v/>
      </c>
      <c r="F14" s="12" t="str">
        <f>IF(Rendimiento_Individual[[#This Row],[Semana]]="","",IFERROR(Rendimiento_Individual[[#This Row],[Tareas terminadas]]/Rendimiento_Individual[[#This Row],[Tareas asignadas]],0))</f>
        <v/>
      </c>
      <c r="G14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4" s="14" t="str">
        <f>IF(Rendimiento_Individual[[#This Row],[Semana]]="","",SUMIFS(Sprint_Backlog[Horas programadas],Sprint_Backlog[Responsable],Empleado,Sprint_Backlog[Semana],Rendimiento_Individual[[#This Row],[Semana]]))</f>
        <v/>
      </c>
      <c r="I14" s="14" t="str">
        <f>IF(Rendimiento_Individual[[#This Row],[Semana]]="","",SUMIFS(Sprint_Backlog[Horas utilizadas],Sprint_Backlog[Responsable],Empleado,Sprint_Backlog[Semana],Rendimiento_Individual[[#This Row],[Semana]]))</f>
        <v/>
      </c>
      <c r="J14" s="14" t="str">
        <f>IF(Rendimiento_Individual[[#This Row],[Semana]]="","",Rendimiento_Individual[[#This Row],[Horas programadas]]-Rendimiento_Individual[[#This Row],[Horas utilizadas]])</f>
        <v/>
      </c>
    </row>
    <row r="15" spans="1:11" ht="30" customHeight="1">
      <c r="C15" s="18" t="str">
        <f>IF(DAS!C26&gt;Duracion_Proyecto,"",DAS!C26)</f>
        <v/>
      </c>
      <c r="D15" s="18" t="str">
        <f>IF(Rendimiento_Individual[[#This Row],[Semana]]="","",COUNTIFS(Sprint_Backlog[Responsable],Empleado,Sprint_Backlog[Semana],Rendimiento_Individual[[#This Row],[Semana]]))</f>
        <v/>
      </c>
      <c r="E15" s="18" t="str">
        <f>IF(Rendimiento_Individual[[#This Row],[Semana]]="","",COUNTIFS(Sprint_Backlog[Responsable],Empleado,Sprint_Backlog[Semana],Rendimiento_Individual[[#This Row],[Semana]],Sprint_Backlog[Estado],"Terminada"))</f>
        <v/>
      </c>
      <c r="F15" s="12" t="str">
        <f>IF(Rendimiento_Individual[[#This Row],[Semana]]="","",IFERROR(Rendimiento_Individual[[#This Row],[Tareas terminadas]]/Rendimiento_Individual[[#This Row],[Tareas asignadas]],0))</f>
        <v/>
      </c>
      <c r="G15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5" s="14" t="str">
        <f>IF(Rendimiento_Individual[[#This Row],[Semana]]="","",SUMIFS(Sprint_Backlog[Horas programadas],Sprint_Backlog[Responsable],Empleado,Sprint_Backlog[Semana],Rendimiento_Individual[[#This Row],[Semana]]))</f>
        <v/>
      </c>
      <c r="I15" s="14" t="str">
        <f>IF(Rendimiento_Individual[[#This Row],[Semana]]="","",SUMIFS(Sprint_Backlog[Horas utilizadas],Sprint_Backlog[Responsable],Empleado,Sprint_Backlog[Semana],Rendimiento_Individual[[#This Row],[Semana]]))</f>
        <v/>
      </c>
      <c r="J15" s="14" t="str">
        <f>IF(Rendimiento_Individual[[#This Row],[Semana]]="","",Rendimiento_Individual[[#This Row],[Horas programadas]]-Rendimiento_Individual[[#This Row],[Horas utilizadas]])</f>
        <v/>
      </c>
    </row>
    <row r="16" spans="1:11" ht="30" customHeight="1">
      <c r="C16" s="18" t="str">
        <f>IF(DAS!C27&gt;Duracion_Proyecto,"",DAS!C27)</f>
        <v/>
      </c>
      <c r="D16" s="18" t="str">
        <f>IF(Rendimiento_Individual[[#This Row],[Semana]]="","",COUNTIFS(Sprint_Backlog[Responsable],Empleado,Sprint_Backlog[Semana],Rendimiento_Individual[[#This Row],[Semana]]))</f>
        <v/>
      </c>
      <c r="E16" s="18" t="str">
        <f>IF(Rendimiento_Individual[[#This Row],[Semana]]="","",COUNTIFS(Sprint_Backlog[Responsable],Empleado,Sprint_Backlog[Semana],Rendimiento_Individual[[#This Row],[Semana]],Sprint_Backlog[Estado],"Terminada"))</f>
        <v/>
      </c>
      <c r="F16" s="12" t="str">
        <f>IF(Rendimiento_Individual[[#This Row],[Semana]]="","",IFERROR(Rendimiento_Individual[[#This Row],[Tareas terminadas]]/Rendimiento_Individual[[#This Row],[Tareas asignadas]],0))</f>
        <v/>
      </c>
      <c r="G16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6" s="14" t="str">
        <f>IF(Rendimiento_Individual[[#This Row],[Semana]]="","",SUMIFS(Sprint_Backlog[Horas programadas],Sprint_Backlog[Responsable],Empleado,Sprint_Backlog[Semana],Rendimiento_Individual[[#This Row],[Semana]]))</f>
        <v/>
      </c>
      <c r="I16" s="14" t="str">
        <f>IF(Rendimiento_Individual[[#This Row],[Semana]]="","",SUMIFS(Sprint_Backlog[Horas utilizadas],Sprint_Backlog[Responsable],Empleado,Sprint_Backlog[Semana],Rendimiento_Individual[[#This Row],[Semana]]))</f>
        <v/>
      </c>
      <c r="J16" s="14" t="str">
        <f>IF(Rendimiento_Individual[[#This Row],[Semana]]="","",Rendimiento_Individual[[#This Row],[Horas programadas]]-Rendimiento_Individual[[#This Row],[Horas utilizadas]])</f>
        <v/>
      </c>
    </row>
    <row r="17" spans="3:10" ht="30" customHeight="1">
      <c r="C17" s="18" t="str">
        <f>IF(DAS!C28&gt;Duracion_Proyecto,"",DAS!C28)</f>
        <v/>
      </c>
      <c r="D17" s="18" t="str">
        <f>IF(Rendimiento_Individual[[#This Row],[Semana]]="","",COUNTIFS(Sprint_Backlog[Responsable],Empleado,Sprint_Backlog[Semana],Rendimiento_Individual[[#This Row],[Semana]]))</f>
        <v/>
      </c>
      <c r="E17" s="18" t="str">
        <f>IF(Rendimiento_Individual[[#This Row],[Semana]]="","",COUNTIFS(Sprint_Backlog[Responsable],Empleado,Sprint_Backlog[Semana],Rendimiento_Individual[[#This Row],[Semana]],Sprint_Backlog[Estado],"Terminada"))</f>
        <v/>
      </c>
      <c r="F17" s="12" t="str">
        <f>IF(Rendimiento_Individual[[#This Row],[Semana]]="","",IFERROR(Rendimiento_Individual[[#This Row],[Tareas terminadas]]/Rendimiento_Individual[[#This Row],[Tareas asignadas]],0))</f>
        <v/>
      </c>
      <c r="G17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7" s="14" t="str">
        <f>IF(Rendimiento_Individual[[#This Row],[Semana]]="","",SUMIFS(Sprint_Backlog[Horas programadas],Sprint_Backlog[Responsable],Empleado,Sprint_Backlog[Semana],Rendimiento_Individual[[#This Row],[Semana]]))</f>
        <v/>
      </c>
      <c r="I17" s="14" t="str">
        <f>IF(Rendimiento_Individual[[#This Row],[Semana]]="","",SUMIFS(Sprint_Backlog[Horas utilizadas],Sprint_Backlog[Responsable],Empleado,Sprint_Backlog[Semana],Rendimiento_Individual[[#This Row],[Semana]]))</f>
        <v/>
      </c>
      <c r="J17" s="14" t="str">
        <f>IF(Rendimiento_Individual[[#This Row],[Semana]]="","",Rendimiento_Individual[[#This Row],[Horas programadas]]-Rendimiento_Individual[[#This Row],[Horas utilizadas]])</f>
        <v/>
      </c>
    </row>
    <row r="18" spans="3:10" ht="30" customHeight="1">
      <c r="C18" s="18" t="str">
        <f>IF(DAS!C29&gt;Duracion_Proyecto,"",DAS!C29)</f>
        <v/>
      </c>
      <c r="D18" s="18" t="str">
        <f>IF(Rendimiento_Individual[[#This Row],[Semana]]="","",COUNTIFS(Sprint_Backlog[Responsable],Empleado,Sprint_Backlog[Semana],Rendimiento_Individual[[#This Row],[Semana]]))</f>
        <v/>
      </c>
      <c r="E18" s="18" t="str">
        <f>IF(Rendimiento_Individual[[#This Row],[Semana]]="","",COUNTIFS(Sprint_Backlog[Responsable],Empleado,Sprint_Backlog[Semana],Rendimiento_Individual[[#This Row],[Semana]],Sprint_Backlog[Estado],"Terminada"))</f>
        <v/>
      </c>
      <c r="F18" s="12" t="str">
        <f>IF(Rendimiento_Individual[[#This Row],[Semana]]="","",IFERROR(Rendimiento_Individual[[#This Row],[Tareas terminadas]]/Rendimiento_Individual[[#This Row],[Tareas asignadas]],0))</f>
        <v/>
      </c>
      <c r="G18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8" s="14" t="str">
        <f>IF(Rendimiento_Individual[[#This Row],[Semana]]="","",SUMIFS(Sprint_Backlog[Horas programadas],Sprint_Backlog[Responsable],Empleado,Sprint_Backlog[Semana],Rendimiento_Individual[[#This Row],[Semana]]))</f>
        <v/>
      </c>
      <c r="I18" s="14" t="str">
        <f>IF(Rendimiento_Individual[[#This Row],[Semana]]="","",SUMIFS(Sprint_Backlog[Horas utilizadas],Sprint_Backlog[Responsable],Empleado,Sprint_Backlog[Semana],Rendimiento_Individual[[#This Row],[Semana]]))</f>
        <v/>
      </c>
      <c r="J18" s="14" t="str">
        <f>IF(Rendimiento_Individual[[#This Row],[Semana]]="","",Rendimiento_Individual[[#This Row],[Horas programadas]]-Rendimiento_Individual[[#This Row],[Horas utilizadas]])</f>
        <v/>
      </c>
    </row>
    <row r="19" spans="3:10" ht="30" customHeight="1">
      <c r="C19" s="18" t="str">
        <f>IF(DAS!C30&gt;Duracion_Proyecto,"",DAS!C30)</f>
        <v/>
      </c>
      <c r="D19" s="18" t="str">
        <f>IF(Rendimiento_Individual[[#This Row],[Semana]]="","",COUNTIFS(Sprint_Backlog[Responsable],Empleado,Sprint_Backlog[Semana],Rendimiento_Individual[[#This Row],[Semana]]))</f>
        <v/>
      </c>
      <c r="E19" s="18" t="str">
        <f>IF(Rendimiento_Individual[[#This Row],[Semana]]="","",COUNTIFS(Sprint_Backlog[Responsable],Empleado,Sprint_Backlog[Semana],Rendimiento_Individual[[#This Row],[Semana]],Sprint_Backlog[Estado],"Terminada"))</f>
        <v/>
      </c>
      <c r="F19" s="12" t="str">
        <f>IF(Rendimiento_Individual[[#This Row],[Semana]]="","",IFERROR(Rendimiento_Individual[[#This Row],[Tareas terminadas]]/Rendimiento_Individual[[#This Row],[Tareas asignadas]],0))</f>
        <v/>
      </c>
      <c r="G19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19" s="14" t="str">
        <f>IF(Rendimiento_Individual[[#This Row],[Semana]]="","",SUMIFS(Sprint_Backlog[Horas programadas],Sprint_Backlog[Responsable],Empleado,Sprint_Backlog[Semana],Rendimiento_Individual[[#This Row],[Semana]]))</f>
        <v/>
      </c>
      <c r="I19" s="14" t="str">
        <f>IF(Rendimiento_Individual[[#This Row],[Semana]]="","",SUMIFS(Sprint_Backlog[Horas utilizadas],Sprint_Backlog[Responsable],Empleado,Sprint_Backlog[Semana],Rendimiento_Individual[[#This Row],[Semana]]))</f>
        <v/>
      </c>
      <c r="J19" s="14" t="str">
        <f>IF(Rendimiento_Individual[[#This Row],[Semana]]="","",Rendimiento_Individual[[#This Row],[Horas programadas]]-Rendimiento_Individual[[#This Row],[Horas utilizadas]])</f>
        <v/>
      </c>
    </row>
    <row r="20" spans="3:10" ht="30" customHeight="1">
      <c r="C20" s="18" t="str">
        <f>IF(DAS!C31&gt;Duracion_Proyecto,"",DAS!C31)</f>
        <v/>
      </c>
      <c r="D20" s="18" t="str">
        <f>IF(Rendimiento_Individual[[#This Row],[Semana]]="","",COUNTIFS(Sprint_Backlog[Responsable],Empleado,Sprint_Backlog[Semana],Rendimiento_Individual[[#This Row],[Semana]]))</f>
        <v/>
      </c>
      <c r="E20" s="18" t="str">
        <f>IF(Rendimiento_Individual[[#This Row],[Semana]]="","",COUNTIFS(Sprint_Backlog[Responsable],Empleado,Sprint_Backlog[Semana],Rendimiento_Individual[[#This Row],[Semana]],Sprint_Backlog[Estado],"Terminada"))</f>
        <v/>
      </c>
      <c r="F20" s="12" t="str">
        <f>IF(Rendimiento_Individual[[#This Row],[Semana]]="","",IFERROR(Rendimiento_Individual[[#This Row],[Tareas terminadas]]/Rendimiento_Individual[[#This Row],[Tareas asignadas]],0))</f>
        <v/>
      </c>
      <c r="G20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0" s="14" t="str">
        <f>IF(Rendimiento_Individual[[#This Row],[Semana]]="","",SUMIFS(Sprint_Backlog[Horas programadas],Sprint_Backlog[Responsable],Empleado,Sprint_Backlog[Semana],Rendimiento_Individual[[#This Row],[Semana]]))</f>
        <v/>
      </c>
      <c r="I20" s="14" t="str">
        <f>IF(Rendimiento_Individual[[#This Row],[Semana]]="","",SUMIFS(Sprint_Backlog[Horas utilizadas],Sprint_Backlog[Responsable],Empleado,Sprint_Backlog[Semana],Rendimiento_Individual[[#This Row],[Semana]]))</f>
        <v/>
      </c>
      <c r="J20" s="14" t="str">
        <f>IF(Rendimiento_Individual[[#This Row],[Semana]]="","",Rendimiento_Individual[[#This Row],[Horas programadas]]-Rendimiento_Individual[[#This Row],[Horas utilizadas]])</f>
        <v/>
      </c>
    </row>
    <row r="21" spans="3:10" ht="30" customHeight="1">
      <c r="C21" s="18" t="str">
        <f>IF(DAS!C32&gt;Duracion_Proyecto,"",DAS!C32)</f>
        <v/>
      </c>
      <c r="D21" s="18" t="str">
        <f>IF(Rendimiento_Individual[[#This Row],[Semana]]="","",COUNTIFS(Sprint_Backlog[Responsable],Empleado,Sprint_Backlog[Semana],Rendimiento_Individual[[#This Row],[Semana]]))</f>
        <v/>
      </c>
      <c r="E21" s="18" t="str">
        <f>IF(Rendimiento_Individual[[#This Row],[Semana]]="","",COUNTIFS(Sprint_Backlog[Responsable],Empleado,Sprint_Backlog[Semana],Rendimiento_Individual[[#This Row],[Semana]],Sprint_Backlog[Estado],"Terminada"))</f>
        <v/>
      </c>
      <c r="F21" s="12" t="str">
        <f>IF(Rendimiento_Individual[[#This Row],[Semana]]="","",IFERROR(Rendimiento_Individual[[#This Row],[Tareas terminadas]]/Rendimiento_Individual[[#This Row],[Tareas asignadas]],0))</f>
        <v/>
      </c>
      <c r="G21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1" s="14" t="str">
        <f>IF(Rendimiento_Individual[[#This Row],[Semana]]="","",SUMIFS(Sprint_Backlog[Horas programadas],Sprint_Backlog[Responsable],Empleado,Sprint_Backlog[Semana],Rendimiento_Individual[[#This Row],[Semana]]))</f>
        <v/>
      </c>
      <c r="I21" s="14" t="str">
        <f>IF(Rendimiento_Individual[[#This Row],[Semana]]="","",SUMIFS(Sprint_Backlog[Horas utilizadas],Sprint_Backlog[Responsable],Empleado,Sprint_Backlog[Semana],Rendimiento_Individual[[#This Row],[Semana]]))</f>
        <v/>
      </c>
      <c r="J21" s="14" t="str">
        <f>IF(Rendimiento_Individual[[#This Row],[Semana]]="","",Rendimiento_Individual[[#This Row],[Horas programadas]]-Rendimiento_Individual[[#This Row],[Horas utilizadas]])</f>
        <v/>
      </c>
    </row>
    <row r="22" spans="3:10" ht="30" customHeight="1">
      <c r="C22" s="18" t="str">
        <f>IF(DAS!C33&gt;Duracion_Proyecto,"",DAS!C33)</f>
        <v/>
      </c>
      <c r="D22" s="18" t="str">
        <f>IF(Rendimiento_Individual[[#This Row],[Semana]]="","",COUNTIFS(Sprint_Backlog[Responsable],Empleado,Sprint_Backlog[Semana],Rendimiento_Individual[[#This Row],[Semana]]))</f>
        <v/>
      </c>
      <c r="E22" s="18" t="str">
        <f>IF(Rendimiento_Individual[[#This Row],[Semana]]="","",COUNTIFS(Sprint_Backlog[Responsable],Empleado,Sprint_Backlog[Semana],Rendimiento_Individual[[#This Row],[Semana]],Sprint_Backlog[Estado],"Terminada"))</f>
        <v/>
      </c>
      <c r="F22" s="12" t="str">
        <f>IF(Rendimiento_Individual[[#This Row],[Semana]]="","",IFERROR(Rendimiento_Individual[[#This Row],[Tareas terminadas]]/Rendimiento_Individual[[#This Row],[Tareas asignadas]],0))</f>
        <v/>
      </c>
      <c r="G22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2" s="14" t="str">
        <f>IF(Rendimiento_Individual[[#This Row],[Semana]]="","",SUMIFS(Sprint_Backlog[Horas programadas],Sprint_Backlog[Responsable],Empleado,Sprint_Backlog[Semana],Rendimiento_Individual[[#This Row],[Semana]]))</f>
        <v/>
      </c>
      <c r="I22" s="14" t="str">
        <f>IF(Rendimiento_Individual[[#This Row],[Semana]]="","",SUMIFS(Sprint_Backlog[Horas utilizadas],Sprint_Backlog[Responsable],Empleado,Sprint_Backlog[Semana],Rendimiento_Individual[[#This Row],[Semana]]))</f>
        <v/>
      </c>
      <c r="J22" s="14" t="str">
        <f>IF(Rendimiento_Individual[[#This Row],[Semana]]="","",Rendimiento_Individual[[#This Row],[Horas programadas]]-Rendimiento_Individual[[#This Row],[Horas utilizadas]])</f>
        <v/>
      </c>
    </row>
    <row r="23" spans="3:10" ht="30" customHeight="1">
      <c r="C23" s="18" t="str">
        <f>IF(DAS!C34&gt;Duracion_Proyecto,"",DAS!C34)</f>
        <v/>
      </c>
      <c r="D23" s="18" t="str">
        <f>IF(Rendimiento_Individual[[#This Row],[Semana]]="","",COUNTIFS(Sprint_Backlog[Responsable],Empleado,Sprint_Backlog[Semana],Rendimiento_Individual[[#This Row],[Semana]]))</f>
        <v/>
      </c>
      <c r="E23" s="18" t="str">
        <f>IF(Rendimiento_Individual[[#This Row],[Semana]]="","",COUNTIFS(Sprint_Backlog[Responsable],Empleado,Sprint_Backlog[Semana],Rendimiento_Individual[[#This Row],[Semana]],Sprint_Backlog[Estado],"Terminada"))</f>
        <v/>
      </c>
      <c r="F23" s="12" t="str">
        <f>IF(Rendimiento_Individual[[#This Row],[Semana]]="","",IFERROR(Rendimiento_Individual[[#This Row],[Tareas terminadas]]/Rendimiento_Individual[[#This Row],[Tareas asignadas]],0))</f>
        <v/>
      </c>
      <c r="G23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3" s="14" t="str">
        <f>IF(Rendimiento_Individual[[#This Row],[Semana]]="","",SUMIFS(Sprint_Backlog[Horas programadas],Sprint_Backlog[Responsable],Empleado,Sprint_Backlog[Semana],Rendimiento_Individual[[#This Row],[Semana]]))</f>
        <v/>
      </c>
      <c r="I23" s="14" t="str">
        <f>IF(Rendimiento_Individual[[#This Row],[Semana]]="","",SUMIFS(Sprint_Backlog[Horas utilizadas],Sprint_Backlog[Responsable],Empleado,Sprint_Backlog[Semana],Rendimiento_Individual[[#This Row],[Semana]]))</f>
        <v/>
      </c>
      <c r="J23" s="14" t="str">
        <f>IF(Rendimiento_Individual[[#This Row],[Semana]]="","",Rendimiento_Individual[[#This Row],[Horas programadas]]-Rendimiento_Individual[[#This Row],[Horas utilizadas]])</f>
        <v/>
      </c>
    </row>
    <row r="24" spans="3:10" ht="30" customHeight="1">
      <c r="C24" s="18" t="str">
        <f>IF(DAS!C35&gt;Duracion_Proyecto,"",DAS!C35)</f>
        <v/>
      </c>
      <c r="D24" s="18" t="str">
        <f>IF(Rendimiento_Individual[[#This Row],[Semana]]="","",COUNTIFS(Sprint_Backlog[Responsable],Empleado,Sprint_Backlog[Semana],Rendimiento_Individual[[#This Row],[Semana]]))</f>
        <v/>
      </c>
      <c r="E24" s="18" t="str">
        <f>IF(Rendimiento_Individual[[#This Row],[Semana]]="","",COUNTIFS(Sprint_Backlog[Responsable],Empleado,Sprint_Backlog[Semana],Rendimiento_Individual[[#This Row],[Semana]],Sprint_Backlog[Estado],"Terminada"))</f>
        <v/>
      </c>
      <c r="F24" s="12" t="str">
        <f>IF(Rendimiento_Individual[[#This Row],[Semana]]="","",IFERROR(Rendimiento_Individual[[#This Row],[Tareas terminadas]]/Rendimiento_Individual[[#This Row],[Tareas asignadas]],0))</f>
        <v/>
      </c>
      <c r="G24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4" s="14" t="str">
        <f>IF(Rendimiento_Individual[[#This Row],[Semana]]="","",SUMIFS(Sprint_Backlog[Horas programadas],Sprint_Backlog[Responsable],Empleado,Sprint_Backlog[Semana],Rendimiento_Individual[[#This Row],[Semana]]))</f>
        <v/>
      </c>
      <c r="I24" s="14" t="str">
        <f>IF(Rendimiento_Individual[[#This Row],[Semana]]="","",SUMIFS(Sprint_Backlog[Horas utilizadas],Sprint_Backlog[Responsable],Empleado,Sprint_Backlog[Semana],Rendimiento_Individual[[#This Row],[Semana]]))</f>
        <v/>
      </c>
      <c r="J24" s="14" t="str">
        <f>IF(Rendimiento_Individual[[#This Row],[Semana]]="","",Rendimiento_Individual[[#This Row],[Horas programadas]]-Rendimiento_Individual[[#This Row],[Horas utilizadas]])</f>
        <v/>
      </c>
    </row>
    <row r="25" spans="3:10" ht="30" customHeight="1">
      <c r="C25" s="18" t="str">
        <f>IF(DAS!C36&gt;Duracion_Proyecto,"",DAS!C36)</f>
        <v/>
      </c>
      <c r="D25" s="18" t="str">
        <f>IF(Rendimiento_Individual[[#This Row],[Semana]]="","",COUNTIFS(Sprint_Backlog[Responsable],Empleado,Sprint_Backlog[Semana],Rendimiento_Individual[[#This Row],[Semana]]))</f>
        <v/>
      </c>
      <c r="E25" s="18" t="str">
        <f>IF(Rendimiento_Individual[[#This Row],[Semana]]="","",COUNTIFS(Sprint_Backlog[Responsable],Empleado,Sprint_Backlog[Semana],Rendimiento_Individual[[#This Row],[Semana]],Sprint_Backlog[Estado],"Terminada"))</f>
        <v/>
      </c>
      <c r="F25" s="12" t="str">
        <f>IF(Rendimiento_Individual[[#This Row],[Semana]]="","",IFERROR(Rendimiento_Individual[[#This Row],[Tareas terminadas]]/Rendimiento_Individual[[#This Row],[Tareas asignadas]],0))</f>
        <v/>
      </c>
      <c r="G25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5" s="14" t="str">
        <f>IF(Rendimiento_Individual[[#This Row],[Semana]]="","",SUMIFS(Sprint_Backlog[Horas programadas],Sprint_Backlog[Responsable],Empleado,Sprint_Backlog[Semana],Rendimiento_Individual[[#This Row],[Semana]]))</f>
        <v/>
      </c>
      <c r="I25" s="14" t="str">
        <f>IF(Rendimiento_Individual[[#This Row],[Semana]]="","",SUMIFS(Sprint_Backlog[Horas utilizadas],Sprint_Backlog[Responsable],Empleado,Sprint_Backlog[Semana],Rendimiento_Individual[[#This Row],[Semana]]))</f>
        <v/>
      </c>
      <c r="J25" s="14" t="str">
        <f>IF(Rendimiento_Individual[[#This Row],[Semana]]="","",Rendimiento_Individual[[#This Row],[Horas programadas]]-Rendimiento_Individual[[#This Row],[Horas utilizadas]])</f>
        <v/>
      </c>
    </row>
    <row r="26" spans="3:10" ht="30" customHeight="1">
      <c r="C26" s="18" t="str">
        <f>IF(DAS!C37&gt;Duracion_Proyecto,"",DAS!C37)</f>
        <v/>
      </c>
      <c r="D26" s="18" t="str">
        <f>IF(Rendimiento_Individual[[#This Row],[Semana]]="","",COUNTIFS(Sprint_Backlog[Responsable],Empleado,Sprint_Backlog[Semana],Rendimiento_Individual[[#This Row],[Semana]]))</f>
        <v/>
      </c>
      <c r="E26" s="18" t="str">
        <f>IF(Rendimiento_Individual[[#This Row],[Semana]]="","",COUNTIFS(Sprint_Backlog[Responsable],Empleado,Sprint_Backlog[Semana],Rendimiento_Individual[[#This Row],[Semana]],Sprint_Backlog[Estado],"Terminada"))</f>
        <v/>
      </c>
      <c r="F26" s="12" t="str">
        <f>IF(Rendimiento_Individual[[#This Row],[Semana]]="","",IFERROR(Rendimiento_Individual[[#This Row],[Tareas terminadas]]/Rendimiento_Individual[[#This Row],[Tareas asignadas]],0))</f>
        <v/>
      </c>
      <c r="G26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6" s="14" t="str">
        <f>IF(Rendimiento_Individual[[#This Row],[Semana]]="","",SUMIFS(Sprint_Backlog[Horas programadas],Sprint_Backlog[Responsable],Empleado,Sprint_Backlog[Semana],Rendimiento_Individual[[#This Row],[Semana]]))</f>
        <v/>
      </c>
      <c r="I26" s="14" t="str">
        <f>IF(Rendimiento_Individual[[#This Row],[Semana]]="","",SUMIFS(Sprint_Backlog[Horas utilizadas],Sprint_Backlog[Responsable],Empleado,Sprint_Backlog[Semana],Rendimiento_Individual[[#This Row],[Semana]]))</f>
        <v/>
      </c>
      <c r="J26" s="14" t="str">
        <f>IF(Rendimiento_Individual[[#This Row],[Semana]]="","",Rendimiento_Individual[[#This Row],[Horas programadas]]-Rendimiento_Individual[[#This Row],[Horas utilizadas]])</f>
        <v/>
      </c>
    </row>
    <row r="27" spans="3:10" ht="30" customHeight="1">
      <c r="C27" s="18" t="str">
        <f>IF(DAS!C38&gt;Duracion_Proyecto,"",DAS!C38)</f>
        <v/>
      </c>
      <c r="D27" s="18" t="str">
        <f>IF(Rendimiento_Individual[[#This Row],[Semana]]="","",COUNTIFS(Sprint_Backlog[Responsable],Empleado,Sprint_Backlog[Semana],Rendimiento_Individual[[#This Row],[Semana]]))</f>
        <v/>
      </c>
      <c r="E27" s="18" t="str">
        <f>IF(Rendimiento_Individual[[#This Row],[Semana]]="","",COUNTIFS(Sprint_Backlog[Responsable],Empleado,Sprint_Backlog[Semana],Rendimiento_Individual[[#This Row],[Semana]],Sprint_Backlog[Estado],"Terminada"))</f>
        <v/>
      </c>
      <c r="F27" s="12" t="str">
        <f>IF(Rendimiento_Individual[[#This Row],[Semana]]="","",IFERROR(Rendimiento_Individual[[#This Row],[Tareas terminadas]]/Rendimiento_Individual[[#This Row],[Tareas asignadas]],0))</f>
        <v/>
      </c>
      <c r="G27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7" s="14" t="str">
        <f>IF(Rendimiento_Individual[[#This Row],[Semana]]="","",SUMIFS(Sprint_Backlog[Horas programadas],Sprint_Backlog[Responsable],Empleado,Sprint_Backlog[Semana],Rendimiento_Individual[[#This Row],[Semana]]))</f>
        <v/>
      </c>
      <c r="I27" s="14" t="str">
        <f>IF(Rendimiento_Individual[[#This Row],[Semana]]="","",SUMIFS(Sprint_Backlog[Horas utilizadas],Sprint_Backlog[Responsable],Empleado,Sprint_Backlog[Semana],Rendimiento_Individual[[#This Row],[Semana]]))</f>
        <v/>
      </c>
      <c r="J27" s="14" t="str">
        <f>IF(Rendimiento_Individual[[#This Row],[Semana]]="","",Rendimiento_Individual[[#This Row],[Horas programadas]]-Rendimiento_Individual[[#This Row],[Horas utilizadas]])</f>
        <v/>
      </c>
    </row>
    <row r="28" spans="3:10" ht="30" customHeight="1">
      <c r="C28" s="18" t="str">
        <f>IF(DAS!C39&gt;Duracion_Proyecto,"",DAS!C39)</f>
        <v/>
      </c>
      <c r="D28" s="18" t="str">
        <f>IF(Rendimiento_Individual[[#This Row],[Semana]]="","",COUNTIFS(Sprint_Backlog[Responsable],Empleado,Sprint_Backlog[Semana],Rendimiento_Individual[[#This Row],[Semana]]))</f>
        <v/>
      </c>
      <c r="E28" s="18" t="str">
        <f>IF(Rendimiento_Individual[[#This Row],[Semana]]="","",COUNTIFS(Sprint_Backlog[Responsable],Empleado,Sprint_Backlog[Semana],Rendimiento_Individual[[#This Row],[Semana]],Sprint_Backlog[Estado],"Terminada"))</f>
        <v/>
      </c>
      <c r="F28" s="12" t="str">
        <f>IF(Rendimiento_Individual[[#This Row],[Semana]]="","",IFERROR(Rendimiento_Individual[[#This Row],[Tareas terminadas]]/Rendimiento_Individual[[#This Row],[Tareas asignadas]],0))</f>
        <v/>
      </c>
      <c r="G28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8" s="14" t="str">
        <f>IF(Rendimiento_Individual[[#This Row],[Semana]]="","",SUMIFS(Sprint_Backlog[Horas programadas],Sprint_Backlog[Responsable],Empleado,Sprint_Backlog[Semana],Rendimiento_Individual[[#This Row],[Semana]]))</f>
        <v/>
      </c>
      <c r="I28" s="14" t="str">
        <f>IF(Rendimiento_Individual[[#This Row],[Semana]]="","",SUMIFS(Sprint_Backlog[Horas utilizadas],Sprint_Backlog[Responsable],Empleado,Sprint_Backlog[Semana],Rendimiento_Individual[[#This Row],[Semana]]))</f>
        <v/>
      </c>
      <c r="J28" s="14" t="str">
        <f>IF(Rendimiento_Individual[[#This Row],[Semana]]="","",Rendimiento_Individual[[#This Row],[Horas programadas]]-Rendimiento_Individual[[#This Row],[Horas utilizadas]])</f>
        <v/>
      </c>
    </row>
    <row r="29" spans="3:10" ht="30" customHeight="1">
      <c r="C29" s="18" t="str">
        <f>IF(DAS!C40&gt;Duracion_Proyecto,"",DAS!C40)</f>
        <v/>
      </c>
      <c r="D29" s="18" t="str">
        <f>IF(Rendimiento_Individual[[#This Row],[Semana]]="","",COUNTIFS(Sprint_Backlog[Responsable],Empleado,Sprint_Backlog[Semana],Rendimiento_Individual[[#This Row],[Semana]]))</f>
        <v/>
      </c>
      <c r="E29" s="18" t="str">
        <f>IF(Rendimiento_Individual[[#This Row],[Semana]]="","",COUNTIFS(Sprint_Backlog[Responsable],Empleado,Sprint_Backlog[Semana],Rendimiento_Individual[[#This Row],[Semana]],Sprint_Backlog[Estado],"Terminada"))</f>
        <v/>
      </c>
      <c r="F29" s="12" t="str">
        <f>IF(Rendimiento_Individual[[#This Row],[Semana]]="","",IFERROR(Rendimiento_Individual[[#This Row],[Tareas terminadas]]/Rendimiento_Individual[[#This Row],[Tareas asignadas]],0))</f>
        <v/>
      </c>
      <c r="G29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29" s="14" t="str">
        <f>IF(Rendimiento_Individual[[#This Row],[Semana]]="","",SUMIFS(Sprint_Backlog[Horas programadas],Sprint_Backlog[Responsable],Empleado,Sprint_Backlog[Semana],Rendimiento_Individual[[#This Row],[Semana]]))</f>
        <v/>
      </c>
      <c r="I29" s="14" t="str">
        <f>IF(Rendimiento_Individual[[#This Row],[Semana]]="","",SUMIFS(Sprint_Backlog[Horas utilizadas],Sprint_Backlog[Responsable],Empleado,Sprint_Backlog[Semana],Rendimiento_Individual[[#This Row],[Semana]]))</f>
        <v/>
      </c>
      <c r="J29" s="14" t="str">
        <f>IF(Rendimiento_Individual[[#This Row],[Semana]]="","",Rendimiento_Individual[[#This Row],[Horas programadas]]-Rendimiento_Individual[[#This Row],[Horas utilizadas]])</f>
        <v/>
      </c>
    </row>
    <row r="30" spans="3:10" ht="30" customHeight="1">
      <c r="C30" s="18" t="str">
        <f>IF(DAS!C41&gt;Duracion_Proyecto,"",DAS!C41)</f>
        <v/>
      </c>
      <c r="D30" s="18" t="str">
        <f>IF(Rendimiento_Individual[[#This Row],[Semana]]="","",COUNTIFS(Sprint_Backlog[Responsable],Empleado,Sprint_Backlog[Semana],Rendimiento_Individual[[#This Row],[Semana]]))</f>
        <v/>
      </c>
      <c r="E30" s="18" t="str">
        <f>IF(Rendimiento_Individual[[#This Row],[Semana]]="","",COUNTIFS(Sprint_Backlog[Responsable],Empleado,Sprint_Backlog[Semana],Rendimiento_Individual[[#This Row],[Semana]],Sprint_Backlog[Estado],"Terminada"))</f>
        <v/>
      </c>
      <c r="F30" s="12" t="str">
        <f>IF(Rendimiento_Individual[[#This Row],[Semana]]="","",IFERROR(Rendimiento_Individual[[#This Row],[Tareas terminadas]]/Rendimiento_Individual[[#This Row],[Tareas asignadas]],0))</f>
        <v/>
      </c>
      <c r="G30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0" s="14" t="str">
        <f>IF(Rendimiento_Individual[[#This Row],[Semana]]="","",SUMIFS(Sprint_Backlog[Horas programadas],Sprint_Backlog[Responsable],Empleado,Sprint_Backlog[Semana],Rendimiento_Individual[[#This Row],[Semana]]))</f>
        <v/>
      </c>
      <c r="I30" s="14" t="str">
        <f>IF(Rendimiento_Individual[[#This Row],[Semana]]="","",SUMIFS(Sprint_Backlog[Horas utilizadas],Sprint_Backlog[Responsable],Empleado,Sprint_Backlog[Semana],Rendimiento_Individual[[#This Row],[Semana]]))</f>
        <v/>
      </c>
      <c r="J30" s="14" t="str">
        <f>IF(Rendimiento_Individual[[#This Row],[Semana]]="","",Rendimiento_Individual[[#This Row],[Horas programadas]]-Rendimiento_Individual[[#This Row],[Horas utilizadas]])</f>
        <v/>
      </c>
    </row>
    <row r="31" spans="3:10" ht="30" customHeight="1">
      <c r="C31" s="18" t="str">
        <f>IF(DAS!C42&gt;Duracion_Proyecto,"",DAS!C42)</f>
        <v/>
      </c>
      <c r="D31" s="18" t="str">
        <f>IF(Rendimiento_Individual[[#This Row],[Semana]]="","",COUNTIFS(Sprint_Backlog[Responsable],Empleado,Sprint_Backlog[Semana],Rendimiento_Individual[[#This Row],[Semana]]))</f>
        <v/>
      </c>
      <c r="E31" s="18" t="str">
        <f>IF(Rendimiento_Individual[[#This Row],[Semana]]="","",COUNTIFS(Sprint_Backlog[Responsable],Empleado,Sprint_Backlog[Semana],Rendimiento_Individual[[#This Row],[Semana]],Sprint_Backlog[Estado],"Terminada"))</f>
        <v/>
      </c>
      <c r="F31" s="12" t="str">
        <f>IF(Rendimiento_Individual[[#This Row],[Semana]]="","",IFERROR(Rendimiento_Individual[[#This Row],[Tareas terminadas]]/Rendimiento_Individual[[#This Row],[Tareas asignadas]],0))</f>
        <v/>
      </c>
      <c r="G31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1" s="14" t="str">
        <f>IF(Rendimiento_Individual[[#This Row],[Semana]]="","",SUMIFS(Sprint_Backlog[Horas programadas],Sprint_Backlog[Responsable],Empleado,Sprint_Backlog[Semana],Rendimiento_Individual[[#This Row],[Semana]]))</f>
        <v/>
      </c>
      <c r="I31" s="14" t="str">
        <f>IF(Rendimiento_Individual[[#This Row],[Semana]]="","",SUMIFS(Sprint_Backlog[Horas utilizadas],Sprint_Backlog[Responsable],Empleado,Sprint_Backlog[Semana],Rendimiento_Individual[[#This Row],[Semana]]))</f>
        <v/>
      </c>
      <c r="J31" s="14" t="str">
        <f>IF(Rendimiento_Individual[[#This Row],[Semana]]="","",Rendimiento_Individual[[#This Row],[Horas programadas]]-Rendimiento_Individual[[#This Row],[Horas utilizadas]])</f>
        <v/>
      </c>
    </row>
    <row r="32" spans="3:10" ht="30" customHeight="1">
      <c r="C32" s="18" t="str">
        <f>IF(DAS!C43&gt;Duracion_Proyecto,"",DAS!C43)</f>
        <v/>
      </c>
      <c r="D32" s="18" t="str">
        <f>IF(Rendimiento_Individual[[#This Row],[Semana]]="","",COUNTIFS(Sprint_Backlog[Responsable],Empleado,Sprint_Backlog[Semana],Rendimiento_Individual[[#This Row],[Semana]]))</f>
        <v/>
      </c>
      <c r="E32" s="18" t="str">
        <f>IF(Rendimiento_Individual[[#This Row],[Semana]]="","",COUNTIFS(Sprint_Backlog[Responsable],Empleado,Sprint_Backlog[Semana],Rendimiento_Individual[[#This Row],[Semana]],Sprint_Backlog[Estado],"Terminada"))</f>
        <v/>
      </c>
      <c r="F32" s="12" t="str">
        <f>IF(Rendimiento_Individual[[#This Row],[Semana]]="","",IFERROR(Rendimiento_Individual[[#This Row],[Tareas terminadas]]/Rendimiento_Individual[[#This Row],[Tareas asignadas]],0))</f>
        <v/>
      </c>
      <c r="G32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2" s="14" t="str">
        <f>IF(Rendimiento_Individual[[#This Row],[Semana]]="","",SUMIFS(Sprint_Backlog[Horas programadas],Sprint_Backlog[Responsable],Empleado,Sprint_Backlog[Semana],Rendimiento_Individual[[#This Row],[Semana]]))</f>
        <v/>
      </c>
      <c r="I32" s="14" t="str">
        <f>IF(Rendimiento_Individual[[#This Row],[Semana]]="","",SUMIFS(Sprint_Backlog[Horas utilizadas],Sprint_Backlog[Responsable],Empleado,Sprint_Backlog[Semana],Rendimiento_Individual[[#This Row],[Semana]]))</f>
        <v/>
      </c>
      <c r="J32" s="14" t="str">
        <f>IF(Rendimiento_Individual[[#This Row],[Semana]]="","",Rendimiento_Individual[[#This Row],[Horas programadas]]-Rendimiento_Individual[[#This Row],[Horas utilizadas]])</f>
        <v/>
      </c>
    </row>
    <row r="33" spans="3:10" ht="30" customHeight="1">
      <c r="C33" s="18" t="str">
        <f>IF(DAS!C44&gt;Duracion_Proyecto,"",DAS!C44)</f>
        <v/>
      </c>
      <c r="D33" s="18" t="str">
        <f>IF(Rendimiento_Individual[[#This Row],[Semana]]="","",COUNTIFS(Sprint_Backlog[Responsable],Empleado,Sprint_Backlog[Semana],Rendimiento_Individual[[#This Row],[Semana]]))</f>
        <v/>
      </c>
      <c r="E33" s="18" t="str">
        <f>IF(Rendimiento_Individual[[#This Row],[Semana]]="","",COUNTIFS(Sprint_Backlog[Responsable],Empleado,Sprint_Backlog[Semana],Rendimiento_Individual[[#This Row],[Semana]],Sprint_Backlog[Estado],"Terminada"))</f>
        <v/>
      </c>
      <c r="F33" s="12" t="str">
        <f>IF(Rendimiento_Individual[[#This Row],[Semana]]="","",IFERROR(Rendimiento_Individual[[#This Row],[Tareas terminadas]]/Rendimiento_Individual[[#This Row],[Tareas asignadas]],0))</f>
        <v/>
      </c>
      <c r="G33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3" s="14" t="str">
        <f>IF(Rendimiento_Individual[[#This Row],[Semana]]="","",SUMIFS(Sprint_Backlog[Horas programadas],Sprint_Backlog[Responsable],Empleado,Sprint_Backlog[Semana],Rendimiento_Individual[[#This Row],[Semana]]))</f>
        <v/>
      </c>
      <c r="I33" s="14" t="str">
        <f>IF(Rendimiento_Individual[[#This Row],[Semana]]="","",SUMIFS(Sprint_Backlog[Horas utilizadas],Sprint_Backlog[Responsable],Empleado,Sprint_Backlog[Semana],Rendimiento_Individual[[#This Row],[Semana]]))</f>
        <v/>
      </c>
      <c r="J33" s="14" t="str">
        <f>IF(Rendimiento_Individual[[#This Row],[Semana]]="","",Rendimiento_Individual[[#This Row],[Horas programadas]]-Rendimiento_Individual[[#This Row],[Horas utilizadas]])</f>
        <v/>
      </c>
    </row>
    <row r="34" spans="3:10" ht="30" customHeight="1">
      <c r="C34" s="18" t="str">
        <f>IF(DAS!C45&gt;Duracion_Proyecto,"",DAS!C45)</f>
        <v/>
      </c>
      <c r="D34" s="18" t="str">
        <f>IF(Rendimiento_Individual[[#This Row],[Semana]]="","",COUNTIFS(Sprint_Backlog[Responsable],Empleado,Sprint_Backlog[Semana],Rendimiento_Individual[[#This Row],[Semana]]))</f>
        <v/>
      </c>
      <c r="E34" s="18" t="str">
        <f>IF(Rendimiento_Individual[[#This Row],[Semana]]="","",COUNTIFS(Sprint_Backlog[Responsable],Empleado,Sprint_Backlog[Semana],Rendimiento_Individual[[#This Row],[Semana]],Sprint_Backlog[Estado],"Terminada"))</f>
        <v/>
      </c>
      <c r="F34" s="12" t="str">
        <f>IF(Rendimiento_Individual[[#This Row],[Semana]]="","",IFERROR(Rendimiento_Individual[[#This Row],[Tareas terminadas]]/Rendimiento_Individual[[#This Row],[Tareas asignadas]],0))</f>
        <v/>
      </c>
      <c r="G34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4" s="14" t="str">
        <f>IF(Rendimiento_Individual[[#This Row],[Semana]]="","",SUMIFS(Sprint_Backlog[Horas programadas],Sprint_Backlog[Responsable],Empleado,Sprint_Backlog[Semana],Rendimiento_Individual[[#This Row],[Semana]]))</f>
        <v/>
      </c>
      <c r="I34" s="14" t="str">
        <f>IF(Rendimiento_Individual[[#This Row],[Semana]]="","",SUMIFS(Sprint_Backlog[Horas utilizadas],Sprint_Backlog[Responsable],Empleado,Sprint_Backlog[Semana],Rendimiento_Individual[[#This Row],[Semana]]))</f>
        <v/>
      </c>
      <c r="J34" s="14" t="str">
        <f>IF(Rendimiento_Individual[[#This Row],[Semana]]="","",Rendimiento_Individual[[#This Row],[Horas programadas]]-Rendimiento_Individual[[#This Row],[Horas utilizadas]])</f>
        <v/>
      </c>
    </row>
    <row r="35" spans="3:10" ht="30" customHeight="1">
      <c r="C35" s="18" t="str">
        <f>IF(DAS!C46&gt;Duracion_Proyecto,"",DAS!C46)</f>
        <v/>
      </c>
      <c r="D35" s="18" t="str">
        <f>IF(Rendimiento_Individual[[#This Row],[Semana]]="","",COUNTIFS(Sprint_Backlog[Responsable],Empleado,Sprint_Backlog[Semana],Rendimiento_Individual[[#This Row],[Semana]]))</f>
        <v/>
      </c>
      <c r="E35" s="18" t="str">
        <f>IF(Rendimiento_Individual[[#This Row],[Semana]]="","",COUNTIFS(Sprint_Backlog[Responsable],Empleado,Sprint_Backlog[Semana],Rendimiento_Individual[[#This Row],[Semana]],Sprint_Backlog[Estado],"Terminada"))</f>
        <v/>
      </c>
      <c r="F35" s="12" t="str">
        <f>IF(Rendimiento_Individual[[#This Row],[Semana]]="","",IFERROR(Rendimiento_Individual[[#This Row],[Tareas terminadas]]/Rendimiento_Individual[[#This Row],[Tareas asignadas]],0))</f>
        <v/>
      </c>
      <c r="G35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5" s="14" t="str">
        <f>IF(Rendimiento_Individual[[#This Row],[Semana]]="","",SUMIFS(Sprint_Backlog[Horas programadas],Sprint_Backlog[Responsable],Empleado,Sprint_Backlog[Semana],Rendimiento_Individual[[#This Row],[Semana]]))</f>
        <v/>
      </c>
      <c r="I35" s="14" t="str">
        <f>IF(Rendimiento_Individual[[#This Row],[Semana]]="","",SUMIFS(Sprint_Backlog[Horas utilizadas],Sprint_Backlog[Responsable],Empleado,Sprint_Backlog[Semana],Rendimiento_Individual[[#This Row],[Semana]]))</f>
        <v/>
      </c>
      <c r="J35" s="14" t="str">
        <f>IF(Rendimiento_Individual[[#This Row],[Semana]]="","",Rendimiento_Individual[[#This Row],[Horas programadas]]-Rendimiento_Individual[[#This Row],[Horas utilizadas]])</f>
        <v/>
      </c>
    </row>
    <row r="36" spans="3:10" ht="30" customHeight="1">
      <c r="C36" s="18" t="str">
        <f>IF(DAS!C47&gt;Duracion_Proyecto,"",DAS!C47)</f>
        <v/>
      </c>
      <c r="D36" s="18" t="str">
        <f>IF(Rendimiento_Individual[[#This Row],[Semana]]="","",COUNTIFS(Sprint_Backlog[Responsable],Empleado,Sprint_Backlog[Semana],Rendimiento_Individual[[#This Row],[Semana]]))</f>
        <v/>
      </c>
      <c r="E36" s="18" t="str">
        <f>IF(Rendimiento_Individual[[#This Row],[Semana]]="","",COUNTIFS(Sprint_Backlog[Responsable],Empleado,Sprint_Backlog[Semana],Rendimiento_Individual[[#This Row],[Semana]],Sprint_Backlog[Estado],"Terminada"))</f>
        <v/>
      </c>
      <c r="F36" s="12" t="str">
        <f>IF(Rendimiento_Individual[[#This Row],[Semana]]="","",IFERROR(Rendimiento_Individual[[#This Row],[Tareas terminadas]]/Rendimiento_Individual[[#This Row],[Tareas asignadas]],0))</f>
        <v/>
      </c>
      <c r="G36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6" s="14" t="str">
        <f>IF(Rendimiento_Individual[[#This Row],[Semana]]="","",SUMIFS(Sprint_Backlog[Horas programadas],Sprint_Backlog[Responsable],Empleado,Sprint_Backlog[Semana],Rendimiento_Individual[[#This Row],[Semana]]))</f>
        <v/>
      </c>
      <c r="I36" s="14" t="str">
        <f>IF(Rendimiento_Individual[[#This Row],[Semana]]="","",SUMIFS(Sprint_Backlog[Horas utilizadas],Sprint_Backlog[Responsable],Empleado,Sprint_Backlog[Semana],Rendimiento_Individual[[#This Row],[Semana]]))</f>
        <v/>
      </c>
      <c r="J36" s="14" t="str">
        <f>IF(Rendimiento_Individual[[#This Row],[Semana]]="","",Rendimiento_Individual[[#This Row],[Horas programadas]]-Rendimiento_Individual[[#This Row],[Horas utilizadas]])</f>
        <v/>
      </c>
    </row>
    <row r="37" spans="3:10" ht="30" customHeight="1">
      <c r="C37" s="18" t="str">
        <f>IF(DAS!C48&gt;Duracion_Proyecto,"",DAS!C48)</f>
        <v/>
      </c>
      <c r="D37" s="18" t="str">
        <f>IF(Rendimiento_Individual[[#This Row],[Semana]]="","",COUNTIFS(Sprint_Backlog[Responsable],Empleado,Sprint_Backlog[Semana],Rendimiento_Individual[[#This Row],[Semana]]))</f>
        <v/>
      </c>
      <c r="E37" s="18" t="str">
        <f>IF(Rendimiento_Individual[[#This Row],[Semana]]="","",COUNTIFS(Sprint_Backlog[Responsable],Empleado,Sprint_Backlog[Semana],Rendimiento_Individual[[#This Row],[Semana]],Sprint_Backlog[Estado],"Terminada"))</f>
        <v/>
      </c>
      <c r="F37" s="12" t="str">
        <f>IF(Rendimiento_Individual[[#This Row],[Semana]]="","",IFERROR(Rendimiento_Individual[[#This Row],[Tareas terminadas]]/Rendimiento_Individual[[#This Row],[Tareas asignadas]],0))</f>
        <v/>
      </c>
      <c r="G37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7" s="14" t="str">
        <f>IF(Rendimiento_Individual[[#This Row],[Semana]]="","",SUMIFS(Sprint_Backlog[Horas programadas],Sprint_Backlog[Responsable],Empleado,Sprint_Backlog[Semana],Rendimiento_Individual[[#This Row],[Semana]]))</f>
        <v/>
      </c>
      <c r="I37" s="14" t="str">
        <f>IF(Rendimiento_Individual[[#This Row],[Semana]]="","",SUMIFS(Sprint_Backlog[Horas utilizadas],Sprint_Backlog[Responsable],Empleado,Sprint_Backlog[Semana],Rendimiento_Individual[[#This Row],[Semana]]))</f>
        <v/>
      </c>
      <c r="J37" s="14" t="str">
        <f>IF(Rendimiento_Individual[[#This Row],[Semana]]="","",Rendimiento_Individual[[#This Row],[Horas programadas]]-Rendimiento_Individual[[#This Row],[Horas utilizadas]])</f>
        <v/>
      </c>
    </row>
    <row r="38" spans="3:10" ht="30" customHeight="1">
      <c r="C38" s="18" t="str">
        <f>IF(DAS!C49&gt;Duracion_Proyecto,"",DAS!C49)</f>
        <v/>
      </c>
      <c r="D38" s="18" t="str">
        <f>IF(Rendimiento_Individual[[#This Row],[Semana]]="","",COUNTIFS(Sprint_Backlog[Responsable],Empleado,Sprint_Backlog[Semana],Rendimiento_Individual[[#This Row],[Semana]]))</f>
        <v/>
      </c>
      <c r="E38" s="18" t="str">
        <f>IF(Rendimiento_Individual[[#This Row],[Semana]]="","",COUNTIFS(Sprint_Backlog[Responsable],Empleado,Sprint_Backlog[Semana],Rendimiento_Individual[[#This Row],[Semana]],Sprint_Backlog[Estado],"Terminada"))</f>
        <v/>
      </c>
      <c r="F38" s="12" t="str">
        <f>IF(Rendimiento_Individual[[#This Row],[Semana]]="","",IFERROR(Rendimiento_Individual[[#This Row],[Tareas terminadas]]/Rendimiento_Individual[[#This Row],[Tareas asignadas]],0))</f>
        <v/>
      </c>
      <c r="G38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8" s="14" t="str">
        <f>IF(Rendimiento_Individual[[#This Row],[Semana]]="","",SUMIFS(Sprint_Backlog[Horas programadas],Sprint_Backlog[Responsable],Empleado,Sprint_Backlog[Semana],Rendimiento_Individual[[#This Row],[Semana]]))</f>
        <v/>
      </c>
      <c r="I38" s="14" t="str">
        <f>IF(Rendimiento_Individual[[#This Row],[Semana]]="","",SUMIFS(Sprint_Backlog[Horas utilizadas],Sprint_Backlog[Responsable],Empleado,Sprint_Backlog[Semana],Rendimiento_Individual[[#This Row],[Semana]]))</f>
        <v/>
      </c>
      <c r="J38" s="14" t="str">
        <f>IF(Rendimiento_Individual[[#This Row],[Semana]]="","",Rendimiento_Individual[[#This Row],[Horas programadas]]-Rendimiento_Individual[[#This Row],[Horas utilizadas]])</f>
        <v/>
      </c>
    </row>
    <row r="39" spans="3:10" ht="30" customHeight="1">
      <c r="C39" s="18" t="str">
        <f>IF(DAS!C50&gt;Duracion_Proyecto,"",DAS!C50)</f>
        <v/>
      </c>
      <c r="D39" s="18" t="str">
        <f>IF(Rendimiento_Individual[[#This Row],[Semana]]="","",COUNTIFS(Sprint_Backlog[Responsable],Empleado,Sprint_Backlog[Semana],Rendimiento_Individual[[#This Row],[Semana]]))</f>
        <v/>
      </c>
      <c r="E39" s="18" t="str">
        <f>IF(Rendimiento_Individual[[#This Row],[Semana]]="","",COUNTIFS(Sprint_Backlog[Responsable],Empleado,Sprint_Backlog[Semana],Rendimiento_Individual[[#This Row],[Semana]],Sprint_Backlog[Estado],"Terminada"))</f>
        <v/>
      </c>
      <c r="F39" s="12" t="str">
        <f>IF(Rendimiento_Individual[[#This Row],[Semana]]="","",IFERROR(Rendimiento_Individual[[#This Row],[Tareas terminadas]]/Rendimiento_Individual[[#This Row],[Tareas asignadas]],0))</f>
        <v/>
      </c>
      <c r="G39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39" s="14" t="str">
        <f>IF(Rendimiento_Individual[[#This Row],[Semana]]="","",SUMIFS(Sprint_Backlog[Horas programadas],Sprint_Backlog[Responsable],Empleado,Sprint_Backlog[Semana],Rendimiento_Individual[[#This Row],[Semana]]))</f>
        <v/>
      </c>
      <c r="I39" s="14" t="str">
        <f>IF(Rendimiento_Individual[[#This Row],[Semana]]="","",SUMIFS(Sprint_Backlog[Horas utilizadas],Sprint_Backlog[Responsable],Empleado,Sprint_Backlog[Semana],Rendimiento_Individual[[#This Row],[Semana]]))</f>
        <v/>
      </c>
      <c r="J39" s="14" t="str">
        <f>IF(Rendimiento_Individual[[#This Row],[Semana]]="","",Rendimiento_Individual[[#This Row],[Horas programadas]]-Rendimiento_Individual[[#This Row],[Horas utilizadas]])</f>
        <v/>
      </c>
    </row>
    <row r="40" spans="3:10" ht="30" customHeight="1">
      <c r="C40" s="18" t="str">
        <f>IF(DAS!C51&gt;Duracion_Proyecto,"",DAS!C51)</f>
        <v/>
      </c>
      <c r="D40" s="18" t="str">
        <f>IF(Rendimiento_Individual[[#This Row],[Semana]]="","",COUNTIFS(Sprint_Backlog[Responsable],Empleado,Sprint_Backlog[Semana],Rendimiento_Individual[[#This Row],[Semana]]))</f>
        <v/>
      </c>
      <c r="E40" s="18" t="str">
        <f>IF(Rendimiento_Individual[[#This Row],[Semana]]="","",COUNTIFS(Sprint_Backlog[Responsable],Empleado,Sprint_Backlog[Semana],Rendimiento_Individual[[#This Row],[Semana]],Sprint_Backlog[Estado],"Terminada"))</f>
        <v/>
      </c>
      <c r="F40" s="12" t="str">
        <f>IF(Rendimiento_Individual[[#This Row],[Semana]]="","",IFERROR(Rendimiento_Individual[[#This Row],[Tareas terminadas]]/Rendimiento_Individual[[#This Row],[Tareas asignadas]],0))</f>
        <v/>
      </c>
      <c r="G40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0" s="14" t="str">
        <f>IF(Rendimiento_Individual[[#This Row],[Semana]]="","",SUMIFS(Sprint_Backlog[Horas programadas],Sprint_Backlog[Responsable],Empleado,Sprint_Backlog[Semana],Rendimiento_Individual[[#This Row],[Semana]]))</f>
        <v/>
      </c>
      <c r="I40" s="14" t="str">
        <f>IF(Rendimiento_Individual[[#This Row],[Semana]]="","",SUMIFS(Sprint_Backlog[Horas utilizadas],Sprint_Backlog[Responsable],Empleado,Sprint_Backlog[Semana],Rendimiento_Individual[[#This Row],[Semana]]))</f>
        <v/>
      </c>
      <c r="J40" s="14" t="str">
        <f>IF(Rendimiento_Individual[[#This Row],[Semana]]="","",Rendimiento_Individual[[#This Row],[Horas programadas]]-Rendimiento_Individual[[#This Row],[Horas utilizadas]])</f>
        <v/>
      </c>
    </row>
    <row r="41" spans="3:10" ht="30" customHeight="1">
      <c r="C41" s="18" t="str">
        <f>IF(DAS!C52&gt;Duracion_Proyecto,"",DAS!C52)</f>
        <v/>
      </c>
      <c r="D41" s="18" t="str">
        <f>IF(Rendimiento_Individual[[#This Row],[Semana]]="","",COUNTIFS(Sprint_Backlog[Responsable],Empleado,Sprint_Backlog[Semana],Rendimiento_Individual[[#This Row],[Semana]]))</f>
        <v/>
      </c>
      <c r="E41" s="18" t="str">
        <f>IF(Rendimiento_Individual[[#This Row],[Semana]]="","",COUNTIFS(Sprint_Backlog[Responsable],Empleado,Sprint_Backlog[Semana],Rendimiento_Individual[[#This Row],[Semana]],Sprint_Backlog[Estado],"Terminada"))</f>
        <v/>
      </c>
      <c r="F41" s="12" t="str">
        <f>IF(Rendimiento_Individual[[#This Row],[Semana]]="","",IFERROR(Rendimiento_Individual[[#This Row],[Tareas terminadas]]/Rendimiento_Individual[[#This Row],[Tareas asignadas]],0))</f>
        <v/>
      </c>
      <c r="G41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1" s="14" t="str">
        <f>IF(Rendimiento_Individual[[#This Row],[Semana]]="","",SUMIFS(Sprint_Backlog[Horas programadas],Sprint_Backlog[Responsable],Empleado,Sprint_Backlog[Semana],Rendimiento_Individual[[#This Row],[Semana]]))</f>
        <v/>
      </c>
      <c r="I41" s="14" t="str">
        <f>IF(Rendimiento_Individual[[#This Row],[Semana]]="","",SUMIFS(Sprint_Backlog[Horas utilizadas],Sprint_Backlog[Responsable],Empleado,Sprint_Backlog[Semana],Rendimiento_Individual[[#This Row],[Semana]]))</f>
        <v/>
      </c>
      <c r="J41" s="14" t="str">
        <f>IF(Rendimiento_Individual[[#This Row],[Semana]]="","",Rendimiento_Individual[[#This Row],[Horas programadas]]-Rendimiento_Individual[[#This Row],[Horas utilizadas]])</f>
        <v/>
      </c>
    </row>
    <row r="42" spans="3:10" ht="30" customHeight="1">
      <c r="C42" s="18" t="str">
        <f>IF(DAS!C53&gt;Duracion_Proyecto,"",DAS!C53)</f>
        <v/>
      </c>
      <c r="D42" s="18" t="str">
        <f>IF(Rendimiento_Individual[[#This Row],[Semana]]="","",COUNTIFS(Sprint_Backlog[Responsable],Empleado,Sprint_Backlog[Semana],Rendimiento_Individual[[#This Row],[Semana]]))</f>
        <v/>
      </c>
      <c r="E42" s="18" t="str">
        <f>IF(Rendimiento_Individual[[#This Row],[Semana]]="","",COUNTIFS(Sprint_Backlog[Responsable],Empleado,Sprint_Backlog[Semana],Rendimiento_Individual[[#This Row],[Semana]],Sprint_Backlog[Estado],"Terminada"))</f>
        <v/>
      </c>
      <c r="F42" s="12" t="str">
        <f>IF(Rendimiento_Individual[[#This Row],[Semana]]="","",IFERROR(Rendimiento_Individual[[#This Row],[Tareas terminadas]]/Rendimiento_Individual[[#This Row],[Tareas asignadas]],0))</f>
        <v/>
      </c>
      <c r="G42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2" s="14" t="str">
        <f>IF(Rendimiento_Individual[[#This Row],[Semana]]="","",SUMIFS(Sprint_Backlog[Horas programadas],Sprint_Backlog[Responsable],Empleado,Sprint_Backlog[Semana],Rendimiento_Individual[[#This Row],[Semana]]))</f>
        <v/>
      </c>
      <c r="I42" s="14" t="str">
        <f>IF(Rendimiento_Individual[[#This Row],[Semana]]="","",SUMIFS(Sprint_Backlog[Horas utilizadas],Sprint_Backlog[Responsable],Empleado,Sprint_Backlog[Semana],Rendimiento_Individual[[#This Row],[Semana]]))</f>
        <v/>
      </c>
      <c r="J42" s="14" t="str">
        <f>IF(Rendimiento_Individual[[#This Row],[Semana]]="","",Rendimiento_Individual[[#This Row],[Horas programadas]]-Rendimiento_Individual[[#This Row],[Horas utilizadas]])</f>
        <v/>
      </c>
    </row>
    <row r="43" spans="3:10" ht="30" customHeight="1">
      <c r="C43" s="18" t="str">
        <f>IF(DAS!C54&gt;Duracion_Proyecto,"",DAS!C54)</f>
        <v/>
      </c>
      <c r="D43" s="18" t="str">
        <f>IF(Rendimiento_Individual[[#This Row],[Semana]]="","",COUNTIFS(Sprint_Backlog[Responsable],Empleado,Sprint_Backlog[Semana],Rendimiento_Individual[[#This Row],[Semana]]))</f>
        <v/>
      </c>
      <c r="E43" s="18" t="str">
        <f>IF(Rendimiento_Individual[[#This Row],[Semana]]="","",COUNTIFS(Sprint_Backlog[Responsable],Empleado,Sprint_Backlog[Semana],Rendimiento_Individual[[#This Row],[Semana]],Sprint_Backlog[Estado],"Terminada"))</f>
        <v/>
      </c>
      <c r="F43" s="12" t="str">
        <f>IF(Rendimiento_Individual[[#This Row],[Semana]]="","",IFERROR(Rendimiento_Individual[[#This Row],[Tareas terminadas]]/Rendimiento_Individual[[#This Row],[Tareas asignadas]],0))</f>
        <v/>
      </c>
      <c r="G43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3" s="14" t="str">
        <f>IF(Rendimiento_Individual[[#This Row],[Semana]]="","",SUMIFS(Sprint_Backlog[Horas programadas],Sprint_Backlog[Responsable],Empleado,Sprint_Backlog[Semana],Rendimiento_Individual[[#This Row],[Semana]]))</f>
        <v/>
      </c>
      <c r="I43" s="14" t="str">
        <f>IF(Rendimiento_Individual[[#This Row],[Semana]]="","",SUMIFS(Sprint_Backlog[Horas utilizadas],Sprint_Backlog[Responsable],Empleado,Sprint_Backlog[Semana],Rendimiento_Individual[[#This Row],[Semana]]))</f>
        <v/>
      </c>
      <c r="J43" s="14" t="str">
        <f>IF(Rendimiento_Individual[[#This Row],[Semana]]="","",Rendimiento_Individual[[#This Row],[Horas programadas]]-Rendimiento_Individual[[#This Row],[Horas utilizadas]])</f>
        <v/>
      </c>
    </row>
    <row r="44" spans="3:10" ht="30" customHeight="1">
      <c r="C44" s="18" t="str">
        <f>IF(DAS!C55&gt;Duracion_Proyecto,"",DAS!C55)</f>
        <v/>
      </c>
      <c r="D44" s="18" t="str">
        <f>IF(Rendimiento_Individual[[#This Row],[Semana]]="","",COUNTIFS(Sprint_Backlog[Responsable],Empleado,Sprint_Backlog[Semana],Rendimiento_Individual[[#This Row],[Semana]]))</f>
        <v/>
      </c>
      <c r="E44" s="18" t="str">
        <f>IF(Rendimiento_Individual[[#This Row],[Semana]]="","",COUNTIFS(Sprint_Backlog[Responsable],Empleado,Sprint_Backlog[Semana],Rendimiento_Individual[[#This Row],[Semana]],Sprint_Backlog[Estado],"Terminada"))</f>
        <v/>
      </c>
      <c r="F44" s="12" t="str">
        <f>IF(Rendimiento_Individual[[#This Row],[Semana]]="","",IFERROR(Rendimiento_Individual[[#This Row],[Tareas terminadas]]/Rendimiento_Individual[[#This Row],[Tareas asignadas]],0))</f>
        <v/>
      </c>
      <c r="G44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4" s="14" t="str">
        <f>IF(Rendimiento_Individual[[#This Row],[Semana]]="","",SUMIFS(Sprint_Backlog[Horas programadas],Sprint_Backlog[Responsable],Empleado,Sprint_Backlog[Semana],Rendimiento_Individual[[#This Row],[Semana]]))</f>
        <v/>
      </c>
      <c r="I44" s="14" t="str">
        <f>IF(Rendimiento_Individual[[#This Row],[Semana]]="","",SUMIFS(Sprint_Backlog[Horas utilizadas],Sprint_Backlog[Responsable],Empleado,Sprint_Backlog[Semana],Rendimiento_Individual[[#This Row],[Semana]]))</f>
        <v/>
      </c>
      <c r="J44" s="14" t="str">
        <f>IF(Rendimiento_Individual[[#This Row],[Semana]]="","",Rendimiento_Individual[[#This Row],[Horas programadas]]-Rendimiento_Individual[[#This Row],[Horas utilizadas]])</f>
        <v/>
      </c>
    </row>
    <row r="45" spans="3:10" ht="30" customHeight="1">
      <c r="C45" s="18" t="str">
        <f>IF(DAS!C56&gt;Duracion_Proyecto,"",DAS!C56)</f>
        <v/>
      </c>
      <c r="D45" s="18" t="str">
        <f>IF(Rendimiento_Individual[[#This Row],[Semana]]="","",COUNTIFS(Sprint_Backlog[Responsable],Empleado,Sprint_Backlog[Semana],Rendimiento_Individual[[#This Row],[Semana]]))</f>
        <v/>
      </c>
      <c r="E45" s="18" t="str">
        <f>IF(Rendimiento_Individual[[#This Row],[Semana]]="","",COUNTIFS(Sprint_Backlog[Responsable],Empleado,Sprint_Backlog[Semana],Rendimiento_Individual[[#This Row],[Semana]],Sprint_Backlog[Estado],"Terminada"))</f>
        <v/>
      </c>
      <c r="F45" s="12" t="str">
        <f>IF(Rendimiento_Individual[[#This Row],[Semana]]="","",IFERROR(Rendimiento_Individual[[#This Row],[Tareas terminadas]]/Rendimiento_Individual[[#This Row],[Tareas asignadas]],0))</f>
        <v/>
      </c>
      <c r="G45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5" s="14" t="str">
        <f>IF(Rendimiento_Individual[[#This Row],[Semana]]="","",SUMIFS(Sprint_Backlog[Horas programadas],Sprint_Backlog[Responsable],Empleado,Sprint_Backlog[Semana],Rendimiento_Individual[[#This Row],[Semana]]))</f>
        <v/>
      </c>
      <c r="I45" s="14" t="str">
        <f>IF(Rendimiento_Individual[[#This Row],[Semana]]="","",SUMIFS(Sprint_Backlog[Horas utilizadas],Sprint_Backlog[Responsable],Empleado,Sprint_Backlog[Semana],Rendimiento_Individual[[#This Row],[Semana]]))</f>
        <v/>
      </c>
      <c r="J45" s="14" t="str">
        <f>IF(Rendimiento_Individual[[#This Row],[Semana]]="","",Rendimiento_Individual[[#This Row],[Horas programadas]]-Rendimiento_Individual[[#This Row],[Horas utilizadas]])</f>
        <v/>
      </c>
    </row>
    <row r="46" spans="3:10" ht="30" customHeight="1">
      <c r="C46" s="18" t="str">
        <f>IF(DAS!C57&gt;Duracion_Proyecto,"",DAS!C57)</f>
        <v/>
      </c>
      <c r="D46" s="18" t="str">
        <f>IF(Rendimiento_Individual[[#This Row],[Semana]]="","",COUNTIFS(Sprint_Backlog[Responsable],Empleado,Sprint_Backlog[Semana],Rendimiento_Individual[[#This Row],[Semana]]))</f>
        <v/>
      </c>
      <c r="E46" s="18" t="str">
        <f>IF(Rendimiento_Individual[[#This Row],[Semana]]="","",COUNTIFS(Sprint_Backlog[Responsable],Empleado,Sprint_Backlog[Semana],Rendimiento_Individual[[#This Row],[Semana]],Sprint_Backlog[Estado],"Terminada"))</f>
        <v/>
      </c>
      <c r="F46" s="12" t="str">
        <f>IF(Rendimiento_Individual[[#This Row],[Semana]]="","",IFERROR(Rendimiento_Individual[[#This Row],[Tareas terminadas]]/Rendimiento_Individual[[#This Row],[Tareas asignadas]],0))</f>
        <v/>
      </c>
      <c r="G46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6" s="14" t="str">
        <f>IF(Rendimiento_Individual[[#This Row],[Semana]]="","",SUMIFS(Sprint_Backlog[Horas programadas],Sprint_Backlog[Responsable],Empleado,Sprint_Backlog[Semana],Rendimiento_Individual[[#This Row],[Semana]]))</f>
        <v/>
      </c>
      <c r="I46" s="14" t="str">
        <f>IF(Rendimiento_Individual[[#This Row],[Semana]]="","",SUMIFS(Sprint_Backlog[Horas utilizadas],Sprint_Backlog[Responsable],Empleado,Sprint_Backlog[Semana],Rendimiento_Individual[[#This Row],[Semana]]))</f>
        <v/>
      </c>
      <c r="J46" s="14" t="str">
        <f>IF(Rendimiento_Individual[[#This Row],[Semana]]="","",Rendimiento_Individual[[#This Row],[Horas programadas]]-Rendimiento_Individual[[#This Row],[Horas utilizadas]])</f>
        <v/>
      </c>
    </row>
    <row r="47" spans="3:10" ht="30" customHeight="1">
      <c r="C47" s="18" t="str">
        <f>IF(DAS!C58&gt;Duracion_Proyecto,"",DAS!C58)</f>
        <v/>
      </c>
      <c r="D47" s="18" t="str">
        <f>IF(Rendimiento_Individual[[#This Row],[Semana]]="","",COUNTIFS(Sprint_Backlog[Responsable],Empleado,Sprint_Backlog[Semana],Rendimiento_Individual[[#This Row],[Semana]]))</f>
        <v/>
      </c>
      <c r="E47" s="18" t="str">
        <f>IF(Rendimiento_Individual[[#This Row],[Semana]]="","",COUNTIFS(Sprint_Backlog[Responsable],Empleado,Sprint_Backlog[Semana],Rendimiento_Individual[[#This Row],[Semana]],Sprint_Backlog[Estado],"Terminada"))</f>
        <v/>
      </c>
      <c r="F47" s="12" t="str">
        <f>IF(Rendimiento_Individual[[#This Row],[Semana]]="","",IFERROR(Rendimiento_Individual[[#This Row],[Tareas terminadas]]/Rendimiento_Individual[[#This Row],[Tareas asignadas]],0))</f>
        <v/>
      </c>
      <c r="G47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7" s="14" t="str">
        <f>IF(Rendimiento_Individual[[#This Row],[Semana]]="","",SUMIFS(Sprint_Backlog[Horas programadas],Sprint_Backlog[Responsable],Empleado,Sprint_Backlog[Semana],Rendimiento_Individual[[#This Row],[Semana]]))</f>
        <v/>
      </c>
      <c r="I47" s="14" t="str">
        <f>IF(Rendimiento_Individual[[#This Row],[Semana]]="","",SUMIFS(Sprint_Backlog[Horas utilizadas],Sprint_Backlog[Responsable],Empleado,Sprint_Backlog[Semana],Rendimiento_Individual[[#This Row],[Semana]]))</f>
        <v/>
      </c>
      <c r="J47" s="14" t="str">
        <f>IF(Rendimiento_Individual[[#This Row],[Semana]]="","",Rendimiento_Individual[[#This Row],[Horas programadas]]-Rendimiento_Individual[[#This Row],[Horas utilizadas]])</f>
        <v/>
      </c>
    </row>
    <row r="48" spans="3:10" ht="30" customHeight="1">
      <c r="C48" s="18" t="str">
        <f>IF(DAS!C59&gt;Duracion_Proyecto,"",DAS!C59)</f>
        <v/>
      </c>
      <c r="D48" s="18" t="str">
        <f>IF(Rendimiento_Individual[[#This Row],[Semana]]="","",COUNTIFS(Sprint_Backlog[Responsable],Empleado,Sprint_Backlog[Semana],Rendimiento_Individual[[#This Row],[Semana]]))</f>
        <v/>
      </c>
      <c r="E48" s="18" t="str">
        <f>IF(Rendimiento_Individual[[#This Row],[Semana]]="","",COUNTIFS(Sprint_Backlog[Responsable],Empleado,Sprint_Backlog[Semana],Rendimiento_Individual[[#This Row],[Semana]],Sprint_Backlog[Estado],"Terminada"))</f>
        <v/>
      </c>
      <c r="F48" s="12" t="str">
        <f>IF(Rendimiento_Individual[[#This Row],[Semana]]="","",IFERROR(Rendimiento_Individual[[#This Row],[Tareas terminadas]]/Rendimiento_Individual[[#This Row],[Tareas asignadas]],0))</f>
        <v/>
      </c>
      <c r="G48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8" s="14" t="str">
        <f>IF(Rendimiento_Individual[[#This Row],[Semana]]="","",SUMIFS(Sprint_Backlog[Horas programadas],Sprint_Backlog[Responsable],Empleado,Sprint_Backlog[Semana],Rendimiento_Individual[[#This Row],[Semana]]))</f>
        <v/>
      </c>
      <c r="I48" s="14" t="str">
        <f>IF(Rendimiento_Individual[[#This Row],[Semana]]="","",SUMIFS(Sprint_Backlog[Horas utilizadas],Sprint_Backlog[Responsable],Empleado,Sprint_Backlog[Semana],Rendimiento_Individual[[#This Row],[Semana]]))</f>
        <v/>
      </c>
      <c r="J48" s="14" t="str">
        <f>IF(Rendimiento_Individual[[#This Row],[Semana]]="","",Rendimiento_Individual[[#This Row],[Horas programadas]]-Rendimiento_Individual[[#This Row],[Horas utilizadas]])</f>
        <v/>
      </c>
    </row>
    <row r="49" spans="3:10" ht="30" customHeight="1">
      <c r="C49" s="18" t="str">
        <f>IF(DAS!C60&gt;Duracion_Proyecto,"",DAS!C60)</f>
        <v/>
      </c>
      <c r="D49" s="18" t="str">
        <f>IF(Rendimiento_Individual[[#This Row],[Semana]]="","",COUNTIFS(Sprint_Backlog[Responsable],Empleado,Sprint_Backlog[Semana],Rendimiento_Individual[[#This Row],[Semana]]))</f>
        <v/>
      </c>
      <c r="E49" s="18" t="str">
        <f>IF(Rendimiento_Individual[[#This Row],[Semana]]="","",COUNTIFS(Sprint_Backlog[Responsable],Empleado,Sprint_Backlog[Semana],Rendimiento_Individual[[#This Row],[Semana]],Sprint_Backlog[Estado],"Terminada"))</f>
        <v/>
      </c>
      <c r="F49" s="12" t="str">
        <f>IF(Rendimiento_Individual[[#This Row],[Semana]]="","",IFERROR(Rendimiento_Individual[[#This Row],[Tareas terminadas]]/Rendimiento_Individual[[#This Row],[Tareas asignadas]],0))</f>
        <v/>
      </c>
      <c r="G49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49" s="14" t="str">
        <f>IF(Rendimiento_Individual[[#This Row],[Semana]]="","",SUMIFS(Sprint_Backlog[Horas programadas],Sprint_Backlog[Responsable],Empleado,Sprint_Backlog[Semana],Rendimiento_Individual[[#This Row],[Semana]]))</f>
        <v/>
      </c>
      <c r="I49" s="14" t="str">
        <f>IF(Rendimiento_Individual[[#This Row],[Semana]]="","",SUMIFS(Sprint_Backlog[Horas utilizadas],Sprint_Backlog[Responsable],Empleado,Sprint_Backlog[Semana],Rendimiento_Individual[[#This Row],[Semana]]))</f>
        <v/>
      </c>
      <c r="J49" s="14" t="str">
        <f>IF(Rendimiento_Individual[[#This Row],[Semana]]="","",Rendimiento_Individual[[#This Row],[Horas programadas]]-Rendimiento_Individual[[#This Row],[Horas utilizadas]])</f>
        <v/>
      </c>
    </row>
    <row r="50" spans="3:10" ht="30" customHeight="1">
      <c r="C50" s="18" t="str">
        <f>IF(DAS!C61&gt;Duracion_Proyecto,"",DAS!C61)</f>
        <v/>
      </c>
      <c r="D50" s="18" t="str">
        <f>IF(Rendimiento_Individual[[#This Row],[Semana]]="","",COUNTIFS(Sprint_Backlog[Responsable],Empleado,Sprint_Backlog[Semana],Rendimiento_Individual[[#This Row],[Semana]]))</f>
        <v/>
      </c>
      <c r="E50" s="18" t="str">
        <f>IF(Rendimiento_Individual[[#This Row],[Semana]]="","",COUNTIFS(Sprint_Backlog[Responsable],Empleado,Sprint_Backlog[Semana],Rendimiento_Individual[[#This Row],[Semana]],Sprint_Backlog[Estado],"Terminada"))</f>
        <v/>
      </c>
      <c r="F50" s="12" t="str">
        <f>IF(Rendimiento_Individual[[#This Row],[Semana]]="","",IFERROR(Rendimiento_Individual[[#This Row],[Tareas terminadas]]/Rendimiento_Individual[[#This Row],[Tareas asignadas]],0))</f>
        <v/>
      </c>
      <c r="G50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0" s="14" t="str">
        <f>IF(Rendimiento_Individual[[#This Row],[Semana]]="","",SUMIFS(Sprint_Backlog[Horas programadas],Sprint_Backlog[Responsable],Empleado,Sprint_Backlog[Semana],Rendimiento_Individual[[#This Row],[Semana]]))</f>
        <v/>
      </c>
      <c r="I50" s="14" t="str">
        <f>IF(Rendimiento_Individual[[#This Row],[Semana]]="","",SUMIFS(Sprint_Backlog[Horas utilizadas],Sprint_Backlog[Responsable],Empleado,Sprint_Backlog[Semana],Rendimiento_Individual[[#This Row],[Semana]]))</f>
        <v/>
      </c>
      <c r="J50" s="14" t="str">
        <f>IF(Rendimiento_Individual[[#This Row],[Semana]]="","",Rendimiento_Individual[[#This Row],[Horas programadas]]-Rendimiento_Individual[[#This Row],[Horas utilizadas]])</f>
        <v/>
      </c>
    </row>
    <row r="51" spans="3:10" ht="30" customHeight="1">
      <c r="C51" s="18" t="str">
        <f>IF(DAS!C62&gt;Duracion_Proyecto,"",DAS!C62)</f>
        <v/>
      </c>
      <c r="D51" s="18" t="str">
        <f>IF(Rendimiento_Individual[[#This Row],[Semana]]="","",COUNTIFS(Sprint_Backlog[Responsable],Empleado,Sprint_Backlog[Semana],Rendimiento_Individual[[#This Row],[Semana]]))</f>
        <v/>
      </c>
      <c r="E51" s="18" t="str">
        <f>IF(Rendimiento_Individual[[#This Row],[Semana]]="","",COUNTIFS(Sprint_Backlog[Responsable],Empleado,Sprint_Backlog[Semana],Rendimiento_Individual[[#This Row],[Semana]],Sprint_Backlog[Estado],"Terminada"))</f>
        <v/>
      </c>
      <c r="F51" s="12" t="str">
        <f>IF(Rendimiento_Individual[[#This Row],[Semana]]="","",IFERROR(Rendimiento_Individual[[#This Row],[Tareas terminadas]]/Rendimiento_Individual[[#This Row],[Tareas asignadas]],0))</f>
        <v/>
      </c>
      <c r="G51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1" s="14" t="str">
        <f>IF(Rendimiento_Individual[[#This Row],[Semana]]="","",SUMIFS(Sprint_Backlog[Horas programadas],Sprint_Backlog[Responsable],Empleado,Sprint_Backlog[Semana],Rendimiento_Individual[[#This Row],[Semana]]))</f>
        <v/>
      </c>
      <c r="I51" s="14" t="str">
        <f>IF(Rendimiento_Individual[[#This Row],[Semana]]="","",SUMIFS(Sprint_Backlog[Horas utilizadas],Sprint_Backlog[Responsable],Empleado,Sprint_Backlog[Semana],Rendimiento_Individual[[#This Row],[Semana]]))</f>
        <v/>
      </c>
      <c r="J51" s="14" t="str">
        <f>IF(Rendimiento_Individual[[#This Row],[Semana]]="","",Rendimiento_Individual[[#This Row],[Horas programadas]]-Rendimiento_Individual[[#This Row],[Horas utilizadas]])</f>
        <v/>
      </c>
    </row>
    <row r="52" spans="3:10" ht="30" customHeight="1">
      <c r="C52" s="18" t="str">
        <f>IF(DAS!C63&gt;Duracion_Proyecto,"",DAS!C63)</f>
        <v/>
      </c>
      <c r="D52" s="18" t="str">
        <f>IF(Rendimiento_Individual[[#This Row],[Semana]]="","",COUNTIFS(Sprint_Backlog[Responsable],Empleado,Sprint_Backlog[Semana],Rendimiento_Individual[[#This Row],[Semana]]))</f>
        <v/>
      </c>
      <c r="E52" s="18" t="str">
        <f>IF(Rendimiento_Individual[[#This Row],[Semana]]="","",COUNTIFS(Sprint_Backlog[Responsable],Empleado,Sprint_Backlog[Semana],Rendimiento_Individual[[#This Row],[Semana]],Sprint_Backlog[Estado],"Terminada"))</f>
        <v/>
      </c>
      <c r="F52" s="12" t="str">
        <f>IF(Rendimiento_Individual[[#This Row],[Semana]]="","",IFERROR(Rendimiento_Individual[[#This Row],[Tareas terminadas]]/Rendimiento_Individual[[#This Row],[Tareas asignadas]],0))</f>
        <v/>
      </c>
      <c r="G52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2" s="14" t="str">
        <f>IF(Rendimiento_Individual[[#This Row],[Semana]]="","",SUMIFS(Sprint_Backlog[Horas programadas],Sprint_Backlog[Responsable],Empleado,Sprint_Backlog[Semana],Rendimiento_Individual[[#This Row],[Semana]]))</f>
        <v/>
      </c>
      <c r="I52" s="14" t="str">
        <f>IF(Rendimiento_Individual[[#This Row],[Semana]]="","",SUMIFS(Sprint_Backlog[Horas utilizadas],Sprint_Backlog[Responsable],Empleado,Sprint_Backlog[Semana],Rendimiento_Individual[[#This Row],[Semana]]))</f>
        <v/>
      </c>
      <c r="J52" s="14" t="str">
        <f>IF(Rendimiento_Individual[[#This Row],[Semana]]="","",Rendimiento_Individual[[#This Row],[Horas programadas]]-Rendimiento_Individual[[#This Row],[Horas utilizadas]])</f>
        <v/>
      </c>
    </row>
    <row r="53" spans="3:10" ht="30" customHeight="1">
      <c r="C53" s="18" t="str">
        <f>IF(DAS!C64&gt;Duracion_Proyecto,"",DAS!C64)</f>
        <v/>
      </c>
      <c r="D53" s="18" t="str">
        <f>IF(Rendimiento_Individual[[#This Row],[Semana]]="","",COUNTIFS(Sprint_Backlog[Responsable],Empleado,Sprint_Backlog[Semana],Rendimiento_Individual[[#This Row],[Semana]]))</f>
        <v/>
      </c>
      <c r="E53" s="18" t="str">
        <f>IF(Rendimiento_Individual[[#This Row],[Semana]]="","",COUNTIFS(Sprint_Backlog[Responsable],Empleado,Sprint_Backlog[Semana],Rendimiento_Individual[[#This Row],[Semana]],Sprint_Backlog[Estado],"Terminada"))</f>
        <v/>
      </c>
      <c r="F53" s="12" t="str">
        <f>IF(Rendimiento_Individual[[#This Row],[Semana]]="","",IFERROR(Rendimiento_Individual[[#This Row],[Tareas terminadas]]/Rendimiento_Individual[[#This Row],[Tareas asignadas]],0))</f>
        <v/>
      </c>
      <c r="G53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3" s="14" t="str">
        <f>IF(Rendimiento_Individual[[#This Row],[Semana]]="","",SUMIFS(Sprint_Backlog[Horas programadas],Sprint_Backlog[Responsable],Empleado,Sprint_Backlog[Semana],Rendimiento_Individual[[#This Row],[Semana]]))</f>
        <v/>
      </c>
      <c r="I53" s="14" t="str">
        <f>IF(Rendimiento_Individual[[#This Row],[Semana]]="","",SUMIFS(Sprint_Backlog[Horas utilizadas],Sprint_Backlog[Responsable],Empleado,Sprint_Backlog[Semana],Rendimiento_Individual[[#This Row],[Semana]]))</f>
        <v/>
      </c>
      <c r="J53" s="14" t="str">
        <f>IF(Rendimiento_Individual[[#This Row],[Semana]]="","",Rendimiento_Individual[[#This Row],[Horas programadas]]-Rendimiento_Individual[[#This Row],[Horas utilizadas]])</f>
        <v/>
      </c>
    </row>
    <row r="54" spans="3:10" ht="30" customHeight="1">
      <c r="C54" s="18" t="str">
        <f>IF(DAS!C65&gt;Duracion_Proyecto,"",DAS!C65)</f>
        <v/>
      </c>
      <c r="D54" s="18" t="str">
        <f>IF(Rendimiento_Individual[[#This Row],[Semana]]="","",COUNTIFS(Sprint_Backlog[Responsable],Empleado,Sprint_Backlog[Semana],Rendimiento_Individual[[#This Row],[Semana]]))</f>
        <v/>
      </c>
      <c r="E54" s="18" t="str">
        <f>IF(Rendimiento_Individual[[#This Row],[Semana]]="","",COUNTIFS(Sprint_Backlog[Responsable],Empleado,Sprint_Backlog[Semana],Rendimiento_Individual[[#This Row],[Semana]],Sprint_Backlog[Estado],"Terminada"))</f>
        <v/>
      </c>
      <c r="F54" s="12" t="str">
        <f>IF(Rendimiento_Individual[[#This Row],[Semana]]="","",IFERROR(Rendimiento_Individual[[#This Row],[Tareas terminadas]]/Rendimiento_Individual[[#This Row],[Tareas asignadas]],0))</f>
        <v/>
      </c>
      <c r="G54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4" s="14" t="str">
        <f>IF(Rendimiento_Individual[[#This Row],[Semana]]="","",SUMIFS(Sprint_Backlog[Horas programadas],Sprint_Backlog[Responsable],Empleado,Sprint_Backlog[Semana],Rendimiento_Individual[[#This Row],[Semana]]))</f>
        <v/>
      </c>
      <c r="I54" s="14" t="str">
        <f>IF(Rendimiento_Individual[[#This Row],[Semana]]="","",SUMIFS(Sprint_Backlog[Horas utilizadas],Sprint_Backlog[Responsable],Empleado,Sprint_Backlog[Semana],Rendimiento_Individual[[#This Row],[Semana]]))</f>
        <v/>
      </c>
      <c r="J54" s="14" t="str">
        <f>IF(Rendimiento_Individual[[#This Row],[Semana]]="","",Rendimiento_Individual[[#This Row],[Horas programadas]]-Rendimiento_Individual[[#This Row],[Horas utilizadas]])</f>
        <v/>
      </c>
    </row>
    <row r="55" spans="3:10" ht="30" customHeight="1">
      <c r="C55" s="18" t="str">
        <f>IF(DAS!C66&gt;Duracion_Proyecto,"",DAS!C66)</f>
        <v/>
      </c>
      <c r="D55" s="18" t="str">
        <f>IF(Rendimiento_Individual[[#This Row],[Semana]]="","",COUNTIFS(Sprint_Backlog[Responsable],Empleado,Sprint_Backlog[Semana],Rendimiento_Individual[[#This Row],[Semana]]))</f>
        <v/>
      </c>
      <c r="E55" s="18" t="str">
        <f>IF(Rendimiento_Individual[[#This Row],[Semana]]="","",COUNTIFS(Sprint_Backlog[Responsable],Empleado,Sprint_Backlog[Semana],Rendimiento_Individual[[#This Row],[Semana]],Sprint_Backlog[Estado],"Terminada"))</f>
        <v/>
      </c>
      <c r="F55" s="12" t="str">
        <f>IF(Rendimiento_Individual[[#This Row],[Semana]]="","",IFERROR(Rendimiento_Individual[[#This Row],[Tareas terminadas]]/Rendimiento_Individual[[#This Row],[Tareas asignadas]],0))</f>
        <v/>
      </c>
      <c r="G55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5" s="14" t="str">
        <f>IF(Rendimiento_Individual[[#This Row],[Semana]]="","",SUMIFS(Sprint_Backlog[Horas programadas],Sprint_Backlog[Responsable],Empleado,Sprint_Backlog[Semana],Rendimiento_Individual[[#This Row],[Semana]]))</f>
        <v/>
      </c>
      <c r="I55" s="14" t="str">
        <f>IF(Rendimiento_Individual[[#This Row],[Semana]]="","",SUMIFS(Sprint_Backlog[Horas utilizadas],Sprint_Backlog[Responsable],Empleado,Sprint_Backlog[Semana],Rendimiento_Individual[[#This Row],[Semana]]))</f>
        <v/>
      </c>
      <c r="J55" s="14" t="str">
        <f>IF(Rendimiento_Individual[[#This Row],[Semana]]="","",Rendimiento_Individual[[#This Row],[Horas programadas]]-Rendimiento_Individual[[#This Row],[Horas utilizadas]])</f>
        <v/>
      </c>
    </row>
    <row r="56" spans="3:10" ht="30" customHeight="1">
      <c r="C56" s="18" t="str">
        <f>IF(DAS!C67&gt;Duracion_Proyecto,"",DAS!C67)</f>
        <v/>
      </c>
      <c r="D56" s="18" t="str">
        <f>IF(Rendimiento_Individual[[#This Row],[Semana]]="","",COUNTIFS(Sprint_Backlog[Responsable],Empleado,Sprint_Backlog[Semana],Rendimiento_Individual[[#This Row],[Semana]]))</f>
        <v/>
      </c>
      <c r="E56" s="18" t="str">
        <f>IF(Rendimiento_Individual[[#This Row],[Semana]]="","",COUNTIFS(Sprint_Backlog[Responsable],Empleado,Sprint_Backlog[Semana],Rendimiento_Individual[[#This Row],[Semana]],Sprint_Backlog[Estado],"Terminada"))</f>
        <v/>
      </c>
      <c r="F56" s="12" t="str">
        <f>IF(Rendimiento_Individual[[#This Row],[Semana]]="","",IFERROR(Rendimiento_Individual[[#This Row],[Tareas terminadas]]/Rendimiento_Individual[[#This Row],[Tareas asignadas]],0))</f>
        <v/>
      </c>
      <c r="G56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6" s="14" t="str">
        <f>IF(Rendimiento_Individual[[#This Row],[Semana]]="","",SUMIFS(Sprint_Backlog[Horas programadas],Sprint_Backlog[Responsable],Empleado,Sprint_Backlog[Semana],Rendimiento_Individual[[#This Row],[Semana]]))</f>
        <v/>
      </c>
      <c r="I56" s="14" t="str">
        <f>IF(Rendimiento_Individual[[#This Row],[Semana]]="","",SUMIFS(Sprint_Backlog[Horas utilizadas],Sprint_Backlog[Responsable],Empleado,Sprint_Backlog[Semana],Rendimiento_Individual[[#This Row],[Semana]]))</f>
        <v/>
      </c>
      <c r="J56" s="14" t="str">
        <f>IF(Rendimiento_Individual[[#This Row],[Semana]]="","",Rendimiento_Individual[[#This Row],[Horas programadas]]-Rendimiento_Individual[[#This Row],[Horas utilizadas]])</f>
        <v/>
      </c>
    </row>
    <row r="57" spans="3:10" ht="30" customHeight="1">
      <c r="C57" s="18" t="str">
        <f>IF(DAS!C68&gt;Duracion_Proyecto,"",DAS!C68)</f>
        <v/>
      </c>
      <c r="D57" s="18" t="str">
        <f>IF(Rendimiento_Individual[[#This Row],[Semana]]="","",COUNTIFS(Sprint_Backlog[Responsable],Empleado,Sprint_Backlog[Semana],Rendimiento_Individual[[#This Row],[Semana]]))</f>
        <v/>
      </c>
      <c r="E57" s="18" t="str">
        <f>IF(Rendimiento_Individual[[#This Row],[Semana]]="","",COUNTIFS(Sprint_Backlog[Responsable],Empleado,Sprint_Backlog[Semana],Rendimiento_Individual[[#This Row],[Semana]],Sprint_Backlog[Estado],"Terminada"))</f>
        <v/>
      </c>
      <c r="F57" s="12" t="str">
        <f>IF(Rendimiento_Individual[[#This Row],[Semana]]="","",IFERROR(Rendimiento_Individual[[#This Row],[Tareas terminadas]]/Rendimiento_Individual[[#This Row],[Tareas asignadas]],0))</f>
        <v/>
      </c>
      <c r="G57" s="14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7" s="14" t="str">
        <f>IF(Rendimiento_Individual[[#This Row],[Semana]]="","",SUMIFS(Sprint_Backlog[Horas programadas],Sprint_Backlog[Responsable],Empleado,Sprint_Backlog[Semana],Rendimiento_Individual[[#This Row],[Semana]]))</f>
        <v/>
      </c>
      <c r="I57" s="14" t="str">
        <f>IF(Rendimiento_Individual[[#This Row],[Semana]]="","",SUMIFS(Sprint_Backlog[Horas utilizadas],Sprint_Backlog[Responsable],Empleado,Sprint_Backlog[Semana],Rendimiento_Individual[[#This Row],[Semana]]))</f>
        <v/>
      </c>
      <c r="J57" s="14" t="str">
        <f>IF(Rendimiento_Individual[[#This Row],[Semana]]="","",Rendimiento_Individual[[#This Row],[Horas programadas]]-Rendimiento_Individual[[#This Row],[Horas utilizadas]])</f>
        <v/>
      </c>
    </row>
    <row r="58" spans="3:10" ht="30" customHeight="1">
      <c r="C58" s="18" t="str">
        <f>IF(DAS!C69&gt;Duracion_Proyecto,"",DAS!C69)</f>
        <v/>
      </c>
      <c r="D58" s="18" t="str">
        <f>IF(Rendimiento_Individual[[#This Row],[Semana]]="","",COUNTIFS(Sprint_Backlog[Responsable],Empleado,Sprint_Backlog[Semana],Rendimiento_Individual[[#This Row],[Semana]]))</f>
        <v/>
      </c>
      <c r="E58" s="68" t="str">
        <f>IF(Rendimiento_Individual[[#This Row],[Semana]]="","",COUNTIFS(Sprint_Backlog[Responsable],Empleado,Sprint_Backlog[Semana],Rendimiento_Individual[[#This Row],[Semana]],Sprint_Backlog[Estado],"Terminada"))</f>
        <v/>
      </c>
      <c r="F58" s="69" t="str">
        <f>IF(Rendimiento_Individual[[#This Row],[Semana]]="","",IFERROR(Rendimiento_Individual[[#This Row],[Tareas terminadas]]/Rendimiento_Individual[[#This Row],[Tareas asignadas]],0))</f>
        <v/>
      </c>
      <c r="G58" s="67" t="str">
        <f>IF(Rendimiento_Individual[[#This Row],[Semana]]="","",SUMIFS(Sprint_Backlog[Puntos],Sprint_Backlog[Estado],"Terminada",Sprint_Backlog[Responsable],Empleado,Sprint_Backlog[Semana],Rendimiento_Individual[[#This Row],[Semana]]))</f>
        <v/>
      </c>
      <c r="H58" s="67" t="str">
        <f>IF(Rendimiento_Individual[[#This Row],[Semana]]="","",SUMIFS(Sprint_Backlog[Horas programadas],Sprint_Backlog[Responsable],Empleado,Sprint_Backlog[Semana],Rendimiento_Individual[[#This Row],[Semana]]))</f>
        <v/>
      </c>
      <c r="I58" s="67" t="str">
        <f>IF(Rendimiento_Individual[[#This Row],[Semana]]="","",SUMIFS(Sprint_Backlog[Horas utilizadas],Sprint_Backlog[Responsable],Empleado,Sprint_Backlog[Semana],Rendimiento_Individual[[#This Row],[Semana]]))</f>
        <v/>
      </c>
      <c r="J58" s="67" t="str">
        <f>IF(Rendimiento_Individual[[#This Row],[Semana]]="","",Rendimiento_Individual[[#This Row],[Horas programadas]]-Rendimiento_Individual[[#This Row],[Horas utilizadas]])</f>
        <v/>
      </c>
    </row>
  </sheetData>
  <sheetProtection algorithmName="SHA-512" hashValue="E5J7vY56cGoyj4c33KZ+MSxXGeFhPQmvVrr1JaR1+gM74M6Y64416X2QcUtuMK+CdR12j9NLcrqHEI2Qbd+uFA==" saltValue="ALWdbXb7MxLlM1Q9QrsTcg==" spinCount="100000" formatCells="0" formatColumns="0" formatRows="0" selectLockedCells="1"/>
  <protectedRanges>
    <protectedRange sqref="E4:G4" name="Intervalo1"/>
  </protectedRanges>
  <mergeCells count="2">
    <mergeCell ref="C4:D4"/>
    <mergeCell ref="E4:G4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EQU!$C$5:$C$54</xm:f>
          </x14:formula1>
          <xm:sqref>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showGridLines="0" zoomScale="70" zoomScaleNormal="70" zoomScalePageLayoutView="80" workbookViewId="0">
      <pane ySplit="2" topLeftCell="A3" activePane="bottomLeft" state="frozen"/>
      <selection activeCell="C4" sqref="C4:G4"/>
      <selection pane="bottomLeft"/>
    </sheetView>
  </sheetViews>
  <sheetFormatPr baseColWidth="10" defaultColWidth="11" defaultRowHeight="30" customHeight="1"/>
  <cols>
    <col min="1" max="2" width="2.625" style="3" customWidth="1"/>
    <col min="3" max="5" width="15.625" style="3" customWidth="1"/>
    <col min="6" max="6" width="15.625" style="5" customWidth="1"/>
    <col min="7" max="7" width="15.625" style="3" customWidth="1"/>
    <col min="8" max="8" width="5.625" style="4" customWidth="1"/>
    <col min="9" max="13" width="15.625" style="3" customWidth="1"/>
    <col min="14" max="14" width="5.625" style="3" customWidth="1"/>
    <col min="15" max="19" width="15.625" style="3" customWidth="1"/>
    <col min="20" max="94" width="5.25" style="3" customWidth="1"/>
    <col min="95" max="95" width="9.875" style="3" customWidth="1"/>
    <col min="96" max="16384" width="11" style="3"/>
  </cols>
  <sheetData>
    <row r="1" spans="1:28" s="20" customFormat="1" ht="39" customHeight="1">
      <c r="A1" s="21"/>
      <c r="B1" s="21"/>
      <c r="C1" s="22"/>
      <c r="D1" s="2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30" customHeight="1">
      <c r="A2" s="24"/>
      <c r="B2" s="24"/>
      <c r="C2" s="24"/>
      <c r="D2" s="25"/>
      <c r="E2" s="27"/>
      <c r="F2" s="27"/>
      <c r="G2" s="27"/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15"/>
    <row r="4" spans="1:28" s="13" customFormat="1" ht="35.25" customHeight="1">
      <c r="C4" s="28" t="s">
        <v>36</v>
      </c>
      <c r="F4" s="28"/>
      <c r="H4" s="72"/>
      <c r="I4" s="28" t="s">
        <v>126</v>
      </c>
      <c r="O4" s="28" t="s">
        <v>127</v>
      </c>
    </row>
    <row r="5" spans="1:28" s="13" customFormat="1" ht="67.5" customHeight="1">
      <c r="C5" s="99">
        <f>+SUM(Product_Backlog[Puntos])</f>
        <v>930</v>
      </c>
      <c r="D5" s="100"/>
      <c r="E5" s="100"/>
      <c r="F5" s="100"/>
      <c r="G5" s="101"/>
      <c r="I5" s="99">
        <f>+SUM(Puntuacion_Proyecto[Realizados x Semana])</f>
        <v>850</v>
      </c>
      <c r="J5" s="100"/>
      <c r="K5" s="100"/>
      <c r="L5" s="100"/>
      <c r="M5" s="101"/>
      <c r="O5" s="99">
        <f>C5-I5</f>
        <v>80</v>
      </c>
      <c r="P5" s="100"/>
      <c r="Q5" s="100"/>
      <c r="R5" s="100"/>
      <c r="S5" s="101"/>
    </row>
    <row r="6" spans="1:28" s="13" customFormat="1" ht="35.25" customHeight="1"/>
    <row r="7" spans="1:28" s="13" customFormat="1" ht="67.5" customHeight="1"/>
    <row r="8" spans="1:28" s="13" customFormat="1" ht="35.25" customHeight="1"/>
    <row r="9" spans="1:28" s="13" customFormat="1" ht="67.5" customHeight="1"/>
    <row r="10" spans="1:28" s="13" customFormat="1" ht="67.5" customHeight="1"/>
    <row r="11" spans="1:28" s="13" customFormat="1" ht="67.5" customHeight="1"/>
    <row r="12" spans="1:28" s="13" customFormat="1" ht="35.25" customHeight="1">
      <c r="C12" s="28"/>
      <c r="F12" s="28"/>
    </row>
    <row r="13" spans="1:28" s="13" customFormat="1" ht="35.25" customHeight="1">
      <c r="C13" s="28"/>
      <c r="F13" s="28"/>
    </row>
    <row r="14" spans="1:28" ht="30" customHeight="1">
      <c r="C14" s="72" t="s">
        <v>134</v>
      </c>
    </row>
    <row r="15" spans="1:28" s="15" customFormat="1" ht="30" customHeight="1">
      <c r="C15" s="28" t="s">
        <v>219</v>
      </c>
      <c r="G15" s="16"/>
      <c r="I15" s="28" t="s">
        <v>130</v>
      </c>
      <c r="J15" s="13"/>
      <c r="K15" s="13"/>
      <c r="L15" s="3"/>
    </row>
    <row r="16" spans="1:28" ht="30" customHeight="1">
      <c r="C16" s="97" t="s">
        <v>213</v>
      </c>
      <c r="D16" s="98"/>
      <c r="F16" s="97" t="s">
        <v>215</v>
      </c>
      <c r="G16" s="102"/>
      <c r="H16" s="15"/>
      <c r="I16" s="74">
        <f>IF(J16="","",1)</f>
        <v>1</v>
      </c>
      <c r="J16" s="91" t="str">
        <f>IF(EQU!C5="","",EQU!C5)</f>
        <v>Elio Agustín Facchin</v>
      </c>
      <c r="K16" s="89">
        <f>IF(J16="","",SUMIFS(Sprint_Backlog[Puntos],Sprint_Backlog[Estado],"Terminada",Sprint_Backlog[Responsable],J16))</f>
        <v>180</v>
      </c>
    </row>
    <row r="17" spans="3:14" ht="45" customHeight="1">
      <c r="C17" s="61" t="s">
        <v>214</v>
      </c>
      <c r="D17" s="61" t="s">
        <v>212</v>
      </c>
      <c r="E17" s="88" t="s">
        <v>216</v>
      </c>
      <c r="F17" s="61" t="s">
        <v>218</v>
      </c>
      <c r="G17" s="61" t="s">
        <v>217</v>
      </c>
      <c r="H17" s="15"/>
      <c r="I17" s="74">
        <f t="shared" ref="I17:I48" si="0">IF(J17="","",I16+1)</f>
        <v>2</v>
      </c>
      <c r="J17" s="91" t="str">
        <f>IF(EQU!C6="","",EQU!C6)</f>
        <v>Emilio Tomás Ryan</v>
      </c>
      <c r="K17" s="89">
        <f>IF(J17="","",SUMIFS(Sprint_Backlog[Puntos],Sprint_Backlog[Estado],"Terminada",Sprint_Backlog[Responsable],J17))</f>
        <v>670</v>
      </c>
      <c r="M17" s="15"/>
      <c r="N17" s="15"/>
    </row>
    <row r="18" spans="3:14" ht="30" customHeight="1">
      <c r="C18" s="18">
        <v>0</v>
      </c>
      <c r="D18" s="18">
        <f>IF(Semanas_Proyecto[[#This Row],[Ref.]]&gt;Duracion_Proyecto,"",Semanas_Proyecto[[#This Row],[Ref.]])</f>
        <v>0</v>
      </c>
      <c r="E18" s="86">
        <f>+Puntos_Totales</f>
        <v>930</v>
      </c>
      <c r="F18" s="85">
        <v>0</v>
      </c>
      <c r="G18" s="85">
        <v>0</v>
      </c>
      <c r="H18" s="15"/>
      <c r="I18" s="74" t="str">
        <f t="shared" si="0"/>
        <v/>
      </c>
      <c r="J18" s="91" t="str">
        <f>IF(EQU!C7="","",EQU!C7)</f>
        <v/>
      </c>
      <c r="K18" s="90" t="str">
        <f>IF(J18="","",SUMIFS(Sprint_Backlog[Puntos],Sprint_Backlog[Estado],"Terminada",Sprint_Backlog[Responsable],J18))</f>
        <v/>
      </c>
    </row>
    <row r="19" spans="3:14" ht="30" customHeight="1">
      <c r="C19" s="18">
        <f>+C18+1</f>
        <v>1</v>
      </c>
      <c r="D19" s="18">
        <f>IF(Semanas_Proyecto[[#This Row],[Ref.]]&gt;Duracion_Proyecto,"",Semanas_Proyecto[[#This Row],[Ref.]])</f>
        <v>1</v>
      </c>
      <c r="E19" s="85">
        <f>+Puntos_Totales</f>
        <v>930</v>
      </c>
      <c r="F19" s="85">
        <f>IF(Semanas_Proyecto[[#This Row],[SEM Proyecto]]="","",SUMIF(Sprint_Backlog[Semana],Semanas_Proyecto[[#This Row],[SEM Proyecto]],Sprint_Backlog[Puntos]))</f>
        <v>540</v>
      </c>
      <c r="G19" s="85">
        <f>IF(Semanas_Proyecto[[#This Row],[SEM Proyecto]]="","",SUMIFS(Sprint_Backlog[Puntos],Sprint_Backlog[Estado],"Terminada",Sprint_Backlog[Semana],Semanas_Proyecto[[#This Row],[SEM Proyecto]]))</f>
        <v>520</v>
      </c>
      <c r="H19" s="15"/>
      <c r="I19" s="74" t="str">
        <f t="shared" si="0"/>
        <v/>
      </c>
      <c r="J19" s="91" t="str">
        <f>IF(EQU!C8="","",EQU!C8)</f>
        <v/>
      </c>
      <c r="K19" s="90" t="str">
        <f>IF(J19="","",SUMIFS(Sprint_Backlog[Puntos],Sprint_Backlog[Estado],"Terminada",Sprint_Backlog[Responsable],J19))</f>
        <v/>
      </c>
      <c r="M19" s="15"/>
      <c r="N19" s="15"/>
    </row>
    <row r="20" spans="3:14" ht="30" customHeight="1">
      <c r="C20" s="18">
        <f t="shared" ref="C20:C83" si="1">+C19+1</f>
        <v>2</v>
      </c>
      <c r="D20" s="18">
        <f>IF(Semanas_Proyecto[[#This Row],[Ref.]]&gt;Duracion_Proyecto,"",Semanas_Proyecto[[#This Row],[Ref.]])</f>
        <v>2</v>
      </c>
      <c r="E20" s="85">
        <f>IF(Semanas_Proyecto[[#This Row],[SEM Proyecto]]="","",$E$19-SUM($G$19:G19))</f>
        <v>410</v>
      </c>
      <c r="F20" s="85">
        <f>IF(Semanas_Proyecto[[#This Row],[SEM Proyecto]]="","",SUMIF(Sprint_Backlog[Semana],Semanas_Proyecto[[#This Row],[SEM Proyecto]],Sprint_Backlog[Puntos]))</f>
        <v>50</v>
      </c>
      <c r="G20" s="85">
        <f>IF(Semanas_Proyecto[[#This Row],[SEM Proyecto]]="","",SUMIFS(Sprint_Backlog[Puntos],Sprint_Backlog[Estado],"Terminada",Sprint_Backlog[Semana],Semanas_Proyecto[[#This Row],[SEM Proyecto]]))</f>
        <v>50</v>
      </c>
      <c r="H20" s="15"/>
      <c r="I20" s="74" t="str">
        <f t="shared" si="0"/>
        <v/>
      </c>
      <c r="J20" s="91" t="str">
        <f>IF(EQU!C9="","",EQU!C9)</f>
        <v/>
      </c>
      <c r="K20" s="90" t="str">
        <f>IF(J20="","",SUMIFS(Sprint_Backlog[Puntos],Sprint_Backlog[Estado],"Terminada",Sprint_Backlog[Responsable],J20))</f>
        <v/>
      </c>
    </row>
    <row r="21" spans="3:14" ht="30" customHeight="1">
      <c r="C21" s="18">
        <f t="shared" si="1"/>
        <v>3</v>
      </c>
      <c r="D21" s="18">
        <f>IF(Semanas_Proyecto[[#This Row],[Ref.]]&gt;Duracion_Proyecto,"",Semanas_Proyecto[[#This Row],[Ref.]])</f>
        <v>3</v>
      </c>
      <c r="E21" s="85">
        <f>IF(Semanas_Proyecto[[#This Row],[SEM Proyecto]]="","",$E$19-SUM($G$19:G20))</f>
        <v>360</v>
      </c>
      <c r="F21" s="85">
        <f>IF(Semanas_Proyecto[[#This Row],[SEM Proyecto]]="","",SUMIF(Sprint_Backlog[Semana],Semanas_Proyecto[[#This Row],[SEM Proyecto]],Sprint_Backlog[Puntos]))</f>
        <v>200</v>
      </c>
      <c r="G21" s="85">
        <f>IF(Semanas_Proyecto[[#This Row],[SEM Proyecto]]="","",SUMIFS(Sprint_Backlog[Puntos],Sprint_Backlog[Estado],"Terminada",Sprint_Backlog[Semana],Semanas_Proyecto[[#This Row],[SEM Proyecto]]))</f>
        <v>200</v>
      </c>
      <c r="H21" s="15"/>
      <c r="I21" s="74" t="str">
        <f t="shared" si="0"/>
        <v/>
      </c>
      <c r="J21" s="91" t="str">
        <f>IF(EQU!C10="","",EQU!C10)</f>
        <v/>
      </c>
      <c r="K21" s="90" t="str">
        <f>IF(J21="","",SUMIFS(Sprint_Backlog[Puntos],Sprint_Backlog[Estado],"Terminada",Sprint_Backlog[Responsable],J21))</f>
        <v/>
      </c>
      <c r="M21" s="15"/>
      <c r="N21" s="15"/>
    </row>
    <row r="22" spans="3:14" ht="30" customHeight="1">
      <c r="C22" s="18">
        <f t="shared" si="1"/>
        <v>4</v>
      </c>
      <c r="D22" s="18">
        <f>IF(Semanas_Proyecto[[#This Row],[Ref.]]&gt;Duracion_Proyecto,"",Semanas_Proyecto[[#This Row],[Ref.]])</f>
        <v>4</v>
      </c>
      <c r="E22" s="85">
        <f>IF(Semanas_Proyecto[[#This Row],[SEM Proyecto]]="","",$E$19-SUM($G$19:G21))</f>
        <v>160</v>
      </c>
      <c r="F22" s="85">
        <f>IF(Semanas_Proyecto[[#This Row],[SEM Proyecto]]="","",SUMIF(Sprint_Backlog[Semana],Semanas_Proyecto[[#This Row],[SEM Proyecto]],Sprint_Backlog[Puntos]))</f>
        <v>60</v>
      </c>
      <c r="G22" s="85">
        <f>IF(Semanas_Proyecto[[#This Row],[SEM Proyecto]]="","",SUMIFS(Sprint_Backlog[Puntos],Sprint_Backlog[Estado],"Terminada",Sprint_Backlog[Semana],Semanas_Proyecto[[#This Row],[SEM Proyecto]]))</f>
        <v>0</v>
      </c>
      <c r="H22" s="15"/>
      <c r="I22" s="74" t="str">
        <f t="shared" si="0"/>
        <v/>
      </c>
      <c r="J22" s="91" t="str">
        <f>IF(EQU!C11="","",EQU!C11)</f>
        <v/>
      </c>
      <c r="K22" s="90" t="str">
        <f>IF(J22="","",SUMIFS(Sprint_Backlog[Puntos],Sprint_Backlog[Estado],"Terminada",Sprint_Backlog[Responsable],J22))</f>
        <v/>
      </c>
    </row>
    <row r="23" spans="3:14" ht="30" customHeight="1">
      <c r="C23" s="18">
        <f t="shared" si="1"/>
        <v>5</v>
      </c>
      <c r="D23" s="18">
        <f>IF(Semanas_Proyecto[[#This Row],[Ref.]]&gt;Duracion_Proyecto,"",Semanas_Proyecto[[#This Row],[Ref.]])</f>
        <v>5</v>
      </c>
      <c r="E23" s="85">
        <f>IF(Semanas_Proyecto[[#This Row],[SEM Proyecto]]="","",$E$19-SUM($G$19:G22))</f>
        <v>160</v>
      </c>
      <c r="F23" s="85">
        <f>IF(Semanas_Proyecto[[#This Row],[SEM Proyecto]]="","",SUMIF(Sprint_Backlog[Semana],Semanas_Proyecto[[#This Row],[SEM Proyecto]],Sprint_Backlog[Puntos]))</f>
        <v>80</v>
      </c>
      <c r="G23" s="85">
        <f>IF(Semanas_Proyecto[[#This Row],[SEM Proyecto]]="","",SUMIFS(Sprint_Backlog[Puntos],Sprint_Backlog[Estado],"Terminada",Sprint_Backlog[Semana],Semanas_Proyecto[[#This Row],[SEM Proyecto]]))</f>
        <v>80</v>
      </c>
      <c r="H23" s="15"/>
      <c r="I23" s="74" t="str">
        <f t="shared" si="0"/>
        <v/>
      </c>
      <c r="J23" s="91" t="str">
        <f>IF(EQU!C12="","",EQU!C12)</f>
        <v/>
      </c>
      <c r="K23" s="90" t="str">
        <f>IF(J23="","",SUMIFS(Sprint_Backlog[Puntos],Sprint_Backlog[Estado],"Terminada",Sprint_Backlog[Responsable],J23))</f>
        <v/>
      </c>
      <c r="M23" s="15"/>
      <c r="N23" s="15"/>
    </row>
    <row r="24" spans="3:14" ht="30" customHeight="1">
      <c r="C24" s="18">
        <f t="shared" si="1"/>
        <v>6</v>
      </c>
      <c r="D24" s="18" t="str">
        <f>IF(Semanas_Proyecto[[#This Row],[Ref.]]&gt;Duracion_Proyecto,"",Semanas_Proyecto[[#This Row],[Ref.]])</f>
        <v/>
      </c>
      <c r="E24" s="85" t="str">
        <f>IF(Semanas_Proyecto[[#This Row],[SEM Proyecto]]="","",$E$19-SUM($G$19:G23))</f>
        <v/>
      </c>
      <c r="F24" s="85" t="str">
        <f>IF(Semanas_Proyecto[[#This Row],[SEM Proyecto]]="","",SUMIF(Sprint_Backlog[Semana],Semanas_Proyecto[[#This Row],[SEM Proyecto]],Sprint_Backlog[Puntos]))</f>
        <v/>
      </c>
      <c r="G24" s="85" t="str">
        <f>IF(Semanas_Proyecto[[#This Row],[SEM Proyecto]]="","",SUMIFS(Sprint_Backlog[Puntos],Sprint_Backlog[Estado],"Terminada",Sprint_Backlog[Semana],Semanas_Proyecto[[#This Row],[SEM Proyecto]]))</f>
        <v/>
      </c>
      <c r="H24" s="15"/>
      <c r="I24" s="74" t="str">
        <f t="shared" si="0"/>
        <v/>
      </c>
      <c r="J24" s="91" t="str">
        <f>IF(EQU!C13="","",EQU!C13)</f>
        <v/>
      </c>
      <c r="K24" s="90" t="str">
        <f>IF(J24="","",SUMIFS(Sprint_Backlog[Puntos],Sprint_Backlog[Estado],"Terminada",Sprint_Backlog[Responsable],J24))</f>
        <v/>
      </c>
    </row>
    <row r="25" spans="3:14" ht="30" customHeight="1">
      <c r="C25" s="18">
        <f t="shared" si="1"/>
        <v>7</v>
      </c>
      <c r="D25" s="18" t="str">
        <f>IF(Semanas_Proyecto[[#This Row],[Ref.]]&gt;Duracion_Proyecto,"",Semanas_Proyecto[[#This Row],[Ref.]])</f>
        <v/>
      </c>
      <c r="E25" s="85" t="str">
        <f>IF(Semanas_Proyecto[[#This Row],[SEM Proyecto]]="","",$E$19-SUM($G$19:G24))</f>
        <v/>
      </c>
      <c r="F25" s="85" t="str">
        <f>IF(Semanas_Proyecto[[#This Row],[SEM Proyecto]]="","",SUMIF(Sprint_Backlog[Semana],Semanas_Proyecto[[#This Row],[SEM Proyecto]],Sprint_Backlog[Puntos]))</f>
        <v/>
      </c>
      <c r="G25" s="85" t="str">
        <f>IF(Semanas_Proyecto[[#This Row],[SEM Proyecto]]="","",SUMIFS(Sprint_Backlog[Puntos],Sprint_Backlog[Estado],"Terminada",Sprint_Backlog[Semana],Semanas_Proyecto[[#This Row],[SEM Proyecto]]))</f>
        <v/>
      </c>
      <c r="H25" s="15"/>
      <c r="I25" s="74" t="str">
        <f t="shared" si="0"/>
        <v/>
      </c>
      <c r="J25" s="91" t="str">
        <f>IF(EQU!C14="","",EQU!C14)</f>
        <v/>
      </c>
      <c r="K25" s="90" t="str">
        <f>IF(J25="","",SUMIFS(Sprint_Backlog[Puntos],Sprint_Backlog[Estado],"Terminada",Sprint_Backlog[Responsable],J25))</f>
        <v/>
      </c>
      <c r="M25" s="15"/>
      <c r="N25" s="15"/>
    </row>
    <row r="26" spans="3:14" ht="30" customHeight="1">
      <c r="C26" s="18">
        <f t="shared" si="1"/>
        <v>8</v>
      </c>
      <c r="D26" s="18" t="str">
        <f>IF(Semanas_Proyecto[[#This Row],[Ref.]]&gt;Duracion_Proyecto,"",Semanas_Proyecto[[#This Row],[Ref.]])</f>
        <v/>
      </c>
      <c r="E26" s="85" t="str">
        <f>IF(Semanas_Proyecto[[#This Row],[SEM Proyecto]]="","",$E$19-SUM($G$19:G25))</f>
        <v/>
      </c>
      <c r="F26" s="85" t="str">
        <f>IF(Semanas_Proyecto[[#This Row],[SEM Proyecto]]="","",SUMIF(Sprint_Backlog[Semana],Semanas_Proyecto[[#This Row],[SEM Proyecto]],Sprint_Backlog[Puntos]))</f>
        <v/>
      </c>
      <c r="G26" s="85" t="str">
        <f>IF(Semanas_Proyecto[[#This Row],[SEM Proyecto]]="","",SUMIFS(Sprint_Backlog[Puntos],Sprint_Backlog[Estado],"Terminada",Sprint_Backlog[Semana],Semanas_Proyecto[[#This Row],[SEM Proyecto]]))</f>
        <v/>
      </c>
      <c r="H26" s="15"/>
      <c r="I26" s="74" t="str">
        <f t="shared" si="0"/>
        <v/>
      </c>
      <c r="J26" s="91" t="str">
        <f>IF(EQU!C15="","",EQU!C15)</f>
        <v/>
      </c>
      <c r="K26" s="90" t="str">
        <f>IF(J26="","",SUMIFS(Sprint_Backlog[Puntos],Sprint_Backlog[Estado],"Terminada",Sprint_Backlog[Responsable],J26))</f>
        <v/>
      </c>
    </row>
    <row r="27" spans="3:14" ht="30" customHeight="1">
      <c r="C27" s="18">
        <f t="shared" si="1"/>
        <v>9</v>
      </c>
      <c r="D27" s="18" t="str">
        <f>IF(Semanas_Proyecto[[#This Row],[Ref.]]&gt;Duracion_Proyecto,"",Semanas_Proyecto[[#This Row],[Ref.]])</f>
        <v/>
      </c>
      <c r="E27" s="85" t="str">
        <f>IF(Semanas_Proyecto[[#This Row],[SEM Proyecto]]="","",$E$19-SUM($G$19:G26))</f>
        <v/>
      </c>
      <c r="F27" s="85" t="str">
        <f>IF(Semanas_Proyecto[[#This Row],[SEM Proyecto]]="","",SUMIF(Sprint_Backlog[Semana],Semanas_Proyecto[[#This Row],[SEM Proyecto]],Sprint_Backlog[Puntos]))</f>
        <v/>
      </c>
      <c r="G27" s="85" t="str">
        <f>IF(Semanas_Proyecto[[#This Row],[SEM Proyecto]]="","",SUMIFS(Sprint_Backlog[Puntos],Sprint_Backlog[Estado],"Terminada",Sprint_Backlog[Semana],Semanas_Proyecto[[#This Row],[SEM Proyecto]]))</f>
        <v/>
      </c>
      <c r="H27" s="15"/>
      <c r="I27" s="74" t="str">
        <f t="shared" si="0"/>
        <v/>
      </c>
      <c r="J27" s="91" t="str">
        <f>IF(EQU!C16="","",EQU!C16)</f>
        <v/>
      </c>
      <c r="K27" s="90" t="str">
        <f>IF(J27="","",SUMIFS(Sprint_Backlog[Puntos],Sprint_Backlog[Estado],"Terminada",Sprint_Backlog[Responsable],J27))</f>
        <v/>
      </c>
      <c r="M27" s="15"/>
      <c r="N27" s="15"/>
    </row>
    <row r="28" spans="3:14" ht="30" customHeight="1">
      <c r="C28" s="18">
        <f t="shared" si="1"/>
        <v>10</v>
      </c>
      <c r="D28" s="18" t="str">
        <f>IF(Semanas_Proyecto[[#This Row],[Ref.]]&gt;Duracion_Proyecto,"",Semanas_Proyecto[[#This Row],[Ref.]])</f>
        <v/>
      </c>
      <c r="E28" s="85" t="str">
        <f>IF(Semanas_Proyecto[[#This Row],[SEM Proyecto]]="","",$E$19-SUM($G$19:G27))</f>
        <v/>
      </c>
      <c r="F28" s="85" t="str">
        <f>IF(Semanas_Proyecto[[#This Row],[SEM Proyecto]]="","",SUMIF(Sprint_Backlog[Semana],Semanas_Proyecto[[#This Row],[SEM Proyecto]],Sprint_Backlog[Puntos]))</f>
        <v/>
      </c>
      <c r="G28" s="85" t="str">
        <f>IF(Semanas_Proyecto[[#This Row],[SEM Proyecto]]="","",SUMIFS(Sprint_Backlog[Puntos],Sprint_Backlog[Estado],"Terminada",Sprint_Backlog[Semana],Semanas_Proyecto[[#This Row],[SEM Proyecto]]))</f>
        <v/>
      </c>
      <c r="H28" s="15"/>
      <c r="I28" s="74" t="str">
        <f t="shared" si="0"/>
        <v/>
      </c>
      <c r="J28" s="91" t="str">
        <f>IF(EQU!C17="","",EQU!C17)</f>
        <v/>
      </c>
      <c r="K28" s="90" t="str">
        <f>IF(J28="","",SUMIFS(Sprint_Backlog[Puntos],Sprint_Backlog[Estado],"Terminada",Sprint_Backlog[Responsable],J28))</f>
        <v/>
      </c>
    </row>
    <row r="29" spans="3:14" ht="30" customHeight="1">
      <c r="C29" s="18">
        <f t="shared" si="1"/>
        <v>11</v>
      </c>
      <c r="D29" s="18" t="str">
        <f>IF(Semanas_Proyecto[[#This Row],[Ref.]]&gt;Duracion_Proyecto,"",Semanas_Proyecto[[#This Row],[Ref.]])</f>
        <v/>
      </c>
      <c r="E29" s="85" t="str">
        <f>IF(Semanas_Proyecto[[#This Row],[SEM Proyecto]]="","",$E$19-SUM($G$19:G28))</f>
        <v/>
      </c>
      <c r="F29" s="85" t="str">
        <f>IF(Semanas_Proyecto[[#This Row],[SEM Proyecto]]="","",SUMIF(Sprint_Backlog[Semana],Semanas_Proyecto[[#This Row],[SEM Proyecto]],Sprint_Backlog[Puntos]))</f>
        <v/>
      </c>
      <c r="G29" s="85" t="str">
        <f>IF(Semanas_Proyecto[[#This Row],[SEM Proyecto]]="","",SUMIFS(Sprint_Backlog[Puntos],Sprint_Backlog[Estado],"Terminada",Sprint_Backlog[Semana],Semanas_Proyecto[[#This Row],[SEM Proyecto]]))</f>
        <v/>
      </c>
      <c r="H29" s="15"/>
      <c r="I29" s="74" t="str">
        <f t="shared" si="0"/>
        <v/>
      </c>
      <c r="J29" s="91" t="str">
        <f>IF(EQU!C18="","",EQU!C18)</f>
        <v/>
      </c>
      <c r="K29" s="90" t="str">
        <f>IF(J29="","",SUMIFS(Sprint_Backlog[Puntos],Sprint_Backlog[Estado],"Terminada",Sprint_Backlog[Responsable],J29))</f>
        <v/>
      </c>
      <c r="M29" s="15"/>
      <c r="N29" s="15"/>
    </row>
    <row r="30" spans="3:14" ht="30" customHeight="1">
      <c r="C30" s="18">
        <f t="shared" si="1"/>
        <v>12</v>
      </c>
      <c r="D30" s="18" t="str">
        <f>IF(Semanas_Proyecto[[#This Row],[Ref.]]&gt;Duracion_Proyecto,"",Semanas_Proyecto[[#This Row],[Ref.]])</f>
        <v/>
      </c>
      <c r="E30" s="85" t="str">
        <f>IF(Semanas_Proyecto[[#This Row],[SEM Proyecto]]="","",$E$19-SUM($G$19:G29))</f>
        <v/>
      </c>
      <c r="F30" s="85" t="str">
        <f>IF(Semanas_Proyecto[[#This Row],[SEM Proyecto]]="","",SUMIF(Sprint_Backlog[Semana],Semanas_Proyecto[[#This Row],[SEM Proyecto]],Sprint_Backlog[Puntos]))</f>
        <v/>
      </c>
      <c r="G30" s="85" t="str">
        <f>IF(Semanas_Proyecto[[#This Row],[SEM Proyecto]]="","",SUMIFS(Sprint_Backlog[Puntos],Sprint_Backlog[Estado],"Terminada",Sprint_Backlog[Semana],Semanas_Proyecto[[#This Row],[SEM Proyecto]]))</f>
        <v/>
      </c>
      <c r="H30" s="15"/>
      <c r="I30" s="74" t="str">
        <f t="shared" si="0"/>
        <v/>
      </c>
      <c r="J30" s="91" t="str">
        <f>IF(EQU!C19="","",EQU!C19)</f>
        <v/>
      </c>
      <c r="K30" s="90" t="str">
        <f>IF(J30="","",SUMIFS(Sprint_Backlog[Puntos],Sprint_Backlog[Estado],"Terminada",Sprint_Backlog[Responsable],J30))</f>
        <v/>
      </c>
    </row>
    <row r="31" spans="3:14" ht="30" customHeight="1">
      <c r="C31" s="18">
        <f t="shared" si="1"/>
        <v>13</v>
      </c>
      <c r="D31" s="18" t="str">
        <f>IF(Semanas_Proyecto[[#This Row],[Ref.]]&gt;Duracion_Proyecto,"",Semanas_Proyecto[[#This Row],[Ref.]])</f>
        <v/>
      </c>
      <c r="E31" s="85" t="str">
        <f>IF(Semanas_Proyecto[[#This Row],[SEM Proyecto]]="","",$E$19-SUM($G$19:G30))</f>
        <v/>
      </c>
      <c r="F31" s="85" t="str">
        <f>IF(Semanas_Proyecto[[#This Row],[SEM Proyecto]]="","",SUMIF(Sprint_Backlog[Semana],Semanas_Proyecto[[#This Row],[SEM Proyecto]],Sprint_Backlog[Puntos]))</f>
        <v/>
      </c>
      <c r="G31" s="85" t="str">
        <f>IF(Semanas_Proyecto[[#This Row],[SEM Proyecto]]="","",SUMIFS(Sprint_Backlog[Puntos],Sprint_Backlog[Estado],"Terminada",Sprint_Backlog[Semana],Semanas_Proyecto[[#This Row],[SEM Proyecto]]))</f>
        <v/>
      </c>
      <c r="H31" s="15"/>
      <c r="I31" s="74" t="str">
        <f t="shared" si="0"/>
        <v/>
      </c>
      <c r="J31" s="91" t="str">
        <f>IF(EQU!C20="","",EQU!C20)</f>
        <v/>
      </c>
      <c r="K31" s="90" t="str">
        <f>IF(J31="","",SUMIFS(Sprint_Backlog[Puntos],Sprint_Backlog[Estado],"Terminada",Sprint_Backlog[Responsable],J31))</f>
        <v/>
      </c>
      <c r="M31" s="15"/>
      <c r="N31" s="15"/>
    </row>
    <row r="32" spans="3:14" ht="30" customHeight="1">
      <c r="C32" s="18">
        <f t="shared" si="1"/>
        <v>14</v>
      </c>
      <c r="D32" s="18" t="str">
        <f>IF(Semanas_Proyecto[[#This Row],[Ref.]]&gt;Duracion_Proyecto,"",Semanas_Proyecto[[#This Row],[Ref.]])</f>
        <v/>
      </c>
      <c r="E32" s="85" t="str">
        <f>IF(Semanas_Proyecto[[#This Row],[SEM Proyecto]]="","",$E$19-SUM($G$19:G31))</f>
        <v/>
      </c>
      <c r="F32" s="85" t="str">
        <f>IF(Semanas_Proyecto[[#This Row],[SEM Proyecto]]="","",SUMIF(Sprint_Backlog[Semana],Semanas_Proyecto[[#This Row],[SEM Proyecto]],Sprint_Backlog[Puntos]))</f>
        <v/>
      </c>
      <c r="G32" s="85" t="str">
        <f>IF(Semanas_Proyecto[[#This Row],[SEM Proyecto]]="","",SUMIFS(Sprint_Backlog[Puntos],Sprint_Backlog[Estado],"Terminada",Sprint_Backlog[Semana],Semanas_Proyecto[[#This Row],[SEM Proyecto]]))</f>
        <v/>
      </c>
      <c r="H32" s="15"/>
      <c r="I32" s="74" t="str">
        <f t="shared" si="0"/>
        <v/>
      </c>
      <c r="J32" s="91" t="str">
        <f>IF(EQU!C21="","",EQU!C21)</f>
        <v/>
      </c>
      <c r="K32" s="90" t="str">
        <f>IF(J32="","",SUMIFS(Sprint_Backlog[Puntos],Sprint_Backlog[Estado],"Terminada",Sprint_Backlog[Responsable],J32))</f>
        <v/>
      </c>
    </row>
    <row r="33" spans="3:14" ht="30" customHeight="1">
      <c r="C33" s="18">
        <f t="shared" si="1"/>
        <v>15</v>
      </c>
      <c r="D33" s="18" t="str">
        <f>IF(Semanas_Proyecto[[#This Row],[Ref.]]&gt;Duracion_Proyecto,"",Semanas_Proyecto[[#This Row],[Ref.]])</f>
        <v/>
      </c>
      <c r="E33" s="85" t="str">
        <f>IF(Semanas_Proyecto[[#This Row],[SEM Proyecto]]="","",$E$19-SUM($G$19:G32))</f>
        <v/>
      </c>
      <c r="F33" s="85" t="str">
        <f>IF(Semanas_Proyecto[[#This Row],[SEM Proyecto]]="","",SUMIF(Sprint_Backlog[Semana],Semanas_Proyecto[[#This Row],[SEM Proyecto]],Sprint_Backlog[Puntos]))</f>
        <v/>
      </c>
      <c r="G33" s="85" t="str">
        <f>IF(Semanas_Proyecto[[#This Row],[SEM Proyecto]]="","",SUMIFS(Sprint_Backlog[Puntos],Sprint_Backlog[Estado],"Terminada",Sprint_Backlog[Semana],Semanas_Proyecto[[#This Row],[SEM Proyecto]]))</f>
        <v/>
      </c>
      <c r="H33" s="15"/>
      <c r="I33" s="74" t="str">
        <f t="shared" si="0"/>
        <v/>
      </c>
      <c r="J33" s="91" t="str">
        <f>IF(EQU!C22="","",EQU!C22)</f>
        <v/>
      </c>
      <c r="K33" s="90" t="str">
        <f>IF(J33="","",SUMIFS(Sprint_Backlog[Puntos],Sprint_Backlog[Estado],"Terminada",Sprint_Backlog[Responsable],J33))</f>
        <v/>
      </c>
      <c r="M33" s="15"/>
      <c r="N33" s="15"/>
    </row>
    <row r="34" spans="3:14" ht="30" customHeight="1">
      <c r="C34" s="18">
        <f t="shared" si="1"/>
        <v>16</v>
      </c>
      <c r="D34" s="18" t="str">
        <f>IF(Semanas_Proyecto[[#This Row],[Ref.]]&gt;Duracion_Proyecto,"",Semanas_Proyecto[[#This Row],[Ref.]])</f>
        <v/>
      </c>
      <c r="E34" s="85" t="str">
        <f>IF(Semanas_Proyecto[[#This Row],[SEM Proyecto]]="","",$E$19-SUM($G$19:G33))</f>
        <v/>
      </c>
      <c r="F34" s="85" t="str">
        <f>IF(Semanas_Proyecto[[#This Row],[SEM Proyecto]]="","",SUMIF(Sprint_Backlog[Semana],Semanas_Proyecto[[#This Row],[SEM Proyecto]],Sprint_Backlog[Puntos]))</f>
        <v/>
      </c>
      <c r="G34" s="85" t="str">
        <f>IF(Semanas_Proyecto[[#This Row],[SEM Proyecto]]="","",SUMIFS(Sprint_Backlog[Puntos],Sprint_Backlog[Estado],"Terminada",Sprint_Backlog[Semana],Semanas_Proyecto[[#This Row],[SEM Proyecto]]))</f>
        <v/>
      </c>
      <c r="H34" s="15"/>
      <c r="I34" s="74" t="str">
        <f t="shared" si="0"/>
        <v/>
      </c>
      <c r="J34" s="91" t="str">
        <f>IF(EQU!C23="","",EQU!C23)</f>
        <v/>
      </c>
      <c r="K34" s="90" t="str">
        <f>IF(J34="","",SUMIFS(Sprint_Backlog[Puntos],Sprint_Backlog[Estado],"Terminada",Sprint_Backlog[Responsable],J34))</f>
        <v/>
      </c>
    </row>
    <row r="35" spans="3:14" ht="30" customHeight="1">
      <c r="C35" s="18">
        <f t="shared" si="1"/>
        <v>17</v>
      </c>
      <c r="D35" s="18" t="str">
        <f>IF(Semanas_Proyecto[[#This Row],[Ref.]]&gt;Duracion_Proyecto,"",Semanas_Proyecto[[#This Row],[Ref.]])</f>
        <v/>
      </c>
      <c r="E35" s="85" t="str">
        <f>IF(Semanas_Proyecto[[#This Row],[SEM Proyecto]]="","",$E$19-SUM($G$19:G34))</f>
        <v/>
      </c>
      <c r="F35" s="85" t="str">
        <f>IF(Semanas_Proyecto[[#This Row],[SEM Proyecto]]="","",SUMIF(Sprint_Backlog[Semana],Semanas_Proyecto[[#This Row],[SEM Proyecto]],Sprint_Backlog[Puntos]))</f>
        <v/>
      </c>
      <c r="G35" s="85" t="str">
        <f>IF(Semanas_Proyecto[[#This Row],[SEM Proyecto]]="","",SUMIFS(Sprint_Backlog[Puntos],Sprint_Backlog[Estado],"Terminada",Sprint_Backlog[Semana],Semanas_Proyecto[[#This Row],[SEM Proyecto]]))</f>
        <v/>
      </c>
      <c r="H35" s="15"/>
      <c r="I35" s="74" t="str">
        <f t="shared" si="0"/>
        <v/>
      </c>
      <c r="J35" s="91" t="str">
        <f>IF(EQU!C24="","",EQU!C24)</f>
        <v/>
      </c>
      <c r="K35" s="90" t="str">
        <f>IF(J35="","",SUMIFS(Sprint_Backlog[Puntos],Sprint_Backlog[Estado],"Terminada",Sprint_Backlog[Responsable],J35))</f>
        <v/>
      </c>
      <c r="M35" s="15"/>
      <c r="N35" s="15"/>
    </row>
    <row r="36" spans="3:14" ht="30" customHeight="1">
      <c r="C36" s="18">
        <f t="shared" si="1"/>
        <v>18</v>
      </c>
      <c r="D36" s="18" t="str">
        <f>IF(Semanas_Proyecto[[#This Row],[Ref.]]&gt;Duracion_Proyecto,"",Semanas_Proyecto[[#This Row],[Ref.]])</f>
        <v/>
      </c>
      <c r="E36" s="85" t="str">
        <f>IF(Semanas_Proyecto[[#This Row],[SEM Proyecto]]="","",$E$19-SUM($G$19:G35))</f>
        <v/>
      </c>
      <c r="F36" s="85" t="str">
        <f>IF(Semanas_Proyecto[[#This Row],[SEM Proyecto]]="","",SUMIF(Sprint_Backlog[Semana],Semanas_Proyecto[[#This Row],[SEM Proyecto]],Sprint_Backlog[Puntos]))</f>
        <v/>
      </c>
      <c r="G36" s="85" t="str">
        <f>IF(Semanas_Proyecto[[#This Row],[SEM Proyecto]]="","",SUMIFS(Sprint_Backlog[Puntos],Sprint_Backlog[Estado],"Terminada",Sprint_Backlog[Semana],Semanas_Proyecto[[#This Row],[SEM Proyecto]]))</f>
        <v/>
      </c>
      <c r="H36" s="15"/>
      <c r="I36" s="74" t="str">
        <f t="shared" si="0"/>
        <v/>
      </c>
      <c r="J36" s="91" t="str">
        <f>IF(EQU!C25="","",EQU!C25)</f>
        <v/>
      </c>
      <c r="K36" s="90" t="str">
        <f>IF(J36="","",SUMIFS(Sprint_Backlog[Puntos],Sprint_Backlog[Estado],"Terminada",Sprint_Backlog[Responsable],J36))</f>
        <v/>
      </c>
    </row>
    <row r="37" spans="3:14" ht="30" customHeight="1">
      <c r="C37" s="18">
        <f t="shared" si="1"/>
        <v>19</v>
      </c>
      <c r="D37" s="18" t="str">
        <f>IF(Semanas_Proyecto[[#This Row],[Ref.]]&gt;Duracion_Proyecto,"",Semanas_Proyecto[[#This Row],[Ref.]])</f>
        <v/>
      </c>
      <c r="E37" s="85" t="str">
        <f>IF(Semanas_Proyecto[[#This Row],[SEM Proyecto]]="","",$E$19-SUM($G$19:G36))</f>
        <v/>
      </c>
      <c r="F37" s="85" t="str">
        <f>IF(Semanas_Proyecto[[#This Row],[SEM Proyecto]]="","",SUMIF(Sprint_Backlog[Semana],Semanas_Proyecto[[#This Row],[SEM Proyecto]],Sprint_Backlog[Puntos]))</f>
        <v/>
      </c>
      <c r="G37" s="85" t="str">
        <f>IF(Semanas_Proyecto[[#This Row],[SEM Proyecto]]="","",SUMIFS(Sprint_Backlog[Puntos],Sprint_Backlog[Estado],"Terminada",Sprint_Backlog[Semana],Semanas_Proyecto[[#This Row],[SEM Proyecto]]))</f>
        <v/>
      </c>
      <c r="H37" s="15"/>
      <c r="I37" s="74" t="str">
        <f t="shared" si="0"/>
        <v/>
      </c>
      <c r="J37" s="91" t="str">
        <f>IF(EQU!C26="","",EQU!C26)</f>
        <v/>
      </c>
      <c r="K37" s="90" t="str">
        <f>IF(J37="","",SUMIFS(Sprint_Backlog[Puntos],Sprint_Backlog[Estado],"Terminada",Sprint_Backlog[Responsable],J37))</f>
        <v/>
      </c>
      <c r="M37" s="15"/>
      <c r="N37" s="15"/>
    </row>
    <row r="38" spans="3:14" ht="30" customHeight="1">
      <c r="C38" s="18">
        <f t="shared" si="1"/>
        <v>20</v>
      </c>
      <c r="D38" s="18" t="str">
        <f>IF(Semanas_Proyecto[[#This Row],[Ref.]]&gt;Duracion_Proyecto,"",Semanas_Proyecto[[#This Row],[Ref.]])</f>
        <v/>
      </c>
      <c r="E38" s="85" t="str">
        <f>IF(Semanas_Proyecto[[#This Row],[SEM Proyecto]]="","",$E$19-SUM($G$19:G37))</f>
        <v/>
      </c>
      <c r="F38" s="85" t="str">
        <f>IF(Semanas_Proyecto[[#This Row],[SEM Proyecto]]="","",SUMIF(Sprint_Backlog[Semana],Semanas_Proyecto[[#This Row],[SEM Proyecto]],Sprint_Backlog[Puntos]))</f>
        <v/>
      </c>
      <c r="G38" s="85" t="str">
        <f>IF(Semanas_Proyecto[[#This Row],[SEM Proyecto]]="","",SUMIFS(Sprint_Backlog[Puntos],Sprint_Backlog[Estado],"Terminada",Sprint_Backlog[Semana],Semanas_Proyecto[[#This Row],[SEM Proyecto]]))</f>
        <v/>
      </c>
      <c r="H38" s="15"/>
      <c r="I38" s="74" t="str">
        <f t="shared" si="0"/>
        <v/>
      </c>
      <c r="J38" s="91" t="str">
        <f>IF(EQU!C27="","",EQU!C27)</f>
        <v/>
      </c>
      <c r="K38" s="90" t="str">
        <f>IF(J38="","",SUMIFS(Sprint_Backlog[Puntos],Sprint_Backlog[Estado],"Terminada",Sprint_Backlog[Responsable],J38))</f>
        <v/>
      </c>
    </row>
    <row r="39" spans="3:14" ht="30" customHeight="1">
      <c r="C39" s="18">
        <f t="shared" si="1"/>
        <v>21</v>
      </c>
      <c r="D39" s="18" t="str">
        <f>IF(Semanas_Proyecto[[#This Row],[Ref.]]&gt;Duracion_Proyecto,"",Semanas_Proyecto[[#This Row],[Ref.]])</f>
        <v/>
      </c>
      <c r="E39" s="85" t="str">
        <f>IF(Semanas_Proyecto[[#This Row],[SEM Proyecto]]="","",$E$19-SUM($G$19:G38))</f>
        <v/>
      </c>
      <c r="F39" s="85" t="str">
        <f>IF(Semanas_Proyecto[[#This Row],[SEM Proyecto]]="","",SUMIF(Sprint_Backlog[Semana],Semanas_Proyecto[[#This Row],[SEM Proyecto]],Sprint_Backlog[Puntos]))</f>
        <v/>
      </c>
      <c r="G39" s="85" t="str">
        <f>IF(Semanas_Proyecto[[#This Row],[SEM Proyecto]]="","",SUMIFS(Sprint_Backlog[Puntos],Sprint_Backlog[Estado],"Terminada",Sprint_Backlog[Semana],Semanas_Proyecto[[#This Row],[SEM Proyecto]]))</f>
        <v/>
      </c>
      <c r="H39" s="15"/>
      <c r="I39" s="74" t="str">
        <f t="shared" si="0"/>
        <v/>
      </c>
      <c r="J39" s="91" t="str">
        <f>IF(EQU!C28="","",EQU!C28)</f>
        <v/>
      </c>
      <c r="K39" s="90" t="str">
        <f>IF(J39="","",SUMIFS(Sprint_Backlog[Puntos],Sprint_Backlog[Estado],"Terminada",Sprint_Backlog[Responsable],J39))</f>
        <v/>
      </c>
      <c r="M39" s="15"/>
      <c r="N39" s="15"/>
    </row>
    <row r="40" spans="3:14" ht="30" customHeight="1">
      <c r="C40" s="18">
        <f t="shared" si="1"/>
        <v>22</v>
      </c>
      <c r="D40" s="18" t="str">
        <f>IF(Semanas_Proyecto[[#This Row],[Ref.]]&gt;Duracion_Proyecto,"",Semanas_Proyecto[[#This Row],[Ref.]])</f>
        <v/>
      </c>
      <c r="E40" s="85" t="str">
        <f>IF(Semanas_Proyecto[[#This Row],[SEM Proyecto]]="","",$E$19-SUM($G$19:G39))</f>
        <v/>
      </c>
      <c r="F40" s="85" t="str">
        <f>IF(Semanas_Proyecto[[#This Row],[SEM Proyecto]]="","",SUMIF(Sprint_Backlog[Semana],Semanas_Proyecto[[#This Row],[SEM Proyecto]],Sprint_Backlog[Puntos]))</f>
        <v/>
      </c>
      <c r="G40" s="85" t="str">
        <f>IF(Semanas_Proyecto[[#This Row],[SEM Proyecto]]="","",SUMIFS(Sprint_Backlog[Puntos],Sprint_Backlog[Estado],"Terminada",Sprint_Backlog[Semana],Semanas_Proyecto[[#This Row],[SEM Proyecto]]))</f>
        <v/>
      </c>
      <c r="H40" s="15"/>
      <c r="I40" s="74" t="str">
        <f t="shared" si="0"/>
        <v/>
      </c>
      <c r="J40" s="91" t="str">
        <f>IF(EQU!C29="","",EQU!C29)</f>
        <v/>
      </c>
      <c r="K40" s="90" t="str">
        <f>IF(J40="","",SUMIFS(Sprint_Backlog[Puntos],Sprint_Backlog[Estado],"Terminada",Sprint_Backlog[Responsable],J40))</f>
        <v/>
      </c>
    </row>
    <row r="41" spans="3:14" ht="30" customHeight="1">
      <c r="C41" s="18">
        <f t="shared" si="1"/>
        <v>23</v>
      </c>
      <c r="D41" s="18" t="str">
        <f>IF(Semanas_Proyecto[[#This Row],[Ref.]]&gt;Duracion_Proyecto,"",Semanas_Proyecto[[#This Row],[Ref.]])</f>
        <v/>
      </c>
      <c r="E41" s="85" t="str">
        <f>IF(Semanas_Proyecto[[#This Row],[SEM Proyecto]]="","",$E$19-SUM($G$19:G40))</f>
        <v/>
      </c>
      <c r="F41" s="85" t="str">
        <f>IF(Semanas_Proyecto[[#This Row],[SEM Proyecto]]="","",SUMIF(Sprint_Backlog[Semana],Semanas_Proyecto[[#This Row],[SEM Proyecto]],Sprint_Backlog[Puntos]))</f>
        <v/>
      </c>
      <c r="G41" s="85" t="str">
        <f>IF(Semanas_Proyecto[[#This Row],[SEM Proyecto]]="","",SUMIFS(Sprint_Backlog[Puntos],Sprint_Backlog[Estado],"Terminada",Sprint_Backlog[Semana],Semanas_Proyecto[[#This Row],[SEM Proyecto]]))</f>
        <v/>
      </c>
      <c r="H41" s="15"/>
      <c r="I41" s="74" t="str">
        <f t="shared" si="0"/>
        <v/>
      </c>
      <c r="J41" s="91" t="str">
        <f>IF(EQU!C30="","",EQU!C30)</f>
        <v/>
      </c>
      <c r="K41" s="90" t="str">
        <f>IF(J41="","",SUMIFS(Sprint_Backlog[Puntos],Sprint_Backlog[Estado],"Terminada",Sprint_Backlog[Responsable],J41))</f>
        <v/>
      </c>
      <c r="M41" s="15"/>
      <c r="N41" s="15"/>
    </row>
    <row r="42" spans="3:14" ht="30" customHeight="1">
      <c r="C42" s="18">
        <f t="shared" si="1"/>
        <v>24</v>
      </c>
      <c r="D42" s="18" t="str">
        <f>IF(Semanas_Proyecto[[#This Row],[Ref.]]&gt;Duracion_Proyecto,"",Semanas_Proyecto[[#This Row],[Ref.]])</f>
        <v/>
      </c>
      <c r="E42" s="85" t="str">
        <f>IF(Semanas_Proyecto[[#This Row],[SEM Proyecto]]="","",$E$19-SUM($G$19:G41))</f>
        <v/>
      </c>
      <c r="F42" s="85" t="str">
        <f>IF(Semanas_Proyecto[[#This Row],[SEM Proyecto]]="","",SUMIF(Sprint_Backlog[Semana],Semanas_Proyecto[[#This Row],[SEM Proyecto]],Sprint_Backlog[Puntos]))</f>
        <v/>
      </c>
      <c r="G42" s="85" t="str">
        <f>IF(Semanas_Proyecto[[#This Row],[SEM Proyecto]]="","",SUMIFS(Sprint_Backlog[Puntos],Sprint_Backlog[Estado],"Terminada",Sprint_Backlog[Semana],Semanas_Proyecto[[#This Row],[SEM Proyecto]]))</f>
        <v/>
      </c>
      <c r="H42" s="15"/>
      <c r="I42" s="74" t="str">
        <f t="shared" si="0"/>
        <v/>
      </c>
      <c r="J42" s="91" t="str">
        <f>IF(EQU!C31="","",EQU!C31)</f>
        <v/>
      </c>
      <c r="K42" s="90" t="str">
        <f>IF(J42="","",SUMIFS(Sprint_Backlog[Puntos],Sprint_Backlog[Estado],"Terminada",Sprint_Backlog[Responsable],J42))</f>
        <v/>
      </c>
    </row>
    <row r="43" spans="3:14" ht="30" customHeight="1">
      <c r="C43" s="18">
        <f t="shared" si="1"/>
        <v>25</v>
      </c>
      <c r="D43" s="18" t="str">
        <f>IF(Semanas_Proyecto[[#This Row],[Ref.]]&gt;Duracion_Proyecto,"",Semanas_Proyecto[[#This Row],[Ref.]])</f>
        <v/>
      </c>
      <c r="E43" s="85" t="str">
        <f>IF(Semanas_Proyecto[[#This Row],[SEM Proyecto]]="","",$E$19-SUM($G$19:G42))</f>
        <v/>
      </c>
      <c r="F43" s="85" t="str">
        <f>IF(Semanas_Proyecto[[#This Row],[SEM Proyecto]]="","",SUMIF(Sprint_Backlog[Semana],Semanas_Proyecto[[#This Row],[SEM Proyecto]],Sprint_Backlog[Puntos]))</f>
        <v/>
      </c>
      <c r="G43" s="85" t="str">
        <f>IF(Semanas_Proyecto[[#This Row],[SEM Proyecto]]="","",SUMIFS(Sprint_Backlog[Puntos],Sprint_Backlog[Estado],"Terminada",Sprint_Backlog[Semana],Semanas_Proyecto[[#This Row],[SEM Proyecto]]))</f>
        <v/>
      </c>
      <c r="H43" s="15"/>
      <c r="I43" s="74" t="str">
        <f t="shared" si="0"/>
        <v/>
      </c>
      <c r="J43" s="91" t="str">
        <f>IF(EQU!C32="","",EQU!C32)</f>
        <v/>
      </c>
      <c r="K43" s="90" t="str">
        <f>IF(J43="","",SUMIFS(Sprint_Backlog[Puntos],Sprint_Backlog[Estado],"Terminada",Sprint_Backlog[Responsable],J43))</f>
        <v/>
      </c>
      <c r="M43" s="15"/>
      <c r="N43" s="15"/>
    </row>
    <row r="44" spans="3:14" ht="30" customHeight="1">
      <c r="C44" s="18">
        <f t="shared" si="1"/>
        <v>26</v>
      </c>
      <c r="D44" s="18" t="str">
        <f>IF(Semanas_Proyecto[[#This Row],[Ref.]]&gt;Duracion_Proyecto,"",Semanas_Proyecto[[#This Row],[Ref.]])</f>
        <v/>
      </c>
      <c r="E44" s="85" t="str">
        <f>IF(Semanas_Proyecto[[#This Row],[SEM Proyecto]]="","",$E$19-SUM($G$19:G43))</f>
        <v/>
      </c>
      <c r="F44" s="85" t="str">
        <f>IF(Semanas_Proyecto[[#This Row],[SEM Proyecto]]="","",SUMIF(Sprint_Backlog[Semana],Semanas_Proyecto[[#This Row],[SEM Proyecto]],Sprint_Backlog[Puntos]))</f>
        <v/>
      </c>
      <c r="G44" s="85" t="str">
        <f>IF(Semanas_Proyecto[[#This Row],[SEM Proyecto]]="","",SUMIFS(Sprint_Backlog[Puntos],Sprint_Backlog[Estado],"Terminada",Sprint_Backlog[Semana],Semanas_Proyecto[[#This Row],[SEM Proyecto]]))</f>
        <v/>
      </c>
      <c r="H44" s="15"/>
      <c r="I44" s="74" t="str">
        <f t="shared" si="0"/>
        <v/>
      </c>
      <c r="J44" s="91" t="str">
        <f>IF(EQU!C33="","",EQU!C33)</f>
        <v/>
      </c>
      <c r="K44" s="90" t="str">
        <f>IF(J44="","",SUMIFS(Sprint_Backlog[Puntos],Sprint_Backlog[Estado],"Terminada",Sprint_Backlog[Responsable],J44))</f>
        <v/>
      </c>
    </row>
    <row r="45" spans="3:14" ht="30" customHeight="1">
      <c r="C45" s="18">
        <f t="shared" si="1"/>
        <v>27</v>
      </c>
      <c r="D45" s="18" t="str">
        <f>IF(Semanas_Proyecto[[#This Row],[Ref.]]&gt;Duracion_Proyecto,"",Semanas_Proyecto[[#This Row],[Ref.]])</f>
        <v/>
      </c>
      <c r="E45" s="85" t="str">
        <f>IF(Semanas_Proyecto[[#This Row],[SEM Proyecto]]="","",$E$19-SUM($G$19:G44))</f>
        <v/>
      </c>
      <c r="F45" s="85" t="str">
        <f>IF(Semanas_Proyecto[[#This Row],[SEM Proyecto]]="","",SUMIF(Sprint_Backlog[Semana],Semanas_Proyecto[[#This Row],[SEM Proyecto]],Sprint_Backlog[Puntos]))</f>
        <v/>
      </c>
      <c r="G45" s="85" t="str">
        <f>IF(Semanas_Proyecto[[#This Row],[SEM Proyecto]]="","",SUMIFS(Sprint_Backlog[Puntos],Sprint_Backlog[Estado],"Terminada",Sprint_Backlog[Semana],Semanas_Proyecto[[#This Row],[SEM Proyecto]]))</f>
        <v/>
      </c>
      <c r="H45" s="15"/>
      <c r="I45" s="74" t="str">
        <f t="shared" si="0"/>
        <v/>
      </c>
      <c r="J45" s="91" t="str">
        <f>IF(EQU!C34="","",EQU!C34)</f>
        <v/>
      </c>
      <c r="K45" s="90" t="str">
        <f>IF(J45="","",SUMIFS(Sprint_Backlog[Puntos],Sprint_Backlog[Estado],"Terminada",Sprint_Backlog[Responsable],J45))</f>
        <v/>
      </c>
      <c r="M45" s="15"/>
      <c r="N45" s="15"/>
    </row>
    <row r="46" spans="3:14" ht="30" customHeight="1">
      <c r="C46" s="18">
        <f t="shared" si="1"/>
        <v>28</v>
      </c>
      <c r="D46" s="18" t="str">
        <f>IF(Semanas_Proyecto[[#This Row],[Ref.]]&gt;Duracion_Proyecto,"",Semanas_Proyecto[[#This Row],[Ref.]])</f>
        <v/>
      </c>
      <c r="E46" s="85" t="str">
        <f>IF(Semanas_Proyecto[[#This Row],[SEM Proyecto]]="","",$E$19-SUM($G$19:G45))</f>
        <v/>
      </c>
      <c r="F46" s="85" t="str">
        <f>IF(Semanas_Proyecto[[#This Row],[SEM Proyecto]]="","",SUMIF(Sprint_Backlog[Semana],Semanas_Proyecto[[#This Row],[SEM Proyecto]],Sprint_Backlog[Puntos]))</f>
        <v/>
      </c>
      <c r="G46" s="85" t="str">
        <f>IF(Semanas_Proyecto[[#This Row],[SEM Proyecto]]="","",SUMIFS(Sprint_Backlog[Puntos],Sprint_Backlog[Estado],"Terminada",Sprint_Backlog[Semana],Semanas_Proyecto[[#This Row],[SEM Proyecto]]))</f>
        <v/>
      </c>
      <c r="H46" s="15"/>
      <c r="I46" s="74" t="str">
        <f t="shared" si="0"/>
        <v/>
      </c>
      <c r="J46" s="91" t="str">
        <f>IF(EQU!C35="","",EQU!C35)</f>
        <v/>
      </c>
      <c r="K46" s="90" t="str">
        <f>IF(J46="","",SUMIFS(Sprint_Backlog[Puntos],Sprint_Backlog[Estado],"Terminada",Sprint_Backlog[Responsable],J46))</f>
        <v/>
      </c>
    </row>
    <row r="47" spans="3:14" ht="30" customHeight="1">
      <c r="C47" s="18">
        <f t="shared" si="1"/>
        <v>29</v>
      </c>
      <c r="D47" s="18" t="str">
        <f>IF(Semanas_Proyecto[[#This Row],[Ref.]]&gt;Duracion_Proyecto,"",Semanas_Proyecto[[#This Row],[Ref.]])</f>
        <v/>
      </c>
      <c r="E47" s="85" t="str">
        <f>IF(Semanas_Proyecto[[#This Row],[SEM Proyecto]]="","",$E$19-SUM($G$19:G46))</f>
        <v/>
      </c>
      <c r="F47" s="85" t="str">
        <f>IF(Semanas_Proyecto[[#This Row],[SEM Proyecto]]="","",SUMIF(Sprint_Backlog[Semana],Semanas_Proyecto[[#This Row],[SEM Proyecto]],Sprint_Backlog[Puntos]))</f>
        <v/>
      </c>
      <c r="G47" s="85" t="str">
        <f>IF(Semanas_Proyecto[[#This Row],[SEM Proyecto]]="","",SUMIFS(Sprint_Backlog[Puntos],Sprint_Backlog[Estado],"Terminada",Sprint_Backlog[Semana],Semanas_Proyecto[[#This Row],[SEM Proyecto]]))</f>
        <v/>
      </c>
      <c r="H47" s="15"/>
      <c r="I47" s="74" t="str">
        <f t="shared" si="0"/>
        <v/>
      </c>
      <c r="J47" s="91" t="str">
        <f>IF(EQU!C36="","",EQU!C36)</f>
        <v/>
      </c>
      <c r="K47" s="90" t="str">
        <f>IF(J47="","",SUMIFS(Sprint_Backlog[Puntos],Sprint_Backlog[Estado],"Terminada",Sprint_Backlog[Responsable],J47))</f>
        <v/>
      </c>
      <c r="M47" s="15"/>
      <c r="N47" s="15"/>
    </row>
    <row r="48" spans="3:14" ht="30" customHeight="1">
      <c r="C48" s="18">
        <f t="shared" si="1"/>
        <v>30</v>
      </c>
      <c r="D48" s="18" t="str">
        <f>IF(Semanas_Proyecto[[#This Row],[Ref.]]&gt;Duracion_Proyecto,"",Semanas_Proyecto[[#This Row],[Ref.]])</f>
        <v/>
      </c>
      <c r="E48" s="85" t="str">
        <f>IF(Semanas_Proyecto[[#This Row],[SEM Proyecto]]="","",$E$19-SUM($G$19:G47))</f>
        <v/>
      </c>
      <c r="F48" s="85" t="str">
        <f>IF(Semanas_Proyecto[[#This Row],[SEM Proyecto]]="","",SUMIF(Sprint_Backlog[Semana],Semanas_Proyecto[[#This Row],[SEM Proyecto]],Sprint_Backlog[Puntos]))</f>
        <v/>
      </c>
      <c r="G48" s="85" t="str">
        <f>IF(Semanas_Proyecto[[#This Row],[SEM Proyecto]]="","",SUMIFS(Sprint_Backlog[Puntos],Sprint_Backlog[Estado],"Terminada",Sprint_Backlog[Semana],Semanas_Proyecto[[#This Row],[SEM Proyecto]]))</f>
        <v/>
      </c>
      <c r="H48" s="15"/>
      <c r="I48" s="74" t="str">
        <f t="shared" si="0"/>
        <v/>
      </c>
      <c r="J48" s="91" t="str">
        <f>IF(EQU!C37="","",EQU!C37)</f>
        <v/>
      </c>
      <c r="K48" s="90" t="str">
        <f>IF(J48="","",SUMIFS(Sprint_Backlog[Puntos],Sprint_Backlog[Estado],"Terminada",Sprint_Backlog[Responsable],J48))</f>
        <v/>
      </c>
    </row>
    <row r="49" spans="3:14" ht="30" customHeight="1">
      <c r="C49" s="18">
        <f t="shared" si="1"/>
        <v>31</v>
      </c>
      <c r="D49" s="18" t="str">
        <f>IF(Semanas_Proyecto[[#This Row],[Ref.]]&gt;Duracion_Proyecto,"",Semanas_Proyecto[[#This Row],[Ref.]])</f>
        <v/>
      </c>
      <c r="E49" s="85" t="str">
        <f>IF(Semanas_Proyecto[[#This Row],[SEM Proyecto]]="","",$E$19-SUM($G$19:G48))</f>
        <v/>
      </c>
      <c r="F49" s="85" t="str">
        <f>IF(Semanas_Proyecto[[#This Row],[SEM Proyecto]]="","",SUMIF(Sprint_Backlog[Semana],Semanas_Proyecto[[#This Row],[SEM Proyecto]],Sprint_Backlog[Puntos]))</f>
        <v/>
      </c>
      <c r="G49" s="85" t="str">
        <f>IF(Semanas_Proyecto[[#This Row],[SEM Proyecto]]="","",SUMIFS(Sprint_Backlog[Puntos],Sprint_Backlog[Estado],"Terminada",Sprint_Backlog[Semana],Semanas_Proyecto[[#This Row],[SEM Proyecto]]))</f>
        <v/>
      </c>
      <c r="H49" s="15"/>
      <c r="I49" s="74" t="str">
        <f t="shared" ref="I49:I65" si="2">IF(J49="","",I48+1)</f>
        <v/>
      </c>
      <c r="J49" s="91" t="str">
        <f>IF(EQU!C38="","",EQU!C38)</f>
        <v/>
      </c>
      <c r="K49" s="90" t="str">
        <f>IF(J49="","",SUMIFS(Sprint_Backlog[Puntos],Sprint_Backlog[Estado],"Terminada",Sprint_Backlog[Responsable],J49))</f>
        <v/>
      </c>
      <c r="M49" s="15"/>
      <c r="N49" s="15"/>
    </row>
    <row r="50" spans="3:14" ht="30" customHeight="1">
      <c r="C50" s="18">
        <f t="shared" si="1"/>
        <v>32</v>
      </c>
      <c r="D50" s="18" t="str">
        <f>IF(Semanas_Proyecto[[#This Row],[Ref.]]&gt;Duracion_Proyecto,"",Semanas_Proyecto[[#This Row],[Ref.]])</f>
        <v/>
      </c>
      <c r="E50" s="85" t="str">
        <f>IF(Semanas_Proyecto[[#This Row],[SEM Proyecto]]="","",$E$19-SUM($G$19:G49))</f>
        <v/>
      </c>
      <c r="F50" s="85" t="str">
        <f>IF(Semanas_Proyecto[[#This Row],[SEM Proyecto]]="","",SUMIF(Sprint_Backlog[Semana],Semanas_Proyecto[[#This Row],[SEM Proyecto]],Sprint_Backlog[Puntos]))</f>
        <v/>
      </c>
      <c r="G50" s="85" t="str">
        <f>IF(Semanas_Proyecto[[#This Row],[SEM Proyecto]]="","",SUMIFS(Sprint_Backlog[Puntos],Sprint_Backlog[Estado],"Terminada",Sprint_Backlog[Semana],Semanas_Proyecto[[#This Row],[SEM Proyecto]]))</f>
        <v/>
      </c>
      <c r="H50" s="15"/>
      <c r="I50" s="74" t="str">
        <f t="shared" si="2"/>
        <v/>
      </c>
      <c r="J50" s="91" t="str">
        <f>IF(EQU!C39="","",EQU!C39)</f>
        <v/>
      </c>
      <c r="K50" s="90" t="str">
        <f>IF(J50="","",SUMIFS(Sprint_Backlog[Puntos],Sprint_Backlog[Estado],"Terminada",Sprint_Backlog[Responsable],J50))</f>
        <v/>
      </c>
    </row>
    <row r="51" spans="3:14" ht="30" customHeight="1">
      <c r="C51" s="18">
        <f t="shared" si="1"/>
        <v>33</v>
      </c>
      <c r="D51" s="18" t="str">
        <f>IF(Semanas_Proyecto[[#This Row],[Ref.]]&gt;Duracion_Proyecto,"",Semanas_Proyecto[[#This Row],[Ref.]])</f>
        <v/>
      </c>
      <c r="E51" s="85" t="str">
        <f>IF(Semanas_Proyecto[[#This Row],[SEM Proyecto]]="","",$E$19-SUM($G$19:G50))</f>
        <v/>
      </c>
      <c r="F51" s="85" t="str">
        <f>IF(Semanas_Proyecto[[#This Row],[SEM Proyecto]]="","",SUMIF(Sprint_Backlog[Semana],Semanas_Proyecto[[#This Row],[SEM Proyecto]],Sprint_Backlog[Puntos]))</f>
        <v/>
      </c>
      <c r="G51" s="85" t="str">
        <f>IF(Semanas_Proyecto[[#This Row],[SEM Proyecto]]="","",SUMIFS(Sprint_Backlog[Puntos],Sprint_Backlog[Estado],"Terminada",Sprint_Backlog[Semana],Semanas_Proyecto[[#This Row],[SEM Proyecto]]))</f>
        <v/>
      </c>
      <c r="H51" s="15"/>
      <c r="I51" s="74" t="str">
        <f t="shared" si="2"/>
        <v/>
      </c>
      <c r="J51" s="91" t="str">
        <f>IF(EQU!C40="","",EQU!C40)</f>
        <v/>
      </c>
      <c r="K51" s="90" t="str">
        <f>IF(J51="","",SUMIFS(Sprint_Backlog[Puntos],Sprint_Backlog[Estado],"Terminada",Sprint_Backlog[Responsable],J51))</f>
        <v/>
      </c>
      <c r="M51" s="15"/>
      <c r="N51" s="15"/>
    </row>
    <row r="52" spans="3:14" ht="30" customHeight="1">
      <c r="C52" s="18">
        <f t="shared" si="1"/>
        <v>34</v>
      </c>
      <c r="D52" s="18" t="str">
        <f>IF(Semanas_Proyecto[[#This Row],[Ref.]]&gt;Duracion_Proyecto,"",Semanas_Proyecto[[#This Row],[Ref.]])</f>
        <v/>
      </c>
      <c r="E52" s="85" t="str">
        <f>IF(Semanas_Proyecto[[#This Row],[SEM Proyecto]]="","",$E$19-SUM($G$19:G51))</f>
        <v/>
      </c>
      <c r="F52" s="85" t="str">
        <f>IF(Semanas_Proyecto[[#This Row],[SEM Proyecto]]="","",SUMIF(Sprint_Backlog[Semana],Semanas_Proyecto[[#This Row],[SEM Proyecto]],Sprint_Backlog[Puntos]))</f>
        <v/>
      </c>
      <c r="G52" s="85" t="str">
        <f>IF(Semanas_Proyecto[[#This Row],[SEM Proyecto]]="","",SUMIFS(Sprint_Backlog[Puntos],Sprint_Backlog[Estado],"Terminada",Sprint_Backlog[Semana],Semanas_Proyecto[[#This Row],[SEM Proyecto]]))</f>
        <v/>
      </c>
      <c r="H52" s="15"/>
      <c r="I52" s="74" t="str">
        <f t="shared" si="2"/>
        <v/>
      </c>
      <c r="J52" s="91" t="str">
        <f>IF(EQU!C41="","",EQU!C41)</f>
        <v/>
      </c>
      <c r="K52" s="90" t="str">
        <f>IF(J52="","",SUMIFS(Sprint_Backlog[Puntos],Sprint_Backlog[Estado],"Terminada",Sprint_Backlog[Responsable],J52))</f>
        <v/>
      </c>
    </row>
    <row r="53" spans="3:14" ht="30" customHeight="1">
      <c r="C53" s="18">
        <f t="shared" si="1"/>
        <v>35</v>
      </c>
      <c r="D53" s="18" t="str">
        <f>IF(Semanas_Proyecto[[#This Row],[Ref.]]&gt;Duracion_Proyecto,"",Semanas_Proyecto[[#This Row],[Ref.]])</f>
        <v/>
      </c>
      <c r="E53" s="85" t="str">
        <f>IF(Semanas_Proyecto[[#This Row],[SEM Proyecto]]="","",$E$19-SUM($G$19:G52))</f>
        <v/>
      </c>
      <c r="F53" s="85" t="str">
        <f>IF(Semanas_Proyecto[[#This Row],[SEM Proyecto]]="","",SUMIF(Sprint_Backlog[Semana],Semanas_Proyecto[[#This Row],[SEM Proyecto]],Sprint_Backlog[Puntos]))</f>
        <v/>
      </c>
      <c r="G53" s="85" t="str">
        <f>IF(Semanas_Proyecto[[#This Row],[SEM Proyecto]]="","",SUMIFS(Sprint_Backlog[Puntos],Sprint_Backlog[Estado],"Terminada",Sprint_Backlog[Semana],Semanas_Proyecto[[#This Row],[SEM Proyecto]]))</f>
        <v/>
      </c>
      <c r="H53" s="15"/>
      <c r="I53" s="74" t="str">
        <f t="shared" si="2"/>
        <v/>
      </c>
      <c r="J53" s="91" t="str">
        <f>IF(EQU!C42="","",EQU!C42)</f>
        <v/>
      </c>
      <c r="K53" s="90" t="str">
        <f>IF(J53="","",SUMIFS(Sprint_Backlog[Puntos],Sprint_Backlog[Estado],"Terminada",Sprint_Backlog[Responsable],J53))</f>
        <v/>
      </c>
      <c r="M53" s="15"/>
      <c r="N53" s="15"/>
    </row>
    <row r="54" spans="3:14" ht="30" customHeight="1">
      <c r="C54" s="18">
        <f t="shared" si="1"/>
        <v>36</v>
      </c>
      <c r="D54" s="18" t="str">
        <f>IF(Semanas_Proyecto[[#This Row],[Ref.]]&gt;Duracion_Proyecto,"",Semanas_Proyecto[[#This Row],[Ref.]])</f>
        <v/>
      </c>
      <c r="E54" s="85" t="str">
        <f>IF(Semanas_Proyecto[[#This Row],[SEM Proyecto]]="","",$E$19-SUM($G$19:G53))</f>
        <v/>
      </c>
      <c r="F54" s="85" t="str">
        <f>IF(Semanas_Proyecto[[#This Row],[SEM Proyecto]]="","",SUMIF(Sprint_Backlog[Semana],Semanas_Proyecto[[#This Row],[SEM Proyecto]],Sprint_Backlog[Puntos]))</f>
        <v/>
      </c>
      <c r="G54" s="85" t="str">
        <f>IF(Semanas_Proyecto[[#This Row],[SEM Proyecto]]="","",SUMIFS(Sprint_Backlog[Puntos],Sprint_Backlog[Estado],"Terminada",Sprint_Backlog[Semana],Semanas_Proyecto[[#This Row],[SEM Proyecto]]))</f>
        <v/>
      </c>
      <c r="H54" s="15"/>
      <c r="I54" s="74" t="str">
        <f t="shared" si="2"/>
        <v/>
      </c>
      <c r="J54" s="91" t="str">
        <f>IF(EQU!C43="","",EQU!C43)</f>
        <v/>
      </c>
      <c r="K54" s="90" t="str">
        <f>IF(J54="","",SUMIFS(Sprint_Backlog[Puntos],Sprint_Backlog[Estado],"Terminada",Sprint_Backlog[Responsable],J54))</f>
        <v/>
      </c>
    </row>
    <row r="55" spans="3:14" ht="30" customHeight="1">
      <c r="C55" s="18">
        <f t="shared" si="1"/>
        <v>37</v>
      </c>
      <c r="D55" s="18" t="str">
        <f>IF(Semanas_Proyecto[[#This Row],[Ref.]]&gt;Duracion_Proyecto,"",Semanas_Proyecto[[#This Row],[Ref.]])</f>
        <v/>
      </c>
      <c r="E55" s="85" t="str">
        <f>IF(Semanas_Proyecto[[#This Row],[SEM Proyecto]]="","",$E$19-SUM($G$19:G54))</f>
        <v/>
      </c>
      <c r="F55" s="85" t="str">
        <f>IF(Semanas_Proyecto[[#This Row],[SEM Proyecto]]="","",SUMIF(Sprint_Backlog[Semana],Semanas_Proyecto[[#This Row],[SEM Proyecto]],Sprint_Backlog[Puntos]))</f>
        <v/>
      </c>
      <c r="G55" s="85" t="str">
        <f>IF(Semanas_Proyecto[[#This Row],[SEM Proyecto]]="","",SUMIFS(Sprint_Backlog[Puntos],Sprint_Backlog[Estado],"Terminada",Sprint_Backlog[Semana],Semanas_Proyecto[[#This Row],[SEM Proyecto]]))</f>
        <v/>
      </c>
      <c r="H55" s="15"/>
      <c r="I55" s="74" t="str">
        <f t="shared" si="2"/>
        <v/>
      </c>
      <c r="J55" s="91" t="str">
        <f>IF(EQU!C44="","",EQU!C44)</f>
        <v/>
      </c>
      <c r="K55" s="90" t="str">
        <f>IF(J55="","",SUMIFS(Sprint_Backlog[Puntos],Sprint_Backlog[Estado],"Terminada",Sprint_Backlog[Responsable],J55))</f>
        <v/>
      </c>
      <c r="M55" s="15"/>
      <c r="N55" s="15"/>
    </row>
    <row r="56" spans="3:14" ht="30" customHeight="1">
      <c r="C56" s="18">
        <f t="shared" si="1"/>
        <v>38</v>
      </c>
      <c r="D56" s="18" t="str">
        <f>IF(Semanas_Proyecto[[#This Row],[Ref.]]&gt;Duracion_Proyecto,"",Semanas_Proyecto[[#This Row],[Ref.]])</f>
        <v/>
      </c>
      <c r="E56" s="85" t="str">
        <f>IF(Semanas_Proyecto[[#This Row],[SEM Proyecto]]="","",$E$19-SUM($G$19:G55))</f>
        <v/>
      </c>
      <c r="F56" s="85" t="str">
        <f>IF(Semanas_Proyecto[[#This Row],[SEM Proyecto]]="","",SUMIF(Sprint_Backlog[Semana],Semanas_Proyecto[[#This Row],[SEM Proyecto]],Sprint_Backlog[Puntos]))</f>
        <v/>
      </c>
      <c r="G56" s="85" t="str">
        <f>IF(Semanas_Proyecto[[#This Row],[SEM Proyecto]]="","",SUMIFS(Sprint_Backlog[Puntos],Sprint_Backlog[Estado],"Terminada",Sprint_Backlog[Semana],Semanas_Proyecto[[#This Row],[SEM Proyecto]]))</f>
        <v/>
      </c>
      <c r="H56" s="15"/>
      <c r="I56" s="74" t="str">
        <f t="shared" si="2"/>
        <v/>
      </c>
      <c r="J56" s="91" t="str">
        <f>IF(EQU!C45="","",EQU!C45)</f>
        <v/>
      </c>
      <c r="K56" s="90" t="str">
        <f>IF(J56="","",SUMIFS(Sprint_Backlog[Puntos],Sprint_Backlog[Estado],"Terminada",Sprint_Backlog[Responsable],J56))</f>
        <v/>
      </c>
    </row>
    <row r="57" spans="3:14" ht="30" customHeight="1">
      <c r="C57" s="18">
        <f t="shared" si="1"/>
        <v>39</v>
      </c>
      <c r="D57" s="18" t="str">
        <f>IF(Semanas_Proyecto[[#This Row],[Ref.]]&gt;Duracion_Proyecto,"",Semanas_Proyecto[[#This Row],[Ref.]])</f>
        <v/>
      </c>
      <c r="E57" s="85" t="str">
        <f>IF(Semanas_Proyecto[[#This Row],[SEM Proyecto]]="","",$E$19-SUM($G$19:G56))</f>
        <v/>
      </c>
      <c r="F57" s="85" t="str">
        <f>IF(Semanas_Proyecto[[#This Row],[SEM Proyecto]]="","",SUMIF(Sprint_Backlog[Semana],Semanas_Proyecto[[#This Row],[SEM Proyecto]],Sprint_Backlog[Puntos]))</f>
        <v/>
      </c>
      <c r="G57" s="85" t="str">
        <f>IF(Semanas_Proyecto[[#This Row],[SEM Proyecto]]="","",SUMIFS(Sprint_Backlog[Puntos],Sprint_Backlog[Estado],"Terminada",Sprint_Backlog[Semana],Semanas_Proyecto[[#This Row],[SEM Proyecto]]))</f>
        <v/>
      </c>
      <c r="H57" s="15"/>
      <c r="I57" s="74" t="str">
        <f t="shared" si="2"/>
        <v/>
      </c>
      <c r="J57" s="91" t="str">
        <f>IF(EQU!C46="","",EQU!C46)</f>
        <v/>
      </c>
      <c r="K57" s="90" t="str">
        <f>IF(J57="","",SUMIFS(Sprint_Backlog[Puntos],Sprint_Backlog[Estado],"Terminada",Sprint_Backlog[Responsable],J57))</f>
        <v/>
      </c>
      <c r="M57" s="15"/>
      <c r="N57" s="15"/>
    </row>
    <row r="58" spans="3:14" ht="30" customHeight="1">
      <c r="C58" s="18">
        <f t="shared" si="1"/>
        <v>40</v>
      </c>
      <c r="D58" s="18" t="str">
        <f>IF(Semanas_Proyecto[[#This Row],[Ref.]]&gt;Duracion_Proyecto,"",Semanas_Proyecto[[#This Row],[Ref.]])</f>
        <v/>
      </c>
      <c r="E58" s="85" t="str">
        <f>IF(Semanas_Proyecto[[#This Row],[SEM Proyecto]]="","",$E$19-SUM($G$19:G57))</f>
        <v/>
      </c>
      <c r="F58" s="85" t="str">
        <f>IF(Semanas_Proyecto[[#This Row],[SEM Proyecto]]="","",SUMIF(Sprint_Backlog[Semana],Semanas_Proyecto[[#This Row],[SEM Proyecto]],Sprint_Backlog[Puntos]))</f>
        <v/>
      </c>
      <c r="G58" s="85" t="str">
        <f>IF(Semanas_Proyecto[[#This Row],[SEM Proyecto]]="","",SUMIFS(Sprint_Backlog[Puntos],Sprint_Backlog[Estado],"Terminada",Sprint_Backlog[Semana],Semanas_Proyecto[[#This Row],[SEM Proyecto]]))</f>
        <v/>
      </c>
      <c r="H58" s="15"/>
      <c r="I58" s="74" t="str">
        <f t="shared" si="2"/>
        <v/>
      </c>
      <c r="J58" s="91" t="str">
        <f>IF(EQU!C47="","",EQU!C47)</f>
        <v/>
      </c>
      <c r="K58" s="90" t="str">
        <f>IF(J58="","",SUMIFS(Sprint_Backlog[Puntos],Sprint_Backlog[Estado],"Terminada",Sprint_Backlog[Responsable],J58))</f>
        <v/>
      </c>
    </row>
    <row r="59" spans="3:14" ht="30" customHeight="1">
      <c r="C59" s="18">
        <f t="shared" si="1"/>
        <v>41</v>
      </c>
      <c r="D59" s="18" t="str">
        <f>IF(Semanas_Proyecto[[#This Row],[Ref.]]&gt;Duracion_Proyecto,"",Semanas_Proyecto[[#This Row],[Ref.]])</f>
        <v/>
      </c>
      <c r="E59" s="85" t="str">
        <f>IF(Semanas_Proyecto[[#This Row],[SEM Proyecto]]="","",$E$19-SUM($G$19:G58))</f>
        <v/>
      </c>
      <c r="F59" s="85" t="str">
        <f>IF(Semanas_Proyecto[[#This Row],[SEM Proyecto]]="","",SUMIF(Sprint_Backlog[Semana],Semanas_Proyecto[[#This Row],[SEM Proyecto]],Sprint_Backlog[Puntos]))</f>
        <v/>
      </c>
      <c r="G59" s="85" t="str">
        <f>IF(Semanas_Proyecto[[#This Row],[SEM Proyecto]]="","",SUMIFS(Sprint_Backlog[Puntos],Sprint_Backlog[Estado],"Terminada",Sprint_Backlog[Semana],Semanas_Proyecto[[#This Row],[SEM Proyecto]]))</f>
        <v/>
      </c>
      <c r="H59" s="15"/>
      <c r="I59" s="74" t="str">
        <f t="shared" si="2"/>
        <v/>
      </c>
      <c r="J59" s="91" t="str">
        <f>IF(EQU!C48="","",EQU!C48)</f>
        <v/>
      </c>
      <c r="K59" s="90" t="str">
        <f>IF(J59="","",SUMIFS(Sprint_Backlog[Puntos],Sprint_Backlog[Estado],"Terminada",Sprint_Backlog[Responsable],J59))</f>
        <v/>
      </c>
      <c r="M59" s="15"/>
      <c r="N59" s="15"/>
    </row>
    <row r="60" spans="3:14" ht="30" customHeight="1">
      <c r="C60" s="18">
        <f t="shared" si="1"/>
        <v>42</v>
      </c>
      <c r="D60" s="18" t="str">
        <f>IF(Semanas_Proyecto[[#This Row],[Ref.]]&gt;Duracion_Proyecto,"",Semanas_Proyecto[[#This Row],[Ref.]])</f>
        <v/>
      </c>
      <c r="E60" s="85" t="str">
        <f>IF(Semanas_Proyecto[[#This Row],[SEM Proyecto]]="","",$E$19-SUM($G$19:G59))</f>
        <v/>
      </c>
      <c r="F60" s="85" t="str">
        <f>IF(Semanas_Proyecto[[#This Row],[SEM Proyecto]]="","",SUMIF(Sprint_Backlog[Semana],Semanas_Proyecto[[#This Row],[SEM Proyecto]],Sprint_Backlog[Puntos]))</f>
        <v/>
      </c>
      <c r="G60" s="85" t="str">
        <f>IF(Semanas_Proyecto[[#This Row],[SEM Proyecto]]="","",SUMIFS(Sprint_Backlog[Puntos],Sprint_Backlog[Estado],"Terminada",Sprint_Backlog[Semana],Semanas_Proyecto[[#This Row],[SEM Proyecto]]))</f>
        <v/>
      </c>
      <c r="H60" s="15"/>
      <c r="I60" s="74" t="str">
        <f t="shared" si="2"/>
        <v/>
      </c>
      <c r="J60" s="91" t="str">
        <f>IF(EQU!C49="","",EQU!C49)</f>
        <v/>
      </c>
      <c r="K60" s="90" t="str">
        <f>IF(J60="","",SUMIFS(Sprint_Backlog[Puntos],Sprint_Backlog[Estado],"Terminada",Sprint_Backlog[Responsable],J60))</f>
        <v/>
      </c>
    </row>
    <row r="61" spans="3:14" ht="30" customHeight="1">
      <c r="C61" s="18">
        <f t="shared" si="1"/>
        <v>43</v>
      </c>
      <c r="D61" s="18" t="str">
        <f>IF(Semanas_Proyecto[[#This Row],[Ref.]]&gt;Duracion_Proyecto,"",Semanas_Proyecto[[#This Row],[Ref.]])</f>
        <v/>
      </c>
      <c r="E61" s="85" t="str">
        <f>IF(Semanas_Proyecto[[#This Row],[SEM Proyecto]]="","",$E$19-SUM($G$19:G60))</f>
        <v/>
      </c>
      <c r="F61" s="85" t="str">
        <f>IF(Semanas_Proyecto[[#This Row],[SEM Proyecto]]="","",SUMIF(Sprint_Backlog[Semana],Semanas_Proyecto[[#This Row],[SEM Proyecto]],Sprint_Backlog[Puntos]))</f>
        <v/>
      </c>
      <c r="G61" s="85" t="str">
        <f>IF(Semanas_Proyecto[[#This Row],[SEM Proyecto]]="","",SUMIFS(Sprint_Backlog[Puntos],Sprint_Backlog[Estado],"Terminada",Sprint_Backlog[Semana],Semanas_Proyecto[[#This Row],[SEM Proyecto]]))</f>
        <v/>
      </c>
      <c r="H61" s="15"/>
      <c r="I61" s="74" t="str">
        <f t="shared" si="2"/>
        <v/>
      </c>
      <c r="J61" s="91" t="str">
        <f>IF(EQU!C50="","",EQU!C50)</f>
        <v/>
      </c>
      <c r="K61" s="90" t="str">
        <f>IF(J61="","",SUMIFS(Sprint_Backlog[Puntos],Sprint_Backlog[Estado],"Terminada",Sprint_Backlog[Responsable],J61))</f>
        <v/>
      </c>
      <c r="M61" s="15"/>
      <c r="N61" s="15"/>
    </row>
    <row r="62" spans="3:14" ht="30" customHeight="1">
      <c r="C62" s="18">
        <f t="shared" si="1"/>
        <v>44</v>
      </c>
      <c r="D62" s="18" t="str">
        <f>IF(Semanas_Proyecto[[#This Row],[Ref.]]&gt;Duracion_Proyecto,"",Semanas_Proyecto[[#This Row],[Ref.]])</f>
        <v/>
      </c>
      <c r="E62" s="85" t="str">
        <f>IF(Semanas_Proyecto[[#This Row],[SEM Proyecto]]="","",$E$19-SUM($G$19:G61))</f>
        <v/>
      </c>
      <c r="F62" s="85" t="str">
        <f>IF(Semanas_Proyecto[[#This Row],[SEM Proyecto]]="","",SUMIF(Sprint_Backlog[Semana],Semanas_Proyecto[[#This Row],[SEM Proyecto]],Sprint_Backlog[Puntos]))</f>
        <v/>
      </c>
      <c r="G62" s="85" t="str">
        <f>IF(Semanas_Proyecto[[#This Row],[SEM Proyecto]]="","",SUMIFS(Sprint_Backlog[Puntos],Sprint_Backlog[Estado],"Terminada",Sprint_Backlog[Semana],Semanas_Proyecto[[#This Row],[SEM Proyecto]]))</f>
        <v/>
      </c>
      <c r="H62" s="15"/>
      <c r="I62" s="74" t="str">
        <f t="shared" si="2"/>
        <v/>
      </c>
      <c r="J62" s="91" t="str">
        <f>IF(EQU!C51="","",EQU!C51)</f>
        <v/>
      </c>
      <c r="K62" s="90" t="str">
        <f>IF(J62="","",SUMIFS(Sprint_Backlog[Puntos],Sprint_Backlog[Estado],"Terminada",Sprint_Backlog[Responsable],J62))</f>
        <v/>
      </c>
    </row>
    <row r="63" spans="3:14" ht="30" customHeight="1">
      <c r="C63" s="18">
        <f t="shared" si="1"/>
        <v>45</v>
      </c>
      <c r="D63" s="18" t="str">
        <f>IF(Semanas_Proyecto[[#This Row],[Ref.]]&gt;Duracion_Proyecto,"",Semanas_Proyecto[[#This Row],[Ref.]])</f>
        <v/>
      </c>
      <c r="E63" s="85" t="str">
        <f>IF(Semanas_Proyecto[[#This Row],[SEM Proyecto]]="","",$E$19-SUM($G$19:G62))</f>
        <v/>
      </c>
      <c r="F63" s="85" t="str">
        <f>IF(Semanas_Proyecto[[#This Row],[SEM Proyecto]]="","",SUMIF(Sprint_Backlog[Semana],Semanas_Proyecto[[#This Row],[SEM Proyecto]],Sprint_Backlog[Puntos]))</f>
        <v/>
      </c>
      <c r="G63" s="85" t="str">
        <f>IF(Semanas_Proyecto[[#This Row],[SEM Proyecto]]="","",SUMIFS(Sprint_Backlog[Puntos],Sprint_Backlog[Estado],"Terminada",Sprint_Backlog[Semana],Semanas_Proyecto[[#This Row],[SEM Proyecto]]))</f>
        <v/>
      </c>
      <c r="H63" s="15"/>
      <c r="I63" s="74" t="str">
        <f t="shared" si="2"/>
        <v/>
      </c>
      <c r="J63" s="91" t="str">
        <f>IF(EQU!C52="","",EQU!C52)</f>
        <v/>
      </c>
      <c r="K63" s="90" t="str">
        <f>IF(J63="","",SUMIFS(Sprint_Backlog[Puntos],Sprint_Backlog[Estado],"Terminada",Sprint_Backlog[Responsable],J63))</f>
        <v/>
      </c>
      <c r="M63" s="15"/>
      <c r="N63" s="15"/>
    </row>
    <row r="64" spans="3:14" ht="30" customHeight="1">
      <c r="C64" s="18">
        <f t="shared" si="1"/>
        <v>46</v>
      </c>
      <c r="D64" s="18" t="str">
        <f>IF(Semanas_Proyecto[[#This Row],[Ref.]]&gt;Duracion_Proyecto,"",Semanas_Proyecto[[#This Row],[Ref.]])</f>
        <v/>
      </c>
      <c r="E64" s="85" t="str">
        <f>IF(Semanas_Proyecto[[#This Row],[SEM Proyecto]]="","",$E$19-SUM($G$19:G63))</f>
        <v/>
      </c>
      <c r="F64" s="85" t="str">
        <f>IF(Semanas_Proyecto[[#This Row],[SEM Proyecto]]="","",SUMIF(Sprint_Backlog[Semana],Semanas_Proyecto[[#This Row],[SEM Proyecto]],Sprint_Backlog[Puntos]))</f>
        <v/>
      </c>
      <c r="G64" s="85" t="str">
        <f>IF(Semanas_Proyecto[[#This Row],[SEM Proyecto]]="","",SUMIFS(Sprint_Backlog[Puntos],Sprint_Backlog[Estado],"Terminada",Sprint_Backlog[Semana],Semanas_Proyecto[[#This Row],[SEM Proyecto]]))</f>
        <v/>
      </c>
      <c r="H64" s="15"/>
      <c r="I64" s="74" t="str">
        <f t="shared" si="2"/>
        <v/>
      </c>
      <c r="J64" s="91" t="str">
        <f>IF(EQU!C53="","",EQU!C53)</f>
        <v/>
      </c>
      <c r="K64" s="90" t="str">
        <f>IF(J64="","",SUMIFS(Sprint_Backlog[Puntos],Sprint_Backlog[Estado],"Terminada",Sprint_Backlog[Responsable],J64))</f>
        <v/>
      </c>
    </row>
    <row r="65" spans="3:14" ht="30" customHeight="1">
      <c r="C65" s="18">
        <f t="shared" si="1"/>
        <v>47</v>
      </c>
      <c r="D65" s="18" t="str">
        <f>IF(Semanas_Proyecto[[#This Row],[Ref.]]&gt;Duracion_Proyecto,"",Semanas_Proyecto[[#This Row],[Ref.]])</f>
        <v/>
      </c>
      <c r="E65" s="85" t="str">
        <f>IF(Semanas_Proyecto[[#This Row],[SEM Proyecto]]="","",$E$19-SUM($G$19:G64))</f>
        <v/>
      </c>
      <c r="F65" s="85" t="str">
        <f>IF(Semanas_Proyecto[[#This Row],[SEM Proyecto]]="","",SUMIF(Sprint_Backlog[Semana],Semanas_Proyecto[[#This Row],[SEM Proyecto]],Sprint_Backlog[Puntos]))</f>
        <v/>
      </c>
      <c r="G65" s="85" t="str">
        <f>IF(Semanas_Proyecto[[#This Row],[SEM Proyecto]]="","",SUMIFS(Sprint_Backlog[Puntos],Sprint_Backlog[Estado],"Terminada",Sprint_Backlog[Semana],Semanas_Proyecto[[#This Row],[SEM Proyecto]]))</f>
        <v/>
      </c>
      <c r="H65" s="15"/>
      <c r="I65" s="74" t="str">
        <f t="shared" si="2"/>
        <v/>
      </c>
      <c r="J65" s="91" t="str">
        <f>IF(EQU!C54="","",EQU!C54)</f>
        <v/>
      </c>
      <c r="K65" s="90" t="str">
        <f>IF(J65="","",SUMIFS(Sprint_Backlog[Puntos],Sprint_Backlog[Estado],"Terminada",Sprint_Backlog[Responsable],J65))</f>
        <v/>
      </c>
      <c r="M65" s="15"/>
      <c r="N65" s="15"/>
    </row>
    <row r="66" spans="3:14" ht="30" customHeight="1">
      <c r="C66" s="18">
        <f t="shared" si="1"/>
        <v>48</v>
      </c>
      <c r="D66" s="18" t="str">
        <f>IF(Semanas_Proyecto[[#This Row],[Ref.]]&gt;Duracion_Proyecto,"",Semanas_Proyecto[[#This Row],[Ref.]])</f>
        <v/>
      </c>
      <c r="E66" s="85" t="str">
        <f>IF(Semanas_Proyecto[[#This Row],[SEM Proyecto]]="","",$E$19-SUM($G$19:G65))</f>
        <v/>
      </c>
      <c r="F66" s="85" t="str">
        <f>IF(Semanas_Proyecto[[#This Row],[SEM Proyecto]]="","",SUMIF(Sprint_Backlog[Semana],Semanas_Proyecto[[#This Row],[SEM Proyecto]],Sprint_Backlog[Puntos]))</f>
        <v/>
      </c>
      <c r="G66" s="85" t="str">
        <f>IF(Semanas_Proyecto[[#This Row],[SEM Proyecto]]="","",SUMIFS(Sprint_Backlog[Puntos],Sprint_Backlog[Estado],"Terminada",Sprint_Backlog[Semana],Semanas_Proyecto[[#This Row],[SEM Proyecto]]))</f>
        <v/>
      </c>
      <c r="H66" s="15"/>
      <c r="I66" s="17"/>
      <c r="J66" s="15"/>
      <c r="K66" s="15"/>
    </row>
    <row r="67" spans="3:14" ht="30" customHeight="1">
      <c r="C67" s="18">
        <f t="shared" si="1"/>
        <v>49</v>
      </c>
      <c r="D67" s="18" t="str">
        <f>IF(Semanas_Proyecto[[#This Row],[Ref.]]&gt;Duracion_Proyecto,"",Semanas_Proyecto[[#This Row],[Ref.]])</f>
        <v/>
      </c>
      <c r="E67" s="85" t="str">
        <f>IF(Semanas_Proyecto[[#This Row],[SEM Proyecto]]="","",$E$19-SUM($G$19:G66))</f>
        <v/>
      </c>
      <c r="F67" s="85" t="str">
        <f>IF(Semanas_Proyecto[[#This Row],[SEM Proyecto]]="","",SUMIF(Sprint_Backlog[Semana],Semanas_Proyecto[[#This Row],[SEM Proyecto]],Sprint_Backlog[Puntos]))</f>
        <v/>
      </c>
      <c r="G67" s="85" t="str">
        <f>IF(Semanas_Proyecto[[#This Row],[SEM Proyecto]]="","",SUMIFS(Sprint_Backlog[Puntos],Sprint_Backlog[Estado],"Terminada",Sprint_Backlog[Semana],Semanas_Proyecto[[#This Row],[SEM Proyecto]]))</f>
        <v/>
      </c>
      <c r="H67" s="15"/>
      <c r="I67" s="17"/>
      <c r="J67" s="15"/>
      <c r="K67" s="15"/>
      <c r="L67" s="15"/>
      <c r="M67" s="15"/>
      <c r="N67" s="15"/>
    </row>
    <row r="68" spans="3:14" ht="30" customHeight="1">
      <c r="C68" s="18">
        <f t="shared" si="1"/>
        <v>50</v>
      </c>
      <c r="D68" s="18" t="str">
        <f>IF(Semanas_Proyecto[[#This Row],[Ref.]]&gt;Duracion_Proyecto,"",Semanas_Proyecto[[#This Row],[Ref.]])</f>
        <v/>
      </c>
      <c r="E68" s="85" t="str">
        <f>IF(Semanas_Proyecto[[#This Row],[SEM Proyecto]]="","",$E$19-SUM($G$19:G67))</f>
        <v/>
      </c>
      <c r="F68" s="85" t="str">
        <f>IF(Semanas_Proyecto[[#This Row],[SEM Proyecto]]="","",SUMIF(Sprint_Backlog[Semana],Semanas_Proyecto[[#This Row],[SEM Proyecto]],Sprint_Backlog[Puntos]))</f>
        <v/>
      </c>
      <c r="G68" s="85" t="str">
        <f>IF(Semanas_Proyecto[[#This Row],[SEM Proyecto]]="","",SUMIFS(Sprint_Backlog[Puntos],Sprint_Backlog[Estado],"Terminada",Sprint_Backlog[Semana],Semanas_Proyecto[[#This Row],[SEM Proyecto]]))</f>
        <v/>
      </c>
      <c r="H68" s="15"/>
      <c r="I68" s="17"/>
      <c r="J68" s="15"/>
      <c r="K68" s="15"/>
    </row>
    <row r="69" spans="3:14" ht="30" customHeight="1">
      <c r="C69" s="18">
        <f t="shared" si="1"/>
        <v>51</v>
      </c>
      <c r="D69" s="18" t="str">
        <f>IF(Semanas_Proyecto[[#This Row],[Ref.]]&gt;Duracion_Proyecto,"",Semanas_Proyecto[[#This Row],[Ref.]])</f>
        <v/>
      </c>
      <c r="E69" s="85" t="str">
        <f>IF(Semanas_Proyecto[[#This Row],[SEM Proyecto]]="","",$E$19-SUM($G$19:G68))</f>
        <v/>
      </c>
      <c r="F69" s="85" t="str">
        <f>IF(Semanas_Proyecto[[#This Row],[SEM Proyecto]]="","",SUMIF(Sprint_Backlog[Semana],Semanas_Proyecto[[#This Row],[SEM Proyecto]],Sprint_Backlog[Puntos]))</f>
        <v/>
      </c>
      <c r="G69" s="85" t="str">
        <f>IF(Semanas_Proyecto[[#This Row],[SEM Proyecto]]="","",SUMIFS(Sprint_Backlog[Puntos],Sprint_Backlog[Estado],"Terminada",Sprint_Backlog[Semana],Semanas_Proyecto[[#This Row],[SEM Proyecto]]))</f>
        <v/>
      </c>
      <c r="H69" s="15"/>
      <c r="I69" s="17"/>
      <c r="J69" s="15"/>
      <c r="K69" s="15"/>
      <c r="L69" s="15"/>
      <c r="M69" s="15"/>
      <c r="N69" s="15"/>
    </row>
    <row r="70" spans="3:14" ht="30" customHeight="1">
      <c r="C70" s="18">
        <f t="shared" si="1"/>
        <v>52</v>
      </c>
      <c r="D70" s="18" t="str">
        <f>IF(Semanas_Proyecto[[#This Row],[Ref.]]&gt;Duracion_Proyecto,"",Semanas_Proyecto[[#This Row],[Ref.]])</f>
        <v/>
      </c>
      <c r="E70" s="85" t="str">
        <f>IF(Semanas_Proyecto[[#This Row],[SEM Proyecto]]="","",$E$19-SUM($G$19:G69))</f>
        <v/>
      </c>
      <c r="F70" s="85" t="str">
        <f>IF(Semanas_Proyecto[[#This Row],[SEM Proyecto]]="","",SUMIF(Sprint_Backlog[Semana],Semanas_Proyecto[[#This Row],[SEM Proyecto]],Sprint_Backlog[Puntos]))</f>
        <v/>
      </c>
      <c r="G70" s="85" t="str">
        <f>IF(Semanas_Proyecto[[#This Row],[SEM Proyecto]]="","",SUMIFS(Sprint_Backlog[Puntos],Sprint_Backlog[Estado],"Terminada",Sprint_Backlog[Semana],Semanas_Proyecto[[#This Row],[SEM Proyecto]]))</f>
        <v/>
      </c>
      <c r="H70" s="15"/>
      <c r="I70" s="17"/>
      <c r="J70" s="15"/>
      <c r="K70" s="15"/>
    </row>
    <row r="71" spans="3:14" ht="30" customHeight="1">
      <c r="C71" s="18">
        <f t="shared" si="1"/>
        <v>53</v>
      </c>
      <c r="D71" s="18" t="str">
        <f>IF(Semanas_Proyecto[[#This Row],[Ref.]]&gt;Duracion_Proyecto,"",Semanas_Proyecto[[#This Row],[Ref.]])</f>
        <v/>
      </c>
      <c r="E71" s="85" t="str">
        <f>IF(Semanas_Proyecto[[#This Row],[SEM Proyecto]]="","",$E$19-SUM($G$19:G70))</f>
        <v/>
      </c>
      <c r="F71" s="85" t="str">
        <f>IF(Semanas_Proyecto[[#This Row],[SEM Proyecto]]="","",SUMIF(Sprint_Backlog[Semana],Semanas_Proyecto[[#This Row],[SEM Proyecto]],Sprint_Backlog[Puntos]))</f>
        <v/>
      </c>
      <c r="G71" s="85" t="str">
        <f>IF(Semanas_Proyecto[[#This Row],[SEM Proyecto]]="","",SUMIFS(Sprint_Backlog[Puntos],Sprint_Backlog[Estado],"Terminada",Sprint_Backlog[Semana],Semanas_Proyecto[[#This Row],[SEM Proyecto]]))</f>
        <v/>
      </c>
      <c r="H71" s="15"/>
      <c r="I71" s="17"/>
      <c r="J71" s="15"/>
      <c r="K71" s="15"/>
      <c r="L71" s="15"/>
      <c r="M71" s="15"/>
      <c r="N71" s="15"/>
    </row>
    <row r="72" spans="3:14" ht="30" customHeight="1">
      <c r="C72" s="18">
        <f t="shared" si="1"/>
        <v>54</v>
      </c>
      <c r="D72" s="18" t="str">
        <f>IF(Semanas_Proyecto[[#This Row],[Ref.]]&gt;Duracion_Proyecto,"",Semanas_Proyecto[[#This Row],[Ref.]])</f>
        <v/>
      </c>
      <c r="E72" s="85" t="str">
        <f>IF(Semanas_Proyecto[[#This Row],[SEM Proyecto]]="","",$E$19-SUM($G$19:G71))</f>
        <v/>
      </c>
      <c r="F72" s="85" t="str">
        <f>IF(Semanas_Proyecto[[#This Row],[SEM Proyecto]]="","",SUMIF(Sprint_Backlog[Semana],Semanas_Proyecto[[#This Row],[SEM Proyecto]],Sprint_Backlog[Puntos]))</f>
        <v/>
      </c>
      <c r="G72" s="85" t="str">
        <f>IF(Semanas_Proyecto[[#This Row],[SEM Proyecto]]="","",SUMIFS(Sprint_Backlog[Puntos],Sprint_Backlog[Estado],"Terminada",Sprint_Backlog[Semana],Semanas_Proyecto[[#This Row],[SEM Proyecto]]))</f>
        <v/>
      </c>
      <c r="H72" s="15"/>
      <c r="I72" s="17"/>
      <c r="J72" s="15"/>
      <c r="K72" s="15"/>
    </row>
    <row r="73" spans="3:14" ht="30" customHeight="1">
      <c r="C73" s="18">
        <f t="shared" si="1"/>
        <v>55</v>
      </c>
      <c r="D73" s="18" t="str">
        <f>IF(Semanas_Proyecto[[#This Row],[Ref.]]&gt;Duracion_Proyecto,"",Semanas_Proyecto[[#This Row],[Ref.]])</f>
        <v/>
      </c>
      <c r="E73" s="85" t="str">
        <f>IF(Semanas_Proyecto[[#This Row],[SEM Proyecto]]="","",$E$19-SUM($G$19:G72))</f>
        <v/>
      </c>
      <c r="F73" s="85" t="str">
        <f>IF(Semanas_Proyecto[[#This Row],[SEM Proyecto]]="","",SUMIF(Sprint_Backlog[Semana],Semanas_Proyecto[[#This Row],[SEM Proyecto]],Sprint_Backlog[Puntos]))</f>
        <v/>
      </c>
      <c r="G73" s="85" t="str">
        <f>IF(Semanas_Proyecto[[#This Row],[SEM Proyecto]]="","",SUMIFS(Sprint_Backlog[Puntos],Sprint_Backlog[Estado],"Terminada",Sprint_Backlog[Semana],Semanas_Proyecto[[#This Row],[SEM Proyecto]]))</f>
        <v/>
      </c>
      <c r="H73" s="15"/>
      <c r="I73" s="17"/>
      <c r="J73" s="15"/>
      <c r="K73" s="15"/>
      <c r="L73" s="15"/>
      <c r="M73" s="15"/>
      <c r="N73" s="15"/>
    </row>
    <row r="74" spans="3:14" ht="30" customHeight="1">
      <c r="C74" s="18">
        <f t="shared" si="1"/>
        <v>56</v>
      </c>
      <c r="D74" s="18" t="str">
        <f>IF(Semanas_Proyecto[[#This Row],[Ref.]]&gt;Duracion_Proyecto,"",Semanas_Proyecto[[#This Row],[Ref.]])</f>
        <v/>
      </c>
      <c r="E74" s="85" t="str">
        <f>IF(Semanas_Proyecto[[#This Row],[SEM Proyecto]]="","",$E$19-SUM($G$19:G73))</f>
        <v/>
      </c>
      <c r="F74" s="85" t="str">
        <f>IF(Semanas_Proyecto[[#This Row],[SEM Proyecto]]="","",SUMIF(Sprint_Backlog[Semana],Semanas_Proyecto[[#This Row],[SEM Proyecto]],Sprint_Backlog[Puntos]))</f>
        <v/>
      </c>
      <c r="G74" s="85" t="str">
        <f>IF(Semanas_Proyecto[[#This Row],[SEM Proyecto]]="","",SUMIFS(Sprint_Backlog[Puntos],Sprint_Backlog[Estado],"Terminada",Sprint_Backlog[Semana],Semanas_Proyecto[[#This Row],[SEM Proyecto]]))</f>
        <v/>
      </c>
      <c r="H74" s="15"/>
      <c r="I74" s="17"/>
      <c r="J74" s="15"/>
      <c r="K74" s="15"/>
    </row>
    <row r="75" spans="3:14" ht="30" customHeight="1">
      <c r="C75" s="18">
        <f t="shared" si="1"/>
        <v>57</v>
      </c>
      <c r="D75" s="18" t="str">
        <f>IF(Semanas_Proyecto[[#This Row],[Ref.]]&gt;Duracion_Proyecto,"",Semanas_Proyecto[[#This Row],[Ref.]])</f>
        <v/>
      </c>
      <c r="E75" s="85" t="str">
        <f>IF(Semanas_Proyecto[[#This Row],[SEM Proyecto]]="","",$E$19-SUM($G$19:G74))</f>
        <v/>
      </c>
      <c r="F75" s="85" t="str">
        <f>IF(Semanas_Proyecto[[#This Row],[SEM Proyecto]]="","",SUMIF(Sprint_Backlog[Semana],Semanas_Proyecto[[#This Row],[SEM Proyecto]],Sprint_Backlog[Puntos]))</f>
        <v/>
      </c>
      <c r="G75" s="85" t="str">
        <f>IF(Semanas_Proyecto[[#This Row],[SEM Proyecto]]="","",SUMIFS(Sprint_Backlog[Puntos],Sprint_Backlog[Estado],"Terminada",Sprint_Backlog[Semana],Semanas_Proyecto[[#This Row],[SEM Proyecto]]))</f>
        <v/>
      </c>
      <c r="H75" s="15"/>
      <c r="I75" s="17"/>
      <c r="J75" s="15"/>
      <c r="K75" s="15"/>
      <c r="L75" s="15"/>
      <c r="M75" s="15"/>
      <c r="N75" s="15"/>
    </row>
    <row r="76" spans="3:14" ht="30" customHeight="1">
      <c r="C76" s="18">
        <f t="shared" si="1"/>
        <v>58</v>
      </c>
      <c r="D76" s="18" t="str">
        <f>IF(Semanas_Proyecto[[#This Row],[Ref.]]&gt;Duracion_Proyecto,"",Semanas_Proyecto[[#This Row],[Ref.]])</f>
        <v/>
      </c>
      <c r="E76" s="85" t="str">
        <f>IF(Semanas_Proyecto[[#This Row],[SEM Proyecto]]="","",$E$19-SUM($G$19:G75))</f>
        <v/>
      </c>
      <c r="F76" s="85" t="str">
        <f>IF(Semanas_Proyecto[[#This Row],[SEM Proyecto]]="","",SUMIF(Sprint_Backlog[Semana],Semanas_Proyecto[[#This Row],[SEM Proyecto]],Sprint_Backlog[Puntos]))</f>
        <v/>
      </c>
      <c r="G76" s="85" t="str">
        <f>IF(Semanas_Proyecto[[#This Row],[SEM Proyecto]]="","",SUMIFS(Sprint_Backlog[Puntos],Sprint_Backlog[Estado],"Terminada",Sprint_Backlog[Semana],Semanas_Proyecto[[#This Row],[SEM Proyecto]]))</f>
        <v/>
      </c>
      <c r="H76" s="15"/>
      <c r="I76" s="17"/>
      <c r="J76" s="15"/>
      <c r="K76" s="15"/>
    </row>
    <row r="77" spans="3:14" ht="30" customHeight="1">
      <c r="C77" s="18">
        <f t="shared" si="1"/>
        <v>59</v>
      </c>
      <c r="D77" s="18" t="str">
        <f>IF(Semanas_Proyecto[[#This Row],[Ref.]]&gt;Duracion_Proyecto,"",Semanas_Proyecto[[#This Row],[Ref.]])</f>
        <v/>
      </c>
      <c r="E77" s="85" t="str">
        <f>IF(Semanas_Proyecto[[#This Row],[SEM Proyecto]]="","",$E$19-SUM($G$19:G76))</f>
        <v/>
      </c>
      <c r="F77" s="85" t="str">
        <f>IF(Semanas_Proyecto[[#This Row],[SEM Proyecto]]="","",SUMIF(Sprint_Backlog[Semana],Semanas_Proyecto[[#This Row],[SEM Proyecto]],Sprint_Backlog[Puntos]))</f>
        <v/>
      </c>
      <c r="G77" s="85" t="str">
        <f>IF(Semanas_Proyecto[[#This Row],[SEM Proyecto]]="","",SUMIFS(Sprint_Backlog[Puntos],Sprint_Backlog[Estado],"Terminada",Sprint_Backlog[Semana],Semanas_Proyecto[[#This Row],[SEM Proyecto]]))</f>
        <v/>
      </c>
      <c r="H77" s="15"/>
      <c r="I77" s="17"/>
      <c r="J77" s="15"/>
      <c r="K77" s="15"/>
      <c r="L77" s="15"/>
      <c r="M77" s="15"/>
      <c r="N77" s="15"/>
    </row>
    <row r="78" spans="3:14" ht="30" customHeight="1">
      <c r="C78" s="18">
        <f t="shared" si="1"/>
        <v>60</v>
      </c>
      <c r="D78" s="18" t="str">
        <f>IF(Semanas_Proyecto[[#This Row],[Ref.]]&gt;Duracion_Proyecto,"",Semanas_Proyecto[[#This Row],[Ref.]])</f>
        <v/>
      </c>
      <c r="E78" s="85" t="str">
        <f>IF(Semanas_Proyecto[[#This Row],[SEM Proyecto]]="","",$E$19-SUM($G$19:G77))</f>
        <v/>
      </c>
      <c r="F78" s="85" t="str">
        <f>IF(Semanas_Proyecto[[#This Row],[SEM Proyecto]]="","",SUMIF(Sprint_Backlog[Semana],Semanas_Proyecto[[#This Row],[SEM Proyecto]],Sprint_Backlog[Puntos]))</f>
        <v/>
      </c>
      <c r="G78" s="85" t="str">
        <f>IF(Semanas_Proyecto[[#This Row],[SEM Proyecto]]="","",SUMIFS(Sprint_Backlog[Puntos],Sprint_Backlog[Estado],"Terminada",Sprint_Backlog[Semana],Semanas_Proyecto[[#This Row],[SEM Proyecto]]))</f>
        <v/>
      </c>
      <c r="H78" s="15"/>
      <c r="I78" s="17"/>
      <c r="J78" s="15"/>
      <c r="K78" s="15"/>
    </row>
    <row r="79" spans="3:14" ht="30" customHeight="1">
      <c r="C79" s="18">
        <f t="shared" si="1"/>
        <v>61</v>
      </c>
      <c r="D79" s="18" t="str">
        <f>IF(Semanas_Proyecto[[#This Row],[Ref.]]&gt;Duracion_Proyecto,"",Semanas_Proyecto[[#This Row],[Ref.]])</f>
        <v/>
      </c>
      <c r="E79" s="85" t="str">
        <f>IF(Semanas_Proyecto[[#This Row],[SEM Proyecto]]="","",$E$19-SUM($G$19:G78))</f>
        <v/>
      </c>
      <c r="F79" s="85" t="str">
        <f>IF(Semanas_Proyecto[[#This Row],[SEM Proyecto]]="","",SUMIF(Sprint_Backlog[Semana],Semanas_Proyecto[[#This Row],[SEM Proyecto]],Sprint_Backlog[Puntos]))</f>
        <v/>
      </c>
      <c r="G79" s="85" t="str">
        <f>IF(Semanas_Proyecto[[#This Row],[SEM Proyecto]]="","",SUMIFS(Sprint_Backlog[Puntos],Sprint_Backlog[Estado],"Terminada",Sprint_Backlog[Semana],Semanas_Proyecto[[#This Row],[SEM Proyecto]]))</f>
        <v/>
      </c>
      <c r="H79" s="15"/>
      <c r="I79" s="17"/>
      <c r="J79" s="15"/>
      <c r="K79" s="15"/>
      <c r="L79" s="15"/>
      <c r="M79" s="15"/>
      <c r="N79" s="15"/>
    </row>
    <row r="80" spans="3:14" ht="30" customHeight="1">
      <c r="C80" s="18">
        <f t="shared" si="1"/>
        <v>62</v>
      </c>
      <c r="D80" s="18" t="str">
        <f>IF(Semanas_Proyecto[[#This Row],[Ref.]]&gt;Duracion_Proyecto,"",Semanas_Proyecto[[#This Row],[Ref.]])</f>
        <v/>
      </c>
      <c r="E80" s="85" t="str">
        <f>IF(Semanas_Proyecto[[#This Row],[SEM Proyecto]]="","",$E$19-SUM($G$19:G79))</f>
        <v/>
      </c>
      <c r="F80" s="85" t="str">
        <f>IF(Semanas_Proyecto[[#This Row],[SEM Proyecto]]="","",SUMIF(Sprint_Backlog[Semana],Semanas_Proyecto[[#This Row],[SEM Proyecto]],Sprint_Backlog[Puntos]))</f>
        <v/>
      </c>
      <c r="G80" s="85" t="str">
        <f>IF(Semanas_Proyecto[[#This Row],[SEM Proyecto]]="","",SUMIFS(Sprint_Backlog[Puntos],Sprint_Backlog[Estado],"Terminada",Sprint_Backlog[Semana],Semanas_Proyecto[[#This Row],[SEM Proyecto]]))</f>
        <v/>
      </c>
      <c r="H80" s="15"/>
      <c r="I80" s="17"/>
      <c r="J80" s="15"/>
      <c r="K80" s="15"/>
    </row>
    <row r="81" spans="3:14" ht="30" customHeight="1">
      <c r="C81" s="18">
        <f t="shared" si="1"/>
        <v>63</v>
      </c>
      <c r="D81" s="18" t="str">
        <f>IF(Semanas_Proyecto[[#This Row],[Ref.]]&gt;Duracion_Proyecto,"",Semanas_Proyecto[[#This Row],[Ref.]])</f>
        <v/>
      </c>
      <c r="E81" s="85" t="str">
        <f>IF(Semanas_Proyecto[[#This Row],[SEM Proyecto]]="","",$E$19-SUM($G$19:G80))</f>
        <v/>
      </c>
      <c r="F81" s="85" t="str">
        <f>IF(Semanas_Proyecto[[#This Row],[SEM Proyecto]]="","",SUMIF(Sprint_Backlog[Semana],Semanas_Proyecto[[#This Row],[SEM Proyecto]],Sprint_Backlog[Puntos]))</f>
        <v/>
      </c>
      <c r="G81" s="85" t="str">
        <f>IF(Semanas_Proyecto[[#This Row],[SEM Proyecto]]="","",SUMIFS(Sprint_Backlog[Puntos],Sprint_Backlog[Estado],"Terminada",Sprint_Backlog[Semana],Semanas_Proyecto[[#This Row],[SEM Proyecto]]))</f>
        <v/>
      </c>
      <c r="H81" s="15"/>
      <c r="I81" s="17"/>
      <c r="J81" s="15"/>
      <c r="K81" s="15"/>
      <c r="L81" s="15"/>
      <c r="M81" s="15"/>
      <c r="N81" s="15"/>
    </row>
    <row r="82" spans="3:14" ht="30" customHeight="1">
      <c r="C82" s="18">
        <f t="shared" si="1"/>
        <v>64</v>
      </c>
      <c r="D82" s="18" t="str">
        <f>IF(Semanas_Proyecto[[#This Row],[Ref.]]&gt;Duracion_Proyecto,"",Semanas_Proyecto[[#This Row],[Ref.]])</f>
        <v/>
      </c>
      <c r="E82" s="85" t="str">
        <f>IF(Semanas_Proyecto[[#This Row],[SEM Proyecto]]="","",$E$19-SUM($G$19:G81))</f>
        <v/>
      </c>
      <c r="F82" s="85" t="str">
        <f>IF(Semanas_Proyecto[[#This Row],[SEM Proyecto]]="","",SUMIF(Sprint_Backlog[Semana],Semanas_Proyecto[[#This Row],[SEM Proyecto]],Sprint_Backlog[Puntos]))</f>
        <v/>
      </c>
      <c r="G82" s="85" t="str">
        <f>IF(Semanas_Proyecto[[#This Row],[SEM Proyecto]]="","",SUMIFS(Sprint_Backlog[Puntos],Sprint_Backlog[Estado],"Terminada",Sprint_Backlog[Semana],Semanas_Proyecto[[#This Row],[SEM Proyecto]]))</f>
        <v/>
      </c>
      <c r="H82" s="15"/>
      <c r="I82" s="17"/>
      <c r="J82" s="15"/>
      <c r="K82" s="15"/>
    </row>
    <row r="83" spans="3:14" ht="30" customHeight="1">
      <c r="C83" s="18">
        <f t="shared" si="1"/>
        <v>65</v>
      </c>
      <c r="D83" s="18" t="str">
        <f>IF(Semanas_Proyecto[[#This Row],[Ref.]]&gt;Duracion_Proyecto,"",Semanas_Proyecto[[#This Row],[Ref.]])</f>
        <v/>
      </c>
      <c r="E83" s="85" t="str">
        <f>IF(Semanas_Proyecto[[#This Row],[SEM Proyecto]]="","",$E$19-SUM($G$19:G82))</f>
        <v/>
      </c>
      <c r="F83" s="85" t="str">
        <f>IF(Semanas_Proyecto[[#This Row],[SEM Proyecto]]="","",SUMIF(Sprint_Backlog[Semana],Semanas_Proyecto[[#This Row],[SEM Proyecto]],Sprint_Backlog[Puntos]))</f>
        <v/>
      </c>
      <c r="G83" s="85" t="str">
        <f>IF(Semanas_Proyecto[[#This Row],[SEM Proyecto]]="","",SUMIFS(Sprint_Backlog[Puntos],Sprint_Backlog[Estado],"Terminada",Sprint_Backlog[Semana],Semanas_Proyecto[[#This Row],[SEM Proyecto]]))</f>
        <v/>
      </c>
      <c r="H83" s="15"/>
      <c r="I83" s="17"/>
      <c r="J83" s="15"/>
      <c r="K83" s="15"/>
      <c r="L83" s="15"/>
      <c r="M83" s="15"/>
      <c r="N83" s="15"/>
    </row>
    <row r="84" spans="3:14" ht="30" customHeight="1">
      <c r="C84" s="18">
        <f t="shared" ref="C84:C118" si="3">+C83+1</f>
        <v>66</v>
      </c>
      <c r="D84" s="18" t="str">
        <f>IF(Semanas_Proyecto[[#This Row],[Ref.]]&gt;Duracion_Proyecto,"",Semanas_Proyecto[[#This Row],[Ref.]])</f>
        <v/>
      </c>
      <c r="E84" s="85" t="str">
        <f>IF(Semanas_Proyecto[[#This Row],[SEM Proyecto]]="","",$E$19-SUM($G$19:G83))</f>
        <v/>
      </c>
      <c r="F84" s="85" t="str">
        <f>IF(Semanas_Proyecto[[#This Row],[SEM Proyecto]]="","",SUMIF(Sprint_Backlog[Semana],Semanas_Proyecto[[#This Row],[SEM Proyecto]],Sprint_Backlog[Puntos]))</f>
        <v/>
      </c>
      <c r="G84" s="85" t="str">
        <f>IF(Semanas_Proyecto[[#This Row],[SEM Proyecto]]="","",SUMIFS(Sprint_Backlog[Puntos],Sprint_Backlog[Estado],"Terminada",Sprint_Backlog[Semana],Semanas_Proyecto[[#This Row],[SEM Proyecto]]))</f>
        <v/>
      </c>
      <c r="H84" s="15"/>
      <c r="I84" s="17"/>
      <c r="J84" s="15"/>
      <c r="K84" s="15"/>
    </row>
    <row r="85" spans="3:14" ht="30" customHeight="1">
      <c r="C85" s="18">
        <f t="shared" si="3"/>
        <v>67</v>
      </c>
      <c r="D85" s="18" t="str">
        <f>IF(Semanas_Proyecto[[#This Row],[Ref.]]&gt;Duracion_Proyecto,"",Semanas_Proyecto[[#This Row],[Ref.]])</f>
        <v/>
      </c>
      <c r="E85" s="85" t="str">
        <f>IF(Semanas_Proyecto[[#This Row],[SEM Proyecto]]="","",$E$19-SUM($G$19:G84))</f>
        <v/>
      </c>
      <c r="F85" s="85" t="str">
        <f>IF(Semanas_Proyecto[[#This Row],[SEM Proyecto]]="","",SUMIF(Sprint_Backlog[Semana],Semanas_Proyecto[[#This Row],[SEM Proyecto]],Sprint_Backlog[Puntos]))</f>
        <v/>
      </c>
      <c r="G85" s="85" t="str">
        <f>IF(Semanas_Proyecto[[#This Row],[SEM Proyecto]]="","",SUMIFS(Sprint_Backlog[Puntos],Sprint_Backlog[Estado],"Terminada",Sprint_Backlog[Semana],Semanas_Proyecto[[#This Row],[SEM Proyecto]]))</f>
        <v/>
      </c>
      <c r="H85" s="15"/>
      <c r="I85" s="17"/>
      <c r="J85" s="15"/>
      <c r="K85" s="15"/>
      <c r="L85" s="15"/>
      <c r="M85" s="15"/>
      <c r="N85" s="15"/>
    </row>
    <row r="86" spans="3:14" ht="30" customHeight="1">
      <c r="C86" s="18">
        <f t="shared" si="3"/>
        <v>68</v>
      </c>
      <c r="D86" s="18" t="str">
        <f>IF(Semanas_Proyecto[[#This Row],[Ref.]]&gt;Duracion_Proyecto,"",Semanas_Proyecto[[#This Row],[Ref.]])</f>
        <v/>
      </c>
      <c r="E86" s="85" t="str">
        <f>IF(Semanas_Proyecto[[#This Row],[SEM Proyecto]]="","",$E$19-SUM($G$19:G85))</f>
        <v/>
      </c>
      <c r="F86" s="85" t="str">
        <f>IF(Semanas_Proyecto[[#This Row],[SEM Proyecto]]="","",SUMIF(Sprint_Backlog[Semana],Semanas_Proyecto[[#This Row],[SEM Proyecto]],Sprint_Backlog[Puntos]))</f>
        <v/>
      </c>
      <c r="G86" s="85" t="str">
        <f>IF(Semanas_Proyecto[[#This Row],[SEM Proyecto]]="","",SUMIFS(Sprint_Backlog[Puntos],Sprint_Backlog[Estado],"Terminada",Sprint_Backlog[Semana],Semanas_Proyecto[[#This Row],[SEM Proyecto]]))</f>
        <v/>
      </c>
      <c r="H86" s="15"/>
      <c r="I86" s="17"/>
      <c r="J86" s="15"/>
      <c r="K86" s="15"/>
    </row>
    <row r="87" spans="3:14" ht="30" customHeight="1">
      <c r="C87" s="18">
        <f t="shared" si="3"/>
        <v>69</v>
      </c>
      <c r="D87" s="18" t="str">
        <f>IF(Semanas_Proyecto[[#This Row],[Ref.]]&gt;Duracion_Proyecto,"",Semanas_Proyecto[[#This Row],[Ref.]])</f>
        <v/>
      </c>
      <c r="E87" s="85" t="str">
        <f>IF(Semanas_Proyecto[[#This Row],[SEM Proyecto]]="","",$E$19-SUM($G$19:G86))</f>
        <v/>
      </c>
      <c r="F87" s="85" t="str">
        <f>IF(Semanas_Proyecto[[#This Row],[SEM Proyecto]]="","",SUMIF(Sprint_Backlog[Semana],Semanas_Proyecto[[#This Row],[SEM Proyecto]],Sprint_Backlog[Puntos]))</f>
        <v/>
      </c>
      <c r="G87" s="85" t="str">
        <f>IF(Semanas_Proyecto[[#This Row],[SEM Proyecto]]="","",SUMIFS(Sprint_Backlog[Puntos],Sprint_Backlog[Estado],"Terminada",Sprint_Backlog[Semana],Semanas_Proyecto[[#This Row],[SEM Proyecto]]))</f>
        <v/>
      </c>
      <c r="H87" s="15"/>
      <c r="I87" s="17"/>
      <c r="J87" s="15"/>
      <c r="K87" s="15"/>
      <c r="L87" s="15"/>
      <c r="M87" s="15"/>
      <c r="N87" s="15"/>
    </row>
    <row r="88" spans="3:14" ht="30" customHeight="1">
      <c r="C88" s="18">
        <f t="shared" si="3"/>
        <v>70</v>
      </c>
      <c r="D88" s="18" t="str">
        <f>IF(Semanas_Proyecto[[#This Row],[Ref.]]&gt;Duracion_Proyecto,"",Semanas_Proyecto[[#This Row],[Ref.]])</f>
        <v/>
      </c>
      <c r="E88" s="85" t="str">
        <f>IF(Semanas_Proyecto[[#This Row],[SEM Proyecto]]="","",$E$19-SUM($G$19:G87))</f>
        <v/>
      </c>
      <c r="F88" s="85" t="str">
        <f>IF(Semanas_Proyecto[[#This Row],[SEM Proyecto]]="","",SUMIF(Sprint_Backlog[Semana],Semanas_Proyecto[[#This Row],[SEM Proyecto]],Sprint_Backlog[Puntos]))</f>
        <v/>
      </c>
      <c r="G88" s="85" t="str">
        <f>IF(Semanas_Proyecto[[#This Row],[SEM Proyecto]]="","",SUMIFS(Sprint_Backlog[Puntos],Sprint_Backlog[Estado],"Terminada",Sprint_Backlog[Semana],Semanas_Proyecto[[#This Row],[SEM Proyecto]]))</f>
        <v/>
      </c>
      <c r="H88" s="15"/>
      <c r="I88" s="17"/>
      <c r="J88" s="15"/>
      <c r="K88" s="15"/>
    </row>
    <row r="89" spans="3:14" ht="30" customHeight="1">
      <c r="C89" s="18">
        <f t="shared" si="3"/>
        <v>71</v>
      </c>
      <c r="D89" s="18" t="str">
        <f>IF(Semanas_Proyecto[[#This Row],[Ref.]]&gt;Duracion_Proyecto,"",Semanas_Proyecto[[#This Row],[Ref.]])</f>
        <v/>
      </c>
      <c r="E89" s="85" t="str">
        <f>IF(Semanas_Proyecto[[#This Row],[SEM Proyecto]]="","",$E$19-SUM($G$19:G88))</f>
        <v/>
      </c>
      <c r="F89" s="85" t="str">
        <f>IF(Semanas_Proyecto[[#This Row],[SEM Proyecto]]="","",SUMIF(Sprint_Backlog[Semana],Semanas_Proyecto[[#This Row],[SEM Proyecto]],Sprint_Backlog[Puntos]))</f>
        <v/>
      </c>
      <c r="G89" s="85" t="str">
        <f>IF(Semanas_Proyecto[[#This Row],[SEM Proyecto]]="","",SUMIFS(Sprint_Backlog[Puntos],Sprint_Backlog[Estado],"Terminada",Sprint_Backlog[Semana],Semanas_Proyecto[[#This Row],[SEM Proyecto]]))</f>
        <v/>
      </c>
      <c r="H89" s="15"/>
      <c r="I89" s="17"/>
      <c r="J89" s="15"/>
      <c r="K89" s="15"/>
      <c r="L89" s="15"/>
      <c r="M89" s="15"/>
      <c r="N89" s="15"/>
    </row>
    <row r="90" spans="3:14" ht="30" customHeight="1">
      <c r="C90" s="18">
        <f t="shared" si="3"/>
        <v>72</v>
      </c>
      <c r="D90" s="18" t="str">
        <f>IF(Semanas_Proyecto[[#This Row],[Ref.]]&gt;Duracion_Proyecto,"",Semanas_Proyecto[[#This Row],[Ref.]])</f>
        <v/>
      </c>
      <c r="E90" s="85" t="str">
        <f>IF(Semanas_Proyecto[[#This Row],[SEM Proyecto]]="","",$E$19-SUM($G$19:G89))</f>
        <v/>
      </c>
      <c r="F90" s="85" t="str">
        <f>IF(Semanas_Proyecto[[#This Row],[SEM Proyecto]]="","",SUMIF(Sprint_Backlog[Semana],Semanas_Proyecto[[#This Row],[SEM Proyecto]],Sprint_Backlog[Puntos]))</f>
        <v/>
      </c>
      <c r="G90" s="85" t="str">
        <f>IF(Semanas_Proyecto[[#This Row],[SEM Proyecto]]="","",SUMIFS(Sprint_Backlog[Puntos],Sprint_Backlog[Estado],"Terminada",Sprint_Backlog[Semana],Semanas_Proyecto[[#This Row],[SEM Proyecto]]))</f>
        <v/>
      </c>
      <c r="H90" s="15"/>
      <c r="I90" s="17"/>
      <c r="J90" s="15"/>
      <c r="K90" s="15"/>
    </row>
    <row r="91" spans="3:14" ht="30" customHeight="1">
      <c r="C91" s="18">
        <f t="shared" si="3"/>
        <v>73</v>
      </c>
      <c r="D91" s="18" t="str">
        <f>IF(Semanas_Proyecto[[#This Row],[Ref.]]&gt;Duracion_Proyecto,"",Semanas_Proyecto[[#This Row],[Ref.]])</f>
        <v/>
      </c>
      <c r="E91" s="85" t="str">
        <f>IF(Semanas_Proyecto[[#This Row],[SEM Proyecto]]="","",$E$19-SUM($G$19:G90))</f>
        <v/>
      </c>
      <c r="F91" s="85" t="str">
        <f>IF(Semanas_Proyecto[[#This Row],[SEM Proyecto]]="","",SUMIF(Sprint_Backlog[Semana],Semanas_Proyecto[[#This Row],[SEM Proyecto]],Sprint_Backlog[Puntos]))</f>
        <v/>
      </c>
      <c r="G91" s="85" t="str">
        <f>IF(Semanas_Proyecto[[#This Row],[SEM Proyecto]]="","",SUMIFS(Sprint_Backlog[Puntos],Sprint_Backlog[Estado],"Terminada",Sprint_Backlog[Semana],Semanas_Proyecto[[#This Row],[SEM Proyecto]]))</f>
        <v/>
      </c>
      <c r="H91" s="15"/>
      <c r="I91" s="17"/>
      <c r="J91" s="15"/>
      <c r="K91" s="15"/>
      <c r="L91" s="15"/>
      <c r="M91" s="15"/>
      <c r="N91" s="15"/>
    </row>
    <row r="92" spans="3:14" ht="30" customHeight="1">
      <c r="C92" s="18">
        <f t="shared" si="3"/>
        <v>74</v>
      </c>
      <c r="D92" s="18" t="str">
        <f>IF(Semanas_Proyecto[[#This Row],[Ref.]]&gt;Duracion_Proyecto,"",Semanas_Proyecto[[#This Row],[Ref.]])</f>
        <v/>
      </c>
      <c r="E92" s="85" t="str">
        <f>IF(Semanas_Proyecto[[#This Row],[SEM Proyecto]]="","",$E$19-SUM($G$19:G91))</f>
        <v/>
      </c>
      <c r="F92" s="85" t="str">
        <f>IF(Semanas_Proyecto[[#This Row],[SEM Proyecto]]="","",SUMIF(Sprint_Backlog[Semana],Semanas_Proyecto[[#This Row],[SEM Proyecto]],Sprint_Backlog[Puntos]))</f>
        <v/>
      </c>
      <c r="G92" s="85" t="str">
        <f>IF(Semanas_Proyecto[[#This Row],[SEM Proyecto]]="","",SUMIFS(Sprint_Backlog[Puntos],Sprint_Backlog[Estado],"Terminada",Sprint_Backlog[Semana],Semanas_Proyecto[[#This Row],[SEM Proyecto]]))</f>
        <v/>
      </c>
      <c r="H92" s="15"/>
      <c r="I92" s="17"/>
      <c r="J92" s="15"/>
      <c r="K92" s="15"/>
    </row>
    <row r="93" spans="3:14" ht="30" customHeight="1">
      <c r="C93" s="18">
        <f t="shared" si="3"/>
        <v>75</v>
      </c>
      <c r="D93" s="18" t="str">
        <f>IF(Semanas_Proyecto[[#This Row],[Ref.]]&gt;Duracion_Proyecto,"",Semanas_Proyecto[[#This Row],[Ref.]])</f>
        <v/>
      </c>
      <c r="E93" s="85" t="str">
        <f>IF(Semanas_Proyecto[[#This Row],[SEM Proyecto]]="","",$E$19-SUM($G$19:G92))</f>
        <v/>
      </c>
      <c r="F93" s="85" t="str">
        <f>IF(Semanas_Proyecto[[#This Row],[SEM Proyecto]]="","",SUMIF(Sprint_Backlog[Semana],Semanas_Proyecto[[#This Row],[SEM Proyecto]],Sprint_Backlog[Puntos]))</f>
        <v/>
      </c>
      <c r="G93" s="85" t="str">
        <f>IF(Semanas_Proyecto[[#This Row],[SEM Proyecto]]="","",SUMIFS(Sprint_Backlog[Puntos],Sprint_Backlog[Estado],"Terminada",Sprint_Backlog[Semana],Semanas_Proyecto[[#This Row],[SEM Proyecto]]))</f>
        <v/>
      </c>
      <c r="H93" s="15"/>
      <c r="I93" s="17"/>
      <c r="J93" s="15"/>
      <c r="K93" s="15"/>
      <c r="L93" s="15"/>
      <c r="M93" s="15"/>
      <c r="N93" s="15"/>
    </row>
    <row r="94" spans="3:14" ht="30" customHeight="1">
      <c r="C94" s="18">
        <f t="shared" si="3"/>
        <v>76</v>
      </c>
      <c r="D94" s="18" t="str">
        <f>IF(Semanas_Proyecto[[#This Row],[Ref.]]&gt;Duracion_Proyecto,"",Semanas_Proyecto[[#This Row],[Ref.]])</f>
        <v/>
      </c>
      <c r="E94" s="85" t="str">
        <f>IF(Semanas_Proyecto[[#This Row],[SEM Proyecto]]="","",$E$19-SUM($G$19:G93))</f>
        <v/>
      </c>
      <c r="F94" s="85" t="str">
        <f>IF(Semanas_Proyecto[[#This Row],[SEM Proyecto]]="","",SUMIF(Sprint_Backlog[Semana],Semanas_Proyecto[[#This Row],[SEM Proyecto]],Sprint_Backlog[Puntos]))</f>
        <v/>
      </c>
      <c r="G94" s="85" t="str">
        <f>IF(Semanas_Proyecto[[#This Row],[SEM Proyecto]]="","",SUMIFS(Sprint_Backlog[Puntos],Sprint_Backlog[Estado],"Terminada",Sprint_Backlog[Semana],Semanas_Proyecto[[#This Row],[SEM Proyecto]]))</f>
        <v/>
      </c>
      <c r="H94" s="15"/>
      <c r="I94" s="17"/>
      <c r="J94" s="15"/>
      <c r="K94" s="15"/>
    </row>
    <row r="95" spans="3:14" ht="30" customHeight="1">
      <c r="C95" s="18">
        <f t="shared" si="3"/>
        <v>77</v>
      </c>
      <c r="D95" s="18" t="str">
        <f>IF(Semanas_Proyecto[[#This Row],[Ref.]]&gt;Duracion_Proyecto,"",Semanas_Proyecto[[#This Row],[Ref.]])</f>
        <v/>
      </c>
      <c r="E95" s="85" t="str">
        <f>IF(Semanas_Proyecto[[#This Row],[SEM Proyecto]]="","",$E$19-SUM($G$19:G94))</f>
        <v/>
      </c>
      <c r="F95" s="85" t="str">
        <f>IF(Semanas_Proyecto[[#This Row],[SEM Proyecto]]="","",SUMIF(Sprint_Backlog[Semana],Semanas_Proyecto[[#This Row],[SEM Proyecto]],Sprint_Backlog[Puntos]))</f>
        <v/>
      </c>
      <c r="G95" s="85" t="str">
        <f>IF(Semanas_Proyecto[[#This Row],[SEM Proyecto]]="","",SUMIFS(Sprint_Backlog[Puntos],Sprint_Backlog[Estado],"Terminada",Sprint_Backlog[Semana],Semanas_Proyecto[[#This Row],[SEM Proyecto]]))</f>
        <v/>
      </c>
      <c r="H95" s="15"/>
      <c r="I95" s="17"/>
      <c r="J95" s="15"/>
      <c r="K95" s="15"/>
      <c r="L95" s="15"/>
      <c r="M95" s="15"/>
      <c r="N95" s="15"/>
    </row>
    <row r="96" spans="3:14" ht="30" customHeight="1">
      <c r="C96" s="18">
        <f t="shared" si="3"/>
        <v>78</v>
      </c>
      <c r="D96" s="18" t="str">
        <f>IF(Semanas_Proyecto[[#This Row],[Ref.]]&gt;Duracion_Proyecto,"",Semanas_Proyecto[[#This Row],[Ref.]])</f>
        <v/>
      </c>
      <c r="E96" s="85" t="str">
        <f>IF(Semanas_Proyecto[[#This Row],[SEM Proyecto]]="","",$E$19-SUM($G$19:G95))</f>
        <v/>
      </c>
      <c r="F96" s="85" t="str">
        <f>IF(Semanas_Proyecto[[#This Row],[SEM Proyecto]]="","",SUMIF(Sprint_Backlog[Semana],Semanas_Proyecto[[#This Row],[SEM Proyecto]],Sprint_Backlog[Puntos]))</f>
        <v/>
      </c>
      <c r="G96" s="85" t="str">
        <f>IF(Semanas_Proyecto[[#This Row],[SEM Proyecto]]="","",SUMIFS(Sprint_Backlog[Puntos],Sprint_Backlog[Estado],"Terminada",Sprint_Backlog[Semana],Semanas_Proyecto[[#This Row],[SEM Proyecto]]))</f>
        <v/>
      </c>
      <c r="H96" s="15"/>
      <c r="I96" s="17"/>
      <c r="J96" s="15"/>
      <c r="K96" s="15"/>
    </row>
    <row r="97" spans="3:14" ht="30" customHeight="1">
      <c r="C97" s="18">
        <f t="shared" si="3"/>
        <v>79</v>
      </c>
      <c r="D97" s="18" t="str">
        <f>IF(Semanas_Proyecto[[#This Row],[Ref.]]&gt;Duracion_Proyecto,"",Semanas_Proyecto[[#This Row],[Ref.]])</f>
        <v/>
      </c>
      <c r="E97" s="85" t="str">
        <f>IF(Semanas_Proyecto[[#This Row],[SEM Proyecto]]="","",$E$19-SUM($G$19:G96))</f>
        <v/>
      </c>
      <c r="F97" s="85" t="str">
        <f>IF(Semanas_Proyecto[[#This Row],[SEM Proyecto]]="","",SUMIF(Sprint_Backlog[Semana],Semanas_Proyecto[[#This Row],[SEM Proyecto]],Sprint_Backlog[Puntos]))</f>
        <v/>
      </c>
      <c r="G97" s="85" t="str">
        <f>IF(Semanas_Proyecto[[#This Row],[SEM Proyecto]]="","",SUMIFS(Sprint_Backlog[Puntos],Sprint_Backlog[Estado],"Terminada",Sprint_Backlog[Semana],Semanas_Proyecto[[#This Row],[SEM Proyecto]]))</f>
        <v/>
      </c>
      <c r="H97" s="15"/>
      <c r="I97" s="17"/>
      <c r="J97" s="15"/>
      <c r="K97" s="15"/>
      <c r="L97" s="15"/>
      <c r="M97" s="15"/>
      <c r="N97" s="15"/>
    </row>
    <row r="98" spans="3:14" ht="30" customHeight="1">
      <c r="C98" s="18">
        <f t="shared" si="3"/>
        <v>80</v>
      </c>
      <c r="D98" s="18" t="str">
        <f>IF(Semanas_Proyecto[[#This Row],[Ref.]]&gt;Duracion_Proyecto,"",Semanas_Proyecto[[#This Row],[Ref.]])</f>
        <v/>
      </c>
      <c r="E98" s="85" t="str">
        <f>IF(Semanas_Proyecto[[#This Row],[SEM Proyecto]]="","",$E$19-SUM($G$19:G97))</f>
        <v/>
      </c>
      <c r="F98" s="85" t="str">
        <f>IF(Semanas_Proyecto[[#This Row],[SEM Proyecto]]="","",SUMIF(Sprint_Backlog[Semana],Semanas_Proyecto[[#This Row],[SEM Proyecto]],Sprint_Backlog[Puntos]))</f>
        <v/>
      </c>
      <c r="G98" s="85" t="str">
        <f>IF(Semanas_Proyecto[[#This Row],[SEM Proyecto]]="","",SUMIFS(Sprint_Backlog[Puntos],Sprint_Backlog[Estado],"Terminada",Sprint_Backlog[Semana],Semanas_Proyecto[[#This Row],[SEM Proyecto]]))</f>
        <v/>
      </c>
      <c r="H98" s="15"/>
      <c r="I98" s="17"/>
      <c r="J98" s="15"/>
      <c r="K98" s="15"/>
    </row>
    <row r="99" spans="3:14" ht="30" customHeight="1">
      <c r="C99" s="18">
        <f t="shared" si="3"/>
        <v>81</v>
      </c>
      <c r="D99" s="18" t="str">
        <f>IF(Semanas_Proyecto[[#This Row],[Ref.]]&gt;Duracion_Proyecto,"",Semanas_Proyecto[[#This Row],[Ref.]])</f>
        <v/>
      </c>
      <c r="E99" s="85" t="str">
        <f>IF(Semanas_Proyecto[[#This Row],[SEM Proyecto]]="","",$E$19-SUM($G$19:G98))</f>
        <v/>
      </c>
      <c r="F99" s="85" t="str">
        <f>IF(Semanas_Proyecto[[#This Row],[SEM Proyecto]]="","",SUMIF(Sprint_Backlog[Semana],Semanas_Proyecto[[#This Row],[SEM Proyecto]],Sprint_Backlog[Puntos]))</f>
        <v/>
      </c>
      <c r="G99" s="85" t="str">
        <f>IF(Semanas_Proyecto[[#This Row],[SEM Proyecto]]="","",SUMIFS(Sprint_Backlog[Puntos],Sprint_Backlog[Estado],"Terminada",Sprint_Backlog[Semana],Semanas_Proyecto[[#This Row],[SEM Proyecto]]))</f>
        <v/>
      </c>
      <c r="H99" s="15"/>
      <c r="I99" s="17"/>
      <c r="J99" s="15"/>
      <c r="K99" s="15"/>
      <c r="L99" s="15"/>
      <c r="M99" s="15"/>
      <c r="N99" s="15"/>
    </row>
    <row r="100" spans="3:14" ht="30" customHeight="1">
      <c r="C100" s="18">
        <f t="shared" si="3"/>
        <v>82</v>
      </c>
      <c r="D100" s="18" t="str">
        <f>IF(Semanas_Proyecto[[#This Row],[Ref.]]&gt;Duracion_Proyecto,"",Semanas_Proyecto[[#This Row],[Ref.]])</f>
        <v/>
      </c>
      <c r="E100" s="85" t="str">
        <f>IF(Semanas_Proyecto[[#This Row],[SEM Proyecto]]="","",$E$19-SUM($G$19:G99))</f>
        <v/>
      </c>
      <c r="F100" s="85" t="str">
        <f>IF(Semanas_Proyecto[[#This Row],[SEM Proyecto]]="","",SUMIF(Sprint_Backlog[Semana],Semanas_Proyecto[[#This Row],[SEM Proyecto]],Sprint_Backlog[Puntos]))</f>
        <v/>
      </c>
      <c r="G100" s="85" t="str">
        <f>IF(Semanas_Proyecto[[#This Row],[SEM Proyecto]]="","",SUMIFS(Sprint_Backlog[Puntos],Sprint_Backlog[Estado],"Terminada",Sprint_Backlog[Semana],Semanas_Proyecto[[#This Row],[SEM Proyecto]]))</f>
        <v/>
      </c>
      <c r="H100" s="15"/>
      <c r="I100" s="17"/>
      <c r="J100" s="15"/>
      <c r="K100" s="15"/>
    </row>
    <row r="101" spans="3:14" ht="30" customHeight="1">
      <c r="C101" s="18">
        <f t="shared" si="3"/>
        <v>83</v>
      </c>
      <c r="D101" s="18" t="str">
        <f>IF(Semanas_Proyecto[[#This Row],[Ref.]]&gt;Duracion_Proyecto,"",Semanas_Proyecto[[#This Row],[Ref.]])</f>
        <v/>
      </c>
      <c r="E101" s="85" t="str">
        <f>IF(Semanas_Proyecto[[#This Row],[SEM Proyecto]]="","",$E$19-SUM($G$19:G100))</f>
        <v/>
      </c>
      <c r="F101" s="85" t="str">
        <f>IF(Semanas_Proyecto[[#This Row],[SEM Proyecto]]="","",SUMIF(Sprint_Backlog[Semana],Semanas_Proyecto[[#This Row],[SEM Proyecto]],Sprint_Backlog[Puntos]))</f>
        <v/>
      </c>
      <c r="G101" s="85" t="str">
        <f>IF(Semanas_Proyecto[[#This Row],[SEM Proyecto]]="","",SUMIFS(Sprint_Backlog[Puntos],Sprint_Backlog[Estado],"Terminada",Sprint_Backlog[Semana],Semanas_Proyecto[[#This Row],[SEM Proyecto]]))</f>
        <v/>
      </c>
      <c r="H101" s="15"/>
      <c r="I101" s="17"/>
      <c r="J101" s="15"/>
      <c r="K101" s="15"/>
      <c r="L101" s="15"/>
      <c r="M101" s="15"/>
      <c r="N101" s="15"/>
    </row>
    <row r="102" spans="3:14" ht="30" customHeight="1">
      <c r="C102" s="18">
        <f t="shared" si="3"/>
        <v>84</v>
      </c>
      <c r="D102" s="18" t="str">
        <f>IF(Semanas_Proyecto[[#This Row],[Ref.]]&gt;Duracion_Proyecto,"",Semanas_Proyecto[[#This Row],[Ref.]])</f>
        <v/>
      </c>
      <c r="E102" s="85" t="str">
        <f>IF(Semanas_Proyecto[[#This Row],[SEM Proyecto]]="","",$E$19-SUM($G$19:G101))</f>
        <v/>
      </c>
      <c r="F102" s="85" t="str">
        <f>IF(Semanas_Proyecto[[#This Row],[SEM Proyecto]]="","",SUMIF(Sprint_Backlog[Semana],Semanas_Proyecto[[#This Row],[SEM Proyecto]],Sprint_Backlog[Puntos]))</f>
        <v/>
      </c>
      <c r="G102" s="85" t="str">
        <f>IF(Semanas_Proyecto[[#This Row],[SEM Proyecto]]="","",SUMIFS(Sprint_Backlog[Puntos],Sprint_Backlog[Estado],"Terminada",Sprint_Backlog[Semana],Semanas_Proyecto[[#This Row],[SEM Proyecto]]))</f>
        <v/>
      </c>
      <c r="H102" s="15"/>
      <c r="I102" s="17"/>
      <c r="J102" s="15"/>
      <c r="K102" s="15"/>
    </row>
    <row r="103" spans="3:14" ht="30" customHeight="1">
      <c r="C103" s="18">
        <f t="shared" si="3"/>
        <v>85</v>
      </c>
      <c r="D103" s="18" t="str">
        <f>IF(Semanas_Proyecto[[#This Row],[Ref.]]&gt;Duracion_Proyecto,"",Semanas_Proyecto[[#This Row],[Ref.]])</f>
        <v/>
      </c>
      <c r="E103" s="85" t="str">
        <f>IF(Semanas_Proyecto[[#This Row],[SEM Proyecto]]="","",$E$19-SUM($G$19:G102))</f>
        <v/>
      </c>
      <c r="F103" s="85" t="str">
        <f>IF(Semanas_Proyecto[[#This Row],[SEM Proyecto]]="","",SUMIF(Sprint_Backlog[Semana],Semanas_Proyecto[[#This Row],[SEM Proyecto]],Sprint_Backlog[Puntos]))</f>
        <v/>
      </c>
      <c r="G103" s="85" t="str">
        <f>IF(Semanas_Proyecto[[#This Row],[SEM Proyecto]]="","",SUMIFS(Sprint_Backlog[Puntos],Sprint_Backlog[Estado],"Terminada",Sprint_Backlog[Semana],Semanas_Proyecto[[#This Row],[SEM Proyecto]]))</f>
        <v/>
      </c>
      <c r="H103" s="15"/>
      <c r="I103" s="17"/>
      <c r="J103" s="15"/>
      <c r="K103" s="15"/>
      <c r="L103" s="15"/>
      <c r="M103" s="15"/>
      <c r="N103" s="15"/>
    </row>
    <row r="104" spans="3:14" ht="30" customHeight="1">
      <c r="C104" s="18">
        <f t="shared" si="3"/>
        <v>86</v>
      </c>
      <c r="D104" s="18" t="str">
        <f>IF(Semanas_Proyecto[[#This Row],[Ref.]]&gt;Duracion_Proyecto,"",Semanas_Proyecto[[#This Row],[Ref.]])</f>
        <v/>
      </c>
      <c r="E104" s="85" t="str">
        <f>IF(Semanas_Proyecto[[#This Row],[SEM Proyecto]]="","",$E$19-SUM($G$19:G103))</f>
        <v/>
      </c>
      <c r="F104" s="85" t="str">
        <f>IF(Semanas_Proyecto[[#This Row],[SEM Proyecto]]="","",SUMIF(Sprint_Backlog[Semana],Semanas_Proyecto[[#This Row],[SEM Proyecto]],Sprint_Backlog[Puntos]))</f>
        <v/>
      </c>
      <c r="G104" s="85" t="str">
        <f>IF(Semanas_Proyecto[[#This Row],[SEM Proyecto]]="","",SUMIFS(Sprint_Backlog[Puntos],Sprint_Backlog[Estado],"Terminada",Sprint_Backlog[Semana],Semanas_Proyecto[[#This Row],[SEM Proyecto]]))</f>
        <v/>
      </c>
      <c r="H104" s="15"/>
      <c r="I104" s="17"/>
      <c r="J104" s="15"/>
      <c r="K104" s="15"/>
    </row>
    <row r="105" spans="3:14" ht="30" customHeight="1">
      <c r="C105" s="18">
        <f t="shared" si="3"/>
        <v>87</v>
      </c>
      <c r="D105" s="18" t="str">
        <f>IF(Semanas_Proyecto[[#This Row],[Ref.]]&gt;Duracion_Proyecto,"",Semanas_Proyecto[[#This Row],[Ref.]])</f>
        <v/>
      </c>
      <c r="E105" s="85" t="str">
        <f>IF(Semanas_Proyecto[[#This Row],[SEM Proyecto]]="","",$E$19-SUM($G$19:G104))</f>
        <v/>
      </c>
      <c r="F105" s="85" t="str">
        <f>IF(Semanas_Proyecto[[#This Row],[SEM Proyecto]]="","",SUMIF(Sprint_Backlog[Semana],Semanas_Proyecto[[#This Row],[SEM Proyecto]],Sprint_Backlog[Puntos]))</f>
        <v/>
      </c>
      <c r="G105" s="85" t="str">
        <f>IF(Semanas_Proyecto[[#This Row],[SEM Proyecto]]="","",SUMIFS(Sprint_Backlog[Puntos],Sprint_Backlog[Estado],"Terminada",Sprint_Backlog[Semana],Semanas_Proyecto[[#This Row],[SEM Proyecto]]))</f>
        <v/>
      </c>
      <c r="H105" s="15"/>
      <c r="I105" s="17"/>
      <c r="J105" s="15"/>
      <c r="K105" s="15"/>
      <c r="L105" s="15"/>
      <c r="M105" s="15"/>
      <c r="N105" s="15"/>
    </row>
    <row r="106" spans="3:14" ht="30" customHeight="1">
      <c r="C106" s="18">
        <f t="shared" si="3"/>
        <v>88</v>
      </c>
      <c r="D106" s="18" t="str">
        <f>IF(Semanas_Proyecto[[#This Row],[Ref.]]&gt;Duracion_Proyecto,"",Semanas_Proyecto[[#This Row],[Ref.]])</f>
        <v/>
      </c>
      <c r="E106" s="85" t="str">
        <f>IF(Semanas_Proyecto[[#This Row],[SEM Proyecto]]="","",$E$19-SUM($G$19:G105))</f>
        <v/>
      </c>
      <c r="F106" s="85" t="str">
        <f>IF(Semanas_Proyecto[[#This Row],[SEM Proyecto]]="","",SUMIF(Sprint_Backlog[Semana],Semanas_Proyecto[[#This Row],[SEM Proyecto]],Sprint_Backlog[Puntos]))</f>
        <v/>
      </c>
      <c r="G106" s="85" t="str">
        <f>IF(Semanas_Proyecto[[#This Row],[SEM Proyecto]]="","",SUMIFS(Sprint_Backlog[Puntos],Sprint_Backlog[Estado],"Terminada",Sprint_Backlog[Semana],Semanas_Proyecto[[#This Row],[SEM Proyecto]]))</f>
        <v/>
      </c>
      <c r="H106" s="15"/>
      <c r="I106" s="17"/>
      <c r="J106" s="15"/>
      <c r="K106" s="15"/>
    </row>
    <row r="107" spans="3:14" ht="30" customHeight="1">
      <c r="C107" s="18">
        <f t="shared" si="3"/>
        <v>89</v>
      </c>
      <c r="D107" s="18" t="str">
        <f>IF(Semanas_Proyecto[[#This Row],[Ref.]]&gt;Duracion_Proyecto,"",Semanas_Proyecto[[#This Row],[Ref.]])</f>
        <v/>
      </c>
      <c r="E107" s="85" t="str">
        <f>IF(Semanas_Proyecto[[#This Row],[SEM Proyecto]]="","",$E$19-SUM($G$19:G106))</f>
        <v/>
      </c>
      <c r="F107" s="85" t="str">
        <f>IF(Semanas_Proyecto[[#This Row],[SEM Proyecto]]="","",SUMIF(Sprint_Backlog[Semana],Semanas_Proyecto[[#This Row],[SEM Proyecto]],Sprint_Backlog[Puntos]))</f>
        <v/>
      </c>
      <c r="G107" s="85" t="str">
        <f>IF(Semanas_Proyecto[[#This Row],[SEM Proyecto]]="","",SUMIFS(Sprint_Backlog[Puntos],Sprint_Backlog[Estado],"Terminada",Sprint_Backlog[Semana],Semanas_Proyecto[[#This Row],[SEM Proyecto]]))</f>
        <v/>
      </c>
      <c r="H107" s="15"/>
      <c r="I107" s="17"/>
      <c r="J107" s="15"/>
      <c r="K107" s="15"/>
      <c r="L107" s="15"/>
      <c r="M107" s="15"/>
      <c r="N107" s="15"/>
    </row>
    <row r="108" spans="3:14" ht="30" customHeight="1">
      <c r="C108" s="18">
        <f t="shared" si="3"/>
        <v>90</v>
      </c>
      <c r="D108" s="18" t="str">
        <f>IF(Semanas_Proyecto[[#This Row],[Ref.]]&gt;Duracion_Proyecto,"",Semanas_Proyecto[[#This Row],[Ref.]])</f>
        <v/>
      </c>
      <c r="E108" s="85" t="str">
        <f>IF(Semanas_Proyecto[[#This Row],[SEM Proyecto]]="","",$E$19-SUM($G$19:G107))</f>
        <v/>
      </c>
      <c r="F108" s="85" t="str">
        <f>IF(Semanas_Proyecto[[#This Row],[SEM Proyecto]]="","",SUMIF(Sprint_Backlog[Semana],Semanas_Proyecto[[#This Row],[SEM Proyecto]],Sprint_Backlog[Puntos]))</f>
        <v/>
      </c>
      <c r="G108" s="85" t="str">
        <f>IF(Semanas_Proyecto[[#This Row],[SEM Proyecto]]="","",SUMIFS(Sprint_Backlog[Puntos],Sprint_Backlog[Estado],"Terminada",Sprint_Backlog[Semana],Semanas_Proyecto[[#This Row],[SEM Proyecto]]))</f>
        <v/>
      </c>
      <c r="H108" s="15"/>
      <c r="I108" s="17"/>
      <c r="J108" s="15"/>
      <c r="K108" s="15"/>
    </row>
    <row r="109" spans="3:14" ht="30" customHeight="1">
      <c r="C109" s="18">
        <f t="shared" si="3"/>
        <v>91</v>
      </c>
      <c r="D109" s="18" t="str">
        <f>IF(Semanas_Proyecto[[#This Row],[Ref.]]&gt;Duracion_Proyecto,"",Semanas_Proyecto[[#This Row],[Ref.]])</f>
        <v/>
      </c>
      <c r="E109" s="85" t="str">
        <f>IF(Semanas_Proyecto[[#This Row],[SEM Proyecto]]="","",$E$19-SUM($G$19:G108))</f>
        <v/>
      </c>
      <c r="F109" s="85" t="str">
        <f>IF(Semanas_Proyecto[[#This Row],[SEM Proyecto]]="","",SUMIF(Sprint_Backlog[Semana],Semanas_Proyecto[[#This Row],[SEM Proyecto]],Sprint_Backlog[Puntos]))</f>
        <v/>
      </c>
      <c r="G109" s="85" t="str">
        <f>IF(Semanas_Proyecto[[#This Row],[SEM Proyecto]]="","",SUMIFS(Sprint_Backlog[Puntos],Sprint_Backlog[Estado],"Terminada",Sprint_Backlog[Semana],Semanas_Proyecto[[#This Row],[SEM Proyecto]]))</f>
        <v/>
      </c>
      <c r="H109" s="15"/>
      <c r="I109" s="17"/>
      <c r="J109" s="15"/>
      <c r="K109" s="15"/>
      <c r="L109" s="15"/>
      <c r="M109" s="15"/>
      <c r="N109" s="15"/>
    </row>
    <row r="110" spans="3:14" ht="30" customHeight="1">
      <c r="C110" s="18">
        <f t="shared" si="3"/>
        <v>92</v>
      </c>
      <c r="D110" s="18" t="str">
        <f>IF(Semanas_Proyecto[[#This Row],[Ref.]]&gt;Duracion_Proyecto,"",Semanas_Proyecto[[#This Row],[Ref.]])</f>
        <v/>
      </c>
      <c r="E110" s="85" t="str">
        <f>IF(Semanas_Proyecto[[#This Row],[SEM Proyecto]]="","",$E$19-SUM($G$19:G109))</f>
        <v/>
      </c>
      <c r="F110" s="85" t="str">
        <f>IF(Semanas_Proyecto[[#This Row],[SEM Proyecto]]="","",SUMIF(Sprint_Backlog[Semana],Semanas_Proyecto[[#This Row],[SEM Proyecto]],Sprint_Backlog[Puntos]))</f>
        <v/>
      </c>
      <c r="G110" s="85" t="str">
        <f>IF(Semanas_Proyecto[[#This Row],[SEM Proyecto]]="","",SUMIFS(Sprint_Backlog[Puntos],Sprint_Backlog[Estado],"Terminada",Sprint_Backlog[Semana],Semanas_Proyecto[[#This Row],[SEM Proyecto]]))</f>
        <v/>
      </c>
      <c r="H110" s="15"/>
      <c r="I110" s="17"/>
      <c r="J110" s="15"/>
      <c r="K110" s="15"/>
    </row>
    <row r="111" spans="3:14" ht="30" customHeight="1">
      <c r="C111" s="18">
        <f t="shared" si="3"/>
        <v>93</v>
      </c>
      <c r="D111" s="18" t="str">
        <f>IF(Semanas_Proyecto[[#This Row],[Ref.]]&gt;Duracion_Proyecto,"",Semanas_Proyecto[[#This Row],[Ref.]])</f>
        <v/>
      </c>
      <c r="E111" s="85" t="str">
        <f>IF(Semanas_Proyecto[[#This Row],[SEM Proyecto]]="","",$E$19-SUM($G$19:G110))</f>
        <v/>
      </c>
      <c r="F111" s="85" t="str">
        <f>IF(Semanas_Proyecto[[#This Row],[SEM Proyecto]]="","",SUMIF(Sprint_Backlog[Semana],Semanas_Proyecto[[#This Row],[SEM Proyecto]],Sprint_Backlog[Puntos]))</f>
        <v/>
      </c>
      <c r="G111" s="85" t="str">
        <f>IF(Semanas_Proyecto[[#This Row],[SEM Proyecto]]="","",SUMIFS(Sprint_Backlog[Puntos],Sprint_Backlog[Estado],"Terminada",Sprint_Backlog[Semana],Semanas_Proyecto[[#This Row],[SEM Proyecto]]))</f>
        <v/>
      </c>
      <c r="H111" s="15"/>
      <c r="I111" s="17"/>
      <c r="J111" s="15"/>
      <c r="K111" s="15"/>
      <c r="L111" s="15"/>
      <c r="M111" s="15"/>
      <c r="N111" s="15"/>
    </row>
    <row r="112" spans="3:14" ht="30" customHeight="1">
      <c r="C112" s="18">
        <f t="shared" si="3"/>
        <v>94</v>
      </c>
      <c r="D112" s="18" t="str">
        <f>IF(Semanas_Proyecto[[#This Row],[Ref.]]&gt;Duracion_Proyecto,"",Semanas_Proyecto[[#This Row],[Ref.]])</f>
        <v/>
      </c>
      <c r="E112" s="85" t="str">
        <f>IF(Semanas_Proyecto[[#This Row],[SEM Proyecto]]="","",$E$19-SUM($G$19:G111))</f>
        <v/>
      </c>
      <c r="F112" s="85" t="str">
        <f>IF(Semanas_Proyecto[[#This Row],[SEM Proyecto]]="","",SUMIF(Sprint_Backlog[Semana],Semanas_Proyecto[[#This Row],[SEM Proyecto]],Sprint_Backlog[Puntos]))</f>
        <v/>
      </c>
      <c r="G112" s="85" t="str">
        <f>IF(Semanas_Proyecto[[#This Row],[SEM Proyecto]]="","",SUMIFS(Sprint_Backlog[Puntos],Sprint_Backlog[Estado],"Terminada",Sprint_Backlog[Semana],Semanas_Proyecto[[#This Row],[SEM Proyecto]]))</f>
        <v/>
      </c>
      <c r="H112" s="15"/>
      <c r="I112" s="17"/>
      <c r="J112" s="15"/>
      <c r="K112" s="15"/>
    </row>
    <row r="113" spans="3:14" ht="30" customHeight="1">
      <c r="C113" s="18">
        <f t="shared" si="3"/>
        <v>95</v>
      </c>
      <c r="D113" s="18" t="str">
        <f>IF(Semanas_Proyecto[[#This Row],[Ref.]]&gt;Duracion_Proyecto,"",Semanas_Proyecto[[#This Row],[Ref.]])</f>
        <v/>
      </c>
      <c r="E113" s="85" t="str">
        <f>IF(Semanas_Proyecto[[#This Row],[SEM Proyecto]]="","",$E$19-SUM($G$19:G112))</f>
        <v/>
      </c>
      <c r="F113" s="85" t="str">
        <f>IF(Semanas_Proyecto[[#This Row],[SEM Proyecto]]="","",SUMIF(Sprint_Backlog[Semana],Semanas_Proyecto[[#This Row],[SEM Proyecto]],Sprint_Backlog[Puntos]))</f>
        <v/>
      </c>
      <c r="G113" s="85" t="str">
        <f>IF(Semanas_Proyecto[[#This Row],[SEM Proyecto]]="","",SUMIFS(Sprint_Backlog[Puntos],Sprint_Backlog[Estado],"Terminada",Sprint_Backlog[Semana],Semanas_Proyecto[[#This Row],[SEM Proyecto]]))</f>
        <v/>
      </c>
      <c r="H113" s="15"/>
      <c r="I113" s="17"/>
      <c r="J113" s="15"/>
      <c r="K113" s="15"/>
      <c r="L113" s="15"/>
      <c r="M113" s="15"/>
      <c r="N113" s="15"/>
    </row>
    <row r="114" spans="3:14" ht="30" customHeight="1">
      <c r="C114" s="18">
        <f t="shared" si="3"/>
        <v>96</v>
      </c>
      <c r="D114" s="18" t="str">
        <f>IF(Semanas_Proyecto[[#This Row],[Ref.]]&gt;Duracion_Proyecto,"",Semanas_Proyecto[[#This Row],[Ref.]])</f>
        <v/>
      </c>
      <c r="E114" s="85" t="str">
        <f>IF(Semanas_Proyecto[[#This Row],[SEM Proyecto]]="","",$E$19-SUM($G$19:G113))</f>
        <v/>
      </c>
      <c r="F114" s="85" t="str">
        <f>IF(Semanas_Proyecto[[#This Row],[SEM Proyecto]]="","",SUMIF(Sprint_Backlog[Semana],Semanas_Proyecto[[#This Row],[SEM Proyecto]],Sprint_Backlog[Puntos]))</f>
        <v/>
      </c>
      <c r="G114" s="85" t="str">
        <f>IF(Semanas_Proyecto[[#This Row],[SEM Proyecto]]="","",SUMIFS(Sprint_Backlog[Puntos],Sprint_Backlog[Estado],"Terminada",Sprint_Backlog[Semana],Semanas_Proyecto[[#This Row],[SEM Proyecto]]))</f>
        <v/>
      </c>
      <c r="H114" s="15"/>
      <c r="I114" s="17"/>
      <c r="J114" s="15"/>
      <c r="K114" s="15"/>
    </row>
    <row r="115" spans="3:14" ht="30" customHeight="1">
      <c r="C115" s="18">
        <f t="shared" si="3"/>
        <v>97</v>
      </c>
      <c r="D115" s="18" t="str">
        <f>IF(Semanas_Proyecto[[#This Row],[Ref.]]&gt;Duracion_Proyecto,"",Semanas_Proyecto[[#This Row],[Ref.]])</f>
        <v/>
      </c>
      <c r="E115" s="85" t="str">
        <f>IF(Semanas_Proyecto[[#This Row],[SEM Proyecto]]="","",$E$19-SUM($G$19:G114))</f>
        <v/>
      </c>
      <c r="F115" s="85" t="str">
        <f>IF(Semanas_Proyecto[[#This Row],[SEM Proyecto]]="","",SUMIF(Sprint_Backlog[Semana],Semanas_Proyecto[[#This Row],[SEM Proyecto]],Sprint_Backlog[Puntos]))</f>
        <v/>
      </c>
      <c r="G115" s="85" t="str">
        <f>IF(Semanas_Proyecto[[#This Row],[SEM Proyecto]]="","",SUMIFS(Sprint_Backlog[Puntos],Sprint_Backlog[Estado],"Terminada",Sprint_Backlog[Semana],Semanas_Proyecto[[#This Row],[SEM Proyecto]]))</f>
        <v/>
      </c>
      <c r="H115" s="15"/>
      <c r="I115" s="17"/>
      <c r="J115" s="15"/>
      <c r="K115" s="15"/>
      <c r="L115" s="15"/>
      <c r="M115" s="15"/>
      <c r="N115" s="15"/>
    </row>
    <row r="116" spans="3:14" ht="30" customHeight="1">
      <c r="C116" s="18">
        <f t="shared" si="3"/>
        <v>98</v>
      </c>
      <c r="D116" s="18" t="str">
        <f>IF(Semanas_Proyecto[[#This Row],[Ref.]]&gt;Duracion_Proyecto,"",Semanas_Proyecto[[#This Row],[Ref.]])</f>
        <v/>
      </c>
      <c r="E116" s="85" t="str">
        <f>IF(Semanas_Proyecto[[#This Row],[SEM Proyecto]]="","",$E$19-SUM($G$19:G115))</f>
        <v/>
      </c>
      <c r="F116" s="85" t="str">
        <f>IF(Semanas_Proyecto[[#This Row],[SEM Proyecto]]="","",SUMIF(Sprint_Backlog[Semana],Semanas_Proyecto[[#This Row],[SEM Proyecto]],Sprint_Backlog[Puntos]))</f>
        <v/>
      </c>
      <c r="G116" s="85" t="str">
        <f>IF(Semanas_Proyecto[[#This Row],[SEM Proyecto]]="","",SUMIFS(Sprint_Backlog[Puntos],Sprint_Backlog[Estado],"Terminada",Sprint_Backlog[Semana],Semanas_Proyecto[[#This Row],[SEM Proyecto]]))</f>
        <v/>
      </c>
      <c r="H116" s="15"/>
      <c r="I116" s="17"/>
      <c r="J116" s="15"/>
      <c r="K116" s="15"/>
    </row>
    <row r="117" spans="3:14" ht="30" customHeight="1">
      <c r="C117" s="18">
        <f t="shared" si="3"/>
        <v>99</v>
      </c>
      <c r="D117" s="18" t="str">
        <f>IF(Semanas_Proyecto[[#This Row],[Ref.]]&gt;Duracion_Proyecto,"",Semanas_Proyecto[[#This Row],[Ref.]])</f>
        <v/>
      </c>
      <c r="E117" s="85" t="str">
        <f>IF(Semanas_Proyecto[[#This Row],[SEM Proyecto]]="","",$E$19-SUM($G$19:G116))</f>
        <v/>
      </c>
      <c r="F117" s="85" t="str">
        <f>IF(Semanas_Proyecto[[#This Row],[SEM Proyecto]]="","",SUMIF(Sprint_Backlog[Semana],Semanas_Proyecto[[#This Row],[SEM Proyecto]],Sprint_Backlog[Puntos]))</f>
        <v/>
      </c>
      <c r="G117" s="85" t="str">
        <f>IF(Semanas_Proyecto[[#This Row],[SEM Proyecto]]="","",SUMIFS(Sprint_Backlog[Puntos],Sprint_Backlog[Estado],"Terminada",Sprint_Backlog[Semana],Semanas_Proyecto[[#This Row],[SEM Proyecto]]))</f>
        <v/>
      </c>
      <c r="H117" s="15"/>
      <c r="I117" s="17"/>
      <c r="J117" s="15"/>
      <c r="K117" s="15"/>
      <c r="L117" s="15"/>
      <c r="M117" s="15"/>
      <c r="N117" s="15"/>
    </row>
    <row r="118" spans="3:14" ht="30" customHeight="1">
      <c r="C118" s="18">
        <f t="shared" si="3"/>
        <v>100</v>
      </c>
      <c r="D118" s="87" t="str">
        <f>IF(Semanas_Proyecto[[#This Row],[Ref.]]&gt;Duracion_Proyecto,"",Semanas_Proyecto[[#This Row],[Ref.]])</f>
        <v/>
      </c>
      <c r="E118" s="85" t="str">
        <f>IF(Semanas_Proyecto[[#This Row],[SEM Proyecto]]="","",$E$19-SUM($G$19:G117))</f>
        <v/>
      </c>
      <c r="F118" s="85" t="str">
        <f>IF(Semanas_Proyecto[[#This Row],[SEM Proyecto]]="","",SUMIF(Sprint_Backlog[Semana],Semanas_Proyecto[[#This Row],[SEM Proyecto]],Sprint_Backlog[Puntos]))</f>
        <v/>
      </c>
      <c r="G118" s="85" t="str">
        <f>IF(Semanas_Proyecto[[#This Row],[SEM Proyecto]]="","",SUMIFS(Sprint_Backlog[Puntos],Sprint_Backlog[Estado],"Terminada",Sprint_Backlog[Semana],Semanas_Proyecto[[#This Row],[SEM Proyecto]]))</f>
        <v/>
      </c>
      <c r="H118" s="15"/>
      <c r="I118" s="17"/>
      <c r="J118" s="15"/>
      <c r="K118" s="15"/>
    </row>
    <row r="119" spans="3:14" ht="30" customHeight="1">
      <c r="H119" s="15"/>
      <c r="I119" s="17"/>
      <c r="J119" s="15"/>
      <c r="K119" s="15"/>
      <c r="L119" s="15"/>
      <c r="M119" s="15"/>
      <c r="N119" s="15"/>
    </row>
    <row r="120" spans="3:14" ht="30" customHeight="1">
      <c r="H120" s="15"/>
      <c r="I120" s="17"/>
      <c r="J120" s="15"/>
      <c r="K120" s="15"/>
    </row>
    <row r="121" spans="3:14" ht="30" customHeight="1">
      <c r="H121" s="15"/>
      <c r="I121" s="17"/>
      <c r="J121" s="15"/>
      <c r="K121" s="15"/>
      <c r="L121" s="15"/>
      <c r="M121" s="15"/>
      <c r="N121" s="15"/>
    </row>
    <row r="122" spans="3:14" ht="30" customHeight="1">
      <c r="H122" s="15"/>
      <c r="I122" s="17"/>
      <c r="J122" s="15"/>
      <c r="K122" s="15"/>
    </row>
    <row r="123" spans="3:14" ht="30" customHeight="1">
      <c r="H123" s="15"/>
      <c r="I123" s="17"/>
      <c r="J123" s="15"/>
      <c r="K123" s="15"/>
      <c r="L123" s="15"/>
      <c r="M123" s="15"/>
      <c r="N123" s="15"/>
    </row>
    <row r="124" spans="3:14" ht="30" customHeight="1">
      <c r="H124" s="15"/>
      <c r="I124" s="17"/>
      <c r="J124" s="15"/>
      <c r="K124" s="15"/>
    </row>
    <row r="125" spans="3:14" ht="30" customHeight="1">
      <c r="H125" s="15"/>
      <c r="I125" s="17"/>
      <c r="J125" s="15"/>
      <c r="K125" s="15"/>
      <c r="L125" s="15"/>
      <c r="M125" s="15"/>
      <c r="N125" s="15"/>
    </row>
    <row r="126" spans="3:14" ht="30" customHeight="1">
      <c r="H126" s="15"/>
      <c r="I126" s="17"/>
      <c r="J126" s="15"/>
      <c r="K126" s="15"/>
    </row>
    <row r="127" spans="3:14" ht="30" customHeight="1">
      <c r="H127" s="15"/>
      <c r="I127" s="17"/>
      <c r="J127" s="15"/>
      <c r="K127" s="15"/>
      <c r="L127" s="15"/>
      <c r="M127" s="15"/>
      <c r="N127" s="15"/>
    </row>
    <row r="128" spans="3:14" ht="30" customHeight="1">
      <c r="H128" s="15"/>
      <c r="I128" s="17"/>
      <c r="J128" s="15"/>
      <c r="K128" s="15"/>
    </row>
    <row r="129" spans="8:14" ht="30" customHeight="1">
      <c r="H129" s="15"/>
      <c r="I129" s="17"/>
      <c r="J129" s="15"/>
      <c r="K129" s="15"/>
      <c r="L129" s="15"/>
      <c r="M129" s="15"/>
      <c r="N129" s="15"/>
    </row>
    <row r="130" spans="8:14" ht="30" customHeight="1">
      <c r="H130" s="15"/>
      <c r="I130" s="17"/>
      <c r="J130" s="15"/>
      <c r="K130" s="15"/>
    </row>
    <row r="131" spans="8:14" ht="30" customHeight="1">
      <c r="H131" s="15"/>
      <c r="I131" s="17"/>
      <c r="J131" s="15"/>
      <c r="K131" s="15"/>
      <c r="L131" s="15"/>
      <c r="M131" s="15"/>
      <c r="N131" s="15"/>
    </row>
    <row r="132" spans="8:14" ht="30" customHeight="1">
      <c r="H132" s="15"/>
      <c r="I132" s="17"/>
      <c r="J132" s="15"/>
      <c r="K132" s="15"/>
    </row>
    <row r="133" spans="8:14" ht="30" customHeight="1">
      <c r="H133" s="15"/>
      <c r="I133" s="17"/>
      <c r="J133" s="15"/>
      <c r="K133" s="15"/>
      <c r="L133" s="15"/>
      <c r="M133" s="15"/>
      <c r="N133" s="15"/>
    </row>
    <row r="134" spans="8:14" ht="30" customHeight="1">
      <c r="H134" s="15"/>
      <c r="I134" s="17"/>
      <c r="J134" s="15"/>
      <c r="K134" s="15"/>
    </row>
    <row r="135" spans="8:14" ht="30" customHeight="1">
      <c r="H135" s="15"/>
      <c r="I135" s="17"/>
      <c r="J135" s="15"/>
      <c r="K135" s="15"/>
      <c r="L135" s="15"/>
      <c r="M135" s="15"/>
      <c r="N135" s="15"/>
    </row>
    <row r="136" spans="8:14" ht="30" customHeight="1">
      <c r="H136" s="15"/>
      <c r="I136" s="17"/>
      <c r="J136" s="15"/>
      <c r="K136" s="15"/>
    </row>
    <row r="137" spans="8:14" ht="30" customHeight="1">
      <c r="H137" s="15"/>
      <c r="I137" s="17"/>
      <c r="J137" s="15"/>
      <c r="K137" s="15"/>
      <c r="L137" s="15"/>
      <c r="M137" s="15"/>
      <c r="N137" s="15"/>
    </row>
    <row r="138" spans="8:14" ht="30" customHeight="1">
      <c r="H138" s="15"/>
      <c r="I138" s="17"/>
      <c r="J138" s="15"/>
      <c r="K138" s="15"/>
    </row>
    <row r="139" spans="8:14" ht="30" customHeight="1">
      <c r="H139" s="15"/>
      <c r="I139" s="17"/>
      <c r="J139" s="15"/>
      <c r="K139" s="15"/>
      <c r="L139" s="15"/>
      <c r="M139" s="15"/>
      <c r="N139" s="15"/>
    </row>
    <row r="140" spans="8:14" ht="30" customHeight="1">
      <c r="H140" s="15"/>
      <c r="I140" s="17"/>
      <c r="J140" s="15"/>
      <c r="K140" s="15"/>
    </row>
    <row r="141" spans="8:14" ht="30" customHeight="1">
      <c r="H141" s="15"/>
      <c r="I141" s="17"/>
      <c r="J141" s="15"/>
      <c r="K141" s="15"/>
      <c r="L141" s="15"/>
      <c r="M141" s="15"/>
      <c r="N141" s="15"/>
    </row>
    <row r="142" spans="8:14" ht="30" customHeight="1">
      <c r="H142" s="15"/>
      <c r="I142" s="17"/>
      <c r="J142" s="15"/>
      <c r="K142" s="15"/>
    </row>
    <row r="143" spans="8:14" ht="30" customHeight="1">
      <c r="H143" s="15"/>
      <c r="I143" s="17"/>
      <c r="J143" s="15"/>
      <c r="K143" s="15"/>
      <c r="L143" s="15"/>
      <c r="M143" s="15"/>
      <c r="N143" s="15"/>
    </row>
  </sheetData>
  <sheetProtection algorithmName="SHA-512" hashValue="o0hSTgjnT23PeLcdzkkMUIcsaktTqOBMR/K2aB5jTQwqMZm5bCMqGmzURuN+/rU7HwzQWXuH91UKdU7xAUEfjA==" saltValue="rijrJfbo2vglWIONRcttAA==" spinCount="100000" formatCells="0" formatColumns="0" formatRows="0" selectLockedCells="1"/>
  <mergeCells count="5">
    <mergeCell ref="C16:D16"/>
    <mergeCell ref="C5:G5"/>
    <mergeCell ref="I5:M5"/>
    <mergeCell ref="O5:S5"/>
    <mergeCell ref="F16:G16"/>
  </mergeCells>
  <pageMargins left="0.7" right="0.7" top="0.75" bottom="0.75" header="0.3" footer="0.3"/>
  <pageSetup paperSize="9" orientation="portrait" r:id="rId1"/>
  <ignoredErrors>
    <ignoredError sqref="E20:E24 E25:E118" calculatedColumn="1"/>
  </ignoredErrors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="70" zoomScaleNormal="70" zoomScalePageLayoutView="80" workbookViewId="0">
      <pane ySplit="2" topLeftCell="A18" activePane="bottomLeft" state="frozen"/>
      <selection activeCell="C4" sqref="C4:G4"/>
      <selection pane="bottomLeft"/>
    </sheetView>
  </sheetViews>
  <sheetFormatPr baseColWidth="10" defaultColWidth="11" defaultRowHeight="30" customHeight="1"/>
  <cols>
    <col min="1" max="2" width="2.625" style="3" customWidth="1"/>
    <col min="3" max="3" width="45.625" style="3" customWidth="1"/>
    <col min="4" max="4" width="2.625" style="3" customWidth="1"/>
    <col min="5" max="5" width="45.625" style="3" customWidth="1"/>
    <col min="6" max="6" width="2.625" style="3" customWidth="1"/>
    <col min="7" max="7" width="45.625" style="3" customWidth="1"/>
    <col min="8" max="8" width="2.625" style="3" customWidth="1"/>
    <col min="9" max="9" width="45.625" style="3" customWidth="1"/>
    <col min="10" max="11" width="8.25" style="3" customWidth="1"/>
    <col min="12" max="18" width="15.625" style="3" customWidth="1"/>
    <col min="19" max="20" width="11" style="3"/>
    <col min="21" max="21" width="5.125" style="3" customWidth="1"/>
    <col min="22" max="16384" width="11" style="3"/>
  </cols>
  <sheetData>
    <row r="1" spans="1:11" s="20" customFormat="1" ht="39" customHeight="1">
      <c r="A1" s="21"/>
      <c r="B1" s="21"/>
      <c r="C1" s="22"/>
      <c r="D1" s="22"/>
      <c r="E1" s="23"/>
      <c r="F1" s="21"/>
      <c r="G1" s="21"/>
      <c r="H1" s="21"/>
      <c r="I1" s="21"/>
      <c r="J1" s="21"/>
      <c r="K1" s="21"/>
    </row>
    <row r="2" spans="1:11" ht="30" customHeight="1">
      <c r="A2" s="24"/>
      <c r="B2" s="24"/>
      <c r="C2" s="24"/>
      <c r="D2" s="25"/>
      <c r="E2" s="26"/>
      <c r="F2" s="27"/>
      <c r="G2" s="27"/>
      <c r="H2" s="27"/>
      <c r="I2" s="27"/>
      <c r="J2" s="24"/>
      <c r="K2" s="24"/>
    </row>
    <row r="3" spans="1:11" ht="15"/>
    <row r="4" spans="1:11" ht="23.25" customHeight="1">
      <c r="C4" s="28" t="s">
        <v>125</v>
      </c>
      <c r="E4" s="28" t="s">
        <v>128</v>
      </c>
      <c r="G4" s="28" t="s">
        <v>41</v>
      </c>
      <c r="I4" s="28" t="s">
        <v>129</v>
      </c>
    </row>
    <row r="5" spans="1:11" s="13" customFormat="1" ht="48.75" customHeight="1">
      <c r="C5" s="29">
        <f>COUNTA(Product_Backlog[Épica o Historia de Usuario])</f>
        <v>60</v>
      </c>
      <c r="E5" s="29">
        <f>COUNTIF(Product_Backlog[Estado],"Terminada")</f>
        <v>56</v>
      </c>
      <c r="G5" s="29">
        <f>COUNTIF(Product_Backlog[Estado],"Haciendo")</f>
        <v>4</v>
      </c>
      <c r="I5" s="29">
        <f>COUNTIF(Product_Backlog[Estado],"No Backlog")</f>
        <v>0</v>
      </c>
    </row>
    <row r="6" spans="1:11" ht="9.75" customHeight="1"/>
    <row r="7" spans="1:11" ht="23.25" customHeight="1">
      <c r="C7" s="28" t="s">
        <v>131</v>
      </c>
      <c r="D7" s="32"/>
      <c r="F7" s="32"/>
      <c r="G7" s="28" t="s">
        <v>78</v>
      </c>
    </row>
    <row r="9" spans="1:11" ht="39.75" customHeight="1"/>
    <row r="10" spans="1:11" ht="58.5" customHeight="1"/>
    <row r="11" spans="1:11" ht="45.75" customHeight="1"/>
    <row r="14" spans="1:11" ht="30" customHeight="1">
      <c r="C14" s="72" t="s">
        <v>134</v>
      </c>
    </row>
    <row r="15" spans="1:11" ht="30" customHeight="1">
      <c r="C15" s="28" t="s">
        <v>131</v>
      </c>
    </row>
    <row r="16" spans="1:11" ht="30" customHeight="1">
      <c r="C16" s="31"/>
      <c r="E16" s="73" t="s">
        <v>122</v>
      </c>
      <c r="F16" s="103">
        <f>SUM(Product_Backlog[Horas programadas])</f>
        <v>1260</v>
      </c>
      <c r="G16" s="103"/>
    </row>
    <row r="17" spans="3:8" ht="30" customHeight="1">
      <c r="C17" s="31"/>
      <c r="E17" s="73" t="s">
        <v>123</v>
      </c>
      <c r="F17" s="103">
        <f>SUM(Sprint_Backlog[Horas utilizadas])</f>
        <v>3000</v>
      </c>
      <c r="G17" s="103"/>
    </row>
    <row r="18" spans="3:8" ht="30" customHeight="1">
      <c r="C18" s="28"/>
    </row>
    <row r="19" spans="3:8" ht="30" customHeight="1">
      <c r="C19" s="28" t="s">
        <v>78</v>
      </c>
    </row>
    <row r="20" spans="3:8" ht="30" customHeight="1">
      <c r="C20" s="28"/>
      <c r="E20" s="75" t="s">
        <v>117</v>
      </c>
      <c r="F20" s="103">
        <f>COUNTIF(Sprint_Backlog[Estado],E20)</f>
        <v>56</v>
      </c>
      <c r="G20" s="103"/>
    </row>
    <row r="21" spans="3:8" ht="30" customHeight="1">
      <c r="C21" s="28"/>
      <c r="E21" s="75" t="s">
        <v>118</v>
      </c>
      <c r="F21" s="103">
        <f>COUNTIF(Sprint_Backlog[Estado],E21)</f>
        <v>4</v>
      </c>
      <c r="G21" s="103"/>
    </row>
    <row r="22" spans="3:8" ht="30" customHeight="1">
      <c r="C22" s="28"/>
    </row>
    <row r="23" spans="3:8" ht="30" customHeight="1">
      <c r="C23" s="28"/>
    </row>
    <row r="24" spans="3:8" ht="30" customHeight="1">
      <c r="H24" s="13"/>
    </row>
    <row r="64" spans="14:14" ht="30" customHeight="1">
      <c r="N64" s="30"/>
    </row>
  </sheetData>
  <sheetProtection algorithmName="SHA-512" hashValue="HHSByj00MnPswNDmCFLrVKuV4L67yjW0lpeXC52Rg+8UBOO5TS+F5odZg5F+45ddh/efJFecu0mInXlpq34EWw==" saltValue="x1WNcvIRziR1vX3/2/q8Bw==" spinCount="100000" formatCells="0" formatColumns="0" formatRows="0" selectLockedCells="1"/>
  <mergeCells count="4">
    <mergeCell ref="F16:G16"/>
    <mergeCell ref="F17:G17"/>
    <mergeCell ref="F20:G20"/>
    <mergeCell ref="F21:G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CAD</vt:lpstr>
      <vt:lpstr>EQU</vt:lpstr>
      <vt:lpstr>CAR</vt:lpstr>
      <vt:lpstr>SCR</vt:lpstr>
      <vt:lpstr>SPR</vt:lpstr>
      <vt:lpstr>REL</vt:lpstr>
      <vt:lpstr>DEI</vt:lpstr>
      <vt:lpstr>DAS</vt:lpstr>
      <vt:lpstr>PVR</vt:lpstr>
      <vt:lpstr>TIP</vt:lpstr>
      <vt:lpstr>INI</vt:lpstr>
      <vt:lpstr>DUV</vt:lpstr>
      <vt:lpstr>Codigo_Proyecto</vt:lpstr>
      <vt:lpstr>Duracion_Proyecto</vt:lpstr>
      <vt:lpstr>Empleado</vt:lpstr>
      <vt:lpstr>Objetivo_Proyecto</vt:lpstr>
      <vt:lpstr>Puntos_Totales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Emilio Ryan</cp:lastModifiedBy>
  <cp:lastPrinted>2018-04-10T22:21:06Z</cp:lastPrinted>
  <dcterms:created xsi:type="dcterms:W3CDTF">2017-07-25T18:13:49Z</dcterms:created>
  <dcterms:modified xsi:type="dcterms:W3CDTF">2022-04-29T22:07:40Z</dcterms:modified>
</cp:coreProperties>
</file>