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mc:AlternateContent xmlns:mc="http://schemas.openxmlformats.org/markup-compatibility/2006">
    <mc:Choice Requires="x15">
      <x15ac:absPath xmlns:x15ac="http://schemas.microsoft.com/office/spreadsheetml/2010/11/ac" url="C:\Users\emilykokolrivera\Downloads\"/>
    </mc:Choice>
  </mc:AlternateContent>
  <xr:revisionPtr revIDLastSave="0" documentId="8_{9D4F0335-E04D-4447-83AD-47EE67B3D3D6}" xr6:coauthVersionLast="47" xr6:coauthVersionMax="47" xr10:uidLastSave="{00000000-0000-0000-0000-000000000000}"/>
  <bookViews>
    <workbookView xWindow="-110" yWindow="-110" windowWidth="19420" windowHeight="10300" xr2:uid="{00000000-000D-0000-FFFF-FFFF00000000}"/>
  </bookViews>
  <sheets>
    <sheet name="Dashboard" sheetId="3" r:id="rId1"/>
    <sheet name="BudgetPivot" sheetId="2" r:id="rId2"/>
    <sheet name="BudgetPivot NoDept" sheetId="4" r:id="rId3"/>
    <sheet name="Var by Dept by Month" sheetId="6" r:id="rId4"/>
    <sheet name="Helper Cells" sheetId="5" r:id="rId5"/>
    <sheet name="BudgetsforTable" sheetId="7" r:id="rId6"/>
    <sheet name="Data" sheetId="1" r:id="rId7"/>
  </sheets>
  <definedNames>
    <definedName name="Actual">Table1[[#Headers],[Actual]]</definedName>
    <definedName name="BestDeptVarbyMonth">'Var by Dept by Month'!$J$8</definedName>
    <definedName name="Budget">Table1[[#Headers],[Budget]]</definedName>
    <definedName name="BudgetTbl">Data!$A$1:$F$61</definedName>
    <definedName name="Department">Table1[[#Headers],[Department]]</definedName>
    <definedName name="FinanceActualSum">BudgetPivot!$C$16</definedName>
    <definedName name="FinanceBudgetSum">BudgetPivot!$B$16</definedName>
    <definedName name="FinancePercentVar">BudgetPivot!$E$16</definedName>
    <definedName name="FinanceSumVar">BudgetPivot!$D$16</definedName>
    <definedName name="HRActualSum">BudgetPivot!$G$16</definedName>
    <definedName name="HRBudgetSum">BudgetPivot!$F$16</definedName>
    <definedName name="HRPercentVar">BudgetPivot!$I$16</definedName>
    <definedName name="HRSumVar">BudgetPivot!$H$16</definedName>
    <definedName name="ITActualSum">BudgetPivot!$K$16</definedName>
    <definedName name="ITBudgetSum">BudgetPivot!$J$16</definedName>
    <definedName name="ITPercentVar">BudgetPivot!$M$16</definedName>
    <definedName name="ITSumVar">BudgetPivot!$L$16</definedName>
    <definedName name="LatestMonth">'Var by Dept by Month'!$J$2</definedName>
    <definedName name="MarketActualSum">BudgetPivot!$O$16</definedName>
    <definedName name="MarketBudgetSum">BudgetPivot!$N$16</definedName>
    <definedName name="MarketPercentVar">BudgetPivot!$Q$16</definedName>
    <definedName name="MarketVarSum">BudgetPivot!$P$16</definedName>
    <definedName name="Month">Table1[[#Headers],[Month]]</definedName>
    <definedName name="MonthDate">Table1[[#Headers],[MonthDate]]</definedName>
    <definedName name="OpsActualSum">BudgetPivot!$S$16</definedName>
    <definedName name="OpsBudgetSum">BudgetPivot!$R$16</definedName>
    <definedName name="OpsPercentVar">BudgetPivot!$U$16</definedName>
    <definedName name="OpsSumVar">BudgetPivot!$T$16</definedName>
    <definedName name="Slicer_Department">#N/A</definedName>
    <definedName name="SumVarCalc">'BudgetPivot NoDept'!$C$14</definedName>
    <definedName name="TotalActual">'Helper Cells'!$B$3</definedName>
    <definedName name="TotalActualSum">'BudgetPivot NoDept'!$C$14</definedName>
    <definedName name="TotalBudget">'Helper Cells'!$B$2</definedName>
    <definedName name="TotalBudgetSum">'BudgetPivot NoDept'!$E$14</definedName>
    <definedName name="TotalSumActual">'BudgetPivot NoDept'!$D$14</definedName>
    <definedName name="TotalVariance">'Helper Cells'!$B$4</definedName>
    <definedName name="TotalVarPercent">'BudgetPivot NoDept'!$B$14</definedName>
    <definedName name="Variance">Table1[[#Headers],[Variance]]</definedName>
    <definedName name="WorstDeptbyVar">'Helper Cells'!$B$8</definedName>
    <definedName name="WorstDeptVarbyMonth">'Var by Dept by Month'!$J$5</definedName>
  </definedNames>
  <calcPr calcId="191028"/>
  <pivotCaches>
    <pivotCache cacheId="2"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0" i="3" l="1"/>
  <c r="G10" i="3"/>
  <c r="G6" i="3"/>
  <c r="K10" i="3"/>
  <c r="K6" i="3"/>
  <c r="S10" i="3"/>
  <c r="S6" i="3"/>
  <c r="O9" i="3"/>
  <c r="O10" i="3"/>
  <c r="K9" i="3"/>
  <c r="G9" i="3"/>
  <c r="C9" i="3"/>
  <c r="B12" i="5"/>
  <c r="B11" i="5"/>
  <c r="B10" i="5"/>
  <c r="O6" i="3"/>
  <c r="S5" i="3"/>
  <c r="C6" i="3"/>
  <c r="B5" i="5" a="1"/>
  <c r="B5" i="5" s="1"/>
  <c r="J2" i="6" a="1"/>
  <c r="J2" i="6" s="1"/>
  <c r="J6" i="6" s="1"/>
  <c r="J7" i="6" s="1"/>
  <c r="J8" i="6" s="1"/>
  <c r="B14" i="5" s="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B54" i="1"/>
  <c r="B55" i="1"/>
  <c r="B56" i="1"/>
  <c r="B57" i="1"/>
  <c r="B58" i="1"/>
  <c r="B59" i="1"/>
  <c r="B60" i="1"/>
  <c r="B61" i="1"/>
  <c r="B4" i="5"/>
  <c r="B3" i="5"/>
  <c r="B2" i="5"/>
  <c r="O5" i="3"/>
  <c r="B7" i="5" l="1"/>
  <c r="J3" i="6"/>
  <c r="J4" i="6" s="1"/>
  <c r="J5" i="6" s="1"/>
  <c r="B13" i="5" s="1"/>
  <c r="S9" i="3" s="1"/>
  <c r="K5" i="3"/>
  <c r="G5" i="3"/>
  <c r="C5"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<sst xmlns="http://schemas.openxmlformats.org/spreadsheetml/2006/main" count="253" uniqueCount="71">
  <si>
    <t>Month</t>
  </si>
  <si>
    <t>MonthDate</t>
  </si>
  <si>
    <t>Department</t>
  </si>
  <si>
    <t>Budget</t>
  </si>
  <si>
    <t>Actual</t>
  </si>
  <si>
    <t>Variance</t>
  </si>
  <si>
    <t>Jan-2024</t>
  </si>
  <si>
    <t>Finance</t>
  </si>
  <si>
    <t>HR</t>
  </si>
  <si>
    <t>Marketing</t>
  </si>
  <si>
    <t>IT</t>
  </si>
  <si>
    <t>Operations</t>
  </si>
  <si>
    <t>Feb-2024</t>
  </si>
  <si>
    <t>Mar-2024</t>
  </si>
  <si>
    <t>Apr-2024</t>
  </si>
  <si>
    <t>May-2024</t>
  </si>
  <si>
    <t>Jun-2024</t>
  </si>
  <si>
    <t>Jul-2024</t>
  </si>
  <si>
    <t>Aug-2024</t>
  </si>
  <si>
    <t>Sep-2024</t>
  </si>
  <si>
    <t>Oct-2024</t>
  </si>
  <si>
    <t>Nov-2024</t>
  </si>
  <si>
    <t>Dec-2024</t>
  </si>
  <si>
    <t>Column Labels</t>
  </si>
  <si>
    <t>Row Labels</t>
  </si>
  <si>
    <t>Sum of Budget</t>
  </si>
  <si>
    <t>Sum of Actual</t>
  </si>
  <si>
    <t>Sum of Variance</t>
  </si>
  <si>
    <t>Sum of Percentage Variance</t>
  </si>
  <si>
    <t>Jan</t>
  </si>
  <si>
    <t>Feb</t>
  </si>
  <si>
    <t>Mar</t>
  </si>
  <si>
    <t>Apr</t>
  </si>
  <si>
    <t>May</t>
  </si>
  <si>
    <t>Jun</t>
  </si>
  <si>
    <t>Jul</t>
  </si>
  <si>
    <t>Aug</t>
  </si>
  <si>
    <t>Sep</t>
  </si>
  <si>
    <t>Oct</t>
  </si>
  <si>
    <t>Nov</t>
  </si>
  <si>
    <t>Dec</t>
  </si>
  <si>
    <t>Grand Total</t>
  </si>
  <si>
    <t>Months (MonthDate)</t>
  </si>
  <si>
    <t>Sum of Variance Calculation</t>
  </si>
  <si>
    <t>Total Budget</t>
  </si>
  <si>
    <t>Total Actual</t>
  </si>
  <si>
    <t>Total Variance</t>
  </si>
  <si>
    <t>Latest Month</t>
  </si>
  <si>
    <t>Budget (latest month)</t>
  </si>
  <si>
    <t>Actual (latest month)</t>
  </si>
  <si>
    <t>Totals</t>
  </si>
  <si>
    <t>Variance (latest month)</t>
  </si>
  <si>
    <t>Worst department by variance (latest month)</t>
  </si>
  <si>
    <t>Worst department by variance</t>
  </si>
  <si>
    <t>What is the latest month?</t>
  </si>
  <si>
    <t>Lowest Variance for That Month</t>
  </si>
  <si>
    <t>Matches Which Department</t>
  </si>
  <si>
    <t>Combined String</t>
  </si>
  <si>
    <t>Best Variance for That Month</t>
  </si>
  <si>
    <t>Best department by variance (latest month)</t>
  </si>
  <si>
    <t>TOTAL BUDGET</t>
  </si>
  <si>
    <t>TOTAL ACTUAL</t>
  </si>
  <si>
    <t>TOTAL VARIANCE</t>
  </si>
  <si>
    <t>WORST DEPARTMENT BY VARIANCE</t>
  </si>
  <si>
    <t>TOTAL BUDGET LATEST MONTH</t>
  </si>
  <si>
    <t>TOTAL ACTUAL LATEST MONTH</t>
  </si>
  <si>
    <t>TOTAL VARIANCE LATEST MONTH</t>
  </si>
  <si>
    <t>WORST DEPARTMENT BY VARIANCE LATEST MONTH</t>
  </si>
  <si>
    <t>PERCENT VARIANCE TOTAL YEAR</t>
  </si>
  <si>
    <t>PERCENT VARIANCE LATEST MONTH</t>
  </si>
  <si>
    <t>Budget Automation Dashboard- FY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</si>
</sst>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71" formatCode="&quot;$&quot;#,##0.00"/>
  </numFmts>
  <fonts count="7" x14ac:knownFonts="1">
    <font>
      <sz val="11"/>
      <color theme="1"/>
      <name val="Aptos Narrow"/>
      <family val="2"/>
      <scheme val="minor"/>
    </font>
    <font>
      <b/>
      <sz val="11"/>
      <name val="Calibri"/>
      <family val="2"/>
    </font>
    <font>
      <sz val="8"/>
      <name val="Aptos Narrow"/>
      <family val="2"/>
      <scheme val="minor"/>
    </font>
    <font>
      <b/>
      <sz val="11"/>
      <color theme="1"/>
      <name val="Aptos Narrow"/>
      <family val="2"/>
      <scheme val="minor"/>
    </font>
    <font>
      <sz val="9"/>
      <color theme="1"/>
      <name val="Aptos Narrow"/>
      <family val="2"/>
      <scheme val="minor"/>
    </font>
    <font>
      <sz val="9"/>
      <color theme="0" tint="-0.499984740745262"/>
      <name val="Aptos Narrow"/>
      <family val="2"/>
      <scheme val="minor"/>
    </font>
    <font>
      <sz val="9"/>
      <color rgb="FF002060"/>
      <name val="Aptos Narrow"/>
      <family val="2"/>
      <scheme val="minor"/>
    </font>
  </fonts>
  <fills count="4">
    <fill>
      <patternFill patternType="none"/>
    </fill>
    <fill>
      <patternFill patternType="gray125"/>
    </fill>
    <fill>
      <patternFill patternType="solid">
        <fgColor theme="4" tint="0.79998168889431442"/>
        <bgColor indexed="64"/>
      </patternFill>
    </fill>
    <fill>
      <patternFill patternType="solid">
        <fgColor theme="0" tint="-0.14999847407452621"/>
        <bgColor indexed="64"/>
      </patternFill>
    </fill>
  </fills>
  <borders count="10">
    <border>
      <left/>
      <right/>
      <top/>
      <bottom/>
      <diagonal/>
    </border>
    <border>
      <left style="thin">
        <color auto="1"/>
      </left>
      <right style="thin">
        <color auto="1"/>
      </right>
      <top/>
      <bottom style="thin">
        <color auto="1"/>
      </bottom>
      <diagonal/>
    </border>
    <border>
      <left style="thick">
        <color rgb="FF0070C0"/>
      </left>
      <right/>
      <top style="thick">
        <color rgb="FF0070C0"/>
      </top>
      <bottom/>
      <diagonal/>
    </border>
    <border>
      <left/>
      <right/>
      <top style="thick">
        <color rgb="FF0070C0"/>
      </top>
      <bottom/>
      <diagonal/>
    </border>
    <border>
      <left/>
      <right style="thick">
        <color rgb="FF0070C0"/>
      </right>
      <top style="thick">
        <color rgb="FF0070C0"/>
      </top>
      <bottom/>
      <diagonal/>
    </border>
    <border>
      <left style="thick">
        <color rgb="FF0070C0"/>
      </left>
      <right/>
      <top/>
      <bottom/>
      <diagonal/>
    </border>
    <border>
      <left/>
      <right style="thick">
        <color rgb="FF0070C0"/>
      </right>
      <top/>
      <bottom/>
      <diagonal/>
    </border>
    <border>
      <left style="thick">
        <color rgb="FF0070C0"/>
      </left>
      <right/>
      <top/>
      <bottom style="thick">
        <color rgb="FF0070C0"/>
      </bottom>
      <diagonal/>
    </border>
    <border>
      <left/>
      <right/>
      <top/>
      <bottom style="thick">
        <color rgb="FF0070C0"/>
      </bottom>
      <diagonal/>
    </border>
    <border>
      <left/>
      <right style="thick">
        <color rgb="FF0070C0"/>
      </right>
      <top/>
      <bottom style="thick">
        <color rgb="FF0070C0"/>
      </bottom>
      <diagonal/>
    </border>
  </borders>
  <cellStyleXfs count="1">
    <xf numFmtId="0" fontId="0" fillId="0" borderId="0"/>
  </cellStyleXfs>
  <cellXfs count="54">
    <xf numFmtId="0" fontId="0" fillId="0" borderId="0" xfId="0"/>
    <xf numFmtId="0" fontId="1" fillId="0" borderId="1" xfId="0" applyFont="1" applyBorder="1" applyAlignment="1">
      <alignment horizontal="center" vertical="top"/>
    </xf>
    <xf numFmtId="0" fontId="0" fillId="0" borderId="0" xfId="0" pivotButton="1"/>
    <xf numFmtId="164" fontId="0" fillId="0" borderId="0" xfId="0" applyNumberFormat="1"/>
    <xf numFmtId="14" fontId="0" fillId="0" borderId="0" xfId="0" applyNumberFormat="1"/>
    <xf numFmtId="0" fontId="0" fillId="0" borderId="0" xfId="0" applyAlignment="1">
      <alignment horizontal="left"/>
    </xf>
    <xf numFmtId="14" fontId="1" fillId="0" borderId="1" xfId="0" applyNumberFormat="1" applyFont="1" applyBorder="1" applyAlignment="1">
      <alignment horizontal="center" vertical="top"/>
    </xf>
    <xf numFmtId="0" fontId="0" fillId="0" borderId="0" xfId="0" applyNumberFormat="1"/>
    <xf numFmtId="0" fontId="3" fillId="0" borderId="0" xfId="0" applyFont="1"/>
    <xf numFmtId="0" fontId="0" fillId="0" borderId="0" xfId="0" applyAlignment="1">
      <alignment horizontal="center" vertical="center"/>
    </xf>
    <xf numFmtId="0" fontId="0" fillId="0" borderId="0" xfId="0" applyAlignment="1">
      <alignment horizontal="center"/>
    </xf>
    <xf numFmtId="0" fontId="4" fillId="0" borderId="0" xfId="0" applyFont="1"/>
    <xf numFmtId="0" fontId="5" fillId="2" borderId="2" xfId="0" applyFont="1" applyFill="1" applyBorder="1" applyAlignment="1">
      <alignment horizontal="centerContinuous" vertical="center" wrapText="1"/>
    </xf>
    <xf numFmtId="0" fontId="5" fillId="2" borderId="3" xfId="0" applyFont="1" applyFill="1" applyBorder="1" applyAlignment="1">
      <alignment horizontal="centerContinuous" vertical="center" wrapText="1"/>
    </xf>
    <xf numFmtId="0" fontId="5" fillId="2" borderId="4" xfId="0" applyFont="1" applyFill="1" applyBorder="1" applyAlignment="1">
      <alignment horizontal="centerContinuous" vertical="center" wrapText="1"/>
    </xf>
    <xf numFmtId="0" fontId="5" fillId="0" borderId="0" xfId="0" applyFont="1"/>
    <xf numFmtId="0" fontId="5" fillId="2" borderId="5" xfId="0" applyFont="1" applyFill="1" applyBorder="1" applyAlignment="1">
      <alignment horizontal="centerContinuous" vertical="center" wrapText="1"/>
    </xf>
    <xf numFmtId="0" fontId="5" fillId="2" borderId="6" xfId="0" applyFont="1" applyFill="1" applyBorder="1" applyAlignment="1">
      <alignment horizontal="centerContinuous" vertical="center" wrapText="1"/>
    </xf>
    <xf numFmtId="0" fontId="5" fillId="2" borderId="7" xfId="0" applyFont="1" applyFill="1" applyBorder="1" applyAlignment="1">
      <alignment horizontal="centerContinuous" vertical="center" wrapText="1"/>
    </xf>
    <xf numFmtId="0" fontId="5" fillId="2" borderId="9" xfId="0" applyFont="1" applyFill="1" applyBorder="1" applyAlignment="1">
      <alignment horizontal="centerContinuous" vertical="center" wrapText="1"/>
    </xf>
    <xf numFmtId="0" fontId="5" fillId="2" borderId="8" xfId="0" applyFont="1" applyFill="1" applyBorder="1" applyAlignment="1">
      <alignment horizontal="center" vertical="center"/>
    </xf>
    <xf numFmtId="0" fontId="5" fillId="2" borderId="0" xfId="0" applyFont="1" applyFill="1" applyBorder="1" applyAlignment="1">
      <alignment horizontal="center" wrapText="1"/>
    </xf>
    <xf numFmtId="0" fontId="5" fillId="2" borderId="8" xfId="0" applyFont="1" applyFill="1" applyBorder="1" applyAlignment="1">
      <alignment horizontal="center"/>
    </xf>
    <xf numFmtId="171" fontId="5" fillId="2" borderId="0" xfId="0" applyNumberFormat="1" applyFont="1" applyFill="1" applyBorder="1" applyAlignment="1">
      <alignment horizontal="center" vertical="center" wrapText="1"/>
    </xf>
    <xf numFmtId="171" fontId="5" fillId="2" borderId="0" xfId="0" applyNumberFormat="1" applyFont="1" applyFill="1" applyBorder="1" applyAlignment="1">
      <alignment horizontal="center" wrapText="1"/>
    </xf>
    <xf numFmtId="0" fontId="6" fillId="0" borderId="0" xfId="0" applyFont="1"/>
    <xf numFmtId="0" fontId="6" fillId="3" borderId="5" xfId="0" applyFont="1" applyFill="1" applyBorder="1" applyAlignment="1">
      <alignment horizontal="center" vertical="center"/>
    </xf>
    <xf numFmtId="171" fontId="6" fillId="3" borderId="0" xfId="0" applyNumberFormat="1" applyFont="1" applyFill="1" applyBorder="1" applyAlignment="1">
      <alignment horizontal="center" vertical="center"/>
    </xf>
    <xf numFmtId="0" fontId="6" fillId="3" borderId="6" xfId="0" applyFont="1" applyFill="1" applyBorder="1" applyAlignment="1">
      <alignment horizontal="center" vertical="center"/>
    </xf>
    <xf numFmtId="0" fontId="6" fillId="3" borderId="2" xfId="0" applyFont="1" applyFill="1" applyBorder="1" applyAlignment="1">
      <alignment horizontal="centerContinuous" vertical="distributed" wrapText="1"/>
    </xf>
    <xf numFmtId="0" fontId="6" fillId="3" borderId="3" xfId="0" applyFont="1" applyFill="1" applyBorder="1" applyAlignment="1">
      <alignment horizontal="centerContinuous" vertical="distributed" wrapText="1"/>
    </xf>
    <xf numFmtId="0" fontId="6" fillId="3" borderId="4" xfId="0" applyFont="1" applyFill="1" applyBorder="1" applyAlignment="1">
      <alignment horizontal="centerContinuous" vertical="distributed" wrapText="1"/>
    </xf>
    <xf numFmtId="0" fontId="6" fillId="3" borderId="2" xfId="0" applyFont="1" applyFill="1" applyBorder="1" applyAlignment="1">
      <alignment horizontal="centerContinuous" vertical="center" wrapText="1"/>
    </xf>
    <xf numFmtId="0" fontId="6" fillId="3" borderId="3" xfId="0" applyFont="1" applyFill="1" applyBorder="1" applyAlignment="1">
      <alignment horizontal="centerContinuous" vertical="center" wrapText="1"/>
    </xf>
    <xf numFmtId="0" fontId="6" fillId="3" borderId="4" xfId="0" applyFont="1" applyFill="1" applyBorder="1" applyAlignment="1">
      <alignment horizontal="centerContinuous" vertical="center" wrapText="1"/>
    </xf>
    <xf numFmtId="0" fontId="6"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9" xfId="0" applyFont="1" applyFill="1" applyBorder="1" applyAlignment="1">
      <alignment horizontal="center" vertical="center"/>
    </xf>
    <xf numFmtId="0" fontId="6" fillId="3" borderId="7" xfId="0" applyFont="1" applyFill="1" applyBorder="1" applyAlignment="1">
      <alignment horizontal="centerContinuous" vertical="center" wrapText="1"/>
    </xf>
    <xf numFmtId="0" fontId="6" fillId="3" borderId="9" xfId="0" applyFont="1" applyFill="1" applyBorder="1" applyAlignment="1">
      <alignment horizontal="centerContinuous" vertical="center" wrapText="1"/>
    </xf>
    <xf numFmtId="0" fontId="6" fillId="3" borderId="5" xfId="0" applyFont="1" applyFill="1" applyBorder="1" applyAlignment="1">
      <alignment horizontal="centerContinuous" vertical="center" wrapText="1"/>
    </xf>
    <xf numFmtId="0" fontId="6" fillId="3" borderId="6" xfId="0" applyFont="1" applyFill="1" applyBorder="1" applyAlignment="1">
      <alignment horizontal="centerContinuous" vertical="center" wrapText="1"/>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10" fontId="0" fillId="0" borderId="0" xfId="0" applyNumberFormat="1"/>
    <xf numFmtId="10" fontId="5" fillId="2" borderId="0" xfId="0" applyNumberFormat="1" applyFont="1" applyFill="1" applyBorder="1" applyAlignment="1">
      <alignment horizontal="center" wrapText="1"/>
    </xf>
    <xf numFmtId="0" fontId="5" fillId="2" borderId="2" xfId="0" applyFont="1" applyFill="1" applyBorder="1" applyAlignment="1">
      <alignment horizontal="center"/>
    </xf>
    <xf numFmtId="0" fontId="5" fillId="2" borderId="3" xfId="0" applyFont="1" applyFill="1" applyBorder="1" applyAlignment="1">
      <alignment horizontal="center"/>
    </xf>
    <xf numFmtId="0" fontId="5" fillId="2" borderId="4" xfId="0" applyFont="1" applyFill="1" applyBorder="1" applyAlignment="1">
      <alignment horizontal="center"/>
    </xf>
    <xf numFmtId="171" fontId="0" fillId="0" borderId="0" xfId="0" applyNumberFormat="1"/>
    <xf numFmtId="0" fontId="5" fillId="2" borderId="0" xfId="0" applyFont="1" applyFill="1" applyBorder="1" applyAlignment="1">
      <alignment horizontal="center"/>
    </xf>
    <xf numFmtId="0" fontId="6" fillId="3" borderId="0" xfId="0" applyFont="1" applyFill="1" applyBorder="1" applyAlignment="1">
      <alignment horizontal="center" vertical="center" wrapText="1"/>
    </xf>
    <xf numFmtId="0" fontId="0" fillId="0" borderId="0" xfId="0" applyFill="1"/>
  </cellXfs>
  <cellStyles count="1">
    <cellStyle name="Normal" xfId="0" builtinId="0"/>
  </cellStyles>
  <dxfs count="30">
    <dxf>
      <font>
        <color rgb="FF00B050"/>
      </font>
    </dxf>
    <dxf>
      <font>
        <color rgb="FFFF0000"/>
      </font>
    </dxf>
    <dxf>
      <font>
        <color rgb="FF00B050"/>
      </font>
    </dxf>
    <dxf>
      <font>
        <color rgb="FFFF0000"/>
      </font>
    </dxf>
    <dxf>
      <font>
        <color rgb="FFFF0000"/>
      </font>
    </dxf>
    <dxf>
      <font>
        <color rgb="FF00B050"/>
      </font>
    </dxf>
    <dxf>
      <font>
        <color rgb="FFFF0000"/>
      </font>
    </dxf>
    <dxf>
      <font>
        <color rgb="FF00B050"/>
      </font>
    </dxf>
    <dxf>
      <font>
        <color rgb="FFFF0000"/>
      </font>
    </dxf>
    <dxf>
      <font>
        <color rgb="FF00B050"/>
      </font>
    </dxf>
    <dxf>
      <font>
        <color rgb="FFFF0000"/>
      </font>
    </dxf>
    <dxf>
      <font>
        <color rgb="FF00B050"/>
      </font>
    </dxf>
    <dxf>
      <font>
        <b/>
        <color theme="1"/>
      </font>
      <border>
        <bottom style="thin">
          <color theme="4"/>
        </bottom>
        <vertical/>
        <horizontal/>
      </border>
    </dxf>
    <dxf>
      <font>
        <color theme="1"/>
      </font>
      <border diagonalUp="0" diagonalDown="0">
        <left/>
        <right/>
        <top/>
        <bottom/>
        <vertical/>
        <horizontal/>
      </border>
    </dxf>
    <dxf>
      <numFmt numFmtId="171" formatCode="&quot;$&quot;#,##0.00"/>
    </dxf>
    <dxf>
      <numFmt numFmtId="14" formatCode="0.0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4" formatCode="0.0%"/>
    </dxf>
    <dxf>
      <numFmt numFmtId="164" formatCode="0.0%"/>
    </dxf>
    <dxf>
      <numFmt numFmtId="164" formatCode="0.0%"/>
    </dxf>
    <dxf>
      <numFmt numFmtId="164" formatCode="0.0%"/>
    </dxf>
    <dxf>
      <numFmt numFmtId="164" formatCode="0.0%"/>
    </dxf>
    <dxf>
      <numFmt numFmtId="164" formatCode="0.0%"/>
    </dxf>
    <dxf>
      <numFmt numFmtId="19" formatCode="m/d/yyyy"/>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1" defaultTableStyle="TableStyleMedium2" defaultPivotStyle="PivotStyleMedium9">
    <tableStyle name="SlicerStyleLight1 2" pivot="0" table="0" count="10" xr9:uid="{92ED0720-42E9-486C-A369-6FD77ABB833A}">
      <tableStyleElement type="wholeTable" dxfId="13"/>
      <tableStyleElement type="headerRow" dxfId="12"/>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[Budget Automation.xlsx]BudgetsforTable!PivotTable2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t>Monthly Budget Performance – Actual vs Budget with Variance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bg1">
              <a:lumMod val="65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1"/>
          <c:order val="1"/>
          <c:tx>
            <c:strRef>
              <c:f>BudgetsforTable!$C$3</c:f>
              <c:strCache>
                <c:ptCount val="1"/>
                <c:pt idx="0">
                  <c:v>Sum of Actual</c:v>
                </c:pt>
              </c:strCache>
            </c:strRef>
          </c:tx>
          <c:spPr>
            <a:solidFill>
              <a:schemeClr val="bg1">
                <a:lumMod val="65000"/>
              </a:schemeClr>
            </a:solidFill>
            <a:ln>
              <a:noFill/>
            </a:ln>
            <a:effectLst/>
          </c:spPr>
          <c:invertIfNegative val="0"/>
          <c:cat>
            <c:strRef>
              <c:f>BudgetsforTable!$A$4:$A$16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BudgetsforTable!$C$4:$C$16</c:f>
              <c:numCache>
                <c:formatCode>General</c:formatCode>
                <c:ptCount val="12"/>
                <c:pt idx="0">
                  <c:v>54200</c:v>
                </c:pt>
                <c:pt idx="1">
                  <c:v>88270</c:v>
                </c:pt>
                <c:pt idx="2">
                  <c:v>47796</c:v>
                </c:pt>
                <c:pt idx="3">
                  <c:v>67145</c:v>
                </c:pt>
                <c:pt idx="4">
                  <c:v>66358</c:v>
                </c:pt>
                <c:pt idx="5">
                  <c:v>56916</c:v>
                </c:pt>
                <c:pt idx="6">
                  <c:v>65074</c:v>
                </c:pt>
                <c:pt idx="7">
                  <c:v>55037</c:v>
                </c:pt>
                <c:pt idx="8">
                  <c:v>52785</c:v>
                </c:pt>
                <c:pt idx="9">
                  <c:v>60289</c:v>
                </c:pt>
                <c:pt idx="10">
                  <c:v>73346</c:v>
                </c:pt>
                <c:pt idx="11">
                  <c:v>54098</c:v>
                </c:pt>
              </c:numCache>
            </c:numRef>
          </c:val>
          <c:extLst>
            <c:ext xmlns:c16="http://schemas.microsoft.com/office/drawing/2014/chart" uri="{C3380CC4-5D6E-409C-BE32-E72D297353CC}">
              <c16:uniqueId val="{00000000-FD8B-4F37-9A86-C16018513753}"/>
            </c:ext>
          </c:extLst>
        </c:ser>
        <c:ser>
          <c:idx val="2"/>
          <c:order val="2"/>
          <c:tx>
            <c:strRef>
              <c:f>BudgetsforTable!$D$3</c:f>
              <c:strCache>
                <c:ptCount val="1"/>
                <c:pt idx="0">
                  <c:v>Sum of Budget</c:v>
                </c:pt>
              </c:strCache>
            </c:strRef>
          </c:tx>
          <c:spPr>
            <a:solidFill>
              <a:schemeClr val="accent1">
                <a:lumMod val="60000"/>
                <a:lumOff val="40000"/>
              </a:schemeClr>
            </a:solidFill>
            <a:ln>
              <a:noFill/>
            </a:ln>
            <a:effectLst/>
          </c:spPr>
          <c:invertIfNegative val="0"/>
          <c:cat>
            <c:strRef>
              <c:f>BudgetsforTable!$A$4:$A$16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BudgetsforTable!$D$4:$D$16</c:f>
              <c:numCache>
                <c:formatCode>General</c:formatCode>
                <c:ptCount val="12"/>
                <c:pt idx="0">
                  <c:v>56825</c:v>
                </c:pt>
                <c:pt idx="1">
                  <c:v>43580</c:v>
                </c:pt>
                <c:pt idx="2">
                  <c:v>64554</c:v>
                </c:pt>
                <c:pt idx="3">
                  <c:v>66774</c:v>
                </c:pt>
                <c:pt idx="4">
                  <c:v>43611</c:v>
                </c:pt>
                <c:pt idx="5">
                  <c:v>61555</c:v>
                </c:pt>
                <c:pt idx="6">
                  <c:v>80567</c:v>
                </c:pt>
                <c:pt idx="7">
                  <c:v>47634</c:v>
                </c:pt>
                <c:pt idx="8">
                  <c:v>65307</c:v>
                </c:pt>
                <c:pt idx="9">
                  <c:v>61127</c:v>
                </c:pt>
                <c:pt idx="10">
                  <c:v>77425</c:v>
                </c:pt>
                <c:pt idx="11">
                  <c:v>73950</c:v>
                </c:pt>
              </c:numCache>
            </c:numRef>
          </c:val>
          <c:extLst>
            <c:ext xmlns:c16="http://schemas.microsoft.com/office/drawing/2014/chart" uri="{C3380CC4-5D6E-409C-BE32-E72D297353CC}">
              <c16:uniqueId val="{00000001-FD8B-4F37-9A86-C16018513753}"/>
            </c:ext>
          </c:extLst>
        </c:ser>
        <c:dLbls>
          <c:showLegendKey val="0"/>
          <c:showVal val="0"/>
          <c:showCatName val="0"/>
          <c:showSerName val="0"/>
          <c:showPercent val="0"/>
          <c:showBubbleSize val="0"/>
        </c:dLbls>
        <c:gapWidth val="219"/>
        <c:axId val="1543594464"/>
        <c:axId val="1521425200"/>
      </c:barChart>
      <c:lineChart>
        <c:grouping val="standard"/>
        <c:varyColors val="0"/>
        <c:ser>
          <c:idx val="0"/>
          <c:order val="0"/>
          <c:tx>
            <c:strRef>
              <c:f>BudgetsforTable!$B$3</c:f>
              <c:strCache>
                <c:ptCount val="1"/>
                <c:pt idx="0">
                  <c:v>Sum of Variance</c:v>
                </c:pt>
              </c:strCache>
            </c:strRef>
          </c:tx>
          <c:spPr>
            <a:ln w="28575" cap="rnd">
              <a:solidFill>
                <a:srgbClr val="C00000"/>
              </a:solidFill>
              <a:round/>
            </a:ln>
            <a:effectLst/>
          </c:spPr>
          <c:marker>
            <c:symbol val="none"/>
          </c:marker>
          <c:cat>
            <c:strRef>
              <c:f>BudgetsforTable!$A$4:$A$16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BudgetsforTable!$B$4:$B$16</c:f>
              <c:numCache>
                <c:formatCode>General</c:formatCode>
                <c:ptCount val="12"/>
                <c:pt idx="0">
                  <c:v>-2625</c:v>
                </c:pt>
                <c:pt idx="1">
                  <c:v>44690</c:v>
                </c:pt>
                <c:pt idx="2">
                  <c:v>-16758</c:v>
                </c:pt>
                <c:pt idx="3">
                  <c:v>371</c:v>
                </c:pt>
                <c:pt idx="4">
                  <c:v>22747</c:v>
                </c:pt>
                <c:pt idx="5">
                  <c:v>-4639</c:v>
                </c:pt>
                <c:pt idx="6">
                  <c:v>-15493</c:v>
                </c:pt>
                <c:pt idx="7">
                  <c:v>7403</c:v>
                </c:pt>
                <c:pt idx="8">
                  <c:v>-12522</c:v>
                </c:pt>
                <c:pt idx="9">
                  <c:v>-838</c:v>
                </c:pt>
                <c:pt idx="10">
                  <c:v>-4079</c:v>
                </c:pt>
                <c:pt idx="11">
                  <c:v>-19852</c:v>
                </c:pt>
              </c:numCache>
            </c:numRef>
          </c:val>
          <c:smooth val="0"/>
          <c:extLst>
            <c:ext xmlns:c16="http://schemas.microsoft.com/office/drawing/2014/chart" uri="{C3380CC4-5D6E-409C-BE32-E72D297353CC}">
              <c16:uniqueId val="{00000002-FD8B-4F37-9A86-C16018513753}"/>
            </c:ext>
          </c:extLst>
        </c:ser>
        <c:dLbls>
          <c:showLegendKey val="0"/>
          <c:showVal val="0"/>
          <c:showCatName val="0"/>
          <c:showSerName val="0"/>
          <c:showPercent val="0"/>
          <c:showBubbleSize val="0"/>
        </c:dLbls>
        <c:marker val="1"/>
        <c:smooth val="0"/>
        <c:axId val="1020735536"/>
        <c:axId val="1020735056"/>
      </c:lineChart>
      <c:catAx>
        <c:axId val="1543594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1425200"/>
        <c:crosses val="autoZero"/>
        <c:auto val="1"/>
        <c:lblAlgn val="ctr"/>
        <c:lblOffset val="100"/>
        <c:noMultiLvlLbl val="0"/>
      </c:catAx>
      <c:valAx>
        <c:axId val="1521425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Budget/Actual</a:t>
                </a:r>
                <a:r>
                  <a:rPr lang="en-US" baseline="0"/>
                  <a:t>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3594464"/>
        <c:crosses val="autoZero"/>
        <c:crossBetween val="between"/>
      </c:valAx>
      <c:valAx>
        <c:axId val="1020735056"/>
        <c:scaling>
          <c:orientation val="minMax"/>
        </c:scaling>
        <c:delete val="0"/>
        <c:axPos val="r"/>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Variance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0735536"/>
        <c:crosses val="max"/>
        <c:crossBetween val="between"/>
      </c:valAx>
      <c:catAx>
        <c:axId val="1020735536"/>
        <c:scaling>
          <c:orientation val="minMax"/>
        </c:scaling>
        <c:delete val="1"/>
        <c:axPos val="b"/>
        <c:numFmt formatCode="General" sourceLinked="1"/>
        <c:majorTickMark val="out"/>
        <c:minorTickMark val="none"/>
        <c:tickLblPos val="nextTo"/>
        <c:crossAx val="102073505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509411</xdr:colOff>
      <xdr:row>12</xdr:row>
      <xdr:rowOff>8820</xdr:rowOff>
    </xdr:from>
    <xdr:to>
      <xdr:col>12</xdr:col>
      <xdr:colOff>436738</xdr:colOff>
      <xdr:row>26</xdr:row>
      <xdr:rowOff>173214</xdr:rowOff>
    </xdr:to>
    <xdr:graphicFrame macro="">
      <xdr:nvGraphicFramePr>
        <xdr:cNvPr id="5" name="Chart 1">
          <a:extLst>
            <a:ext uri="{FF2B5EF4-FFF2-40B4-BE49-F238E27FC236}">
              <a16:creationId xmlns:a16="http://schemas.microsoft.com/office/drawing/2014/main" id="{22998168-9FE8-3FF4-2CD3-5B59313E4A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116415</xdr:colOff>
      <xdr:row>12</xdr:row>
      <xdr:rowOff>17639</xdr:rowOff>
    </xdr:from>
    <xdr:to>
      <xdr:col>16</xdr:col>
      <xdr:colOff>479777</xdr:colOff>
      <xdr:row>18</xdr:row>
      <xdr:rowOff>134056</xdr:rowOff>
    </xdr:to>
    <mc:AlternateContent xmlns:mc="http://schemas.openxmlformats.org/markup-compatibility/2006">
      <mc:Choice xmlns:a14="http://schemas.microsoft.com/office/drawing/2010/main" Requires="a14">
        <xdr:graphicFrame macro="">
          <xdr:nvGraphicFramePr>
            <xdr:cNvPr id="6" name="Department">
              <a:extLst>
                <a:ext uri="{FF2B5EF4-FFF2-40B4-BE49-F238E27FC236}">
                  <a16:creationId xmlns:a16="http://schemas.microsoft.com/office/drawing/2014/main" id="{4C947AB7-1510-523E-7B1A-1B0BFD881F9C}"/>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8068026" y="2451806"/>
              <a:ext cx="2183695" cy="12170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1.41463634259" createdVersion="8" refreshedVersion="8" minRefreshableVersion="3" recordCount="60" xr:uid="{083D6E01-8E4C-43DF-A324-E8D4C80B1A15}">
  <cacheSource type="worksheet">
    <worksheetSource name="Table1"/>
  </cacheSource>
  <cacheFields count="10">
    <cacheField name="Month" numFmtId="0">
      <sharedItems/>
    </cacheField>
    <cacheField name="MonthDate" numFmtId="14">
      <sharedItems containsSemiMixedTypes="0" containsNonDate="0" containsDate="1" containsString="0" minDate="2024-01-01T00:00:00" maxDate="2024-12-02T00:00:00" count="12">
        <d v="2024-01-01T00:00:00"/>
        <d v="2024-02-01T00:00:00"/>
        <d v="2024-03-01T00:00:00"/>
        <d v="2024-04-01T00:00:00"/>
        <d v="2024-05-01T00:00:00"/>
        <d v="2024-06-01T00:00:00"/>
        <d v="2024-07-01T00:00:00"/>
        <d v="2024-08-01T00:00:00"/>
        <d v="2024-09-01T00:00:00"/>
        <d v="2024-10-01T00:00:00"/>
        <d v="2024-11-01T00:00:00"/>
        <d v="2024-12-01T00:00:00"/>
      </sharedItems>
      <fieldGroup par="9"/>
    </cacheField>
    <cacheField name="Department" numFmtId="0">
      <sharedItems count="5">
        <s v="Finance"/>
        <s v="HR"/>
        <s v="Marketing"/>
        <s v="IT"/>
        <s v="Operations"/>
      </sharedItems>
    </cacheField>
    <cacheField name="Budget" numFmtId="0">
      <sharedItems containsSemiMixedTypes="0" containsString="0" containsNumber="1" containsInteger="1" minValue="5182" maxValue="19743"/>
    </cacheField>
    <cacheField name="Actual" numFmtId="0">
      <sharedItems containsSemiMixedTypes="0" containsString="0" containsNumber="1" containsInteger="1" minValue="4024" maxValue="21972"/>
    </cacheField>
    <cacheField name="Variance" numFmtId="0">
      <sharedItems containsSemiMixedTypes="0" containsString="0" containsNumber="1" containsInteger="1" minValue="-13113" maxValue="16335"/>
    </cacheField>
    <cacheField name="Variance Calculation" numFmtId="0" formula="Actual-Budget" databaseField="0"/>
    <cacheField name="Percentage Variance" numFmtId="0" formula="Variance/Budget" databaseField="0"/>
    <cacheField name="Days (MonthDate)" numFmtId="0" databaseField="0">
      <fieldGroup base="1">
        <rangePr groupBy="days" startDate="2024-01-01T00:00:00" endDate="2024-12-02T00:00:00"/>
        <groupItems count="368">
          <s v="&lt;1/1/2024"/>
          <s v="1-Jan"/>
          <s v="2-Jan"/>
          <s v="3-Jan"/>
          <s v="4-Jan"/>
          <s v="5-Jan"/>
          <s v="6-Jan"/>
          <s v="7-Jan"/>
          <s v="8-Jan"/>
          <s v="9-Jan"/>
          <s v="10-Jan"/>
          <s v="11-Jan"/>
          <s v="12-Jan"/>
          <s v="13-Jan"/>
          <s v="14-Jan"/>
          <s v="15-Jan"/>
          <s v="16-Jan"/>
          <s v="17-Jan"/>
          <s v="18-Jan"/>
          <s v="19-Jan"/>
          <s v="20-Jan"/>
          <s v="21-Jan"/>
          <s v="22-Jan"/>
          <s v="23-Jan"/>
          <s v="24-Jan"/>
          <s v="25-Jan"/>
          <s v="26-Jan"/>
          <s v="27-Jan"/>
          <s v="28-Jan"/>
          <s v="29-Jan"/>
          <s v="30-Jan"/>
          <s v="31-Jan"/>
          <s v="1-Feb"/>
          <s v="2-Feb"/>
          <s v="3-Feb"/>
          <s v="4-Feb"/>
          <s v="5-Feb"/>
          <s v="6-Feb"/>
          <s v="7-Feb"/>
          <s v="8-Feb"/>
          <s v="9-Feb"/>
          <s v="10-Feb"/>
          <s v="11-Feb"/>
          <s v="12-Feb"/>
          <s v="13-Feb"/>
          <s v="14-Feb"/>
          <s v="15-Feb"/>
          <s v="16-Feb"/>
          <s v="17-Feb"/>
          <s v="18-Feb"/>
          <s v="19-Feb"/>
          <s v="20-Feb"/>
          <s v="21-Feb"/>
          <s v="22-Feb"/>
          <s v="23-Feb"/>
          <s v="24-Feb"/>
          <s v="25-Feb"/>
          <s v="26-Feb"/>
          <s v="27-Feb"/>
          <s v="28-Feb"/>
          <s v="29-Feb"/>
          <s v="1-Mar"/>
          <s v="2-Mar"/>
          <s v="3-Mar"/>
          <s v="4-Mar"/>
          <s v="5-Mar"/>
          <s v="6-Mar"/>
          <s v="7-Mar"/>
          <s v="8-Mar"/>
          <s v="9-Mar"/>
          <s v="10-Mar"/>
          <s v="11-Mar"/>
          <s v="12-Mar"/>
          <s v="13-Mar"/>
          <s v="14-Mar"/>
          <s v="15-Mar"/>
          <s v="16-Mar"/>
          <s v="17-Mar"/>
          <s v="18-Mar"/>
          <s v="19-Mar"/>
          <s v="20-Mar"/>
          <s v="21-Mar"/>
          <s v="22-Mar"/>
          <s v="23-Mar"/>
          <s v="24-Mar"/>
          <s v="25-Mar"/>
          <s v="26-Mar"/>
          <s v="27-Mar"/>
          <s v="28-Mar"/>
          <s v="29-Mar"/>
          <s v="30-Mar"/>
          <s v="31-Mar"/>
          <s v="1-Apr"/>
          <s v="2-Apr"/>
          <s v="3-Apr"/>
          <s v="4-Apr"/>
          <s v="5-Apr"/>
          <s v="6-Apr"/>
          <s v="7-Apr"/>
          <s v="8-Apr"/>
          <s v="9-Apr"/>
          <s v="10-Apr"/>
          <s v="11-Apr"/>
          <s v="12-Apr"/>
          <s v="13-Apr"/>
          <s v="14-Apr"/>
          <s v="15-Apr"/>
          <s v="16-Apr"/>
          <s v="17-Apr"/>
          <s v="18-Apr"/>
          <s v="19-Apr"/>
          <s v="20-Apr"/>
          <s v="21-Apr"/>
          <s v="22-Apr"/>
          <s v="23-Apr"/>
          <s v="24-Apr"/>
          <s v="25-Apr"/>
          <s v="26-Apr"/>
          <s v="27-Apr"/>
          <s v="28-Apr"/>
          <s v="29-Apr"/>
          <s v="30-Apr"/>
          <s v="1-May"/>
          <s v="2-May"/>
          <s v="3-May"/>
          <s v="4-May"/>
          <s v="5-May"/>
          <s v="6-May"/>
          <s v="7-May"/>
          <s v="8-May"/>
          <s v="9-May"/>
          <s v="10-May"/>
          <s v="11-May"/>
          <s v="12-May"/>
          <s v="13-May"/>
          <s v="14-May"/>
          <s v="15-May"/>
          <s v="16-May"/>
          <s v="17-May"/>
          <s v="18-May"/>
          <s v="19-May"/>
          <s v="20-May"/>
          <s v="21-May"/>
          <s v="22-May"/>
          <s v="23-May"/>
          <s v="24-May"/>
          <s v="25-May"/>
          <s v="26-May"/>
          <s v="27-May"/>
          <s v="28-May"/>
          <s v="29-May"/>
          <s v="30-May"/>
          <s v="31-May"/>
          <s v="1-Jun"/>
          <s v="2-Jun"/>
          <s v="3-Jun"/>
          <s v="4-Jun"/>
          <s v="5-Jun"/>
          <s v="6-Jun"/>
          <s v="7-Jun"/>
          <s v="8-Jun"/>
          <s v="9-Jun"/>
          <s v="10-Jun"/>
          <s v="11-Jun"/>
          <s v="12-Jun"/>
          <s v="13-Jun"/>
          <s v="14-Jun"/>
          <s v="15-Jun"/>
          <s v="16-Jun"/>
          <s v="17-Jun"/>
          <s v="18-Jun"/>
          <s v="19-Jun"/>
          <s v="20-Jun"/>
          <s v="21-Jun"/>
          <s v="22-Jun"/>
          <s v="23-Jun"/>
          <s v="24-Jun"/>
          <s v="25-Jun"/>
          <s v="26-Jun"/>
          <s v="27-Jun"/>
          <s v="28-Jun"/>
          <s v="29-Jun"/>
          <s v="30-Jun"/>
          <s v="1-Jul"/>
          <s v="2-Jul"/>
          <s v="3-Jul"/>
          <s v="4-Jul"/>
          <s v="5-Jul"/>
          <s v="6-Jul"/>
          <s v="7-Jul"/>
          <s v="8-Jul"/>
          <s v="9-Jul"/>
          <s v="10-Jul"/>
          <s v="11-Jul"/>
          <s v="12-Jul"/>
          <s v="13-Jul"/>
          <s v="14-Jul"/>
          <s v="15-Jul"/>
          <s v="16-Jul"/>
          <s v="17-Jul"/>
          <s v="18-Jul"/>
          <s v="19-Jul"/>
          <s v="20-Jul"/>
          <s v="21-Jul"/>
          <s v="22-Jul"/>
          <s v="23-Jul"/>
          <s v="24-Jul"/>
          <s v="25-Jul"/>
          <s v="26-Jul"/>
          <s v="27-Jul"/>
          <s v="28-Jul"/>
          <s v="29-Jul"/>
          <s v="30-Jul"/>
          <s v="31-Jul"/>
          <s v="1-Aug"/>
          <s v="2-Aug"/>
          <s v="3-Aug"/>
          <s v="4-Aug"/>
          <s v="5-Aug"/>
          <s v="6-Aug"/>
          <s v="7-Aug"/>
          <s v="8-Aug"/>
          <s v="9-Aug"/>
          <s v="10-Aug"/>
          <s v="11-Aug"/>
          <s v="12-Aug"/>
          <s v="13-Aug"/>
          <s v="14-Aug"/>
          <s v="15-Aug"/>
          <s v="16-Aug"/>
          <s v="17-Aug"/>
          <s v="18-Aug"/>
          <s v="19-Aug"/>
          <s v="20-Aug"/>
          <s v="21-Aug"/>
          <s v="22-Aug"/>
          <s v="23-Aug"/>
          <s v="24-Aug"/>
          <s v="25-Aug"/>
          <s v="26-Aug"/>
          <s v="27-Aug"/>
          <s v="28-Aug"/>
          <s v="29-Aug"/>
          <s v="30-Aug"/>
          <s v="31-Aug"/>
          <s v="1-Sep"/>
          <s v="2-Sep"/>
          <s v="3-Sep"/>
          <s v="4-Sep"/>
          <s v="5-Sep"/>
          <s v="6-Sep"/>
          <s v="7-Sep"/>
          <s v="8-Sep"/>
          <s v="9-Sep"/>
          <s v="10-Sep"/>
          <s v="11-Sep"/>
          <s v="12-Sep"/>
          <s v="13-Sep"/>
          <s v="14-Sep"/>
          <s v="15-Sep"/>
          <s v="16-Sep"/>
          <s v="17-Sep"/>
          <s v="18-Sep"/>
          <s v="19-Sep"/>
          <s v="20-Sep"/>
          <s v="21-Sep"/>
          <s v="22-Sep"/>
          <s v="23-Sep"/>
          <s v="24-Sep"/>
          <s v="25-Sep"/>
          <s v="26-Sep"/>
          <s v="27-Sep"/>
          <s v="28-Sep"/>
          <s v="29-Sep"/>
          <s v="30-Sep"/>
          <s v="1-Oct"/>
          <s v="2-Oct"/>
          <s v="3-Oct"/>
          <s v="4-Oct"/>
          <s v="5-Oct"/>
          <s v="6-Oct"/>
          <s v="7-Oct"/>
          <s v="8-Oct"/>
          <s v="9-Oct"/>
          <s v="10-Oct"/>
          <s v="11-Oct"/>
          <s v="12-Oct"/>
          <s v="13-Oct"/>
          <s v="14-Oct"/>
          <s v="15-Oct"/>
          <s v="16-Oct"/>
          <s v="17-Oct"/>
          <s v="18-Oct"/>
          <s v="19-Oct"/>
          <s v="20-Oct"/>
          <s v="21-Oct"/>
          <s v="22-Oct"/>
          <s v="23-Oct"/>
          <s v="24-Oct"/>
          <s v="25-Oct"/>
          <s v="26-Oct"/>
          <s v="27-Oct"/>
          <s v="28-Oct"/>
          <s v="29-Oct"/>
          <s v="30-Oct"/>
          <s v="31-Oct"/>
          <s v="1-Nov"/>
          <s v="2-Nov"/>
          <s v="3-Nov"/>
          <s v="4-Nov"/>
          <s v="5-Nov"/>
          <s v="6-Nov"/>
          <s v="7-Nov"/>
          <s v="8-Nov"/>
          <s v="9-Nov"/>
          <s v="10-Nov"/>
          <s v="11-Nov"/>
          <s v="12-Nov"/>
          <s v="13-Nov"/>
          <s v="14-Nov"/>
          <s v="15-Nov"/>
          <s v="16-Nov"/>
          <s v="17-Nov"/>
          <s v="18-Nov"/>
          <s v="19-Nov"/>
          <s v="20-Nov"/>
          <s v="21-Nov"/>
          <s v="22-Nov"/>
          <s v="23-Nov"/>
          <s v="24-Nov"/>
          <s v="25-Nov"/>
          <s v="26-Nov"/>
          <s v="27-Nov"/>
          <s v="28-Nov"/>
          <s v="29-Nov"/>
          <s v="30-Nov"/>
          <s v="1-Dec"/>
          <s v="2-Dec"/>
          <s v="3-Dec"/>
          <s v="4-Dec"/>
          <s v="5-Dec"/>
          <s v="6-Dec"/>
          <s v="7-Dec"/>
          <s v="8-Dec"/>
          <s v="9-Dec"/>
          <s v="10-Dec"/>
          <s v="11-Dec"/>
          <s v="12-Dec"/>
          <s v="13-Dec"/>
          <s v="14-Dec"/>
          <s v="15-Dec"/>
          <s v="16-Dec"/>
          <s v="17-Dec"/>
          <s v="18-Dec"/>
          <s v="19-Dec"/>
          <s v="20-Dec"/>
          <s v="21-Dec"/>
          <s v="22-Dec"/>
          <s v="23-Dec"/>
          <s v="24-Dec"/>
          <s v="25-Dec"/>
          <s v="26-Dec"/>
          <s v="27-Dec"/>
          <s v="28-Dec"/>
          <s v="29-Dec"/>
          <s v="30-Dec"/>
          <s v="31-Dec"/>
          <s v="&gt;12/2/2024"/>
        </groupItems>
      </fieldGroup>
    </cacheField>
    <cacheField name="Months (MonthDate)" numFmtId="0" databaseField="0">
      <fieldGroup base="1">
        <rangePr groupBy="months" startDate="2024-01-01T00:00:00" endDate="2024-12-02T00:00:00"/>
        <groupItems count="14">
          <s v="&lt;1/1/2024"/>
          <s v="Jan"/>
          <s v="Feb"/>
          <s v="Mar"/>
          <s v="Apr"/>
          <s v="May"/>
          <s v="Jun"/>
          <s v="Jul"/>
          <s v="Aug"/>
          <s v="Sep"/>
          <s v="Oct"/>
          <s v="Nov"/>
          <s v="Dec"/>
          <s v="&gt;12/2/2024"/>
        </groupItems>
      </fieldGroup>
    </cacheField>
  </cacheFields>
  <extLst>
    <ext xmlns:x14="http://schemas.microsoft.com/office/spreadsheetml/2009/9/main" uri="{725AE2AE-9491-48be-B2B4-4EB974FC3084}">
      <x14:pivotCacheDefinition pivotCacheId="30309170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0">
  <r>
    <s v="Jan-2024"/>
    <x v="0"/>
    <x v="0"/>
    <n v="7490"/>
    <n v="17324"/>
    <n v="9834"/>
  </r>
  <r>
    <s v="Jan-2024"/>
    <x v="0"/>
    <x v="1"/>
    <n v="14134"/>
    <n v="5137"/>
    <n v="-8997"/>
  </r>
  <r>
    <s v="Jan-2024"/>
    <x v="0"/>
    <x v="2"/>
    <n v="15719"/>
    <n v="7420"/>
    <n v="-8299"/>
  </r>
  <r>
    <s v="Jan-2024"/>
    <x v="0"/>
    <x v="3"/>
    <n v="10845"/>
    <n v="7906"/>
    <n v="-2939"/>
  </r>
  <r>
    <s v="Jan-2024"/>
    <x v="0"/>
    <x v="4"/>
    <n v="8637"/>
    <n v="16413"/>
    <n v="7776"/>
  </r>
  <r>
    <s v="Feb-2024"/>
    <x v="1"/>
    <x v="0"/>
    <n v="5276"/>
    <n v="21611"/>
    <n v="16335"/>
  </r>
  <r>
    <s v="Feb-2024"/>
    <x v="1"/>
    <x v="1"/>
    <n v="11337"/>
    <n v="15944"/>
    <n v="4607"/>
  </r>
  <r>
    <s v="Feb-2024"/>
    <x v="1"/>
    <x v="2"/>
    <n v="8735"/>
    <n v="19906"/>
    <n v="11171"/>
  </r>
  <r>
    <s v="Feb-2024"/>
    <x v="1"/>
    <x v="3"/>
    <n v="5695"/>
    <n v="16306"/>
    <n v="10611"/>
  </r>
  <r>
    <s v="Feb-2024"/>
    <x v="1"/>
    <x v="4"/>
    <n v="12537"/>
    <n v="14503"/>
    <n v="1966"/>
  </r>
  <r>
    <s v="Mar-2024"/>
    <x v="2"/>
    <x v="0"/>
    <n v="7841"/>
    <n v="8208"/>
    <n v="367"/>
  </r>
  <r>
    <s v="Mar-2024"/>
    <x v="2"/>
    <x v="1"/>
    <n v="16751"/>
    <n v="15590"/>
    <n v="-1161"/>
  </r>
  <r>
    <s v="Mar-2024"/>
    <x v="2"/>
    <x v="2"/>
    <n v="13733"/>
    <n v="14886"/>
    <n v="1153"/>
  </r>
  <r>
    <s v="Mar-2024"/>
    <x v="2"/>
    <x v="3"/>
    <n v="17866"/>
    <n v="5088"/>
    <n v="-12778"/>
  </r>
  <r>
    <s v="Mar-2024"/>
    <x v="2"/>
    <x v="4"/>
    <n v="8363"/>
    <n v="4024"/>
    <n v="-4339"/>
  </r>
  <r>
    <s v="Apr-2024"/>
    <x v="3"/>
    <x v="0"/>
    <n v="14764"/>
    <n v="13959"/>
    <n v="-805"/>
  </r>
  <r>
    <s v="Apr-2024"/>
    <x v="3"/>
    <x v="1"/>
    <n v="17935"/>
    <n v="12068"/>
    <n v="-5867"/>
  </r>
  <r>
    <s v="Apr-2024"/>
    <x v="3"/>
    <x v="2"/>
    <n v="7235"/>
    <n v="11295"/>
    <n v="4060"/>
  </r>
  <r>
    <s v="Apr-2024"/>
    <x v="3"/>
    <x v="3"/>
    <n v="13392"/>
    <n v="15390"/>
    <n v="1998"/>
  </r>
  <r>
    <s v="Apr-2024"/>
    <x v="3"/>
    <x v="4"/>
    <n v="13448"/>
    <n v="14433"/>
    <n v="985"/>
  </r>
  <r>
    <s v="May-2024"/>
    <x v="4"/>
    <x v="0"/>
    <n v="8175"/>
    <n v="15528"/>
    <n v="7353"/>
  </r>
  <r>
    <s v="May-2024"/>
    <x v="4"/>
    <x v="1"/>
    <n v="9897"/>
    <n v="19743"/>
    <n v="9846"/>
  </r>
  <r>
    <s v="May-2024"/>
    <x v="4"/>
    <x v="2"/>
    <n v="12427"/>
    <n v="12605"/>
    <n v="178"/>
  </r>
  <r>
    <s v="May-2024"/>
    <x v="4"/>
    <x v="3"/>
    <n v="7014"/>
    <n v="5381"/>
    <n v="-1633"/>
  </r>
  <r>
    <s v="May-2024"/>
    <x v="4"/>
    <x v="4"/>
    <n v="6098"/>
    <n v="13101"/>
    <n v="7003"/>
  </r>
  <r>
    <s v="Jun-2024"/>
    <x v="5"/>
    <x v="0"/>
    <n v="5187"/>
    <n v="15948"/>
    <n v="10761"/>
  </r>
  <r>
    <s v="Jun-2024"/>
    <x v="5"/>
    <x v="1"/>
    <n v="15207"/>
    <n v="6092"/>
    <n v="-9115"/>
  </r>
  <r>
    <s v="Jun-2024"/>
    <x v="5"/>
    <x v="2"/>
    <n v="16836"/>
    <n v="9242"/>
    <n v="-7594"/>
  </r>
  <r>
    <s v="Jun-2024"/>
    <x v="5"/>
    <x v="3"/>
    <n v="13549"/>
    <n v="9185"/>
    <n v="-4364"/>
  </r>
  <r>
    <s v="Jun-2024"/>
    <x v="5"/>
    <x v="4"/>
    <n v="10776"/>
    <n v="16449"/>
    <n v="5673"/>
  </r>
  <r>
    <s v="Jul-2024"/>
    <x v="6"/>
    <x v="0"/>
    <n v="12913"/>
    <n v="11823"/>
    <n v="-1090"/>
  </r>
  <r>
    <s v="Jul-2024"/>
    <x v="6"/>
    <x v="1"/>
    <n v="12355"/>
    <n v="10465"/>
    <n v="-1890"/>
  </r>
  <r>
    <s v="Jul-2024"/>
    <x v="6"/>
    <x v="2"/>
    <n v="17737"/>
    <n v="21881"/>
    <n v="4144"/>
  </r>
  <r>
    <s v="Jul-2024"/>
    <x v="6"/>
    <x v="3"/>
    <n v="18324"/>
    <n v="14350"/>
    <n v="-3974"/>
  </r>
  <r>
    <s v="Jul-2024"/>
    <x v="6"/>
    <x v="4"/>
    <n v="19238"/>
    <n v="6555"/>
    <n v="-12683"/>
  </r>
  <r>
    <s v="Aug-2024"/>
    <x v="7"/>
    <x v="0"/>
    <n v="10409"/>
    <n v="6951"/>
    <n v="-3458"/>
  </r>
  <r>
    <s v="Aug-2024"/>
    <x v="7"/>
    <x v="1"/>
    <n v="6238"/>
    <n v="8727"/>
    <n v="2489"/>
  </r>
  <r>
    <s v="Aug-2024"/>
    <x v="7"/>
    <x v="2"/>
    <n v="8965"/>
    <n v="9686"/>
    <n v="721"/>
  </r>
  <r>
    <s v="Aug-2024"/>
    <x v="7"/>
    <x v="3"/>
    <n v="14242"/>
    <n v="7701"/>
    <n v="-6541"/>
  </r>
  <r>
    <s v="Aug-2024"/>
    <x v="7"/>
    <x v="4"/>
    <n v="7780"/>
    <n v="21972"/>
    <n v="14192"/>
  </r>
  <r>
    <s v="Sep-2024"/>
    <x v="8"/>
    <x v="0"/>
    <n v="17070"/>
    <n v="6368"/>
    <n v="-10702"/>
  </r>
  <r>
    <s v="Sep-2024"/>
    <x v="8"/>
    <x v="1"/>
    <n v="10789"/>
    <n v="4436"/>
    <n v="-6353"/>
  </r>
  <r>
    <s v="Sep-2024"/>
    <x v="8"/>
    <x v="2"/>
    <n v="7828"/>
    <n v="5556"/>
    <n v="-2272"/>
  </r>
  <r>
    <s v="Sep-2024"/>
    <x v="8"/>
    <x v="3"/>
    <n v="12570"/>
    <n v="17364"/>
    <n v="4794"/>
  </r>
  <r>
    <s v="Sep-2024"/>
    <x v="8"/>
    <x v="4"/>
    <n v="17050"/>
    <n v="19061"/>
    <n v="2011"/>
  </r>
  <r>
    <s v="Oct-2024"/>
    <x v="9"/>
    <x v="0"/>
    <n v="19366"/>
    <n v="14576"/>
    <n v="-4790"/>
  </r>
  <r>
    <s v="Oct-2024"/>
    <x v="9"/>
    <x v="1"/>
    <n v="5182"/>
    <n v="11190"/>
    <n v="6008"/>
  </r>
  <r>
    <s v="Oct-2024"/>
    <x v="9"/>
    <x v="2"/>
    <n v="11687"/>
    <n v="9565"/>
    <n v="-2122"/>
  </r>
  <r>
    <s v="Oct-2024"/>
    <x v="9"/>
    <x v="3"/>
    <n v="12241"/>
    <n v="19369"/>
    <n v="7128"/>
  </r>
  <r>
    <s v="Oct-2024"/>
    <x v="9"/>
    <x v="4"/>
    <n v="12651"/>
    <n v="5589"/>
    <n v="-7062"/>
  </r>
  <r>
    <s v="Nov-2024"/>
    <x v="10"/>
    <x v="0"/>
    <n v="14779"/>
    <n v="4159"/>
    <n v="-10620"/>
  </r>
  <r>
    <s v="Nov-2024"/>
    <x v="10"/>
    <x v="1"/>
    <n v="17145"/>
    <n v="19373"/>
    <n v="2228"/>
  </r>
  <r>
    <s v="Nov-2024"/>
    <x v="10"/>
    <x v="2"/>
    <n v="11555"/>
    <n v="20237"/>
    <n v="8682"/>
  </r>
  <r>
    <s v="Nov-2024"/>
    <x v="10"/>
    <x v="3"/>
    <n v="14203"/>
    <n v="12244"/>
    <n v="-1959"/>
  </r>
  <r>
    <s v="Nov-2024"/>
    <x v="10"/>
    <x v="4"/>
    <n v="19743"/>
    <n v="17333"/>
    <n v="-2410"/>
  </r>
  <r>
    <s v="Dec-2024"/>
    <x v="11"/>
    <x v="0"/>
    <n v="18341"/>
    <n v="5228"/>
    <n v="-13113"/>
  </r>
  <r>
    <s v="Dec-2024"/>
    <x v="11"/>
    <x v="1"/>
    <n v="12226"/>
    <n v="9590"/>
    <n v="-2636"/>
  </r>
  <r>
    <s v="Dec-2024"/>
    <x v="11"/>
    <x v="2"/>
    <n v="11919"/>
    <n v="9585"/>
    <n v="-2334"/>
  </r>
  <r>
    <s v="Dec-2024"/>
    <x v="11"/>
    <x v="3"/>
    <n v="14227"/>
    <n v="10046"/>
    <n v="-4181"/>
  </r>
  <r>
    <s v="Dec-2024"/>
    <x v="11"/>
    <x v="4"/>
    <n v="17237"/>
    <n v="19649"/>
    <n v="241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167CB57-6B32-487C-B18E-80EA46359B16}" name="PivotTable1" cacheId="2"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1:U16" firstHeaderRow="1" firstDataRow="3" firstDataCol="1"/>
  <pivotFields count="10">
    <pivotField showAll="0" sortType="ascending" defaultSubtotal="0"/>
    <pivotField axis="axisRow" numFmtId="14" subtotalTop="0" showAll="0" defaultSubtotal="0">
      <items count="12">
        <item x="0"/>
        <item x="1"/>
        <item x="2"/>
        <item x="3"/>
        <item x="4"/>
        <item x="5"/>
        <item x="6"/>
        <item x="7"/>
        <item x="8"/>
        <item x="9"/>
        <item x="10"/>
        <item x="11"/>
      </items>
    </pivotField>
    <pivotField axis="axisCol" showAll="0" defaultSubtotal="0">
      <items count="5">
        <item x="0"/>
        <item x="1"/>
        <item x="3"/>
        <item x="2"/>
        <item x="4"/>
      </items>
    </pivotField>
    <pivotField dataField="1" showAll="0" defaultSubtotal="0"/>
    <pivotField dataField="1" showAll="0" defaultSubtotal="0"/>
    <pivotField dataField="1" showAll="0" defaultSubtotal="0"/>
    <pivotField dragToRow="0" dragToCol="0" dragToPage="0" showAll="0" defaultSubtotal="0"/>
    <pivotField dataField="1" dragToRow="0" dragToCol="0" dragToPage="0" showAll="0" defaultSubtotal="0"/>
    <pivotField axis="axisRow" subtotalTop="0"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ubtotalTop="0" showAll="0" defaultSubtotal="0">
      <items count="14">
        <item sd="0" x="0"/>
        <item sd="0" x="1"/>
        <item sd="0" x="2"/>
        <item sd="0" x="3"/>
        <item sd="0" x="4"/>
        <item sd="0" x="5"/>
        <item sd="0" x="6"/>
        <item sd="0" x="7"/>
        <item sd="0" x="8"/>
        <item sd="0" x="9"/>
        <item sd="0" x="10"/>
        <item sd="0" x="11"/>
        <item sd="0" x="12"/>
        <item sd="0" x="13"/>
      </items>
    </pivotField>
  </pivotFields>
  <rowFields count="3">
    <field x="9"/>
    <field x="8"/>
    <field x="1"/>
  </rowFields>
  <rowItems count="13">
    <i>
      <x v="1"/>
    </i>
    <i>
      <x v="2"/>
    </i>
    <i>
      <x v="3"/>
    </i>
    <i>
      <x v="4"/>
    </i>
    <i>
      <x v="5"/>
    </i>
    <i>
      <x v="6"/>
    </i>
    <i>
      <x v="7"/>
    </i>
    <i>
      <x v="8"/>
    </i>
    <i>
      <x v="9"/>
    </i>
    <i>
      <x v="10"/>
    </i>
    <i>
      <x v="11"/>
    </i>
    <i>
      <x v="12"/>
    </i>
    <i t="grand">
      <x/>
    </i>
  </rowItems>
  <colFields count="2">
    <field x="2"/>
    <field x="-2"/>
  </colFields>
  <colItems count="20">
    <i>
      <x/>
      <x/>
    </i>
    <i r="1" i="1">
      <x v="1"/>
    </i>
    <i r="1" i="2">
      <x v="2"/>
    </i>
    <i r="1" i="3">
      <x v="3"/>
    </i>
    <i>
      <x v="1"/>
      <x/>
    </i>
    <i r="1" i="1">
      <x v="1"/>
    </i>
    <i r="1" i="2">
      <x v="2"/>
    </i>
    <i r="1" i="3">
      <x v="3"/>
    </i>
    <i>
      <x v="2"/>
      <x/>
    </i>
    <i r="1" i="1">
      <x v="1"/>
    </i>
    <i r="1" i="2">
      <x v="2"/>
    </i>
    <i r="1" i="3">
      <x v="3"/>
    </i>
    <i>
      <x v="3"/>
      <x/>
    </i>
    <i r="1" i="1">
      <x v="1"/>
    </i>
    <i r="1" i="2">
      <x v="2"/>
    </i>
    <i r="1" i="3">
      <x v="3"/>
    </i>
    <i>
      <x v="4"/>
      <x/>
    </i>
    <i r="1" i="1">
      <x v="1"/>
    </i>
    <i r="1" i="2">
      <x v="2"/>
    </i>
    <i r="1" i="3">
      <x v="3"/>
    </i>
  </colItems>
  <dataFields count="4">
    <dataField name="Sum of Budget" fld="3" baseField="0" baseItem="0"/>
    <dataField name="Sum of Actual" fld="4" baseField="0" baseItem="0"/>
    <dataField name="Sum of Variance" fld="5" baseField="0" baseItem="0"/>
    <dataField name="Sum of Percentage Variance" fld="7" baseField="0" baseItem="0"/>
  </dataFields>
  <formats count="10">
    <format dxfId="25">
      <pivotArea field="2" grandCol="1" outline="0" axis="axisCol" fieldPosition="0">
        <references count="1">
          <reference field="4294967294" count="1" selected="0">
            <x v="3"/>
          </reference>
        </references>
      </pivotArea>
    </format>
    <format dxfId="24">
      <pivotArea outline="0" fieldPosition="0">
        <references count="2">
          <reference field="4294967294" count="1" selected="0">
            <x v="3"/>
          </reference>
          <reference field="2" count="1" selected="0">
            <x v="4"/>
          </reference>
        </references>
      </pivotArea>
    </format>
    <format dxfId="23">
      <pivotArea outline="0" fieldPosition="0">
        <references count="2">
          <reference field="4294967294" count="1" selected="0">
            <x v="3"/>
          </reference>
          <reference field="2" count="1" selected="0">
            <x v="3"/>
          </reference>
        </references>
      </pivotArea>
    </format>
    <format dxfId="22">
      <pivotArea outline="0" fieldPosition="0">
        <references count="2">
          <reference field="4294967294" count="1" selected="0">
            <x v="3"/>
          </reference>
          <reference field="2" count="1" selected="0">
            <x v="2"/>
          </reference>
        </references>
      </pivotArea>
    </format>
    <format dxfId="21">
      <pivotArea outline="0" fieldPosition="0">
        <references count="2">
          <reference field="4294967294" count="1" selected="0">
            <x v="3"/>
          </reference>
          <reference field="2" count="1" selected="0">
            <x v="1"/>
          </reference>
        </references>
      </pivotArea>
    </format>
    <format dxfId="20">
      <pivotArea outline="0" fieldPosition="0">
        <references count="2">
          <reference field="4294967294" count="1" selected="0">
            <x v="3"/>
          </reference>
          <reference field="2" count="1" selected="0">
            <x v="0"/>
          </reference>
        </references>
      </pivotArea>
    </format>
    <format dxfId="19">
      <pivotArea type="origin" dataOnly="0" labelOnly="1" outline="0" offset="A1" fieldPosition="0"/>
    </format>
    <format dxfId="18">
      <pivotArea field="2" type="button" dataOnly="0" labelOnly="1" outline="0" axis="axisCol" fieldPosition="0"/>
    </format>
    <format dxfId="17">
      <pivotArea field="-2" type="button" dataOnly="0" labelOnly="1" outline="0" axis="axisCol" fieldPosition="1"/>
    </format>
    <format dxfId="16">
      <pivotArea type="topRight" dataOnly="0" labelOnly="1" outline="0" fieldPosition="0"/>
    </format>
  </formats>
  <conditionalFormats count="5">
    <conditionalFormat priority="1">
      <pivotAreas count="1">
        <pivotArea type="data" outline="0" collapsedLevelsAreSubtotals="1" fieldPosition="0">
          <references count="2">
            <reference field="4294967294" count="1" selected="0">
              <x v="3"/>
            </reference>
            <reference field="2" count="1" selected="0">
              <x v="4"/>
            </reference>
          </references>
        </pivotArea>
      </pivotAreas>
    </conditionalFormat>
    <conditionalFormat priority="2">
      <pivotAreas count="1">
        <pivotArea type="data" outline="0" collapsedLevelsAreSubtotals="1" fieldPosition="0">
          <references count="2">
            <reference field="4294967294" count="1" selected="0">
              <x v="3"/>
            </reference>
            <reference field="2" count="1" selected="0">
              <x v="3"/>
            </reference>
          </references>
        </pivotArea>
      </pivotAreas>
    </conditionalFormat>
    <conditionalFormat priority="3">
      <pivotAreas count="1">
        <pivotArea type="data" outline="0" collapsedLevelsAreSubtotals="1" fieldPosition="0">
          <references count="2">
            <reference field="4294967294" count="1" selected="0">
              <x v="3"/>
            </reference>
            <reference field="2" count="1" selected="0">
              <x v="1"/>
            </reference>
          </references>
        </pivotArea>
      </pivotAreas>
    </conditionalFormat>
    <conditionalFormat priority="4">
      <pivotAreas count="1">
        <pivotArea type="data" outline="0" collapsedLevelsAreSubtotals="1" fieldPosition="0">
          <references count="2">
            <reference field="4294967294" count="1" selected="0">
              <x v="3"/>
            </reference>
            <reference field="2" count="1" selected="0">
              <x v="0"/>
            </reference>
          </references>
        </pivotArea>
      </pivotAreas>
    </conditionalFormat>
    <conditionalFormat priority="5">
      <pivotAreas count="1">
        <pivotArea type="data" outline="0" collapsedLevelsAreSubtotals="1" fieldPosition="0">
          <references count="2">
            <reference field="4294967294" count="1" selected="0">
              <x v="3"/>
            </reference>
            <reference field="2" count="1" selected="0">
              <x v="2"/>
            </reference>
          </references>
        </pivotArea>
      </pivotAreas>
    </conditionalFormat>
  </conditionalFormats>
  <pivotTableStyleInfo name="PivotStyleLight15"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7A36518-8F05-4C67-BA78-AB67B7E124DA}" name="PivotTable2" cacheId="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3">
  <location ref="A1:E14" firstHeaderRow="0" firstDataRow="1" firstDataCol="1"/>
  <pivotFields count="10">
    <pivotField compact="0" outline="0" showAll="0"/>
    <pivotField compact="0" numFmtId="14" outline="0" showAll="0">
      <items count="13">
        <item x="0"/>
        <item x="1"/>
        <item x="2"/>
        <item x="3"/>
        <item x="4"/>
        <item x="5"/>
        <item x="6"/>
        <item x="7"/>
        <item x="8"/>
        <item x="9"/>
        <item x="10"/>
        <item x="11"/>
        <item t="default"/>
      </items>
    </pivotField>
    <pivotField compact="0" outline="0" showAll="0">
      <items count="6">
        <item x="0"/>
        <item x="1"/>
        <item x="3"/>
        <item x="2"/>
        <item x="4"/>
        <item t="default"/>
      </items>
    </pivotField>
    <pivotField dataField="1" compact="0" outline="0" showAll="0"/>
    <pivotField dataField="1" compact="0" outline="0" showAll="0"/>
    <pivotField compact="0" outline="0" showAll="0"/>
    <pivotField dataField="1" compact="0" outline="0" dragToRow="0" dragToCol="0" dragToPage="0" showAll="0" defaultSubtotal="0"/>
    <pivotField dataField="1" compact="0" outline="0" dragToRow="0" dragToCol="0" dragToPage="0" showAll="0" defaultSubtotal="0"/>
    <pivotField compact="0" outline="0" showAll="0" defaultSubtotal="0"/>
    <pivotField axis="axisRow" compact="0" outline="0" showAll="0" defaultSubtotal="0">
      <items count="14">
        <item x="0"/>
        <item x="1"/>
        <item x="2"/>
        <item x="3"/>
        <item x="4"/>
        <item x="5"/>
        <item x="6"/>
        <item x="7"/>
        <item x="8"/>
        <item x="9"/>
        <item x="10"/>
        <item x="11"/>
        <item x="12"/>
        <item x="13"/>
      </items>
    </pivotField>
  </pivotFields>
  <rowFields count="1">
    <field x="9"/>
  </rowFields>
  <rowItems count="13">
    <i>
      <x v="1"/>
    </i>
    <i>
      <x v="2"/>
    </i>
    <i>
      <x v="3"/>
    </i>
    <i>
      <x v="4"/>
    </i>
    <i>
      <x v="5"/>
    </i>
    <i>
      <x v="6"/>
    </i>
    <i>
      <x v="7"/>
    </i>
    <i>
      <x v="8"/>
    </i>
    <i>
      <x v="9"/>
    </i>
    <i>
      <x v="10"/>
    </i>
    <i>
      <x v="11"/>
    </i>
    <i>
      <x v="12"/>
    </i>
    <i t="grand">
      <x/>
    </i>
  </rowItems>
  <colFields count="1">
    <field x="-2"/>
  </colFields>
  <colItems count="4">
    <i>
      <x/>
    </i>
    <i i="1">
      <x v="1"/>
    </i>
    <i i="2">
      <x v="2"/>
    </i>
    <i i="3">
      <x v="3"/>
    </i>
  </colItems>
  <dataFields count="4">
    <dataField name="Sum of Percentage Variance" fld="7" baseField="0" baseItem="0" numFmtId="10"/>
    <dataField name="Sum of Variance Calculation" fld="6" baseField="0" baseItem="0" numFmtId="171"/>
    <dataField name="Sum of Actual" fld="4" baseField="0" baseItem="0" numFmtId="171"/>
    <dataField name="Sum of Budget" fld="3" baseField="0" baseItem="0" numFmtId="171"/>
  </dataFields>
  <formats count="2">
    <format dxfId="15">
      <pivotArea outline="0" fieldPosition="0">
        <references count="1">
          <reference field="4294967294" count="1" selected="0">
            <x v="0"/>
          </reference>
        </references>
      </pivotArea>
    </format>
    <format dxfId="14">
      <pivotArea outline="0" fieldPosition="0">
        <references count="1">
          <reference field="4294967294" count="3" selected="0">
            <x v="1"/>
            <x v="2"/>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11F938-DF99-424B-A901-F0C52626AAA2}"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G15" firstHeaderRow="1" firstDataRow="2" firstDataCol="1"/>
  <pivotFields count="10">
    <pivotField showAll="0"/>
    <pivotField axis="axisRow" numFmtId="14" showAll="0">
      <items count="13">
        <item x="0"/>
        <item x="1"/>
        <item x="2"/>
        <item x="3"/>
        <item x="4"/>
        <item x="5"/>
        <item x="6"/>
        <item x="7"/>
        <item x="8"/>
        <item x="9"/>
        <item x="10"/>
        <item x="11"/>
        <item t="default"/>
      </items>
    </pivotField>
    <pivotField axis="axisCol" showAll="0">
      <items count="6">
        <item x="0"/>
        <item x="1"/>
        <item x="3"/>
        <item x="2"/>
        <item x="4"/>
        <item t="default"/>
      </items>
    </pivotField>
    <pivotField showAll="0"/>
    <pivotField showAll="0"/>
    <pivotField showAll="0"/>
    <pivotField dataField="1" dragToRow="0" dragToCol="0" dragToPage="0" showAll="0" defaultSubtotal="0"/>
    <pivotField dragToRow="0" dragToCol="0" dragToPage="0" showAll="0" defaultSubtota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9"/>
    <field x="8"/>
    <field x="1"/>
  </rowFields>
  <rowItems count="13">
    <i>
      <x v="1"/>
    </i>
    <i>
      <x v="2"/>
    </i>
    <i>
      <x v="3"/>
    </i>
    <i>
      <x v="4"/>
    </i>
    <i>
      <x v="5"/>
    </i>
    <i>
      <x v="6"/>
    </i>
    <i>
      <x v="7"/>
    </i>
    <i>
      <x v="8"/>
    </i>
    <i>
      <x v="9"/>
    </i>
    <i>
      <x v="10"/>
    </i>
    <i>
      <x v="11"/>
    </i>
    <i>
      <x v="12"/>
    </i>
    <i t="grand">
      <x/>
    </i>
  </rowItems>
  <colFields count="1">
    <field x="2"/>
  </colFields>
  <colItems count="6">
    <i>
      <x/>
    </i>
    <i>
      <x v="1"/>
    </i>
    <i>
      <x v="2"/>
    </i>
    <i>
      <x v="3"/>
    </i>
    <i>
      <x v="4"/>
    </i>
    <i t="grand">
      <x/>
    </i>
  </colItems>
  <dataFields count="1">
    <dataField name="Sum of Variance Calculation" fld="6"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B6DAFDC-B64A-4FAB-B29B-BAB9E8C6B6FE}" name="PivotTable2"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D16" firstHeaderRow="0" firstDataRow="1" firstDataCol="1"/>
  <pivotFields count="10">
    <pivotField showAll="0"/>
    <pivotField axis="axisRow" numFmtId="14" showAll="0">
      <items count="13">
        <item x="0"/>
        <item x="1"/>
        <item x="2"/>
        <item x="3"/>
        <item x="4"/>
        <item x="5"/>
        <item x="6"/>
        <item x="7"/>
        <item x="8"/>
        <item x="9"/>
        <item x="10"/>
        <item x="11"/>
        <item t="default"/>
      </items>
    </pivotField>
    <pivotField showAll="0">
      <items count="6">
        <item x="0"/>
        <item x="1"/>
        <item x="3"/>
        <item x="2"/>
        <item x="4"/>
        <item t="default"/>
      </items>
    </pivotField>
    <pivotField dataField="1" showAll="0"/>
    <pivotField dataField="1" showAll="0"/>
    <pivotField showAll="0"/>
    <pivotField dataField="1" dragToRow="0" dragToCol="0" dragToPage="0" showAll="0" defaultSubtotal="0"/>
    <pivotField dragToRow="0" dragToCol="0" dragToPage="0" showAll="0" defaultSubtotal="0"/>
    <pivotField axis="axisRow" showAll="0" defaultSubtotal="0">
      <items count="368">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s>
    </pivotField>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3">
    <field x="9"/>
    <field x="8"/>
    <field x="1"/>
  </rowFields>
  <rowItems count="13">
    <i>
      <x v="1"/>
    </i>
    <i>
      <x v="2"/>
    </i>
    <i>
      <x v="3"/>
    </i>
    <i>
      <x v="4"/>
    </i>
    <i>
      <x v="5"/>
    </i>
    <i>
      <x v="6"/>
    </i>
    <i>
      <x v="7"/>
    </i>
    <i>
      <x v="8"/>
    </i>
    <i>
      <x v="9"/>
    </i>
    <i>
      <x v="10"/>
    </i>
    <i>
      <x v="11"/>
    </i>
    <i>
      <x v="12"/>
    </i>
    <i t="grand">
      <x/>
    </i>
  </rowItems>
  <colFields count="1">
    <field x="-2"/>
  </colFields>
  <colItems count="3">
    <i>
      <x/>
    </i>
    <i i="1">
      <x v="1"/>
    </i>
    <i i="2">
      <x v="2"/>
    </i>
  </colItems>
  <dataFields count="3">
    <dataField name="Sum of Variance" fld="6" baseField="0" baseItem="0"/>
    <dataField name="Sum of Actual" fld="4" baseField="0" baseItem="0"/>
    <dataField name="Sum of Budget" fld="3" baseField="0" baseItem="0"/>
  </dataFields>
  <chartFormats count="3">
    <chartFormat chart="2" format="3" series="1">
      <pivotArea type="data" outline="0" fieldPosition="0">
        <references count="1">
          <reference field="4294967294" count="1" selected="0">
            <x v="1"/>
          </reference>
        </references>
      </pivotArea>
    </chartFormat>
    <chartFormat chart="2" format="4" series="1">
      <pivotArea type="data" outline="0" fieldPosition="0">
        <references count="1">
          <reference field="4294967294" count="1" selected="0">
            <x v="2"/>
          </reference>
        </references>
      </pivotArea>
    </chartFormat>
    <chartFormat chart="2" format="5"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795B93A6-26DD-4E15-9EFB-876214A0EC0D}" sourceName="Department">
  <pivotTables>
    <pivotTable tabId="7" name="PivotTable2"/>
    <pivotTable tabId="2" name="PivotTable1"/>
    <pivotTable tabId="4" name="PivotTable2"/>
    <pivotTable tabId="6" name="PivotTable1"/>
  </pivotTables>
  <data>
    <tabular pivotCacheId="303091703">
      <items count="5">
        <i x="0" s="1"/>
        <i x="1" s="1"/>
        <i x="3"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5B75F00B-7DB2-45E4-BF2E-2BB311F6648A}" cache="Slicer_Department" caption="Department" columnCount="2" style="SlicerStyleLight1 2"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AF86C74-96C7-4DA2-9B99-7F0546C7B0D5}" name="Table1" displayName="Table1" ref="A1:F61" totalsRowShown="0" headerRowDxfId="29" headerRowBorderDxfId="28" tableBorderDxfId="27">
  <autoFilter ref="A1:F61" xr:uid="{1AF86C74-96C7-4DA2-9B99-7F0546C7B0D5}"/>
  <tableColumns count="6">
    <tableColumn id="1" xr3:uid="{62F76E7D-CF97-4E79-9BA0-AFA125D7034D}" name="Month"/>
    <tableColumn id="6" xr3:uid="{5E100A91-1719-4805-B299-D5674B9FABEA}" name="MonthDate" dataDxfId="26">
      <calculatedColumnFormula>DATEVALUE("1-" &amp; A2)</calculatedColumnFormula>
    </tableColumn>
    <tableColumn id="2" xr3:uid="{E427599D-730D-43FD-993A-EE1436EF0118}" name="Department"/>
    <tableColumn id="3" xr3:uid="{89E80621-2CF8-4192-8903-EA9577D3C8E3}" name="Budget"/>
    <tableColumn id="4" xr3:uid="{4F217D19-5A2F-4490-B1BE-58FC37A8E21D}" name="Actual"/>
    <tableColumn id="5" xr3:uid="{C229F473-7DF8-470A-BA42-3E88E2666944}" name="Vari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2D3D8-AE6D-482D-A3AD-DDA075CCEA72}">
  <dimension ref="B2:T11"/>
  <sheetViews>
    <sheetView showGridLines="0" tabSelected="1" zoomScale="90" zoomScaleNormal="90" workbookViewId="0">
      <selection activeCell="H6" sqref="H6"/>
    </sheetView>
  </sheetViews>
  <sheetFormatPr defaultRowHeight="14.5" x14ac:dyDescent="0.35"/>
  <cols>
    <col min="3" max="3" width="9.08984375" bestFit="1" customWidth="1"/>
    <col min="7" max="7" width="9.1796875" customWidth="1"/>
  </cols>
  <sheetData>
    <row r="2" spans="2:20" x14ac:dyDescent="0.35">
      <c r="B2" s="10" t="s">
        <v>70</v>
      </c>
      <c r="C2" s="10"/>
      <c r="D2" s="10"/>
      <c r="E2" s="10"/>
      <c r="F2" s="10"/>
      <c r="G2" s="10"/>
      <c r="H2" s="10"/>
      <c r="I2" s="10"/>
      <c r="J2" s="10"/>
      <c r="K2" s="10"/>
      <c r="L2" s="10"/>
      <c r="M2" s="10"/>
      <c r="N2" s="10"/>
      <c r="O2" s="10"/>
      <c r="P2" s="10"/>
      <c r="Q2" s="10"/>
      <c r="R2" s="10"/>
      <c r="S2" s="10"/>
      <c r="T2" s="10"/>
    </row>
    <row r="3" spans="2:20" ht="15" thickBot="1" x14ac:dyDescent="0.4"/>
    <row r="4" spans="2:20" ht="15" customHeight="1" thickTop="1" x14ac:dyDescent="0.35">
      <c r="B4" s="29" t="s">
        <v>60</v>
      </c>
      <c r="C4" s="30"/>
      <c r="D4" s="31"/>
      <c r="E4" s="25"/>
      <c r="F4" s="32" t="s">
        <v>61</v>
      </c>
      <c r="G4" s="33"/>
      <c r="H4" s="34"/>
      <c r="I4" s="15"/>
      <c r="J4" s="12" t="s">
        <v>62</v>
      </c>
      <c r="K4" s="13"/>
      <c r="L4" s="14"/>
      <c r="M4" s="15"/>
      <c r="N4" s="47"/>
      <c r="O4" s="48" t="s">
        <v>68</v>
      </c>
      <c r="P4" s="49"/>
      <c r="Q4" s="11"/>
      <c r="R4" s="12" t="s">
        <v>63</v>
      </c>
      <c r="S4" s="13"/>
      <c r="T4" s="14"/>
    </row>
    <row r="5" spans="2:20" x14ac:dyDescent="0.35">
      <c r="B5" s="26"/>
      <c r="C5" s="27">
        <f>TotalBudget</f>
        <v>742909</v>
      </c>
      <c r="D5" s="28"/>
      <c r="E5" s="25"/>
      <c r="F5" s="26"/>
      <c r="G5" s="27">
        <f>TotalActual</f>
        <v>741314</v>
      </c>
      <c r="H5" s="28"/>
      <c r="I5" s="15"/>
      <c r="J5" s="16"/>
      <c r="K5" s="24">
        <f>TotalVariance</f>
        <v>-1595</v>
      </c>
      <c r="L5" s="17"/>
      <c r="M5" s="15"/>
      <c r="N5" s="16"/>
      <c r="O5" s="46">
        <f>GETPIVOTDATA("Sum of Percentage Variance",'BudgetPivot NoDept'!$A$1)</f>
        <v>-2.1469655099076736E-3</v>
      </c>
      <c r="P5" s="17"/>
      <c r="Q5" s="11"/>
      <c r="R5" s="16"/>
      <c r="S5" s="21" t="str">
        <f>'Helper Cells'!B5</f>
        <v>Finance</v>
      </c>
      <c r="T5" s="17"/>
    </row>
    <row r="6" spans="2:20" ht="15" thickBot="1" x14ac:dyDescent="0.4">
      <c r="B6" s="35"/>
      <c r="C6" s="36" t="str">
        <f>"As of "&amp;TEXT(MAX(Table1[MonthDate]),"mmm yyyy")</f>
        <v>As of Dec 2024</v>
      </c>
      <c r="D6" s="37"/>
      <c r="E6" s="25"/>
      <c r="F6" s="38"/>
      <c r="G6" s="36" t="str">
        <f>"As of "&amp;TEXT(MAX(Table1[MonthDate]),"mmm yyyy")</f>
        <v>As of Dec 2024</v>
      </c>
      <c r="H6" s="39"/>
      <c r="I6" s="15"/>
      <c r="J6" s="18"/>
      <c r="K6" s="22" t="str">
        <f>"As of " &amp; TEXT(MAX(Table1[MonthDate]),"mmm yyyy") &amp; " – " &amp;
TEXT(SUM(Table1[Actual]) - SUM(Table1[Budget]),"$#,##0")</f>
        <v>As of Dec 2024 – -$1,595</v>
      </c>
      <c r="L6" s="19"/>
      <c r="M6" s="15"/>
      <c r="N6" s="18"/>
      <c r="O6" s="22" t="str">
        <f>"As of "&amp;TEXT(MAX(Table1[MonthDate]),"mmm yyyy")&amp;" – "&amp;
IF((SUM(Table1[Actual])-SUM(Table1[Budget]))/SUM(Table1[Budget])&gt;=0,"↑ ","↓ ")&amp;
TEXT(ABS((SUM(Table1[Actual])-SUM(Table1[Budget]))/SUM(Table1[Budget])),"0.0%")&amp;
" vs. budget"</f>
        <v>As of Dec 2024 – ↓ 0.2% vs. budget</v>
      </c>
      <c r="P6" s="19"/>
      <c r="Q6" s="11"/>
      <c r="R6" s="18"/>
      <c r="S6" s="22" t="str">
        <f>"As of "&amp;TEXT(MAX(Table1[MonthDate]),"mmm yyyy")</f>
        <v>As of Dec 2024</v>
      </c>
      <c r="T6" s="19"/>
    </row>
    <row r="7" spans="2:20" ht="15.5" thickTop="1" thickBot="1" x14ac:dyDescent="0.4">
      <c r="B7" s="15"/>
      <c r="C7" s="15"/>
      <c r="D7" s="15"/>
      <c r="E7" s="15"/>
      <c r="F7" s="15"/>
      <c r="G7" s="15"/>
      <c r="H7" s="15"/>
      <c r="I7" s="15"/>
      <c r="J7" s="15"/>
      <c r="K7" s="15"/>
      <c r="L7" s="15"/>
      <c r="M7" s="15"/>
      <c r="Q7" s="11"/>
      <c r="R7" s="15"/>
      <c r="S7" s="15"/>
      <c r="T7" s="15"/>
    </row>
    <row r="8" spans="2:20" ht="29" customHeight="1" thickTop="1" x14ac:dyDescent="0.35">
      <c r="B8" s="32" t="s">
        <v>64</v>
      </c>
      <c r="C8" s="33"/>
      <c r="D8" s="34"/>
      <c r="E8" s="25"/>
      <c r="F8" s="32" t="s">
        <v>65</v>
      </c>
      <c r="G8" s="33"/>
      <c r="H8" s="34"/>
      <c r="I8" s="15"/>
      <c r="J8" s="12" t="s">
        <v>66</v>
      </c>
      <c r="K8" s="13"/>
      <c r="L8" s="14"/>
      <c r="M8" s="15"/>
      <c r="N8" s="42"/>
      <c r="O8" s="43" t="s">
        <v>69</v>
      </c>
      <c r="P8" s="44"/>
      <c r="Q8" s="11"/>
      <c r="R8" s="12" t="s">
        <v>67</v>
      </c>
      <c r="S8" s="13"/>
      <c r="T8" s="14"/>
    </row>
    <row r="9" spans="2:20" x14ac:dyDescent="0.35">
      <c r="B9" s="40"/>
      <c r="C9" s="52">
        <f>'Helper Cells'!B10</f>
        <v>73950</v>
      </c>
      <c r="D9" s="41"/>
      <c r="E9" s="25"/>
      <c r="F9" s="40"/>
      <c r="G9" s="52">
        <f>'Helper Cells'!B11</f>
        <v>54098</v>
      </c>
      <c r="H9" s="41"/>
      <c r="I9" s="15"/>
      <c r="J9" s="16"/>
      <c r="K9" s="23">
        <f>'Helper Cells'!B12</f>
        <v>-19852</v>
      </c>
      <c r="L9" s="17"/>
      <c r="M9" s="15"/>
      <c r="N9" s="16"/>
      <c r="O9" s="46">
        <f>( SUMIFS(Table1[Actual], Table1[MonthDate], MAX(Table1[MonthDate]))
 - SUMIFS(Table1[Budget], Table1[MonthDate], MAX(Table1[MonthDate])) )
 / SUMIFS(Table1[Budget], Table1[MonthDate], MAX(Table1[MonthDate]))</f>
        <v>-0.26845165652467884</v>
      </c>
      <c r="P9" s="17"/>
      <c r="Q9" s="11"/>
      <c r="R9" s="16"/>
      <c r="S9" s="51" t="str">
        <f ca="1">'Helper Cells'!B13</f>
        <v>Worst Dept: Finance (-$13,113)</v>
      </c>
      <c r="T9" s="17"/>
    </row>
    <row r="10" spans="2:20" ht="15" thickBot="1" x14ac:dyDescent="0.4">
      <c r="B10" s="38"/>
      <c r="C10" s="36" t="str">
        <f>"As of "&amp;TEXT(MAX(Table1[MonthDate]),"mmm yyyy")</f>
        <v>As of Dec 2024</v>
      </c>
      <c r="D10" s="39"/>
      <c r="E10" s="25"/>
      <c r="F10" s="38"/>
      <c r="G10" s="36" t="str">
        <f>"As of "&amp;TEXT(MAX(Table1[MonthDate]),"mmm yyyy")</f>
        <v>As of Dec 2024</v>
      </c>
      <c r="H10" s="39"/>
      <c r="I10" s="15"/>
      <c r="J10" s="18"/>
      <c r="K10" s="20" t="str">
        <f>"As of " &amp; TEXT(MAX(Table1[MonthDate]),"mmm yyyy") &amp; " – " &amp;
TEXT(
  SUMIFS(Table1[Actual],Table1[MonthDate],MAX(Table1[MonthDate])) -
  SUMIFS(Table1[Budget],Table1[MonthDate],MAX(Table1[MonthDate])),"$#,##0")</f>
        <v>As of Dec 2024 – -$19,852</v>
      </c>
      <c r="L10" s="19"/>
      <c r="M10" s="15"/>
      <c r="N10" s="18"/>
      <c r="O10" s="22" t="str">
        <f>_xlfn.LET(
  _xlpm.m, MAX(Table1[MonthDate]),
  _xlpm.b, SUMIFS(Table1[Budget],  Table1[MonthDate], _xlpm.m),
  _xlpm.a, SUMIFS(Table1[Actual],  Table1[MonthDate], _xlpm.m),
  "As of " &amp; TEXT(_xlpm.m,"mmm yyyy") &amp; " – " &amp; TEXT((_xlpm.a-_xlpm.b)/_xlpm.b,"0.0%") &amp; " vs. budget"
)</f>
        <v>As of Dec 2024 – -26.8% vs. budget</v>
      </c>
      <c r="P10" s="19"/>
      <c r="Q10" s="11"/>
      <c r="R10" s="18"/>
      <c r="S10" s="20" t="str">
        <f>"As of "&amp;TEXT(MAX(Table1[MonthDate]),"mmm yyyy")</f>
        <v>As of Dec 2024</v>
      </c>
      <c r="T10" s="19"/>
    </row>
    <row r="11" spans="2:20" ht="15" thickTop="1" x14ac:dyDescent="0.35"/>
  </sheetData>
  <mergeCells count="1">
    <mergeCell ref="B2:T2"/>
  </mergeCells>
  <conditionalFormatting sqref="J5:L5">
    <cfRule type="expression" dxfId="11" priority="17">
      <formula>$K$5&gt;=0</formula>
    </cfRule>
    <cfRule type="expression" dxfId="10" priority="18">
      <formula>$K$5&lt;=0</formula>
    </cfRule>
  </conditionalFormatting>
  <conditionalFormatting sqref="S5">
    <cfRule type="expression" dxfId="9" priority="15">
      <formula>$K$5&gt;0</formula>
    </cfRule>
    <cfRule type="expression" dxfId="8" priority="16">
      <formula>$K$5&lt;0</formula>
    </cfRule>
  </conditionalFormatting>
  <conditionalFormatting sqref="N9:P9">
    <cfRule type="expression" dxfId="7" priority="11">
      <formula>$K$5&gt;=0</formula>
    </cfRule>
    <cfRule type="expression" dxfId="6" priority="12">
      <formula>$K$5&lt;=0</formula>
    </cfRule>
  </conditionalFormatting>
  <conditionalFormatting sqref="N5:P5">
    <cfRule type="expression" dxfId="5" priority="6">
      <formula>$K$5&gt;=0</formula>
    </cfRule>
    <cfRule type="expression" dxfId="4" priority="7">
      <formula>$K$5&lt;=0</formula>
    </cfRule>
  </conditionalFormatting>
  <conditionalFormatting sqref="K9">
    <cfRule type="expression" dxfId="3" priority="4">
      <formula>$K$9&lt;=0</formula>
    </cfRule>
    <cfRule type="expression" dxfId="2" priority="5">
      <formula>$K$9&gt;=0</formula>
    </cfRule>
  </conditionalFormatting>
  <conditionalFormatting sqref="R9:T9">
    <cfRule type="expression" dxfId="1" priority="1">
      <formula>$K$9&lt;0</formula>
    </cfRule>
    <cfRule type="expression" dxfId="0" priority="2">
      <formula>$K$9&gt;0</formula>
    </cfRule>
  </conditionalFormatting>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6D927-DF26-4832-A565-B21094E6F081}">
  <dimension ref="A1:U16"/>
  <sheetViews>
    <sheetView topLeftCell="A2" workbookViewId="0">
      <selection activeCell="U16" sqref="U16"/>
    </sheetView>
  </sheetViews>
  <sheetFormatPr defaultRowHeight="14.5" x14ac:dyDescent="0.35"/>
  <cols>
    <col min="1" max="1" width="12.453125" bestFit="1" customWidth="1"/>
    <col min="2" max="2" width="15.6328125" bestFit="1" customWidth="1"/>
    <col min="3" max="3" width="12.36328125" bestFit="1" customWidth="1"/>
    <col min="4" max="4" width="14.453125" bestFit="1" customWidth="1"/>
    <col min="5" max="5" width="24.36328125" bestFit="1" customWidth="1"/>
    <col min="6" max="6" width="12.90625" bestFit="1" customWidth="1"/>
    <col min="7" max="7" width="12.36328125" bestFit="1" customWidth="1"/>
    <col min="8" max="8" width="14.453125" bestFit="1" customWidth="1"/>
    <col min="9" max="9" width="24.36328125" bestFit="1" customWidth="1"/>
    <col min="10" max="10" width="12.90625" bestFit="1" customWidth="1"/>
    <col min="11" max="11" width="12.36328125" bestFit="1" customWidth="1"/>
    <col min="12" max="12" width="14.453125" bestFit="1" customWidth="1"/>
    <col min="13" max="13" width="24.36328125" bestFit="1" customWidth="1"/>
    <col min="14" max="14" width="12.90625" bestFit="1" customWidth="1"/>
    <col min="15" max="15" width="12.36328125" bestFit="1" customWidth="1"/>
    <col min="16" max="16" width="14.453125" bestFit="1" customWidth="1"/>
    <col min="17" max="17" width="24.36328125" bestFit="1" customWidth="1"/>
    <col min="18" max="18" width="12.90625" bestFit="1" customWidth="1"/>
    <col min="19" max="19" width="12.36328125" bestFit="1" customWidth="1"/>
    <col min="20" max="20" width="14.453125" bestFit="1" customWidth="1"/>
    <col min="21" max="21" width="24.36328125" bestFit="1" customWidth="1"/>
    <col min="22" max="22" width="19.1796875" bestFit="1" customWidth="1"/>
    <col min="23" max="23" width="18.453125" bestFit="1" customWidth="1"/>
    <col min="24" max="24" width="20.54296875" bestFit="1" customWidth="1"/>
    <col min="25" max="25" width="31.54296875" bestFit="1" customWidth="1"/>
  </cols>
  <sheetData>
    <row r="1" spans="1:21" hidden="1" x14ac:dyDescent="0.35">
      <c r="A1" s="53"/>
      <c r="B1" s="53" t="s">
        <v>23</v>
      </c>
      <c r="C1" s="53"/>
      <c r="D1" s="53"/>
      <c r="E1" s="53"/>
      <c r="F1" s="53"/>
      <c r="G1" s="53"/>
      <c r="H1" s="53"/>
      <c r="I1" s="53"/>
      <c r="J1" s="53"/>
      <c r="K1" s="53"/>
      <c r="L1" s="53"/>
      <c r="M1" s="53"/>
      <c r="N1" s="53"/>
      <c r="O1" s="53"/>
      <c r="P1" s="53"/>
      <c r="Q1" s="53"/>
      <c r="R1" s="53"/>
      <c r="S1" s="53"/>
      <c r="T1" s="53"/>
      <c r="U1" s="53"/>
    </row>
    <row r="2" spans="1:21" x14ac:dyDescent="0.35">
      <c r="B2" t="s">
        <v>7</v>
      </c>
      <c r="F2" t="s">
        <v>8</v>
      </c>
      <c r="J2" t="s">
        <v>10</v>
      </c>
      <c r="N2" t="s">
        <v>9</v>
      </c>
      <c r="R2" t="s">
        <v>11</v>
      </c>
    </row>
    <row r="3" spans="1:21" x14ac:dyDescent="0.35">
      <c r="A3" s="2" t="s">
        <v>24</v>
      </c>
      <c r="B3" t="s">
        <v>25</v>
      </c>
      <c r="C3" t="s">
        <v>26</v>
      </c>
      <c r="D3" t="s">
        <v>27</v>
      </c>
      <c r="E3" t="s">
        <v>28</v>
      </c>
      <c r="F3" t="s">
        <v>25</v>
      </c>
      <c r="G3" t="s">
        <v>26</v>
      </c>
      <c r="H3" t="s">
        <v>27</v>
      </c>
      <c r="I3" t="s">
        <v>28</v>
      </c>
      <c r="J3" t="s">
        <v>25</v>
      </c>
      <c r="K3" t="s">
        <v>26</v>
      </c>
      <c r="L3" t="s">
        <v>27</v>
      </c>
      <c r="M3" t="s">
        <v>28</v>
      </c>
      <c r="N3" t="s">
        <v>25</v>
      </c>
      <c r="O3" t="s">
        <v>26</v>
      </c>
      <c r="P3" t="s">
        <v>27</v>
      </c>
      <c r="Q3" t="s">
        <v>28</v>
      </c>
      <c r="R3" t="s">
        <v>25</v>
      </c>
      <c r="S3" t="s">
        <v>26</v>
      </c>
      <c r="T3" t="s">
        <v>27</v>
      </c>
      <c r="U3" t="s">
        <v>28</v>
      </c>
    </row>
    <row r="4" spans="1:21" x14ac:dyDescent="0.35">
      <c r="A4" s="5" t="s">
        <v>29</v>
      </c>
      <c r="B4" s="7">
        <v>7490</v>
      </c>
      <c r="C4" s="7">
        <v>17324</v>
      </c>
      <c r="D4" s="7">
        <v>9834</v>
      </c>
      <c r="E4" s="3">
        <v>1.3129506008010681</v>
      </c>
      <c r="F4" s="7">
        <v>14134</v>
      </c>
      <c r="G4" s="7">
        <v>5137</v>
      </c>
      <c r="H4" s="7">
        <v>-8997</v>
      </c>
      <c r="I4" s="3">
        <v>-0.63655016272817322</v>
      </c>
      <c r="J4" s="7">
        <v>10845</v>
      </c>
      <c r="K4" s="7">
        <v>7906</v>
      </c>
      <c r="L4" s="7">
        <v>-2939</v>
      </c>
      <c r="M4" s="3">
        <v>-0.2710004610419548</v>
      </c>
      <c r="N4" s="7">
        <v>15719</v>
      </c>
      <c r="O4" s="7">
        <v>7420</v>
      </c>
      <c r="P4" s="7">
        <v>-8299</v>
      </c>
      <c r="Q4" s="3">
        <v>-0.52795979388001779</v>
      </c>
      <c r="R4" s="7">
        <v>8637</v>
      </c>
      <c r="S4" s="7">
        <v>16413</v>
      </c>
      <c r="T4" s="7">
        <v>7776</v>
      </c>
      <c r="U4" s="3">
        <v>0.90031260854463357</v>
      </c>
    </row>
    <row r="5" spans="1:21" x14ac:dyDescent="0.35">
      <c r="A5" s="5" t="s">
        <v>30</v>
      </c>
      <c r="B5" s="7">
        <v>5276</v>
      </c>
      <c r="C5" s="7">
        <v>21611</v>
      </c>
      <c r="D5" s="7">
        <v>16335</v>
      </c>
      <c r="E5" s="3">
        <v>3.0960955269143291</v>
      </c>
      <c r="F5" s="7">
        <v>11337</v>
      </c>
      <c r="G5" s="7">
        <v>15944</v>
      </c>
      <c r="H5" s="7">
        <v>4607</v>
      </c>
      <c r="I5" s="3">
        <v>0.40636852782923172</v>
      </c>
      <c r="J5" s="7">
        <v>5695</v>
      </c>
      <c r="K5" s="7">
        <v>16306</v>
      </c>
      <c r="L5" s="7">
        <v>10611</v>
      </c>
      <c r="M5" s="3">
        <v>1.8632133450395083</v>
      </c>
      <c r="N5" s="7">
        <v>8735</v>
      </c>
      <c r="O5" s="7">
        <v>19906</v>
      </c>
      <c r="P5" s="7">
        <v>11171</v>
      </c>
      <c r="Q5" s="3">
        <v>1.2788780767029193</v>
      </c>
      <c r="R5" s="7">
        <v>12537</v>
      </c>
      <c r="S5" s="7">
        <v>14503</v>
      </c>
      <c r="T5" s="7">
        <v>1966</v>
      </c>
      <c r="U5" s="3">
        <v>0.1568158251575337</v>
      </c>
    </row>
    <row r="6" spans="1:21" x14ac:dyDescent="0.35">
      <c r="A6" s="5" t="s">
        <v>31</v>
      </c>
      <c r="B6" s="7">
        <v>7841</v>
      </c>
      <c r="C6" s="7">
        <v>8208</v>
      </c>
      <c r="D6" s="7">
        <v>367</v>
      </c>
      <c r="E6" s="3">
        <v>4.6805254431832671E-2</v>
      </c>
      <c r="F6" s="7">
        <v>16751</v>
      </c>
      <c r="G6" s="7">
        <v>15590</v>
      </c>
      <c r="H6" s="7">
        <v>-1161</v>
      </c>
      <c r="I6" s="3">
        <v>-6.930929496746463E-2</v>
      </c>
      <c r="J6" s="7">
        <v>17866</v>
      </c>
      <c r="K6" s="7">
        <v>5088</v>
      </c>
      <c r="L6" s="7">
        <v>-12778</v>
      </c>
      <c r="M6" s="3">
        <v>-0.71521325422590398</v>
      </c>
      <c r="N6" s="7">
        <v>13733</v>
      </c>
      <c r="O6" s="7">
        <v>14886</v>
      </c>
      <c r="P6" s="7">
        <v>1153</v>
      </c>
      <c r="Q6" s="3">
        <v>8.3958348503604452E-2</v>
      </c>
      <c r="R6" s="7">
        <v>8363</v>
      </c>
      <c r="S6" s="7">
        <v>4024</v>
      </c>
      <c r="T6" s="7">
        <v>-4339</v>
      </c>
      <c r="U6" s="3">
        <v>-0.5188329546813345</v>
      </c>
    </row>
    <row r="7" spans="1:21" x14ac:dyDescent="0.35">
      <c r="A7" s="5" t="s">
        <v>32</v>
      </c>
      <c r="B7" s="7">
        <v>14764</v>
      </c>
      <c r="C7" s="7">
        <v>13959</v>
      </c>
      <c r="D7" s="7">
        <v>-805</v>
      </c>
      <c r="E7" s="3">
        <v>-5.4524519100514764E-2</v>
      </c>
      <c r="F7" s="7">
        <v>17935</v>
      </c>
      <c r="G7" s="7">
        <v>12068</v>
      </c>
      <c r="H7" s="7">
        <v>-5867</v>
      </c>
      <c r="I7" s="3">
        <v>-0.32712573180931143</v>
      </c>
      <c r="J7" s="7">
        <v>13392</v>
      </c>
      <c r="K7" s="7">
        <v>15390</v>
      </c>
      <c r="L7" s="7">
        <v>1998</v>
      </c>
      <c r="M7" s="3">
        <v>0.14919354838709678</v>
      </c>
      <c r="N7" s="7">
        <v>7235</v>
      </c>
      <c r="O7" s="7">
        <v>11295</v>
      </c>
      <c r="P7" s="7">
        <v>4060</v>
      </c>
      <c r="Q7" s="3">
        <v>0.56116102280580515</v>
      </c>
      <c r="R7" s="7">
        <v>13448</v>
      </c>
      <c r="S7" s="7">
        <v>14433</v>
      </c>
      <c r="T7" s="7">
        <v>985</v>
      </c>
      <c r="U7" s="3">
        <v>7.3245092207019635E-2</v>
      </c>
    </row>
    <row r="8" spans="1:21" x14ac:dyDescent="0.35">
      <c r="A8" s="5" t="s">
        <v>33</v>
      </c>
      <c r="B8" s="7">
        <v>8175</v>
      </c>
      <c r="C8" s="7">
        <v>15528</v>
      </c>
      <c r="D8" s="7">
        <v>7353</v>
      </c>
      <c r="E8" s="3">
        <v>0.89944954128440369</v>
      </c>
      <c r="F8" s="7">
        <v>9897</v>
      </c>
      <c r="G8" s="7">
        <v>19743</v>
      </c>
      <c r="H8" s="7">
        <v>9846</v>
      </c>
      <c r="I8" s="3">
        <v>0.99484692331009394</v>
      </c>
      <c r="J8" s="7">
        <v>7014</v>
      </c>
      <c r="K8" s="7">
        <v>5381</v>
      </c>
      <c r="L8" s="7">
        <v>-1633</v>
      </c>
      <c r="M8" s="3">
        <v>-0.23282007413743941</v>
      </c>
      <c r="N8" s="7">
        <v>12427</v>
      </c>
      <c r="O8" s="7">
        <v>12605</v>
      </c>
      <c r="P8" s="7">
        <v>178</v>
      </c>
      <c r="Q8" s="3">
        <v>1.432365011668142E-2</v>
      </c>
      <c r="R8" s="7">
        <v>6098</v>
      </c>
      <c r="S8" s="7">
        <v>13101</v>
      </c>
      <c r="T8" s="7">
        <v>7003</v>
      </c>
      <c r="U8" s="3">
        <v>1.1484093145293539</v>
      </c>
    </row>
    <row r="9" spans="1:21" x14ac:dyDescent="0.35">
      <c r="A9" s="5" t="s">
        <v>34</v>
      </c>
      <c r="B9" s="7">
        <v>5187</v>
      </c>
      <c r="C9" s="7">
        <v>15948</v>
      </c>
      <c r="D9" s="7">
        <v>10761</v>
      </c>
      <c r="E9" s="3">
        <v>2.0746096009253905</v>
      </c>
      <c r="F9" s="7">
        <v>15207</v>
      </c>
      <c r="G9" s="7">
        <v>6092</v>
      </c>
      <c r="H9" s="7">
        <v>-9115</v>
      </c>
      <c r="I9" s="3">
        <v>-0.59939501545340956</v>
      </c>
      <c r="J9" s="7">
        <v>13549</v>
      </c>
      <c r="K9" s="7">
        <v>9185</v>
      </c>
      <c r="L9" s="7">
        <v>-4364</v>
      </c>
      <c r="M9" s="3">
        <v>-0.32209019115801907</v>
      </c>
      <c r="N9" s="7">
        <v>16836</v>
      </c>
      <c r="O9" s="7">
        <v>9242</v>
      </c>
      <c r="P9" s="7">
        <v>-7594</v>
      </c>
      <c r="Q9" s="3">
        <v>-0.45105725825611787</v>
      </c>
      <c r="R9" s="7">
        <v>10776</v>
      </c>
      <c r="S9" s="7">
        <v>16449</v>
      </c>
      <c r="T9" s="7">
        <v>5673</v>
      </c>
      <c r="U9" s="3">
        <v>0.52644766146993316</v>
      </c>
    </row>
    <row r="10" spans="1:21" x14ac:dyDescent="0.35">
      <c r="A10" s="5" t="s">
        <v>35</v>
      </c>
      <c r="B10" s="7">
        <v>12913</v>
      </c>
      <c r="C10" s="7">
        <v>11823</v>
      </c>
      <c r="D10" s="7">
        <v>-1090</v>
      </c>
      <c r="E10" s="3">
        <v>-8.4411058623093005E-2</v>
      </c>
      <c r="F10" s="7">
        <v>12355</v>
      </c>
      <c r="G10" s="7">
        <v>10465</v>
      </c>
      <c r="H10" s="7">
        <v>-1890</v>
      </c>
      <c r="I10" s="3">
        <v>-0.15297450424929179</v>
      </c>
      <c r="J10" s="7">
        <v>18324</v>
      </c>
      <c r="K10" s="7">
        <v>14350</v>
      </c>
      <c r="L10" s="7">
        <v>-3974</v>
      </c>
      <c r="M10" s="3">
        <v>-0.21687404496834753</v>
      </c>
      <c r="N10" s="7">
        <v>17737</v>
      </c>
      <c r="O10" s="7">
        <v>21881</v>
      </c>
      <c r="P10" s="7">
        <v>4144</v>
      </c>
      <c r="Q10" s="3">
        <v>0.23363590235101764</v>
      </c>
      <c r="R10" s="7">
        <v>19238</v>
      </c>
      <c r="S10" s="7">
        <v>6555</v>
      </c>
      <c r="T10" s="7">
        <v>-12683</v>
      </c>
      <c r="U10" s="3">
        <v>-0.65926811518868911</v>
      </c>
    </row>
    <row r="11" spans="1:21" x14ac:dyDescent="0.35">
      <c r="A11" s="5" t="s">
        <v>36</v>
      </c>
      <c r="B11" s="7">
        <v>10409</v>
      </c>
      <c r="C11" s="7">
        <v>6951</v>
      </c>
      <c r="D11" s="7">
        <v>-3458</v>
      </c>
      <c r="E11" s="3">
        <v>-0.33221250840618693</v>
      </c>
      <c r="F11" s="7">
        <v>6238</v>
      </c>
      <c r="G11" s="7">
        <v>8727</v>
      </c>
      <c r="H11" s="7">
        <v>2489</v>
      </c>
      <c r="I11" s="3">
        <v>0.39900609169605644</v>
      </c>
      <c r="J11" s="7">
        <v>14242</v>
      </c>
      <c r="K11" s="7">
        <v>7701</v>
      </c>
      <c r="L11" s="7">
        <v>-6541</v>
      </c>
      <c r="M11" s="3">
        <v>-0.45927538267097318</v>
      </c>
      <c r="N11" s="7">
        <v>8965</v>
      </c>
      <c r="O11" s="7">
        <v>9686</v>
      </c>
      <c r="P11" s="7">
        <v>721</v>
      </c>
      <c r="Q11" s="3">
        <v>8.0423870607919681E-2</v>
      </c>
      <c r="R11" s="7">
        <v>7780</v>
      </c>
      <c r="S11" s="7">
        <v>21972</v>
      </c>
      <c r="T11" s="7">
        <v>14192</v>
      </c>
      <c r="U11" s="3">
        <v>1.8241645244215938</v>
      </c>
    </row>
    <row r="12" spans="1:21" x14ac:dyDescent="0.35">
      <c r="A12" s="5" t="s">
        <v>37</v>
      </c>
      <c r="B12" s="7">
        <v>17070</v>
      </c>
      <c r="C12" s="7">
        <v>6368</v>
      </c>
      <c r="D12" s="7">
        <v>-10702</v>
      </c>
      <c r="E12" s="3">
        <v>-0.62694786174575279</v>
      </c>
      <c r="F12" s="7">
        <v>10789</v>
      </c>
      <c r="G12" s="7">
        <v>4436</v>
      </c>
      <c r="H12" s="7">
        <v>-6353</v>
      </c>
      <c r="I12" s="3">
        <v>-0.58884048567985914</v>
      </c>
      <c r="J12" s="7">
        <v>12570</v>
      </c>
      <c r="K12" s="7">
        <v>17364</v>
      </c>
      <c r="L12" s="7">
        <v>4794</v>
      </c>
      <c r="M12" s="3">
        <v>0.38138424821002387</v>
      </c>
      <c r="N12" s="7">
        <v>7828</v>
      </c>
      <c r="O12" s="7">
        <v>5556</v>
      </c>
      <c r="P12" s="7">
        <v>-2272</v>
      </c>
      <c r="Q12" s="3">
        <v>-0.29024016351558507</v>
      </c>
      <c r="R12" s="7">
        <v>17050</v>
      </c>
      <c r="S12" s="7">
        <v>19061</v>
      </c>
      <c r="T12" s="7">
        <v>2011</v>
      </c>
      <c r="U12" s="3">
        <v>0.11794721407624634</v>
      </c>
    </row>
    <row r="13" spans="1:21" x14ac:dyDescent="0.35">
      <c r="A13" s="5" t="s">
        <v>38</v>
      </c>
      <c r="B13" s="7">
        <v>19366</v>
      </c>
      <c r="C13" s="7">
        <v>14576</v>
      </c>
      <c r="D13" s="7">
        <v>-4790</v>
      </c>
      <c r="E13" s="3">
        <v>-0.24734070019622018</v>
      </c>
      <c r="F13" s="7">
        <v>5182</v>
      </c>
      <c r="G13" s="7">
        <v>11190</v>
      </c>
      <c r="H13" s="7">
        <v>6008</v>
      </c>
      <c r="I13" s="3">
        <v>1.1593979158626013</v>
      </c>
      <c r="J13" s="7">
        <v>12241</v>
      </c>
      <c r="K13" s="7">
        <v>19369</v>
      </c>
      <c r="L13" s="7">
        <v>7128</v>
      </c>
      <c r="M13" s="3">
        <v>0.58230536720856141</v>
      </c>
      <c r="N13" s="7">
        <v>11687</v>
      </c>
      <c r="O13" s="7">
        <v>9565</v>
      </c>
      <c r="P13" s="7">
        <v>-2122</v>
      </c>
      <c r="Q13" s="3">
        <v>-0.18156926499529391</v>
      </c>
      <c r="R13" s="7">
        <v>12651</v>
      </c>
      <c r="S13" s="7">
        <v>5589</v>
      </c>
      <c r="T13" s="7">
        <v>-7062</v>
      </c>
      <c r="U13" s="3">
        <v>-0.55821674175954472</v>
      </c>
    </row>
    <row r="14" spans="1:21" x14ac:dyDescent="0.35">
      <c r="A14" s="5" t="s">
        <v>39</v>
      </c>
      <c r="B14" s="7">
        <v>14779</v>
      </c>
      <c r="C14" s="7">
        <v>4159</v>
      </c>
      <c r="D14" s="7">
        <v>-10620</v>
      </c>
      <c r="E14" s="3">
        <v>-0.71858718451857362</v>
      </c>
      <c r="F14" s="7">
        <v>17145</v>
      </c>
      <c r="G14" s="7">
        <v>19373</v>
      </c>
      <c r="H14" s="7">
        <v>2228</v>
      </c>
      <c r="I14" s="3">
        <v>0.1299504228638087</v>
      </c>
      <c r="J14" s="7">
        <v>14203</v>
      </c>
      <c r="K14" s="7">
        <v>12244</v>
      </c>
      <c r="L14" s="7">
        <v>-1959</v>
      </c>
      <c r="M14" s="3">
        <v>-0.13792860663240161</v>
      </c>
      <c r="N14" s="7">
        <v>11555</v>
      </c>
      <c r="O14" s="7">
        <v>20237</v>
      </c>
      <c r="P14" s="7">
        <v>8682</v>
      </c>
      <c r="Q14" s="3">
        <v>0.75136304630030293</v>
      </c>
      <c r="R14" s="7">
        <v>19743</v>
      </c>
      <c r="S14" s="7">
        <v>17333</v>
      </c>
      <c r="T14" s="7">
        <v>-2410</v>
      </c>
      <c r="U14" s="3">
        <v>-0.12206858126931064</v>
      </c>
    </row>
    <row r="15" spans="1:21" x14ac:dyDescent="0.35">
      <c r="A15" s="5" t="s">
        <v>40</v>
      </c>
      <c r="B15" s="7">
        <v>18341</v>
      </c>
      <c r="C15" s="7">
        <v>5228</v>
      </c>
      <c r="D15" s="7">
        <v>-13113</v>
      </c>
      <c r="E15" s="3">
        <v>-0.71495556403685734</v>
      </c>
      <c r="F15" s="7">
        <v>12226</v>
      </c>
      <c r="G15" s="7">
        <v>9590</v>
      </c>
      <c r="H15" s="7">
        <v>-2636</v>
      </c>
      <c r="I15" s="3">
        <v>-0.21560608539178799</v>
      </c>
      <c r="J15" s="7">
        <v>14227</v>
      </c>
      <c r="K15" s="7">
        <v>10046</v>
      </c>
      <c r="L15" s="7">
        <v>-4181</v>
      </c>
      <c r="M15" s="3">
        <v>-0.29387783791382582</v>
      </c>
      <c r="N15" s="7">
        <v>11919</v>
      </c>
      <c r="O15" s="7">
        <v>9585</v>
      </c>
      <c r="P15" s="7">
        <v>-2334</v>
      </c>
      <c r="Q15" s="3">
        <v>-0.19582179713063178</v>
      </c>
      <c r="R15" s="7">
        <v>17237</v>
      </c>
      <c r="S15" s="7">
        <v>19649</v>
      </c>
      <c r="T15" s="7">
        <v>2412</v>
      </c>
      <c r="U15" s="3">
        <v>0.13993154261182339</v>
      </c>
    </row>
    <row r="16" spans="1:21" x14ac:dyDescent="0.35">
      <c r="A16" s="5" t="s">
        <v>41</v>
      </c>
      <c r="B16" s="7">
        <v>141611</v>
      </c>
      <c r="C16" s="7">
        <v>141683</v>
      </c>
      <c r="D16" s="7">
        <v>72</v>
      </c>
      <c r="E16" s="3">
        <v>5.0843507919582514E-4</v>
      </c>
      <c r="F16" s="7">
        <v>149196</v>
      </c>
      <c r="G16" s="7">
        <v>138355</v>
      </c>
      <c r="H16" s="7">
        <v>-10841</v>
      </c>
      <c r="I16" s="3">
        <v>-7.2662805973350494E-2</v>
      </c>
      <c r="J16" s="7">
        <v>154168</v>
      </c>
      <c r="K16" s="7">
        <v>140330</v>
      </c>
      <c r="L16" s="7">
        <v>-13838</v>
      </c>
      <c r="M16" s="3">
        <v>-8.975922370401121E-2</v>
      </c>
      <c r="N16" s="7">
        <v>144376</v>
      </c>
      <c r="O16" s="7">
        <v>151864</v>
      </c>
      <c r="P16" s="7">
        <v>7488</v>
      </c>
      <c r="Q16" s="3">
        <v>5.1864575829777805E-2</v>
      </c>
      <c r="R16" s="7">
        <v>153558</v>
      </c>
      <c r="S16" s="7">
        <v>169082</v>
      </c>
      <c r="T16" s="7">
        <v>15524</v>
      </c>
      <c r="U16" s="3">
        <v>0.10109535159353469</v>
      </c>
    </row>
  </sheetData>
  <conditionalFormatting sqref="Y17:Y1048576 Y1:Y3">
    <cfRule type="colorScale" priority="6">
      <colorScale>
        <cfvo type="min"/>
        <cfvo type="percentile" val="50"/>
        <cfvo type="max"/>
        <color rgb="FFF8696B"/>
        <color rgb="FFFFEB84"/>
        <color rgb="FF63BE7B"/>
      </colorScale>
    </cfRule>
  </conditionalFormatting>
  <conditionalFormatting pivot="1" sqref="M4:M16">
    <cfRule type="colorScale" priority="5">
      <colorScale>
        <cfvo type="num" val="-1"/>
        <cfvo type="num" val="0"/>
        <cfvo type="num" val="1"/>
        <color rgb="FFF8696B"/>
        <color rgb="FFFFEB84"/>
        <color rgb="FF63BE7B"/>
      </colorScale>
    </cfRule>
  </conditionalFormatting>
  <conditionalFormatting pivot="1" sqref="E4:E16">
    <cfRule type="colorScale" priority="4">
      <colorScale>
        <cfvo type="num" val="-1"/>
        <cfvo type="num" val="0"/>
        <cfvo type="num" val="1"/>
        <color rgb="FFF8696B"/>
        <color rgb="FFFFEB84"/>
        <color rgb="FF63BE7B"/>
      </colorScale>
    </cfRule>
  </conditionalFormatting>
  <conditionalFormatting pivot="1" sqref="I4:I16">
    <cfRule type="colorScale" priority="3">
      <colorScale>
        <cfvo type="num" val="-1"/>
        <cfvo type="num" val="0"/>
        <cfvo type="num" val="1"/>
        <color rgb="FFF8696B"/>
        <color rgb="FFFFEB84"/>
        <color rgb="FF63BE7B"/>
      </colorScale>
    </cfRule>
  </conditionalFormatting>
  <conditionalFormatting pivot="1" sqref="Q4:Q16">
    <cfRule type="colorScale" priority="2">
      <colorScale>
        <cfvo type="num" val="-1"/>
        <cfvo type="num" val="0"/>
        <cfvo type="num" val="1"/>
        <color rgb="FFF8696B"/>
        <color rgb="FFFFEB84"/>
        <color rgb="FF63BE7B"/>
      </colorScale>
    </cfRule>
  </conditionalFormatting>
  <conditionalFormatting pivot="1" sqref="U4:U16">
    <cfRule type="colorScale" priority="1">
      <colorScale>
        <cfvo type="num" val="-1"/>
        <cfvo type="num" val="0"/>
        <cfvo type="num" val="1"/>
        <color rgb="FFF8696B"/>
        <color rgb="FFFFEB84"/>
        <color rgb="FF63BE7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EBC23C-B8CF-49F2-BD35-F08C89D5F089}">
  <dimension ref="A1:E14"/>
  <sheetViews>
    <sheetView workbookViewId="0">
      <selection activeCell="B14" sqref="B14"/>
    </sheetView>
  </sheetViews>
  <sheetFormatPr defaultRowHeight="14.5" x14ac:dyDescent="0.35"/>
  <cols>
    <col min="1" max="1" width="20.26953125" bestFit="1" customWidth="1"/>
    <col min="2" max="2" width="24.36328125" bestFit="1" customWidth="1"/>
    <col min="3" max="3" width="24.7265625" bestFit="1" customWidth="1"/>
    <col min="4" max="4" width="12.36328125" bestFit="1" customWidth="1"/>
    <col min="5" max="5" width="12.90625" bestFit="1" customWidth="1"/>
    <col min="6" max="6" width="13.54296875" bestFit="1" customWidth="1"/>
    <col min="7" max="7" width="14" bestFit="1" customWidth="1"/>
    <col min="8" max="8" width="13.54296875" bestFit="1" customWidth="1"/>
    <col min="9" max="9" width="14" bestFit="1" customWidth="1"/>
    <col min="10" max="10" width="13.54296875" bestFit="1" customWidth="1"/>
    <col min="11" max="11" width="14" bestFit="1" customWidth="1"/>
    <col min="12" max="12" width="18.453125" bestFit="1" customWidth="1"/>
    <col min="13" max="13" width="19" bestFit="1" customWidth="1"/>
  </cols>
  <sheetData>
    <row r="1" spans="1:5" x14ac:dyDescent="0.35">
      <c r="A1" s="2" t="s">
        <v>42</v>
      </c>
      <c r="B1" t="s">
        <v>28</v>
      </c>
      <c r="C1" t="s">
        <v>43</v>
      </c>
      <c r="D1" t="s">
        <v>26</v>
      </c>
      <c r="E1" t="s">
        <v>25</v>
      </c>
    </row>
    <row r="2" spans="1:5" x14ac:dyDescent="0.35">
      <c r="A2" t="s">
        <v>29</v>
      </c>
      <c r="B2" s="45">
        <v>-4.6194456665200175E-2</v>
      </c>
      <c r="C2" s="50">
        <v>-2625</v>
      </c>
      <c r="D2" s="50">
        <v>54200</v>
      </c>
      <c r="E2" s="50">
        <v>56825</v>
      </c>
    </row>
    <row r="3" spans="1:5" x14ac:dyDescent="0.35">
      <c r="A3" t="s">
        <v>30</v>
      </c>
      <c r="B3" s="45">
        <v>1.0254703992657181</v>
      </c>
      <c r="C3" s="50">
        <v>44690</v>
      </c>
      <c r="D3" s="50">
        <v>88270</v>
      </c>
      <c r="E3" s="50">
        <v>43580</v>
      </c>
    </row>
    <row r="4" spans="1:5" x14ac:dyDescent="0.35">
      <c r="A4" t="s">
        <v>31</v>
      </c>
      <c r="B4" s="45">
        <v>-0.25959661678594664</v>
      </c>
      <c r="C4" s="50">
        <v>-16758</v>
      </c>
      <c r="D4" s="50">
        <v>47796</v>
      </c>
      <c r="E4" s="50">
        <v>64554</v>
      </c>
    </row>
    <row r="5" spans="1:5" x14ac:dyDescent="0.35">
      <c r="A5" t="s">
        <v>32</v>
      </c>
      <c r="B5" s="45">
        <v>5.5560547518495223E-3</v>
      </c>
      <c r="C5" s="50">
        <v>371</v>
      </c>
      <c r="D5" s="50">
        <v>67145</v>
      </c>
      <c r="E5" s="50">
        <v>66774</v>
      </c>
    </row>
    <row r="6" spans="1:5" x14ac:dyDescent="0.35">
      <c r="A6" t="s">
        <v>33</v>
      </c>
      <c r="B6" s="45">
        <v>0.52158859003462432</v>
      </c>
      <c r="C6" s="50">
        <v>22747</v>
      </c>
      <c r="D6" s="50">
        <v>66358</v>
      </c>
      <c r="E6" s="50">
        <v>43611</v>
      </c>
    </row>
    <row r="7" spans="1:5" x14ac:dyDescent="0.35">
      <c r="A7" t="s">
        <v>34</v>
      </c>
      <c r="B7" s="45">
        <v>-7.5363496060433757E-2</v>
      </c>
      <c r="C7" s="50">
        <v>-4639</v>
      </c>
      <c r="D7" s="50">
        <v>56916</v>
      </c>
      <c r="E7" s="50">
        <v>61555</v>
      </c>
    </row>
    <row r="8" spans="1:5" x14ac:dyDescent="0.35">
      <c r="A8" t="s">
        <v>35</v>
      </c>
      <c r="B8" s="45">
        <v>-0.1922995767497859</v>
      </c>
      <c r="C8" s="50">
        <v>-15493</v>
      </c>
      <c r="D8" s="50">
        <v>65074</v>
      </c>
      <c r="E8" s="50">
        <v>80567</v>
      </c>
    </row>
    <row r="9" spans="1:5" x14ac:dyDescent="0.35">
      <c r="A9" t="s">
        <v>36</v>
      </c>
      <c r="B9" s="45">
        <v>0.15541419994121847</v>
      </c>
      <c r="C9" s="50">
        <v>7403</v>
      </c>
      <c r="D9" s="50">
        <v>55037</v>
      </c>
      <c r="E9" s="50">
        <v>47634</v>
      </c>
    </row>
    <row r="10" spans="1:5" x14ac:dyDescent="0.35">
      <c r="A10" t="s">
        <v>37</v>
      </c>
      <c r="B10" s="45">
        <v>-0.19174054848637972</v>
      </c>
      <c r="C10" s="50">
        <v>-12522</v>
      </c>
      <c r="D10" s="50">
        <v>52785</v>
      </c>
      <c r="E10" s="50">
        <v>65307</v>
      </c>
    </row>
    <row r="11" spans="1:5" x14ac:dyDescent="0.35">
      <c r="A11" t="s">
        <v>38</v>
      </c>
      <c r="B11" s="45">
        <v>-1.3709162890375775E-2</v>
      </c>
      <c r="C11" s="50">
        <v>-838</v>
      </c>
      <c r="D11" s="50">
        <v>60289</v>
      </c>
      <c r="E11" s="50">
        <v>61127</v>
      </c>
    </row>
    <row r="12" spans="1:5" x14ac:dyDescent="0.35">
      <c r="A12" t="s">
        <v>39</v>
      </c>
      <c r="B12" s="45">
        <v>-5.2683241846948663E-2</v>
      </c>
      <c r="C12" s="50">
        <v>-4079</v>
      </c>
      <c r="D12" s="50">
        <v>73346</v>
      </c>
      <c r="E12" s="50">
        <v>77425</v>
      </c>
    </row>
    <row r="13" spans="1:5" x14ac:dyDescent="0.35">
      <c r="A13" t="s">
        <v>40</v>
      </c>
      <c r="B13" s="45">
        <v>-0.26845165652467884</v>
      </c>
      <c r="C13" s="50">
        <v>-19852</v>
      </c>
      <c r="D13" s="50">
        <v>54098</v>
      </c>
      <c r="E13" s="50">
        <v>73950</v>
      </c>
    </row>
    <row r="14" spans="1:5" x14ac:dyDescent="0.35">
      <c r="A14" t="s">
        <v>41</v>
      </c>
      <c r="B14" s="45">
        <v>-2.1469655099076736E-3</v>
      </c>
      <c r="C14" s="50">
        <v>-1595</v>
      </c>
      <c r="D14" s="50">
        <v>741314</v>
      </c>
      <c r="E14" s="50">
        <v>742909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BF08F-C899-41C5-B123-E27E22B47EA0}">
  <dimension ref="A1:J15"/>
  <sheetViews>
    <sheetView workbookViewId="0">
      <selection activeCell="J2" sqref="J2"/>
    </sheetView>
  </sheetViews>
  <sheetFormatPr defaultRowHeight="14.5" x14ac:dyDescent="0.35"/>
  <cols>
    <col min="1" max="1" width="24.7265625" bestFit="1" customWidth="1"/>
    <col min="2" max="2" width="15.6328125" bestFit="1" customWidth="1"/>
    <col min="3" max="4" width="6.453125" bestFit="1" customWidth="1"/>
    <col min="5" max="5" width="9.08984375" bestFit="1" customWidth="1"/>
    <col min="6" max="6" width="10" bestFit="1" customWidth="1"/>
    <col min="7" max="7" width="10.36328125" bestFit="1" customWidth="1"/>
    <col min="9" max="9" width="26.36328125" bestFit="1" customWidth="1"/>
    <col min="10" max="10" width="26.453125" bestFit="1" customWidth="1"/>
  </cols>
  <sheetData>
    <row r="1" spans="1:10" x14ac:dyDescent="0.35">
      <c r="A1" s="2" t="s">
        <v>43</v>
      </c>
      <c r="B1" s="2" t="s">
        <v>23</v>
      </c>
    </row>
    <row r="2" spans="1:10" x14ac:dyDescent="0.35">
      <c r="A2" s="2" t="s">
        <v>24</v>
      </c>
      <c r="B2" t="s">
        <v>7</v>
      </c>
      <c r="C2" t="s">
        <v>8</v>
      </c>
      <c r="D2" t="s">
        <v>10</v>
      </c>
      <c r="E2" t="s">
        <v>9</v>
      </c>
      <c r="F2" t="s">
        <v>11</v>
      </c>
      <c r="G2" t="s">
        <v>41</v>
      </c>
      <c r="I2" t="s">
        <v>54</v>
      </c>
      <c r="J2" s="9" t="str" cm="1">
        <f t="array" ref="J2">LOOKUP(2,1/(A3:A14&lt;&gt;""),A3:A14)</f>
        <v>Dec</v>
      </c>
    </row>
    <row r="3" spans="1:10" x14ac:dyDescent="0.35">
      <c r="A3" s="5" t="s">
        <v>29</v>
      </c>
      <c r="B3" s="7">
        <v>9834</v>
      </c>
      <c r="C3" s="7">
        <v>-8997</v>
      </c>
      <c r="D3" s="7">
        <v>-2939</v>
      </c>
      <c r="E3" s="7">
        <v>-8299</v>
      </c>
      <c r="F3" s="7">
        <v>7776</v>
      </c>
      <c r="G3" s="7">
        <v>-2625</v>
      </c>
      <c r="I3" t="s">
        <v>55</v>
      </c>
      <c r="J3" s="9">
        <f ca="1">MIN(OFFSET(B3, MATCH(J2,A3:A14,0)-1, 0, 1, 5))</f>
        <v>-13113</v>
      </c>
    </row>
    <row r="4" spans="1:10" x14ac:dyDescent="0.35">
      <c r="A4" s="5" t="s">
        <v>30</v>
      </c>
      <c r="B4" s="7">
        <v>16335</v>
      </c>
      <c r="C4" s="7">
        <v>4607</v>
      </c>
      <c r="D4" s="7">
        <v>10611</v>
      </c>
      <c r="E4" s="7">
        <v>11171</v>
      </c>
      <c r="F4" s="7">
        <v>1966</v>
      </c>
      <c r="G4" s="7">
        <v>44690</v>
      </c>
      <c r="I4" t="s">
        <v>56</v>
      </c>
      <c r="J4" s="9" t="str">
        <f ca="1">INDEX(B$2:F$2, MATCH(J3, OFFSET(B3, MATCH(J2,A3:A14,0)-1, 0, 1, 5), 0))</f>
        <v>Finance</v>
      </c>
    </row>
    <row r="5" spans="1:10" x14ac:dyDescent="0.35">
      <c r="A5" s="5" t="s">
        <v>31</v>
      </c>
      <c r="B5" s="7">
        <v>367</v>
      </c>
      <c r="C5" s="7">
        <v>-1161</v>
      </c>
      <c r="D5" s="7">
        <v>-12778</v>
      </c>
      <c r="E5" s="7">
        <v>1153</v>
      </c>
      <c r="F5" s="7">
        <v>-4339</v>
      </c>
      <c r="G5" s="7">
        <v>-16758</v>
      </c>
      <c r="I5" t="s">
        <v>57</v>
      </c>
      <c r="J5" s="9" t="str">
        <f ca="1">"Worst Dept: "&amp;J4&amp;" ("&amp;TEXT(J3,"$#,##0")&amp;")"</f>
        <v>Worst Dept: Finance (-$13,113)</v>
      </c>
    </row>
    <row r="6" spans="1:10" x14ac:dyDescent="0.35">
      <c r="A6" s="5" t="s">
        <v>32</v>
      </c>
      <c r="B6" s="7">
        <v>-805</v>
      </c>
      <c r="C6" s="7">
        <v>-5867</v>
      </c>
      <c r="D6" s="7">
        <v>1998</v>
      </c>
      <c r="E6" s="7">
        <v>4060</v>
      </c>
      <c r="F6" s="7">
        <v>985</v>
      </c>
      <c r="G6" s="7">
        <v>371</v>
      </c>
      <c r="I6" t="s">
        <v>58</v>
      </c>
      <c r="J6" s="9">
        <f ca="1">MAX(OFFSET(B3, MATCH(J2,A3:A14,0)-1, 0, 1, 5))</f>
        <v>2412</v>
      </c>
    </row>
    <row r="7" spans="1:10" x14ac:dyDescent="0.35">
      <c r="A7" s="5" t="s">
        <v>33</v>
      </c>
      <c r="B7" s="7">
        <v>7353</v>
      </c>
      <c r="C7" s="7">
        <v>9846</v>
      </c>
      <c r="D7" s="7">
        <v>-1633</v>
      </c>
      <c r="E7" s="7">
        <v>178</v>
      </c>
      <c r="F7" s="7">
        <v>7003</v>
      </c>
      <c r="G7" s="7">
        <v>22747</v>
      </c>
      <c r="I7" t="s">
        <v>56</v>
      </c>
      <c r="J7" s="9" t="str">
        <f ca="1">INDEX(B$2:F$2, MATCH(J6, OFFSET(B3, MATCH(J2,A3:A14,0)-1, 0, 1, 5), 0))</f>
        <v>Operations</v>
      </c>
    </row>
    <row r="8" spans="1:10" x14ac:dyDescent="0.35">
      <c r="A8" s="5" t="s">
        <v>34</v>
      </c>
      <c r="B8" s="7">
        <v>10761</v>
      </c>
      <c r="C8" s="7">
        <v>-9115</v>
      </c>
      <c r="D8" s="7">
        <v>-4364</v>
      </c>
      <c r="E8" s="7">
        <v>-7594</v>
      </c>
      <c r="F8" s="7">
        <v>5673</v>
      </c>
      <c r="G8" s="7">
        <v>-4639</v>
      </c>
      <c r="I8" t="s">
        <v>57</v>
      </c>
      <c r="J8" s="9" t="str">
        <f ca="1">"Best Dept: "&amp;J7&amp;" ("&amp;TEXT(J6,"$#,##0")&amp;")"</f>
        <v>Best Dept: Operations ($2,412)</v>
      </c>
    </row>
    <row r="9" spans="1:10" x14ac:dyDescent="0.35">
      <c r="A9" s="5" t="s">
        <v>35</v>
      </c>
      <c r="B9" s="7">
        <v>-1090</v>
      </c>
      <c r="C9" s="7">
        <v>-1890</v>
      </c>
      <c r="D9" s="7">
        <v>-3974</v>
      </c>
      <c r="E9" s="7">
        <v>4144</v>
      </c>
      <c r="F9" s="7">
        <v>-12683</v>
      </c>
      <c r="G9" s="7">
        <v>-15493</v>
      </c>
    </row>
    <row r="10" spans="1:10" x14ac:dyDescent="0.35">
      <c r="A10" s="5" t="s">
        <v>36</v>
      </c>
      <c r="B10" s="7">
        <v>-3458</v>
      </c>
      <c r="C10" s="7">
        <v>2489</v>
      </c>
      <c r="D10" s="7">
        <v>-6541</v>
      </c>
      <c r="E10" s="7">
        <v>721</v>
      </c>
      <c r="F10" s="7">
        <v>14192</v>
      </c>
      <c r="G10" s="7">
        <v>7403</v>
      </c>
    </row>
    <row r="11" spans="1:10" x14ac:dyDescent="0.35">
      <c r="A11" s="5" t="s">
        <v>37</v>
      </c>
      <c r="B11" s="7">
        <v>-10702</v>
      </c>
      <c r="C11" s="7">
        <v>-6353</v>
      </c>
      <c r="D11" s="7">
        <v>4794</v>
      </c>
      <c r="E11" s="7">
        <v>-2272</v>
      </c>
      <c r="F11" s="7">
        <v>2011</v>
      </c>
      <c r="G11" s="7">
        <v>-12522</v>
      </c>
    </row>
    <row r="12" spans="1:10" x14ac:dyDescent="0.35">
      <c r="A12" s="5" t="s">
        <v>38</v>
      </c>
      <c r="B12" s="7">
        <v>-4790</v>
      </c>
      <c r="C12" s="7">
        <v>6008</v>
      </c>
      <c r="D12" s="7">
        <v>7128</v>
      </c>
      <c r="E12" s="7">
        <v>-2122</v>
      </c>
      <c r="F12" s="7">
        <v>-7062</v>
      </c>
      <c r="G12" s="7">
        <v>-838</v>
      </c>
    </row>
    <row r="13" spans="1:10" x14ac:dyDescent="0.35">
      <c r="A13" s="5" t="s">
        <v>39</v>
      </c>
      <c r="B13" s="7">
        <v>-10620</v>
      </c>
      <c r="C13" s="7">
        <v>2228</v>
      </c>
      <c r="D13" s="7">
        <v>-1959</v>
      </c>
      <c r="E13" s="7">
        <v>8682</v>
      </c>
      <c r="F13" s="7">
        <v>-2410</v>
      </c>
      <c r="G13" s="7">
        <v>-4079</v>
      </c>
    </row>
    <row r="14" spans="1:10" x14ac:dyDescent="0.35">
      <c r="A14" s="5" t="s">
        <v>40</v>
      </c>
      <c r="B14" s="7">
        <v>-13113</v>
      </c>
      <c r="C14" s="7">
        <v>-2636</v>
      </c>
      <c r="D14" s="7">
        <v>-4181</v>
      </c>
      <c r="E14" s="7">
        <v>-2334</v>
      </c>
      <c r="F14" s="7">
        <v>2412</v>
      </c>
      <c r="G14" s="7">
        <v>-19852</v>
      </c>
    </row>
    <row r="15" spans="1:10" x14ac:dyDescent="0.35">
      <c r="A15" s="5" t="s">
        <v>41</v>
      </c>
      <c r="B15" s="7">
        <v>72</v>
      </c>
      <c r="C15" s="7">
        <v>-10841</v>
      </c>
      <c r="D15" s="7">
        <v>-13838</v>
      </c>
      <c r="E15" s="7">
        <v>7488</v>
      </c>
      <c r="F15" s="7">
        <v>15524</v>
      </c>
      <c r="G15" s="7">
        <v>-1595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C18C3-2477-46BE-9129-601113BD0E44}">
  <dimension ref="A1:B14"/>
  <sheetViews>
    <sheetView workbookViewId="0">
      <selection activeCell="B5" sqref="B5"/>
    </sheetView>
  </sheetViews>
  <sheetFormatPr defaultRowHeight="14.5" x14ac:dyDescent="0.35"/>
  <cols>
    <col min="1" max="1" width="37.26953125" bestFit="1" customWidth="1"/>
    <col min="2" max="2" width="10.90625" bestFit="1" customWidth="1"/>
  </cols>
  <sheetData>
    <row r="1" spans="1:2" x14ac:dyDescent="0.35">
      <c r="A1" s="8" t="s">
        <v>50</v>
      </c>
    </row>
    <row r="2" spans="1:2" x14ac:dyDescent="0.35">
      <c r="A2" t="s">
        <v>44</v>
      </c>
      <c r="B2" s="50">
        <f>GETPIVOTDATA("Sum of Budget",'BudgetPivot NoDept'!$A$1)</f>
        <v>742909</v>
      </c>
    </row>
    <row r="3" spans="1:2" x14ac:dyDescent="0.35">
      <c r="A3" t="s">
        <v>45</v>
      </c>
      <c r="B3" s="50">
        <f>GETPIVOTDATA("Sum of Actual",'BudgetPivot NoDept'!$A$1)</f>
        <v>741314</v>
      </c>
    </row>
    <row r="4" spans="1:2" x14ac:dyDescent="0.35">
      <c r="A4" t="s">
        <v>46</v>
      </c>
      <c r="B4" s="50">
        <f>GETPIVOTDATA("Sum of Variance Calculation",'BudgetPivot NoDept'!$A$1)</f>
        <v>-1595</v>
      </c>
    </row>
    <row r="5" spans="1:2" x14ac:dyDescent="0.35">
      <c r="A5" t="s">
        <v>53</v>
      </c>
      <c r="B5" t="str" cm="1">
        <f t="array" ref="B5">_xlfn.LET(_xlpm.m,MAX(Table1[MonthDate]), _xlpm.d,_xlfn._xlws.FILTER(Table1[Department],Table1[MonthDate]=_xlpm.m), _xlpm.v,_xlfn._xlws.FILTER(Table1[Variance],Table1[MonthDate]=_xlpm.m), INDEX(_xlpm.d, MATCH(MIN(_xlpm.v), _xlpm.v, 0)))</f>
        <v>Finance</v>
      </c>
    </row>
    <row r="7" spans="1:2" x14ac:dyDescent="0.35">
      <c r="A7" t="s">
        <v>54</v>
      </c>
      <c r="B7" t="str">
        <f>LatestMonth</f>
        <v>Dec</v>
      </c>
    </row>
    <row r="9" spans="1:2" x14ac:dyDescent="0.35">
      <c r="A9" s="8" t="s">
        <v>47</v>
      </c>
    </row>
    <row r="10" spans="1:2" x14ac:dyDescent="0.35">
      <c r="A10" t="s">
        <v>48</v>
      </c>
      <c r="B10" s="50">
        <f>SUMIFS(Table1[Budget],  Table1[MonthDate], MAX(Table1[MonthDate]))</f>
        <v>73950</v>
      </c>
    </row>
    <row r="11" spans="1:2" x14ac:dyDescent="0.35">
      <c r="A11" t="s">
        <v>49</v>
      </c>
      <c r="B11" s="50">
        <f>SUMIFS(Table1[Actual],  Table1[MonthDate], MAX(Table1[MonthDate]))</f>
        <v>54098</v>
      </c>
    </row>
    <row r="12" spans="1:2" x14ac:dyDescent="0.35">
      <c r="A12" t="s">
        <v>51</v>
      </c>
      <c r="B12" s="50">
        <f>SUMIFS(Table1[Variance],Table1[MonthDate], MAX(Table1[MonthDate]))</f>
        <v>-19852</v>
      </c>
    </row>
    <row r="13" spans="1:2" x14ac:dyDescent="0.35">
      <c r="A13" t="s">
        <v>52</v>
      </c>
      <c r="B13" t="str">
        <f ca="1">WorstDeptVarbyMonth</f>
        <v>Worst Dept: Finance (-$13,113)</v>
      </c>
    </row>
    <row r="14" spans="1:2" x14ac:dyDescent="0.35">
      <c r="A14" t="s">
        <v>59</v>
      </c>
      <c r="B14" t="str">
        <f ca="1">BestDeptVarbyMonth</f>
        <v>Best Dept: Operations ($2,412)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D1D420-B2F6-47C7-B2E6-9B162686322A}">
  <dimension ref="A3:D16"/>
  <sheetViews>
    <sheetView workbookViewId="0">
      <selection activeCell="H13" sqref="H13"/>
    </sheetView>
  </sheetViews>
  <sheetFormatPr defaultRowHeight="14.5" x14ac:dyDescent="0.35"/>
  <cols>
    <col min="1" max="1" width="12.453125" bestFit="1" customWidth="1"/>
    <col min="2" max="2" width="14.453125" bestFit="1" customWidth="1"/>
    <col min="3" max="3" width="12.36328125" bestFit="1" customWidth="1"/>
    <col min="4" max="4" width="12.90625" bestFit="1" customWidth="1"/>
  </cols>
  <sheetData>
    <row r="3" spans="1:4" x14ac:dyDescent="0.35">
      <c r="A3" s="2" t="s">
        <v>24</v>
      </c>
      <c r="B3" t="s">
        <v>27</v>
      </c>
      <c r="C3" t="s">
        <v>26</v>
      </c>
      <c r="D3" t="s">
        <v>25</v>
      </c>
    </row>
    <row r="4" spans="1:4" x14ac:dyDescent="0.35">
      <c r="A4" s="5" t="s">
        <v>29</v>
      </c>
      <c r="B4" s="7">
        <v>-2625</v>
      </c>
      <c r="C4" s="7">
        <v>54200</v>
      </c>
      <c r="D4" s="7">
        <v>56825</v>
      </c>
    </row>
    <row r="5" spans="1:4" x14ac:dyDescent="0.35">
      <c r="A5" s="5" t="s">
        <v>30</v>
      </c>
      <c r="B5" s="7">
        <v>44690</v>
      </c>
      <c r="C5" s="7">
        <v>88270</v>
      </c>
      <c r="D5" s="7">
        <v>43580</v>
      </c>
    </row>
    <row r="6" spans="1:4" x14ac:dyDescent="0.35">
      <c r="A6" s="5" t="s">
        <v>31</v>
      </c>
      <c r="B6" s="7">
        <v>-16758</v>
      </c>
      <c r="C6" s="7">
        <v>47796</v>
      </c>
      <c r="D6" s="7">
        <v>64554</v>
      </c>
    </row>
    <row r="7" spans="1:4" x14ac:dyDescent="0.35">
      <c r="A7" s="5" t="s">
        <v>32</v>
      </c>
      <c r="B7" s="7">
        <v>371</v>
      </c>
      <c r="C7" s="7">
        <v>67145</v>
      </c>
      <c r="D7" s="7">
        <v>66774</v>
      </c>
    </row>
    <row r="8" spans="1:4" x14ac:dyDescent="0.35">
      <c r="A8" s="5" t="s">
        <v>33</v>
      </c>
      <c r="B8" s="7">
        <v>22747</v>
      </c>
      <c r="C8" s="7">
        <v>66358</v>
      </c>
      <c r="D8" s="7">
        <v>43611</v>
      </c>
    </row>
    <row r="9" spans="1:4" x14ac:dyDescent="0.35">
      <c r="A9" s="5" t="s">
        <v>34</v>
      </c>
      <c r="B9" s="7">
        <v>-4639</v>
      </c>
      <c r="C9" s="7">
        <v>56916</v>
      </c>
      <c r="D9" s="7">
        <v>61555</v>
      </c>
    </row>
    <row r="10" spans="1:4" x14ac:dyDescent="0.35">
      <c r="A10" s="5" t="s">
        <v>35</v>
      </c>
      <c r="B10" s="7">
        <v>-15493</v>
      </c>
      <c r="C10" s="7">
        <v>65074</v>
      </c>
      <c r="D10" s="7">
        <v>80567</v>
      </c>
    </row>
    <row r="11" spans="1:4" x14ac:dyDescent="0.35">
      <c r="A11" s="5" t="s">
        <v>36</v>
      </c>
      <c r="B11" s="7">
        <v>7403</v>
      </c>
      <c r="C11" s="7">
        <v>55037</v>
      </c>
      <c r="D11" s="7">
        <v>47634</v>
      </c>
    </row>
    <row r="12" spans="1:4" x14ac:dyDescent="0.35">
      <c r="A12" s="5" t="s">
        <v>37</v>
      </c>
      <c r="B12" s="7">
        <v>-12522</v>
      </c>
      <c r="C12" s="7">
        <v>52785</v>
      </c>
      <c r="D12" s="7">
        <v>65307</v>
      </c>
    </row>
    <row r="13" spans="1:4" x14ac:dyDescent="0.35">
      <c r="A13" s="5" t="s">
        <v>38</v>
      </c>
      <c r="B13" s="7">
        <v>-838</v>
      </c>
      <c r="C13" s="7">
        <v>60289</v>
      </c>
      <c r="D13" s="7">
        <v>61127</v>
      </c>
    </row>
    <row r="14" spans="1:4" x14ac:dyDescent="0.35">
      <c r="A14" s="5" t="s">
        <v>39</v>
      </c>
      <c r="B14" s="7">
        <v>-4079</v>
      </c>
      <c r="C14" s="7">
        <v>73346</v>
      </c>
      <c r="D14" s="7">
        <v>77425</v>
      </c>
    </row>
    <row r="15" spans="1:4" x14ac:dyDescent="0.35">
      <c r="A15" s="5" t="s">
        <v>40</v>
      </c>
      <c r="B15" s="7">
        <v>-19852</v>
      </c>
      <c r="C15" s="7">
        <v>54098</v>
      </c>
      <c r="D15" s="7">
        <v>73950</v>
      </c>
    </row>
    <row r="16" spans="1:4" x14ac:dyDescent="0.35">
      <c r="A16" s="5" t="s">
        <v>41</v>
      </c>
      <c r="B16" s="7">
        <v>-1595</v>
      </c>
      <c r="C16" s="7">
        <v>741314</v>
      </c>
      <c r="D16" s="7">
        <v>742909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1"/>
  <sheetViews>
    <sheetView topLeftCell="A2" workbookViewId="0">
      <selection activeCell="D49" sqref="A2:F61"/>
    </sheetView>
  </sheetViews>
  <sheetFormatPr defaultRowHeight="14.5" x14ac:dyDescent="0.35"/>
  <cols>
    <col min="1" max="1" width="9.54296875" bestFit="1" customWidth="1"/>
    <col min="2" max="2" width="9.54296875" style="4" customWidth="1"/>
    <col min="3" max="3" width="14.26953125" bestFit="1" customWidth="1"/>
    <col min="4" max="4" width="9.7265625" bestFit="1" customWidth="1"/>
    <col min="6" max="6" width="11.26953125" bestFit="1" customWidth="1"/>
  </cols>
  <sheetData>
    <row r="1" spans="1:6" x14ac:dyDescent="0.35">
      <c r="A1" s="1" t="s">
        <v>0</v>
      </c>
      <c r="B1" s="6" t="s">
        <v>1</v>
      </c>
      <c r="C1" s="1" t="s">
        <v>2</v>
      </c>
      <c r="D1" s="1" t="s">
        <v>3</v>
      </c>
      <c r="E1" s="1" t="s">
        <v>4</v>
      </c>
      <c r="F1" s="1" t="s">
        <v>5</v>
      </c>
    </row>
    <row r="2" spans="1:6" x14ac:dyDescent="0.35">
      <c r="A2" t="s">
        <v>6</v>
      </c>
      <c r="B2" s="4">
        <f t="shared" ref="B2:B33" si="0">DATEVALUE("1-" &amp; A2)</f>
        <v>45292</v>
      </c>
      <c r="C2" t="s">
        <v>7</v>
      </c>
      <c r="D2">
        <v>7490</v>
      </c>
      <c r="E2">
        <v>17324</v>
      </c>
      <c r="F2">
        <v>9834</v>
      </c>
    </row>
    <row r="3" spans="1:6" x14ac:dyDescent="0.35">
      <c r="A3" t="s">
        <v>6</v>
      </c>
      <c r="B3" s="4">
        <f t="shared" si="0"/>
        <v>45292</v>
      </c>
      <c r="C3" t="s">
        <v>8</v>
      </c>
      <c r="D3">
        <v>14134</v>
      </c>
      <c r="E3">
        <v>5137</v>
      </c>
      <c r="F3">
        <v>-8997</v>
      </c>
    </row>
    <row r="4" spans="1:6" x14ac:dyDescent="0.35">
      <c r="A4" t="s">
        <v>6</v>
      </c>
      <c r="B4" s="4">
        <f t="shared" si="0"/>
        <v>45292</v>
      </c>
      <c r="C4" t="s">
        <v>9</v>
      </c>
      <c r="D4">
        <v>15719</v>
      </c>
      <c r="E4">
        <v>7420</v>
      </c>
      <c r="F4">
        <v>-8299</v>
      </c>
    </row>
    <row r="5" spans="1:6" x14ac:dyDescent="0.35">
      <c r="A5" t="s">
        <v>6</v>
      </c>
      <c r="B5" s="4">
        <f t="shared" si="0"/>
        <v>45292</v>
      </c>
      <c r="C5" t="s">
        <v>10</v>
      </c>
      <c r="D5">
        <v>10845</v>
      </c>
      <c r="E5">
        <v>7906</v>
      </c>
      <c r="F5">
        <v>-2939</v>
      </c>
    </row>
    <row r="6" spans="1:6" x14ac:dyDescent="0.35">
      <c r="A6" t="s">
        <v>6</v>
      </c>
      <c r="B6" s="4">
        <f t="shared" si="0"/>
        <v>45292</v>
      </c>
      <c r="C6" t="s">
        <v>11</v>
      </c>
      <c r="D6">
        <v>8637</v>
      </c>
      <c r="E6">
        <v>16413</v>
      </c>
      <c r="F6">
        <v>7776</v>
      </c>
    </row>
    <row r="7" spans="1:6" x14ac:dyDescent="0.35">
      <c r="A7" t="s">
        <v>12</v>
      </c>
      <c r="B7" s="4">
        <f t="shared" si="0"/>
        <v>45323</v>
      </c>
      <c r="C7" t="s">
        <v>7</v>
      </c>
      <c r="D7">
        <v>5276</v>
      </c>
      <c r="E7">
        <v>21611</v>
      </c>
      <c r="F7">
        <v>16335</v>
      </c>
    </row>
    <row r="8" spans="1:6" x14ac:dyDescent="0.35">
      <c r="A8" t="s">
        <v>12</v>
      </c>
      <c r="B8" s="4">
        <f t="shared" si="0"/>
        <v>45323</v>
      </c>
      <c r="C8" t="s">
        <v>8</v>
      </c>
      <c r="D8">
        <v>11337</v>
      </c>
      <c r="E8">
        <v>15944</v>
      </c>
      <c r="F8">
        <v>4607</v>
      </c>
    </row>
    <row r="9" spans="1:6" x14ac:dyDescent="0.35">
      <c r="A9" t="s">
        <v>12</v>
      </c>
      <c r="B9" s="4">
        <f t="shared" si="0"/>
        <v>45323</v>
      </c>
      <c r="C9" t="s">
        <v>9</v>
      </c>
      <c r="D9">
        <v>8735</v>
      </c>
      <c r="E9">
        <v>19906</v>
      </c>
      <c r="F9">
        <v>11171</v>
      </c>
    </row>
    <row r="10" spans="1:6" x14ac:dyDescent="0.35">
      <c r="A10" t="s">
        <v>12</v>
      </c>
      <c r="B10" s="4">
        <f t="shared" si="0"/>
        <v>45323</v>
      </c>
      <c r="C10" t="s">
        <v>10</v>
      </c>
      <c r="D10">
        <v>5695</v>
      </c>
      <c r="E10">
        <v>16306</v>
      </c>
      <c r="F10">
        <v>10611</v>
      </c>
    </row>
    <row r="11" spans="1:6" x14ac:dyDescent="0.35">
      <c r="A11" t="s">
        <v>12</v>
      </c>
      <c r="B11" s="4">
        <f t="shared" si="0"/>
        <v>45323</v>
      </c>
      <c r="C11" t="s">
        <v>11</v>
      </c>
      <c r="D11">
        <v>12537</v>
      </c>
      <c r="E11">
        <v>14503</v>
      </c>
      <c r="F11">
        <v>1966</v>
      </c>
    </row>
    <row r="12" spans="1:6" x14ac:dyDescent="0.35">
      <c r="A12" t="s">
        <v>13</v>
      </c>
      <c r="B12" s="4">
        <f t="shared" si="0"/>
        <v>45352</v>
      </c>
      <c r="C12" t="s">
        <v>7</v>
      </c>
      <c r="D12">
        <v>7841</v>
      </c>
      <c r="E12">
        <v>8208</v>
      </c>
      <c r="F12">
        <v>367</v>
      </c>
    </row>
    <row r="13" spans="1:6" x14ac:dyDescent="0.35">
      <c r="A13" t="s">
        <v>13</v>
      </c>
      <c r="B13" s="4">
        <f t="shared" si="0"/>
        <v>45352</v>
      </c>
      <c r="C13" t="s">
        <v>8</v>
      </c>
      <c r="D13">
        <v>16751</v>
      </c>
      <c r="E13">
        <v>15590</v>
      </c>
      <c r="F13">
        <v>-1161</v>
      </c>
    </row>
    <row r="14" spans="1:6" x14ac:dyDescent="0.35">
      <c r="A14" t="s">
        <v>13</v>
      </c>
      <c r="B14" s="4">
        <f t="shared" si="0"/>
        <v>45352</v>
      </c>
      <c r="C14" t="s">
        <v>9</v>
      </c>
      <c r="D14">
        <v>13733</v>
      </c>
      <c r="E14">
        <v>14886</v>
      </c>
      <c r="F14">
        <v>1153</v>
      </c>
    </row>
    <row r="15" spans="1:6" x14ac:dyDescent="0.35">
      <c r="A15" t="s">
        <v>13</v>
      </c>
      <c r="B15" s="4">
        <f t="shared" si="0"/>
        <v>45352</v>
      </c>
      <c r="C15" t="s">
        <v>10</v>
      </c>
      <c r="D15">
        <v>17866</v>
      </c>
      <c r="E15">
        <v>5088</v>
      </c>
      <c r="F15">
        <v>-12778</v>
      </c>
    </row>
    <row r="16" spans="1:6" x14ac:dyDescent="0.35">
      <c r="A16" t="s">
        <v>13</v>
      </c>
      <c r="B16" s="4">
        <f t="shared" si="0"/>
        <v>45352</v>
      </c>
      <c r="C16" t="s">
        <v>11</v>
      </c>
      <c r="D16">
        <v>8363</v>
      </c>
      <c r="E16">
        <v>4024</v>
      </c>
      <c r="F16">
        <v>-4339</v>
      </c>
    </row>
    <row r="17" spans="1:6" x14ac:dyDescent="0.35">
      <c r="A17" t="s">
        <v>14</v>
      </c>
      <c r="B17" s="4">
        <f t="shared" si="0"/>
        <v>45383</v>
      </c>
      <c r="C17" t="s">
        <v>7</v>
      </c>
      <c r="D17">
        <v>14764</v>
      </c>
      <c r="E17">
        <v>13959</v>
      </c>
      <c r="F17">
        <v>-805</v>
      </c>
    </row>
    <row r="18" spans="1:6" x14ac:dyDescent="0.35">
      <c r="A18" t="s">
        <v>14</v>
      </c>
      <c r="B18" s="4">
        <f t="shared" si="0"/>
        <v>45383</v>
      </c>
      <c r="C18" t="s">
        <v>8</v>
      </c>
      <c r="D18">
        <v>17935</v>
      </c>
      <c r="E18">
        <v>12068</v>
      </c>
      <c r="F18">
        <v>-5867</v>
      </c>
    </row>
    <row r="19" spans="1:6" x14ac:dyDescent="0.35">
      <c r="A19" t="s">
        <v>14</v>
      </c>
      <c r="B19" s="4">
        <f t="shared" si="0"/>
        <v>45383</v>
      </c>
      <c r="C19" t="s">
        <v>9</v>
      </c>
      <c r="D19">
        <v>7235</v>
      </c>
      <c r="E19">
        <v>11295</v>
      </c>
      <c r="F19">
        <v>4060</v>
      </c>
    </row>
    <row r="20" spans="1:6" x14ac:dyDescent="0.35">
      <c r="A20" t="s">
        <v>14</v>
      </c>
      <c r="B20" s="4">
        <f t="shared" si="0"/>
        <v>45383</v>
      </c>
      <c r="C20" t="s">
        <v>10</v>
      </c>
      <c r="D20">
        <v>13392</v>
      </c>
      <c r="E20">
        <v>15390</v>
      </c>
      <c r="F20">
        <v>1998</v>
      </c>
    </row>
    <row r="21" spans="1:6" x14ac:dyDescent="0.35">
      <c r="A21" t="s">
        <v>14</v>
      </c>
      <c r="B21" s="4">
        <f t="shared" si="0"/>
        <v>45383</v>
      </c>
      <c r="C21" t="s">
        <v>11</v>
      </c>
      <c r="D21">
        <v>13448</v>
      </c>
      <c r="E21">
        <v>14433</v>
      </c>
      <c r="F21">
        <v>985</v>
      </c>
    </row>
    <row r="22" spans="1:6" x14ac:dyDescent="0.35">
      <c r="A22" t="s">
        <v>15</v>
      </c>
      <c r="B22" s="4">
        <f t="shared" si="0"/>
        <v>45413</v>
      </c>
      <c r="C22" t="s">
        <v>7</v>
      </c>
      <c r="D22">
        <v>8175</v>
      </c>
      <c r="E22">
        <v>15528</v>
      </c>
      <c r="F22">
        <v>7353</v>
      </c>
    </row>
    <row r="23" spans="1:6" x14ac:dyDescent="0.35">
      <c r="A23" t="s">
        <v>15</v>
      </c>
      <c r="B23" s="4">
        <f t="shared" si="0"/>
        <v>45413</v>
      </c>
      <c r="C23" t="s">
        <v>8</v>
      </c>
      <c r="D23">
        <v>9897</v>
      </c>
      <c r="E23">
        <v>19743</v>
      </c>
      <c r="F23">
        <v>9846</v>
      </c>
    </row>
    <row r="24" spans="1:6" x14ac:dyDescent="0.35">
      <c r="A24" t="s">
        <v>15</v>
      </c>
      <c r="B24" s="4">
        <f t="shared" si="0"/>
        <v>45413</v>
      </c>
      <c r="C24" t="s">
        <v>9</v>
      </c>
      <c r="D24">
        <v>12427</v>
      </c>
      <c r="E24">
        <v>12605</v>
      </c>
      <c r="F24">
        <v>178</v>
      </c>
    </row>
    <row r="25" spans="1:6" x14ac:dyDescent="0.35">
      <c r="A25" t="s">
        <v>15</v>
      </c>
      <c r="B25" s="4">
        <f t="shared" si="0"/>
        <v>45413</v>
      </c>
      <c r="C25" t="s">
        <v>10</v>
      </c>
      <c r="D25">
        <v>7014</v>
      </c>
      <c r="E25">
        <v>5381</v>
      </c>
      <c r="F25">
        <v>-1633</v>
      </c>
    </row>
    <row r="26" spans="1:6" x14ac:dyDescent="0.35">
      <c r="A26" t="s">
        <v>15</v>
      </c>
      <c r="B26" s="4">
        <f t="shared" si="0"/>
        <v>45413</v>
      </c>
      <c r="C26" t="s">
        <v>11</v>
      </c>
      <c r="D26">
        <v>6098</v>
      </c>
      <c r="E26">
        <v>13101</v>
      </c>
      <c r="F26">
        <v>7003</v>
      </c>
    </row>
    <row r="27" spans="1:6" x14ac:dyDescent="0.35">
      <c r="A27" t="s">
        <v>16</v>
      </c>
      <c r="B27" s="4">
        <f t="shared" si="0"/>
        <v>45444</v>
      </c>
      <c r="C27" t="s">
        <v>7</v>
      </c>
      <c r="D27">
        <v>5187</v>
      </c>
      <c r="E27">
        <v>15948</v>
      </c>
      <c r="F27">
        <v>10761</v>
      </c>
    </row>
    <row r="28" spans="1:6" x14ac:dyDescent="0.35">
      <c r="A28" t="s">
        <v>16</v>
      </c>
      <c r="B28" s="4">
        <f t="shared" si="0"/>
        <v>45444</v>
      </c>
      <c r="C28" t="s">
        <v>8</v>
      </c>
      <c r="D28">
        <v>15207</v>
      </c>
      <c r="E28">
        <v>6092</v>
      </c>
      <c r="F28">
        <v>-9115</v>
      </c>
    </row>
    <row r="29" spans="1:6" x14ac:dyDescent="0.35">
      <c r="A29" t="s">
        <v>16</v>
      </c>
      <c r="B29" s="4">
        <f t="shared" si="0"/>
        <v>45444</v>
      </c>
      <c r="C29" t="s">
        <v>9</v>
      </c>
      <c r="D29">
        <v>16836</v>
      </c>
      <c r="E29">
        <v>9242</v>
      </c>
      <c r="F29">
        <v>-7594</v>
      </c>
    </row>
    <row r="30" spans="1:6" x14ac:dyDescent="0.35">
      <c r="A30" t="s">
        <v>16</v>
      </c>
      <c r="B30" s="4">
        <f t="shared" si="0"/>
        <v>45444</v>
      </c>
      <c r="C30" t="s">
        <v>10</v>
      </c>
      <c r="D30">
        <v>13549</v>
      </c>
      <c r="E30">
        <v>9185</v>
      </c>
      <c r="F30">
        <v>-4364</v>
      </c>
    </row>
    <row r="31" spans="1:6" x14ac:dyDescent="0.35">
      <c r="A31" t="s">
        <v>16</v>
      </c>
      <c r="B31" s="4">
        <f t="shared" si="0"/>
        <v>45444</v>
      </c>
      <c r="C31" t="s">
        <v>11</v>
      </c>
      <c r="D31">
        <v>10776</v>
      </c>
      <c r="E31">
        <v>16449</v>
      </c>
      <c r="F31">
        <v>5673</v>
      </c>
    </row>
    <row r="32" spans="1:6" x14ac:dyDescent="0.35">
      <c r="A32" t="s">
        <v>17</v>
      </c>
      <c r="B32" s="4">
        <f t="shared" si="0"/>
        <v>45474</v>
      </c>
      <c r="C32" t="s">
        <v>7</v>
      </c>
      <c r="D32">
        <v>12913</v>
      </c>
      <c r="E32">
        <v>11823</v>
      </c>
      <c r="F32">
        <v>-1090</v>
      </c>
    </row>
    <row r="33" spans="1:6" x14ac:dyDescent="0.35">
      <c r="A33" t="s">
        <v>17</v>
      </c>
      <c r="B33" s="4">
        <f t="shared" si="0"/>
        <v>45474</v>
      </c>
      <c r="C33" t="s">
        <v>8</v>
      </c>
      <c r="D33">
        <v>12355</v>
      </c>
      <c r="E33">
        <v>10465</v>
      </c>
      <c r="F33">
        <v>-1890</v>
      </c>
    </row>
    <row r="34" spans="1:6" x14ac:dyDescent="0.35">
      <c r="A34" t="s">
        <v>17</v>
      </c>
      <c r="B34" s="4">
        <f t="shared" ref="B34:B61" si="1">DATEVALUE("1-" &amp; A34)</f>
        <v>45474</v>
      </c>
      <c r="C34" t="s">
        <v>9</v>
      </c>
      <c r="D34">
        <v>17737</v>
      </c>
      <c r="E34">
        <v>21881</v>
      </c>
      <c r="F34">
        <v>4144</v>
      </c>
    </row>
    <row r="35" spans="1:6" x14ac:dyDescent="0.35">
      <c r="A35" t="s">
        <v>17</v>
      </c>
      <c r="B35" s="4">
        <f t="shared" si="1"/>
        <v>45474</v>
      </c>
      <c r="C35" t="s">
        <v>10</v>
      </c>
      <c r="D35">
        <v>18324</v>
      </c>
      <c r="E35">
        <v>14350</v>
      </c>
      <c r="F35">
        <v>-3974</v>
      </c>
    </row>
    <row r="36" spans="1:6" x14ac:dyDescent="0.35">
      <c r="A36" t="s">
        <v>17</v>
      </c>
      <c r="B36" s="4">
        <f t="shared" si="1"/>
        <v>45474</v>
      </c>
      <c r="C36" t="s">
        <v>11</v>
      </c>
      <c r="D36">
        <v>19238</v>
      </c>
      <c r="E36">
        <v>6555</v>
      </c>
      <c r="F36">
        <v>-12683</v>
      </c>
    </row>
    <row r="37" spans="1:6" x14ac:dyDescent="0.35">
      <c r="A37" t="s">
        <v>18</v>
      </c>
      <c r="B37" s="4">
        <f t="shared" si="1"/>
        <v>45505</v>
      </c>
      <c r="C37" t="s">
        <v>7</v>
      </c>
      <c r="D37">
        <v>10409</v>
      </c>
      <c r="E37">
        <v>6951</v>
      </c>
      <c r="F37">
        <v>-3458</v>
      </c>
    </row>
    <row r="38" spans="1:6" x14ac:dyDescent="0.35">
      <c r="A38" t="s">
        <v>18</v>
      </c>
      <c r="B38" s="4">
        <f t="shared" si="1"/>
        <v>45505</v>
      </c>
      <c r="C38" t="s">
        <v>8</v>
      </c>
      <c r="D38">
        <v>6238</v>
      </c>
      <c r="E38">
        <v>8727</v>
      </c>
      <c r="F38">
        <v>2489</v>
      </c>
    </row>
    <row r="39" spans="1:6" x14ac:dyDescent="0.35">
      <c r="A39" t="s">
        <v>18</v>
      </c>
      <c r="B39" s="4">
        <f t="shared" si="1"/>
        <v>45505</v>
      </c>
      <c r="C39" t="s">
        <v>9</v>
      </c>
      <c r="D39">
        <v>8965</v>
      </c>
      <c r="E39">
        <v>9686</v>
      </c>
      <c r="F39">
        <v>721</v>
      </c>
    </row>
    <row r="40" spans="1:6" x14ac:dyDescent="0.35">
      <c r="A40" t="s">
        <v>18</v>
      </c>
      <c r="B40" s="4">
        <f t="shared" si="1"/>
        <v>45505</v>
      </c>
      <c r="C40" t="s">
        <v>10</v>
      </c>
      <c r="D40">
        <v>14242</v>
      </c>
      <c r="E40">
        <v>7701</v>
      </c>
      <c r="F40">
        <v>-6541</v>
      </c>
    </row>
    <row r="41" spans="1:6" x14ac:dyDescent="0.35">
      <c r="A41" t="s">
        <v>18</v>
      </c>
      <c r="B41" s="4">
        <f t="shared" si="1"/>
        <v>45505</v>
      </c>
      <c r="C41" t="s">
        <v>11</v>
      </c>
      <c r="D41">
        <v>7780</v>
      </c>
      <c r="E41">
        <v>21972</v>
      </c>
      <c r="F41">
        <v>14192</v>
      </c>
    </row>
    <row r="42" spans="1:6" x14ac:dyDescent="0.35">
      <c r="A42" t="s">
        <v>19</v>
      </c>
      <c r="B42" s="4">
        <f t="shared" si="1"/>
        <v>45536</v>
      </c>
      <c r="C42" t="s">
        <v>7</v>
      </c>
      <c r="D42">
        <v>17070</v>
      </c>
      <c r="E42">
        <v>6368</v>
      </c>
      <c r="F42">
        <v>-10702</v>
      </c>
    </row>
    <row r="43" spans="1:6" x14ac:dyDescent="0.35">
      <c r="A43" t="s">
        <v>19</v>
      </c>
      <c r="B43" s="4">
        <f t="shared" si="1"/>
        <v>45536</v>
      </c>
      <c r="C43" t="s">
        <v>8</v>
      </c>
      <c r="D43">
        <v>10789</v>
      </c>
      <c r="E43">
        <v>4436</v>
      </c>
      <c r="F43">
        <v>-6353</v>
      </c>
    </row>
    <row r="44" spans="1:6" x14ac:dyDescent="0.35">
      <c r="A44" t="s">
        <v>19</v>
      </c>
      <c r="B44" s="4">
        <f t="shared" si="1"/>
        <v>45536</v>
      </c>
      <c r="C44" t="s">
        <v>9</v>
      </c>
      <c r="D44">
        <v>7828</v>
      </c>
      <c r="E44">
        <v>5556</v>
      </c>
      <c r="F44">
        <v>-2272</v>
      </c>
    </row>
    <row r="45" spans="1:6" x14ac:dyDescent="0.35">
      <c r="A45" t="s">
        <v>19</v>
      </c>
      <c r="B45" s="4">
        <f t="shared" si="1"/>
        <v>45536</v>
      </c>
      <c r="C45" t="s">
        <v>10</v>
      </c>
      <c r="D45">
        <v>12570</v>
      </c>
      <c r="E45">
        <v>17364</v>
      </c>
      <c r="F45">
        <v>4794</v>
      </c>
    </row>
    <row r="46" spans="1:6" x14ac:dyDescent="0.35">
      <c r="A46" t="s">
        <v>19</v>
      </c>
      <c r="B46" s="4">
        <f t="shared" si="1"/>
        <v>45536</v>
      </c>
      <c r="C46" t="s">
        <v>11</v>
      </c>
      <c r="D46">
        <v>17050</v>
      </c>
      <c r="E46">
        <v>19061</v>
      </c>
      <c r="F46">
        <v>2011</v>
      </c>
    </row>
    <row r="47" spans="1:6" x14ac:dyDescent="0.35">
      <c r="A47" t="s">
        <v>20</v>
      </c>
      <c r="B47" s="4">
        <f t="shared" si="1"/>
        <v>45566</v>
      </c>
      <c r="C47" t="s">
        <v>7</v>
      </c>
      <c r="D47">
        <v>19366</v>
      </c>
      <c r="E47">
        <v>14576</v>
      </c>
      <c r="F47">
        <v>-4790</v>
      </c>
    </row>
    <row r="48" spans="1:6" x14ac:dyDescent="0.35">
      <c r="A48" t="s">
        <v>20</v>
      </c>
      <c r="B48" s="4">
        <f t="shared" si="1"/>
        <v>45566</v>
      </c>
      <c r="C48" t="s">
        <v>8</v>
      </c>
      <c r="D48">
        <v>5182</v>
      </c>
      <c r="E48">
        <v>11190</v>
      </c>
      <c r="F48">
        <v>6008</v>
      </c>
    </row>
    <row r="49" spans="1:6" x14ac:dyDescent="0.35">
      <c r="A49" t="s">
        <v>20</v>
      </c>
      <c r="B49" s="4">
        <f t="shared" si="1"/>
        <v>45566</v>
      </c>
      <c r="C49" t="s">
        <v>9</v>
      </c>
      <c r="D49">
        <v>11687</v>
      </c>
      <c r="E49">
        <v>9565</v>
      </c>
      <c r="F49">
        <v>-2122</v>
      </c>
    </row>
    <row r="50" spans="1:6" x14ac:dyDescent="0.35">
      <c r="A50" t="s">
        <v>20</v>
      </c>
      <c r="B50" s="4">
        <f t="shared" si="1"/>
        <v>45566</v>
      </c>
      <c r="C50" t="s">
        <v>10</v>
      </c>
      <c r="D50">
        <v>12241</v>
      </c>
      <c r="E50">
        <v>19369</v>
      </c>
      <c r="F50">
        <v>7128</v>
      </c>
    </row>
    <row r="51" spans="1:6" x14ac:dyDescent="0.35">
      <c r="A51" t="s">
        <v>20</v>
      </c>
      <c r="B51" s="4">
        <f t="shared" si="1"/>
        <v>45566</v>
      </c>
      <c r="C51" t="s">
        <v>11</v>
      </c>
      <c r="D51">
        <v>12651</v>
      </c>
      <c r="E51">
        <v>5589</v>
      </c>
      <c r="F51">
        <v>-7062</v>
      </c>
    </row>
    <row r="52" spans="1:6" x14ac:dyDescent="0.35">
      <c r="A52" t="s">
        <v>21</v>
      </c>
      <c r="B52" s="4">
        <f t="shared" si="1"/>
        <v>45597</v>
      </c>
      <c r="C52" t="s">
        <v>7</v>
      </c>
      <c r="D52">
        <v>14779</v>
      </c>
      <c r="E52">
        <v>4159</v>
      </c>
      <c r="F52">
        <v>-10620</v>
      </c>
    </row>
    <row r="53" spans="1:6" x14ac:dyDescent="0.35">
      <c r="A53" t="s">
        <v>21</v>
      </c>
      <c r="B53" s="4">
        <f t="shared" si="1"/>
        <v>45597</v>
      </c>
      <c r="C53" t="s">
        <v>8</v>
      </c>
      <c r="D53">
        <v>17145</v>
      </c>
      <c r="E53">
        <v>19373</v>
      </c>
      <c r="F53">
        <v>2228</v>
      </c>
    </row>
    <row r="54" spans="1:6" x14ac:dyDescent="0.35">
      <c r="A54" t="s">
        <v>21</v>
      </c>
      <c r="B54" s="4">
        <f t="shared" si="1"/>
        <v>45597</v>
      </c>
      <c r="C54" t="s">
        <v>9</v>
      </c>
      <c r="D54">
        <v>11555</v>
      </c>
      <c r="E54">
        <v>20237</v>
      </c>
      <c r="F54">
        <v>8682</v>
      </c>
    </row>
    <row r="55" spans="1:6" x14ac:dyDescent="0.35">
      <c r="A55" t="s">
        <v>21</v>
      </c>
      <c r="B55" s="4">
        <f t="shared" si="1"/>
        <v>45597</v>
      </c>
      <c r="C55" t="s">
        <v>10</v>
      </c>
      <c r="D55">
        <v>14203</v>
      </c>
      <c r="E55">
        <v>12244</v>
      </c>
      <c r="F55">
        <v>-1959</v>
      </c>
    </row>
    <row r="56" spans="1:6" x14ac:dyDescent="0.35">
      <c r="A56" t="s">
        <v>21</v>
      </c>
      <c r="B56" s="4">
        <f t="shared" si="1"/>
        <v>45597</v>
      </c>
      <c r="C56" t="s">
        <v>11</v>
      </c>
      <c r="D56">
        <v>19743</v>
      </c>
      <c r="E56">
        <v>17333</v>
      </c>
      <c r="F56">
        <v>-2410</v>
      </c>
    </row>
    <row r="57" spans="1:6" x14ac:dyDescent="0.35">
      <c r="A57" t="s">
        <v>22</v>
      </c>
      <c r="B57" s="4">
        <f t="shared" si="1"/>
        <v>45627</v>
      </c>
      <c r="C57" t="s">
        <v>7</v>
      </c>
      <c r="D57">
        <v>18341</v>
      </c>
      <c r="E57">
        <v>5228</v>
      </c>
      <c r="F57">
        <v>-13113</v>
      </c>
    </row>
    <row r="58" spans="1:6" x14ac:dyDescent="0.35">
      <c r="A58" t="s">
        <v>22</v>
      </c>
      <c r="B58" s="4">
        <f t="shared" si="1"/>
        <v>45627</v>
      </c>
      <c r="C58" t="s">
        <v>8</v>
      </c>
      <c r="D58">
        <v>12226</v>
      </c>
      <c r="E58">
        <v>9590</v>
      </c>
      <c r="F58">
        <v>-2636</v>
      </c>
    </row>
    <row r="59" spans="1:6" x14ac:dyDescent="0.35">
      <c r="A59" t="s">
        <v>22</v>
      </c>
      <c r="B59" s="4">
        <f t="shared" si="1"/>
        <v>45627</v>
      </c>
      <c r="C59" t="s">
        <v>9</v>
      </c>
      <c r="D59">
        <v>11919</v>
      </c>
      <c r="E59">
        <v>9585</v>
      </c>
      <c r="F59">
        <v>-2334</v>
      </c>
    </row>
    <row r="60" spans="1:6" x14ac:dyDescent="0.35">
      <c r="A60" t="s">
        <v>22</v>
      </c>
      <c r="B60" s="4">
        <f t="shared" si="1"/>
        <v>45627</v>
      </c>
      <c r="C60" t="s">
        <v>10</v>
      </c>
      <c r="D60">
        <v>14227</v>
      </c>
      <c r="E60">
        <v>10046</v>
      </c>
      <c r="F60">
        <v>-4181</v>
      </c>
    </row>
    <row r="61" spans="1:6" x14ac:dyDescent="0.35">
      <c r="A61" t="s">
        <v>22</v>
      </c>
      <c r="B61" s="4">
        <f t="shared" si="1"/>
        <v>45627</v>
      </c>
      <c r="C61" t="s">
        <v>11</v>
      </c>
      <c r="D61">
        <v>17237</v>
      </c>
      <c r="E61">
        <v>19649</v>
      </c>
      <c r="F61">
        <v>2412</v>
      </c>
    </row>
  </sheetData>
  <phoneticPr fontId="2"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39</vt:i4>
      </vt:variant>
    </vt:vector>
  </HeadingPairs>
  <TitlesOfParts>
    <vt:vector size="46" baseType="lpstr">
      <vt:lpstr>Dashboard</vt:lpstr>
      <vt:lpstr>BudgetPivot</vt:lpstr>
      <vt:lpstr>BudgetPivot NoDept</vt:lpstr>
      <vt:lpstr>Var by Dept by Month</vt:lpstr>
      <vt:lpstr>Helper Cells</vt:lpstr>
      <vt:lpstr>BudgetsforTable</vt:lpstr>
      <vt:lpstr>Data</vt:lpstr>
      <vt:lpstr>Actual</vt:lpstr>
      <vt:lpstr>BestDeptVarbyMonth</vt:lpstr>
      <vt:lpstr>Budget</vt:lpstr>
      <vt:lpstr>BudgetTbl</vt:lpstr>
      <vt:lpstr>Department</vt:lpstr>
      <vt:lpstr>FinanceActualSum</vt:lpstr>
      <vt:lpstr>FinanceBudgetSum</vt:lpstr>
      <vt:lpstr>FinancePercentVar</vt:lpstr>
      <vt:lpstr>FinanceSumVar</vt:lpstr>
      <vt:lpstr>HRActualSum</vt:lpstr>
      <vt:lpstr>HRBudgetSum</vt:lpstr>
      <vt:lpstr>HRPercentVar</vt:lpstr>
      <vt:lpstr>HRSumVar</vt:lpstr>
      <vt:lpstr>ITActualSum</vt:lpstr>
      <vt:lpstr>ITBudgetSum</vt:lpstr>
      <vt:lpstr>ITPercentVar</vt:lpstr>
      <vt:lpstr>ITSumVar</vt:lpstr>
      <vt:lpstr>LatestMonth</vt:lpstr>
      <vt:lpstr>MarketActualSum</vt:lpstr>
      <vt:lpstr>MarketBudgetSum</vt:lpstr>
      <vt:lpstr>MarketPercentVar</vt:lpstr>
      <vt:lpstr>MarketVarSum</vt:lpstr>
      <vt:lpstr>Month</vt:lpstr>
      <vt:lpstr>MonthDate</vt:lpstr>
      <vt:lpstr>OpsActualSum</vt:lpstr>
      <vt:lpstr>OpsBudgetSum</vt:lpstr>
      <vt:lpstr>OpsPercentVar</vt:lpstr>
      <vt:lpstr>OpsSumVar</vt:lpstr>
      <vt:lpstr>SumVarCalc</vt:lpstr>
      <vt:lpstr>TotalActual</vt:lpstr>
      <vt:lpstr>TotalActualSum</vt:lpstr>
      <vt:lpstr>TotalBudget</vt:lpstr>
      <vt:lpstr>TotalBudgetSum</vt:lpstr>
      <vt:lpstr>TotalSumActual</vt:lpstr>
      <vt:lpstr>TotalVariance</vt:lpstr>
      <vt:lpstr>TotalVarPercent</vt:lpstr>
      <vt:lpstr>Variance</vt:lpstr>
      <vt:lpstr>WorstDeptbyVar</vt:lpstr>
      <vt:lpstr>WorstDeptVarbyMonth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Kokol-Rivera, Emily</dc:creator>
  <cp:keywords/>
  <dc:description/>
  <cp:lastModifiedBy>Emily Kokol-Rivera</cp:lastModifiedBy>
  <cp:revision/>
  <dcterms:created xsi:type="dcterms:W3CDTF">2025-10-06T15:11:49Z</dcterms:created>
  <dcterms:modified xsi:type="dcterms:W3CDTF">2025-10-11T18:23:59Z</dcterms:modified>
  <cp:category/>
  <cp:contentStatus/>
</cp:coreProperties>
</file>