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yhey/Desktop/ehey/Countries Expense in USD/Recent Files/"/>
    </mc:Choice>
  </mc:AlternateContent>
  <xr:revisionPtr revIDLastSave="0" documentId="13_ncr:1_{A8AF18F4-41F2-4D49-AEC1-DD9DA277B8A3}" xr6:coauthVersionLast="47" xr6:coauthVersionMax="47" xr10:uidLastSave="{00000000-0000-0000-0000-000000000000}"/>
  <bookViews>
    <workbookView xWindow="2200" yWindow="760" windowWidth="21020" windowHeight="17620" xr2:uid="{967639E6-4DC2-0D46-A9F6-5B668F9720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1" l="1"/>
  <c r="J36" i="1"/>
  <c r="I36" i="1"/>
  <c r="H36" i="1"/>
  <c r="G36" i="1"/>
  <c r="F36" i="1"/>
  <c r="E36" i="1"/>
  <c r="D36" i="1"/>
  <c r="C36" i="1"/>
  <c r="B36" i="1"/>
  <c r="B43" i="1"/>
  <c r="K37" i="1"/>
  <c r="J37" i="1"/>
  <c r="I37" i="1"/>
  <c r="H37" i="1"/>
  <c r="G37" i="1"/>
  <c r="F37" i="1"/>
  <c r="E37" i="1"/>
  <c r="D37" i="1"/>
  <c r="C37" i="1"/>
  <c r="B37" i="1"/>
  <c r="K18" i="1"/>
  <c r="J18" i="1"/>
  <c r="I18" i="1"/>
  <c r="H18" i="1"/>
  <c r="G18" i="1"/>
  <c r="F18" i="1"/>
  <c r="E18" i="1"/>
  <c r="D18" i="1"/>
  <c r="C18" i="1"/>
  <c r="B18" i="1"/>
  <c r="K44" i="1"/>
  <c r="J44" i="1"/>
  <c r="I44" i="1"/>
  <c r="H44" i="1"/>
  <c r="G44" i="1"/>
  <c r="F44" i="1"/>
  <c r="E44" i="1"/>
  <c r="D44" i="1"/>
  <c r="C44" i="1"/>
  <c r="B44" i="1"/>
  <c r="K43" i="1"/>
  <c r="J43" i="1"/>
  <c r="I43" i="1"/>
  <c r="H43" i="1"/>
  <c r="G43" i="1"/>
  <c r="F43" i="1"/>
  <c r="E43" i="1"/>
  <c r="D43" i="1"/>
  <c r="C43" i="1"/>
  <c r="K28" i="1"/>
  <c r="J28" i="1"/>
  <c r="I28" i="1"/>
  <c r="H28" i="1"/>
  <c r="G28" i="1"/>
  <c r="F28" i="1"/>
  <c r="E28" i="1"/>
  <c r="D28" i="1"/>
  <c r="B28" i="1"/>
  <c r="C28" i="1"/>
  <c r="K27" i="1"/>
  <c r="J27" i="1"/>
  <c r="I27" i="1"/>
  <c r="H27" i="1"/>
  <c r="G27" i="1"/>
  <c r="F27" i="1"/>
  <c r="E27" i="1"/>
  <c r="D27" i="1"/>
  <c r="C27" i="1"/>
  <c r="B27" i="1"/>
  <c r="K17" i="1"/>
  <c r="J17" i="1"/>
  <c r="I17" i="1"/>
  <c r="H17" i="1"/>
  <c r="G17" i="1"/>
  <c r="F17" i="1"/>
  <c r="E17" i="1"/>
  <c r="D17" i="1"/>
  <c r="C17" i="1"/>
  <c r="B17" i="1"/>
</calcChain>
</file>

<file path=xl/sharedStrings.xml><?xml version="1.0" encoding="utf-8"?>
<sst xmlns="http://schemas.openxmlformats.org/spreadsheetml/2006/main" count="104" uniqueCount="41">
  <si>
    <t>Per capita government health expenditure Singapore 2011-2020</t>
  </si>
  <si>
    <t>Source: https://www.statista.com/statistics/891506/singapore-government-health-expenditure-per-capita/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</si>
  <si>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</si>
  <si>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</si>
  <si>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</si>
  <si>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</si>
  <si>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</si>
  <si>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</si>
  <si>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</si>
  <si>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</si>
  <si>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</si>
  <si>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</si>
  <si>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Government expenditure on health in Singapore FY 2011-2020</t>
  </si>
  <si>
    <t>USD (in billions) converted from GDP</t>
  </si>
  <si>
    <t>Source: https://statista.com/statistics/1230924/singapore-government-expenditure-on-health/</t>
  </si>
  <si>
    <t>Singapore</t>
  </si>
  <si>
    <t>Netherlands</t>
  </si>
  <si>
    <t>U.S.</t>
  </si>
  <si>
    <t>Source SGD to USD: https://www.investing.com/currencies/sgd-usd-historical-data</t>
  </si>
  <si>
    <t>^ I took the avg for each year</t>
  </si>
  <si>
    <t>USD from above per capita</t>
  </si>
  <si>
    <t>U.S. total personal health care expenditure 1960-2022</t>
  </si>
  <si>
    <t>Source: https://www.statista.com/statistics/184768/us-total-personal-health-care-expenditures-since-1960/</t>
  </si>
  <si>
    <t>Source for U.S. population per year: https://www.statista.com/statistics/1067138/population-united-states-historical/</t>
  </si>
  <si>
    <t>2020*</t>
  </si>
  <si>
    <t>National health expenditure in the Netherlands 2011-2020</t>
  </si>
  <si>
    <t>Source: https://www.statista.com/statistics/571530/netherlands-national-health-expenditure/</t>
  </si>
  <si>
    <t>Source Euro to USD: https://www.investing.com/currencies/eur-usd-historical-data</t>
  </si>
  <si>
    <t>Total health expenditure per capita in the Netherlands 2011-2020</t>
  </si>
  <si>
    <t>Source: https://www.statista.com/statistics/575988/total-health-expenditure-per-capita-in-the-netherlands/</t>
  </si>
  <si>
    <t>Countries</t>
  </si>
  <si>
    <t>Source: https://www.statista.com/statistics/577351/average-healthcare-costs-per-person-under-the-dutch-health-insurance-act-zvw/</t>
  </si>
  <si>
    <t>Average healthcare costs per capita under the Zvw 2011-2020 (euros)</t>
  </si>
  <si>
    <t>PERSONAL EXPENSE</t>
  </si>
  <si>
    <t>GOVERNMENT EXPENSE</t>
  </si>
  <si>
    <t>https://www.statista.com/study/39386/health-insurance-in-the-netherlands-statista-dossier/</t>
  </si>
  <si>
    <t>U.S. national health expenditure 1960-2022</t>
  </si>
  <si>
    <t>Source: https://www.statista.com/statistics/184688/us-national-health-expenditure-since-1960/</t>
  </si>
  <si>
    <t>NATIONAL EXPENSE</t>
  </si>
  <si>
    <t>not done</t>
  </si>
  <si>
    <t>Source: https://apps.who.int/nha/database/Search/Index/en?q=singapore+household+healthcare+expense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</si>
</sst>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Arial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 applyAlignment="1">
      <alignment horizontal="left" vertical="center"/>
    </xf>
    <xf numFmtId="3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left" vertical="center"/>
    </xf>
    <xf numFmtId="4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/>
    </xf>
    <xf numFmtId="0" fontId="4" fillId="0" borderId="0" xfId="0" applyFont="1"/>
    <xf numFmtId="0" fontId="1" fillId="0" borderId="0" xfId="0" applyFont="1"/>
    <xf numFmtId="0" fontId="4" fillId="0" borderId="0" xfId="0" applyFont="1" applyAlignment="1">
      <alignment horizontal="left" vertical="center"/>
    </xf>
    <xf numFmtId="4" fontId="4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5" fillId="0" borderId="0" xfId="0" applyFont="1"/>
    <xf numFmtId="3" fontId="0" fillId="0" borderId="0" xfId="0" applyNumberFormat="1" applyAlignment="1">
      <alignment horizontal="right" vertical="center"/>
    </xf>
    <xf numFmtId="3" fontId="0" fillId="0" borderId="0" xfId="0" applyNumberFormat="1" applyAlignment="1">
      <alignment horizontal="center" vertical="center"/>
    </xf>
    <xf numFmtId="4" fontId="4" fillId="0" borderId="0" xfId="0" applyNumberFormat="1" applyFon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3" fontId="6" fillId="0" borderId="0" xfId="0" applyNumberFormat="1" applyFont="1" applyAlignment="1" applyProtection="1">
      <alignment horizontal="right" vertical="center" wrapText="1"/>
      <protection locked="0"/>
    </xf>
    <xf numFmtId="3" fontId="7" fillId="0" borderId="0" xfId="0" applyNumberFormat="1" applyFont="1" applyAlignment="1" applyProtection="1">
      <alignment horizontal="right" vertical="center" wrapText="1"/>
      <protection locked="0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E57EE-8444-F94A-B508-9780013BC754}">
  <dimension ref="A1:Y46"/>
  <sheetViews>
    <sheetView tabSelected="1" topLeftCell="A9" zoomScale="87" workbookViewId="0">
      <selection activeCell="F31" sqref="F31"/>
    </sheetView>
  </sheetViews>
  <sheetFormatPr baseColWidth="10" defaultRowHeight="16" x14ac:dyDescent="0.2"/>
  <cols>
    <col min="2" max="2" width="11.1640625" bestFit="1" customWidth="1"/>
  </cols>
  <sheetData>
    <row r="1" spans="1:17" ht="46" customHeight="1" x14ac:dyDescent="0.2">
      <c r="A1" s="21" t="s">
        <v>12</v>
      </c>
      <c r="B1" s="21"/>
      <c r="D1" s="21" t="s">
        <v>0</v>
      </c>
      <c r="E1" s="21"/>
      <c r="G1" s="21" t="s">
        <v>21</v>
      </c>
      <c r="H1" s="21"/>
      <c r="J1" s="21" t="s">
        <v>25</v>
      </c>
      <c r="K1" s="21"/>
      <c r="M1" s="21" t="s">
        <v>28</v>
      </c>
      <c r="N1" s="21"/>
      <c r="P1" s="21" t="s">
        <v>32</v>
      </c>
      <c r="Q1" s="21"/>
    </row>
    <row r="2" spans="1:17" x14ac:dyDescent="0.2">
      <c r="A2" s="3" t="s">
        <v>2</v>
      </c>
      <c r="B2" s="4">
        <v>4.09</v>
      </c>
      <c r="D2" s="1">
        <v>2011</v>
      </c>
      <c r="E2" s="2">
        <v>789</v>
      </c>
      <c r="G2" s="8">
        <v>2011</v>
      </c>
      <c r="H2" s="9">
        <v>2253.9</v>
      </c>
      <c r="J2" s="3" t="s">
        <v>2</v>
      </c>
      <c r="K2" s="12">
        <v>75593</v>
      </c>
      <c r="M2" s="3" t="s">
        <v>2</v>
      </c>
      <c r="N2" s="12">
        <v>5279</v>
      </c>
      <c r="P2" s="3" t="s">
        <v>2</v>
      </c>
      <c r="Q2" s="12">
        <v>2115</v>
      </c>
    </row>
    <row r="3" spans="1:17" x14ac:dyDescent="0.2">
      <c r="A3" s="3" t="s">
        <v>3</v>
      </c>
      <c r="B3" s="4">
        <v>4.84</v>
      </c>
      <c r="D3" s="1">
        <v>2012</v>
      </c>
      <c r="E3" s="2">
        <v>911</v>
      </c>
      <c r="G3" s="8">
        <v>2012</v>
      </c>
      <c r="H3" s="9">
        <v>2346.1999999999998</v>
      </c>
      <c r="J3" s="3" t="s">
        <v>3</v>
      </c>
      <c r="K3" s="12">
        <v>78309</v>
      </c>
      <c r="M3" s="3" t="s">
        <v>3</v>
      </c>
      <c r="N3" s="12">
        <v>5409</v>
      </c>
      <c r="P3" s="3" t="s">
        <v>3</v>
      </c>
      <c r="Q3" s="12">
        <v>2078</v>
      </c>
    </row>
    <row r="4" spans="1:17" x14ac:dyDescent="0.2">
      <c r="A4" s="3" t="s">
        <v>4</v>
      </c>
      <c r="B4" s="4">
        <v>5.94</v>
      </c>
      <c r="D4" s="1">
        <v>2013</v>
      </c>
      <c r="E4" s="2">
        <v>1100</v>
      </c>
      <c r="G4" s="8">
        <v>2013</v>
      </c>
      <c r="H4" s="9">
        <v>2404.6</v>
      </c>
      <c r="J4" s="3" t="s">
        <v>4</v>
      </c>
      <c r="K4" s="12">
        <v>78957</v>
      </c>
      <c r="M4" s="3" t="s">
        <v>4</v>
      </c>
      <c r="N4" s="12">
        <v>5413</v>
      </c>
      <c r="P4" s="3" t="s">
        <v>4</v>
      </c>
      <c r="Q4" s="12">
        <v>2186</v>
      </c>
    </row>
    <row r="5" spans="1:17" x14ac:dyDescent="0.2">
      <c r="A5" s="3" t="s">
        <v>5</v>
      </c>
      <c r="B5" s="4">
        <v>7.22</v>
      </c>
      <c r="D5" s="1">
        <v>2014</v>
      </c>
      <c r="E5" s="2">
        <v>1321</v>
      </c>
      <c r="G5" s="8">
        <v>2014</v>
      </c>
      <c r="H5" s="9">
        <v>2526.1999999999998</v>
      </c>
      <c r="J5" s="3" t="s">
        <v>5</v>
      </c>
      <c r="K5" s="12">
        <v>80116</v>
      </c>
      <c r="M5" s="3" t="s">
        <v>5</v>
      </c>
      <c r="N5" s="12">
        <v>5451</v>
      </c>
      <c r="P5" s="3" t="s">
        <v>5</v>
      </c>
      <c r="Q5" s="12">
        <v>2193</v>
      </c>
    </row>
    <row r="6" spans="1:17" x14ac:dyDescent="0.2">
      <c r="A6" s="3" t="s">
        <v>6</v>
      </c>
      <c r="B6" s="4">
        <v>8.64</v>
      </c>
      <c r="D6" s="1">
        <v>2015</v>
      </c>
      <c r="E6" s="2">
        <v>1561</v>
      </c>
      <c r="G6" s="8">
        <v>2015</v>
      </c>
      <c r="H6" s="9">
        <v>2672.9</v>
      </c>
      <c r="J6" s="3" t="s">
        <v>6</v>
      </c>
      <c r="K6" s="12">
        <v>80118</v>
      </c>
      <c r="M6" s="3" t="s">
        <v>6</v>
      </c>
      <c r="N6" s="12">
        <v>5450</v>
      </c>
      <c r="P6" s="3" t="s">
        <v>6</v>
      </c>
      <c r="Q6" s="12">
        <v>2324</v>
      </c>
    </row>
    <row r="7" spans="1:17" x14ac:dyDescent="0.2">
      <c r="A7" s="3" t="s">
        <v>7</v>
      </c>
      <c r="B7" s="4">
        <v>9.31</v>
      </c>
      <c r="D7" s="1">
        <v>2016</v>
      </c>
      <c r="E7" s="2">
        <v>1657</v>
      </c>
      <c r="G7" s="8">
        <v>2016</v>
      </c>
      <c r="H7" s="9">
        <v>2793.7</v>
      </c>
      <c r="J7" s="3" t="s">
        <v>7</v>
      </c>
      <c r="K7" s="12">
        <v>82021</v>
      </c>
      <c r="M7" s="3" t="s">
        <v>7</v>
      </c>
      <c r="N7" s="12">
        <v>5569</v>
      </c>
      <c r="P7" s="3" t="s">
        <v>7</v>
      </c>
      <c r="Q7" s="12">
        <v>2422</v>
      </c>
    </row>
    <row r="8" spans="1:17" x14ac:dyDescent="0.2">
      <c r="A8" s="3" t="s">
        <v>8</v>
      </c>
      <c r="B8" s="4">
        <v>9.76</v>
      </c>
      <c r="D8" s="1">
        <v>2017</v>
      </c>
      <c r="E8" s="2">
        <v>1744</v>
      </c>
      <c r="G8" s="8">
        <v>2017</v>
      </c>
      <c r="H8" s="9">
        <v>2901.3</v>
      </c>
      <c r="J8" s="3" t="s">
        <v>8</v>
      </c>
      <c r="K8" s="12">
        <v>83932</v>
      </c>
      <c r="M8" s="3" t="s">
        <v>8</v>
      </c>
      <c r="N8" s="12">
        <v>5661</v>
      </c>
      <c r="P8" s="3" t="s">
        <v>8</v>
      </c>
      <c r="Q8" s="12">
        <v>2479</v>
      </c>
    </row>
    <row r="9" spans="1:17" x14ac:dyDescent="0.2">
      <c r="A9" s="3" t="s">
        <v>9</v>
      </c>
      <c r="B9" s="4">
        <v>10.119999999999999</v>
      </c>
      <c r="D9" s="1">
        <v>2018</v>
      </c>
      <c r="E9" s="2">
        <v>1795</v>
      </c>
      <c r="G9" s="8">
        <v>2018</v>
      </c>
      <c r="H9" s="9">
        <v>3017.1</v>
      </c>
      <c r="J9" s="3" t="s">
        <v>9</v>
      </c>
      <c r="K9" s="12">
        <v>87334</v>
      </c>
      <c r="M9" s="3" t="s">
        <v>9</v>
      </c>
      <c r="N9" s="12">
        <v>5863</v>
      </c>
      <c r="P9" s="3" t="s">
        <v>9</v>
      </c>
      <c r="Q9" s="12">
        <v>2549</v>
      </c>
    </row>
    <row r="10" spans="1:17" x14ac:dyDescent="0.2">
      <c r="A10" s="3" t="s">
        <v>10</v>
      </c>
      <c r="B10" s="4">
        <v>11.15</v>
      </c>
      <c r="D10" s="1">
        <v>2019</v>
      </c>
      <c r="E10" s="2">
        <v>1954</v>
      </c>
      <c r="G10" s="8">
        <v>2019</v>
      </c>
      <c r="H10" s="9">
        <v>3171.2</v>
      </c>
      <c r="J10" s="3" t="s">
        <v>10</v>
      </c>
      <c r="K10" s="12">
        <v>92804</v>
      </c>
      <c r="M10" s="3" t="s">
        <v>10</v>
      </c>
      <c r="N10" s="12">
        <v>6194</v>
      </c>
      <c r="P10" s="3" t="s">
        <v>10</v>
      </c>
      <c r="Q10" s="12">
        <v>2650</v>
      </c>
    </row>
    <row r="11" spans="1:17" x14ac:dyDescent="0.2">
      <c r="A11" s="3" t="s">
        <v>11</v>
      </c>
      <c r="B11" s="4">
        <v>15.2</v>
      </c>
      <c r="D11" s="1">
        <v>2020</v>
      </c>
      <c r="E11" s="2">
        <v>2674</v>
      </c>
      <c r="G11" s="8">
        <v>2020</v>
      </c>
      <c r="H11" s="9">
        <v>3375.3</v>
      </c>
      <c r="J11" s="3" t="s">
        <v>24</v>
      </c>
      <c r="K11" s="12">
        <v>100535</v>
      </c>
      <c r="M11" s="3" t="s">
        <v>24</v>
      </c>
      <c r="N11" s="12">
        <v>6673</v>
      </c>
      <c r="P11" s="3" t="s">
        <v>11</v>
      </c>
      <c r="Q11" s="12">
        <v>2564</v>
      </c>
    </row>
    <row r="12" spans="1:17" ht="13" customHeight="1" x14ac:dyDescent="0.2">
      <c r="A12" s="22" t="s">
        <v>14</v>
      </c>
      <c r="B12" s="22"/>
      <c r="D12" s="25" t="s">
        <v>1</v>
      </c>
      <c r="E12" s="25"/>
      <c r="G12" s="20" t="s">
        <v>22</v>
      </c>
      <c r="H12" s="20"/>
      <c r="J12" s="22" t="s">
        <v>26</v>
      </c>
      <c r="K12" s="22"/>
      <c r="M12" s="22" t="s">
        <v>29</v>
      </c>
      <c r="N12" s="22"/>
      <c r="P12" s="22" t="s">
        <v>31</v>
      </c>
      <c r="Q12" s="22"/>
    </row>
    <row r="13" spans="1:17" x14ac:dyDescent="0.2">
      <c r="P13" t="s">
        <v>35</v>
      </c>
    </row>
    <row r="15" spans="1:17" x14ac:dyDescent="0.2">
      <c r="A15" s="23" t="s">
        <v>13</v>
      </c>
      <c r="B15" s="23"/>
      <c r="C15" s="23"/>
      <c r="D15" t="s">
        <v>38</v>
      </c>
      <c r="N15" s="24" t="s">
        <v>36</v>
      </c>
      <c r="O15" s="24"/>
    </row>
    <row r="16" spans="1:17" ht="16" customHeight="1" x14ac:dyDescent="0.2">
      <c r="A16" s="7" t="s">
        <v>30</v>
      </c>
      <c r="B16" s="10">
        <v>2011</v>
      </c>
      <c r="C16" s="10">
        <v>2012</v>
      </c>
      <c r="D16" s="10">
        <v>2013</v>
      </c>
      <c r="E16" s="10">
        <v>2014</v>
      </c>
      <c r="F16" s="10">
        <v>2015</v>
      </c>
      <c r="G16" s="10">
        <v>2016</v>
      </c>
      <c r="H16" s="10">
        <v>2017</v>
      </c>
      <c r="I16" s="10">
        <v>2018</v>
      </c>
      <c r="J16" s="10">
        <v>2019</v>
      </c>
      <c r="K16" s="10">
        <v>2020</v>
      </c>
      <c r="N16" s="24"/>
      <c r="O16" s="24"/>
    </row>
    <row r="17" spans="1:15" ht="16" customHeight="1" x14ac:dyDescent="0.2">
      <c r="A17" s="11" t="s">
        <v>15</v>
      </c>
      <c r="B17" s="5">
        <f>(B2)*0.7972</f>
        <v>3.260548</v>
      </c>
      <c r="C17" s="5">
        <f>B3*0.8006</f>
        <v>3.8749039999999999</v>
      </c>
      <c r="D17" s="5">
        <f>B4*0.7994</f>
        <v>4.7484359999999999</v>
      </c>
      <c r="E17" s="5">
        <f>B5*0.7893</f>
        <v>5.6987459999999999</v>
      </c>
      <c r="F17" s="5">
        <f>B6*0.7278</f>
        <v>6.2881920000000004</v>
      </c>
      <c r="G17" s="5">
        <f>B7*0.7247</f>
        <v>6.7469570000000001</v>
      </c>
      <c r="H17" s="5">
        <f>B8*0.7246</f>
        <v>7.0720960000000002</v>
      </c>
      <c r="I17" s="5">
        <f>B9*0.7414</f>
        <v>7.5029679999999992</v>
      </c>
      <c r="J17" s="5">
        <f>B10*0.733</f>
        <v>8.1729500000000002</v>
      </c>
      <c r="K17" s="5">
        <f>B11*0.7252</f>
        <v>11.023039999999998</v>
      </c>
      <c r="N17" s="24"/>
      <c r="O17" s="24"/>
    </row>
    <row r="18" spans="1:15" x14ac:dyDescent="0.2">
      <c r="A18" s="11" t="s">
        <v>16</v>
      </c>
      <c r="B18" s="17">
        <f>75593*1.3925/1000</f>
        <v>105.26325250000001</v>
      </c>
      <c r="C18" s="17">
        <f>78309*1.286/1000</f>
        <v>100.70537399999999</v>
      </c>
      <c r="D18" s="17">
        <f>78957*1.3285/1000</f>
        <v>104.89437450000001</v>
      </c>
      <c r="E18" s="17">
        <f>80116*1.3286/1000</f>
        <v>106.4421176</v>
      </c>
      <c r="F18" s="17">
        <f>80118*1.1103/1000</f>
        <v>88.955015400000008</v>
      </c>
      <c r="G18" s="17">
        <f>82021*1.107/1000</f>
        <v>90.797246999999999</v>
      </c>
      <c r="H18" s="17">
        <f>83932*1.13/1000</f>
        <v>94.843159999999983</v>
      </c>
      <c r="I18" s="17">
        <f>87334*1.1809/1000</f>
        <v>103.1327206</v>
      </c>
      <c r="J18" s="17">
        <f>92804*1.1193/1000</f>
        <v>103.8755172</v>
      </c>
      <c r="K18" s="17">
        <f>100535*1.1417/1000</f>
        <v>114.78080949999999</v>
      </c>
      <c r="N18" s="3" t="s">
        <v>2</v>
      </c>
      <c r="O18" s="12">
        <v>2676</v>
      </c>
    </row>
    <row r="19" spans="1:15" x14ac:dyDescent="0.2">
      <c r="A19" s="11" t="s">
        <v>17</v>
      </c>
      <c r="B19" s="13">
        <v>2676</v>
      </c>
      <c r="C19" s="13">
        <v>2783</v>
      </c>
      <c r="D19" s="13">
        <v>2856</v>
      </c>
      <c r="E19" s="13">
        <v>3002</v>
      </c>
      <c r="F19" s="15">
        <v>3163.8</v>
      </c>
      <c r="G19" s="15">
        <v>3305.3</v>
      </c>
      <c r="H19" s="15">
        <v>3443.7</v>
      </c>
      <c r="I19" s="15">
        <v>3601.2</v>
      </c>
      <c r="J19" s="15">
        <v>3756.4</v>
      </c>
      <c r="K19" s="15">
        <v>4156.3</v>
      </c>
      <c r="N19" s="3" t="s">
        <v>3</v>
      </c>
      <c r="O19" s="12">
        <v>2783</v>
      </c>
    </row>
    <row r="20" spans="1:15" x14ac:dyDescent="0.2">
      <c r="A20" s="6" t="s">
        <v>18</v>
      </c>
      <c r="N20" s="3" t="s">
        <v>4</v>
      </c>
      <c r="O20" s="12">
        <v>2856</v>
      </c>
    </row>
    <row r="21" spans="1:15" x14ac:dyDescent="0.2">
      <c r="A21" s="6" t="s">
        <v>27</v>
      </c>
      <c r="N21" s="3" t="s">
        <v>5</v>
      </c>
      <c r="O21" s="12">
        <v>3002</v>
      </c>
    </row>
    <row r="22" spans="1:15" x14ac:dyDescent="0.2">
      <c r="A22" s="6" t="s">
        <v>19</v>
      </c>
      <c r="N22" s="3" t="s">
        <v>6</v>
      </c>
      <c r="O22" s="4">
        <v>3163.8</v>
      </c>
    </row>
    <row r="23" spans="1:15" x14ac:dyDescent="0.2">
      <c r="N23" s="3" t="s">
        <v>7</v>
      </c>
      <c r="O23" s="4">
        <v>3305.3</v>
      </c>
    </row>
    <row r="24" spans="1:15" x14ac:dyDescent="0.2">
      <c r="N24" s="3" t="s">
        <v>8</v>
      </c>
      <c r="O24" s="4">
        <v>3443.7</v>
      </c>
    </row>
    <row r="25" spans="1:15" x14ac:dyDescent="0.2">
      <c r="A25" s="7" t="s">
        <v>20</v>
      </c>
      <c r="B25" s="7"/>
      <c r="C25" t="s">
        <v>34</v>
      </c>
      <c r="F25" t="s">
        <v>39</v>
      </c>
      <c r="N25" s="3" t="s">
        <v>9</v>
      </c>
      <c r="O25" s="4">
        <v>3601.2</v>
      </c>
    </row>
    <row r="26" spans="1:15" x14ac:dyDescent="0.2">
      <c r="B26" s="10">
        <v>2011</v>
      </c>
      <c r="C26" s="10">
        <v>2012</v>
      </c>
      <c r="D26" s="10">
        <v>2013</v>
      </c>
      <c r="E26" s="10">
        <v>2014</v>
      </c>
      <c r="F26" s="10">
        <v>2015</v>
      </c>
      <c r="G26" s="10">
        <v>2016</v>
      </c>
      <c r="H26" s="10">
        <v>2017</v>
      </c>
      <c r="I26" s="10">
        <v>2018</v>
      </c>
      <c r="J26" s="10">
        <v>2019</v>
      </c>
      <c r="K26" s="10">
        <v>2020</v>
      </c>
      <c r="N26" s="3" t="s">
        <v>10</v>
      </c>
      <c r="O26" s="4">
        <v>3756.4</v>
      </c>
    </row>
    <row r="27" spans="1:15" x14ac:dyDescent="0.2">
      <c r="A27" s="11" t="s">
        <v>15</v>
      </c>
      <c r="B27">
        <f>(E2)*0.7972</f>
        <v>628.99080000000004</v>
      </c>
      <c r="C27">
        <f>E3*0.8006</f>
        <v>729.34659999999997</v>
      </c>
      <c r="D27">
        <f>E4*0.7994</f>
        <v>879.34</v>
      </c>
      <c r="E27">
        <f>E5*0.7893</f>
        <v>1042.6653000000001</v>
      </c>
      <c r="F27">
        <f>E6*0.7278</f>
        <v>1136.0958000000001</v>
      </c>
      <c r="G27">
        <f>E7*0.7247</f>
        <v>1200.8279</v>
      </c>
      <c r="H27">
        <f>E8*0.7246</f>
        <v>1263.7024000000001</v>
      </c>
      <c r="I27">
        <f>E9*0.7414</f>
        <v>1330.8129999999999</v>
      </c>
      <c r="J27">
        <f>E10*0.733</f>
        <v>1432.2819999999999</v>
      </c>
      <c r="K27">
        <f>E11*0.7252</f>
        <v>1939.1847999999998</v>
      </c>
      <c r="N27" s="3" t="s">
        <v>11</v>
      </c>
      <c r="O27" s="4">
        <v>4156.3</v>
      </c>
    </row>
    <row r="28" spans="1:15" x14ac:dyDescent="0.2">
      <c r="A28" s="11" t="s">
        <v>16</v>
      </c>
      <c r="B28" s="13">
        <f>N2*1.3925</f>
        <v>7351.0075000000006</v>
      </c>
      <c r="C28" s="13">
        <f>N3*1.286</f>
        <v>6955.9740000000002</v>
      </c>
      <c r="D28" s="13">
        <f>N4*1.3285</f>
        <v>7191.1705000000002</v>
      </c>
      <c r="E28" s="13">
        <f>N5*1.3286</f>
        <v>7242.1985999999997</v>
      </c>
      <c r="F28" s="13">
        <f>N6*1.1103</f>
        <v>6051.1350000000002</v>
      </c>
      <c r="G28" s="13">
        <f>N7*1.107</f>
        <v>6164.8829999999998</v>
      </c>
      <c r="H28" s="13">
        <f>N8*1.13</f>
        <v>6396.9299999999994</v>
      </c>
      <c r="I28" s="13">
        <f>N9*1.1809</f>
        <v>6923.6167000000005</v>
      </c>
      <c r="J28" s="13">
        <f>N10*1.1193</f>
        <v>6932.9441999999999</v>
      </c>
      <c r="K28" s="13">
        <f>N11*1.1417</f>
        <v>7618.5640999999996</v>
      </c>
      <c r="N28" s="20" t="s">
        <v>37</v>
      </c>
      <c r="O28" s="20"/>
    </row>
    <row r="29" spans="1:15" x14ac:dyDescent="0.2">
      <c r="A29" s="11" t="s">
        <v>17</v>
      </c>
      <c r="B29">
        <v>7233.6822119103981</v>
      </c>
      <c r="C29">
        <v>7470.9302575509428</v>
      </c>
      <c r="D29">
        <v>7599.8606070647038</v>
      </c>
      <c r="E29">
        <v>7927.2378600010006</v>
      </c>
      <c r="F29">
        <v>8329.9491324296741</v>
      </c>
      <c r="G29">
        <v>8648.7978505336523</v>
      </c>
      <c r="H29">
        <v>8924.7493484468487</v>
      </c>
      <c r="I29">
        <v>9223.8902395276546</v>
      </c>
      <c r="J29">
        <v>9637.0041510350002</v>
      </c>
      <c r="K29">
        <v>10197.199327558254</v>
      </c>
    </row>
    <row r="30" spans="1:15" x14ac:dyDescent="0.2">
      <c r="A30" s="6"/>
    </row>
    <row r="31" spans="1:15" x14ac:dyDescent="0.2">
      <c r="N31" s="24" t="s">
        <v>36</v>
      </c>
      <c r="O31" s="24"/>
    </row>
    <row r="32" spans="1:15" x14ac:dyDescent="0.2">
      <c r="N32" s="24"/>
      <c r="O32" s="24"/>
    </row>
    <row r="33" spans="1:25" x14ac:dyDescent="0.2">
      <c r="N33" s="24"/>
      <c r="O33" s="24"/>
    </row>
    <row r="34" spans="1:25" x14ac:dyDescent="0.2">
      <c r="A34" s="23" t="s">
        <v>13</v>
      </c>
      <c r="B34" s="23"/>
      <c r="C34" s="23"/>
      <c r="D34" t="s">
        <v>33</v>
      </c>
      <c r="N34" s="3" t="s">
        <v>2</v>
      </c>
      <c r="O34" s="19">
        <v>128655.5</v>
      </c>
      <c r="P34" s="18"/>
      <c r="Q34" s="18"/>
      <c r="R34" s="18"/>
      <c r="S34" s="18"/>
      <c r="T34" s="18"/>
      <c r="U34" s="18"/>
      <c r="V34" s="18"/>
      <c r="W34" s="18"/>
      <c r="X34" s="18"/>
      <c r="Y34" s="18"/>
    </row>
    <row r="35" spans="1:25" x14ac:dyDescent="0.2">
      <c r="B35" s="10">
        <v>2011</v>
      </c>
      <c r="C35" s="10">
        <v>2012</v>
      </c>
      <c r="D35" s="10">
        <v>2013</v>
      </c>
      <c r="E35" s="10">
        <v>2014</v>
      </c>
      <c r="F35" s="10">
        <v>2015</v>
      </c>
      <c r="G35" s="10">
        <v>2016</v>
      </c>
      <c r="H35" s="10">
        <v>2017</v>
      </c>
      <c r="I35" s="10">
        <v>2018</v>
      </c>
      <c r="J35" s="10">
        <v>2019</v>
      </c>
      <c r="K35" s="10">
        <v>2020</v>
      </c>
      <c r="N35" s="3" t="s">
        <v>3</v>
      </c>
      <c r="O35" s="19">
        <v>137573.70000000001</v>
      </c>
    </row>
    <row r="36" spans="1:25" x14ac:dyDescent="0.2">
      <c r="A36" s="11" t="s">
        <v>15</v>
      </c>
      <c r="B36" s="5">
        <f>(O34)*0.7972/1000000</f>
        <v>0.10256416460000001</v>
      </c>
      <c r="C36" s="5">
        <f>O35*0.8006/1000000</f>
        <v>0.11014150422000001</v>
      </c>
      <c r="D36" s="5">
        <f>O36*0.7994/1000000</f>
        <v>0.11486210875999998</v>
      </c>
      <c r="E36" s="5">
        <f>O37*0.7893/1000000</f>
        <v>0.11834929953000001</v>
      </c>
      <c r="F36" s="5">
        <f>O38*0.7278/1000000</f>
        <v>0.11451474486</v>
      </c>
      <c r="G36" s="5">
        <f>O39*0.7247/1000000</f>
        <v>0.11638471837</v>
      </c>
      <c r="H36" s="5">
        <f>O40*0.7246/1000000</f>
        <v>0.12091682794</v>
      </c>
      <c r="I36" s="5">
        <f>O41*0.7414/1000000</f>
        <v>0.12981787961999997</v>
      </c>
      <c r="J36" s="5">
        <f>O42*0.733/1000000</f>
        <v>0.13341333</v>
      </c>
      <c r="K36" s="5">
        <f>O43*0.7252/1000000</f>
        <v>0.11269325172</v>
      </c>
      <c r="N36" s="3" t="s">
        <v>4</v>
      </c>
      <c r="O36" s="19">
        <v>143685.4</v>
      </c>
    </row>
    <row r="37" spans="1:25" x14ac:dyDescent="0.2">
      <c r="A37" s="11" t="s">
        <v>16</v>
      </c>
      <c r="B37" s="16">
        <f>2115*1.3925/1000</f>
        <v>2.9451375000000004</v>
      </c>
      <c r="C37" s="16">
        <f>2078*1.286/1000</f>
        <v>2.6723080000000001</v>
      </c>
      <c r="D37" s="16">
        <f>2186*1.3285/1000</f>
        <v>2.9041010000000003</v>
      </c>
      <c r="E37" s="16">
        <f>2193*1.3286/1000</f>
        <v>2.9136197999999998</v>
      </c>
      <c r="F37" s="16">
        <f>Q6*1.1103/1000</f>
        <v>2.5803371999999998</v>
      </c>
      <c r="G37" s="16">
        <f>Q7*1.107/1000</f>
        <v>2.6811539999999998</v>
      </c>
      <c r="H37" s="16">
        <f>Q8*1.13/1000</f>
        <v>2.8012699999999997</v>
      </c>
      <c r="I37" s="16">
        <f>Q9*1.1809/1000</f>
        <v>3.0101141</v>
      </c>
      <c r="J37" s="16">
        <f>Q10*1.1193/1000</f>
        <v>2.966145</v>
      </c>
      <c r="K37" s="16">
        <f>Q11*1.1417/1000</f>
        <v>2.9273188000000001</v>
      </c>
      <c r="N37" s="3" t="s">
        <v>5</v>
      </c>
      <c r="O37" s="19">
        <v>149942.1</v>
      </c>
    </row>
    <row r="38" spans="1:25" x14ac:dyDescent="0.2">
      <c r="A38" s="11" t="s">
        <v>17</v>
      </c>
      <c r="B38" s="14">
        <v>2253.9</v>
      </c>
      <c r="C38" s="14">
        <v>2346.1999999999998</v>
      </c>
      <c r="D38" s="14">
        <v>2404.6</v>
      </c>
      <c r="E38" s="14">
        <v>2526.1999999999998</v>
      </c>
      <c r="F38" s="14">
        <v>2672.9</v>
      </c>
      <c r="G38" s="14">
        <v>2793.7</v>
      </c>
      <c r="H38" s="14">
        <v>2901.3</v>
      </c>
      <c r="I38" s="14">
        <v>3017.1</v>
      </c>
      <c r="J38" s="14">
        <v>3171.2</v>
      </c>
      <c r="K38" s="14">
        <v>3375.3</v>
      </c>
      <c r="N38" s="3" t="s">
        <v>6</v>
      </c>
      <c r="O38" s="19">
        <v>157343.70000000001</v>
      </c>
    </row>
    <row r="39" spans="1:25" x14ac:dyDescent="0.2">
      <c r="N39" s="3" t="s">
        <v>7</v>
      </c>
      <c r="O39" s="19">
        <v>160597.1</v>
      </c>
    </row>
    <row r="40" spans="1:25" x14ac:dyDescent="0.2">
      <c r="N40" s="3" t="s">
        <v>8</v>
      </c>
      <c r="O40" s="19">
        <v>166873.9</v>
      </c>
    </row>
    <row r="41" spans="1:25" x14ac:dyDescent="0.2">
      <c r="A41" s="7" t="s">
        <v>20</v>
      </c>
      <c r="B41" s="7"/>
      <c r="C41" t="s">
        <v>33</v>
      </c>
      <c r="F41" t="s">
        <v>39</v>
      </c>
      <c r="N41" s="3" t="s">
        <v>9</v>
      </c>
      <c r="O41" s="19">
        <v>175098.3</v>
      </c>
    </row>
    <row r="42" spans="1:25" x14ac:dyDescent="0.2">
      <c r="B42" s="10">
        <v>2011</v>
      </c>
      <c r="C42" s="10">
        <v>2012</v>
      </c>
      <c r="D42" s="10">
        <v>2013</v>
      </c>
      <c r="E42" s="10">
        <v>2014</v>
      </c>
      <c r="F42" s="10">
        <v>2015</v>
      </c>
      <c r="G42" s="10">
        <v>2016</v>
      </c>
      <c r="H42" s="10">
        <v>2017</v>
      </c>
      <c r="I42" s="10">
        <v>2018</v>
      </c>
      <c r="J42" s="10">
        <v>2019</v>
      </c>
      <c r="K42" s="10">
        <v>2020</v>
      </c>
      <c r="N42" s="3" t="s">
        <v>10</v>
      </c>
      <c r="O42" s="19">
        <v>182010</v>
      </c>
    </row>
    <row r="43" spans="1:25" x14ac:dyDescent="0.2">
      <c r="A43" s="11" t="s">
        <v>15</v>
      </c>
      <c r="B43">
        <f>(E16)*0.7972</f>
        <v>1605.5608</v>
      </c>
      <c r="C43">
        <f>E17*0.8006</f>
        <v>4.5624160476000002</v>
      </c>
      <c r="D43">
        <f>E18*0.7994</f>
        <v>85.089828809440007</v>
      </c>
      <c r="E43">
        <f>E19*0.7893</f>
        <v>2369.4785999999999</v>
      </c>
      <c r="F43">
        <f>E20*0.7278</f>
        <v>0</v>
      </c>
      <c r="G43">
        <f>E21*0.7247</f>
        <v>0</v>
      </c>
      <c r="H43">
        <f>E22*0.7246</f>
        <v>0</v>
      </c>
      <c r="I43">
        <f>E23*0.7414</f>
        <v>0</v>
      </c>
      <c r="J43">
        <f>E24*0.733</f>
        <v>0</v>
      </c>
      <c r="K43">
        <f>E25*0.7252</f>
        <v>0</v>
      </c>
      <c r="N43" s="3" t="s">
        <v>11</v>
      </c>
      <c r="O43" s="19">
        <v>155396.1</v>
      </c>
    </row>
    <row r="44" spans="1:25" x14ac:dyDescent="0.2">
      <c r="A44" s="11" t="s">
        <v>16</v>
      </c>
      <c r="B44" s="13">
        <f>N16*1.3925</f>
        <v>0</v>
      </c>
      <c r="C44" s="13" t="e">
        <f>N15*1.286</f>
        <v>#VALUE!</v>
      </c>
      <c r="D44" s="13">
        <f>N18*1.3285</f>
        <v>2671.6134999999999</v>
      </c>
      <c r="E44" s="13">
        <f>N19*1.3286</f>
        <v>2673.1432</v>
      </c>
      <c r="F44" s="13">
        <f>N20*1.1103</f>
        <v>2235.0338999999999</v>
      </c>
      <c r="G44" s="13">
        <f>N21*1.107</f>
        <v>2229.498</v>
      </c>
      <c r="H44" s="13">
        <f>N22*1.13</f>
        <v>2276.9499999999998</v>
      </c>
      <c r="I44" s="13">
        <f>N23*1.1809</f>
        <v>2380.6944000000003</v>
      </c>
      <c r="J44" s="13">
        <f>N24*1.1193</f>
        <v>2257.6280999999999</v>
      </c>
      <c r="K44" s="13">
        <f>N25*1.1417</f>
        <v>2303.9505999999997</v>
      </c>
      <c r="N44" s="20" t="s">
        <v>40</v>
      </c>
      <c r="O44" s="20"/>
    </row>
    <row r="45" spans="1:25" x14ac:dyDescent="0.2">
      <c r="A45" s="11" t="s">
        <v>17</v>
      </c>
      <c r="B45">
        <v>7233.6822119103981</v>
      </c>
      <c r="C45">
        <v>7470.9302575509428</v>
      </c>
      <c r="D45">
        <v>7599.8606070647038</v>
      </c>
      <c r="E45">
        <v>7927.2378600010006</v>
      </c>
      <c r="F45">
        <v>8329.9491324296741</v>
      </c>
      <c r="G45">
        <v>8648.7978505336523</v>
      </c>
      <c r="H45">
        <v>8924.7493484468487</v>
      </c>
      <c r="I45">
        <v>9223.8902395276546</v>
      </c>
      <c r="J45">
        <v>9637.0041510350002</v>
      </c>
      <c r="K45">
        <v>10197.199327558254</v>
      </c>
    </row>
    <row r="46" spans="1:25" x14ac:dyDescent="0.2">
      <c r="A46" s="6" t="s">
        <v>23</v>
      </c>
    </row>
  </sheetData>
  <mergeCells count="18">
    <mergeCell ref="D1:E1"/>
    <mergeCell ref="D12:E12"/>
    <mergeCell ref="N44:O44"/>
    <mergeCell ref="P1:Q1"/>
    <mergeCell ref="P12:Q12"/>
    <mergeCell ref="A34:C34"/>
    <mergeCell ref="N15:O17"/>
    <mergeCell ref="N28:O28"/>
    <mergeCell ref="N31:O33"/>
    <mergeCell ref="A1:B1"/>
    <mergeCell ref="A15:C15"/>
    <mergeCell ref="A12:B12"/>
    <mergeCell ref="G1:H1"/>
    <mergeCell ref="G12:H12"/>
    <mergeCell ref="J1:K1"/>
    <mergeCell ref="J12:K12"/>
    <mergeCell ref="M1:N1"/>
    <mergeCell ref="M12:N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Hey</dc:creator>
  <cp:lastModifiedBy>Emily Hey</cp:lastModifiedBy>
  <dcterms:created xsi:type="dcterms:W3CDTF">2024-02-26T05:14:19Z</dcterms:created>
  <dcterms:modified xsi:type="dcterms:W3CDTF">2024-04-13T21:30:04Z</dcterms:modified>
</cp:coreProperties>
</file>