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7dc4c44d0f62b9/Desktop/Temp. Skul/3B/MTE 380 - Mechatronics Engineering Design Workshop/Project/Phase_3 - Detailed Design/"/>
    </mc:Choice>
  </mc:AlternateContent>
  <xr:revisionPtr revIDLastSave="473" documentId="8_{341459BA-B4F6-4F8A-8DE7-48CA0996D4DF}" xr6:coauthVersionLast="46" xr6:coauthVersionMax="46" xr10:uidLastSave="{D4755D91-C689-4872-BD4E-60DE4EB2826C}"/>
  <bookViews>
    <workbookView xWindow="0" yWindow="0" windowWidth="28800" windowHeight="15600" firstSheet="3" activeTab="5" xr2:uid="{3690ACDD-E228-44C7-8894-C24DA87B6A6A}"/>
  </bookViews>
  <sheets>
    <sheet name="0.75_mod_25_teeth" sheetId="1" r:id="rId1"/>
    <sheet name="0.75_mod_25_teeth (2)" sheetId="3" r:id="rId2"/>
    <sheet name="1_mod_100_teeth" sheetId="4" r:id="rId3"/>
    <sheet name="1_mod_25_teeth" sheetId="5" r:id="rId4"/>
    <sheet name="1_mod_25_teeth (2)" sheetId="6" r:id="rId5"/>
    <sheet name="1_mod_50_teeth" sheetId="7" r:id="rId6"/>
  </sheets>
  <definedNames>
    <definedName name="a1_" localSheetId="1">'0.75_mod_25_teeth (2)'!$B$36</definedName>
    <definedName name="a1_" localSheetId="2">'1_mod_100_teeth'!$B$39</definedName>
    <definedName name="a1_" localSheetId="3">'1_mod_25_teeth'!$B$39</definedName>
    <definedName name="a1_" localSheetId="4">'1_mod_25_teeth (2)'!$B$39</definedName>
    <definedName name="a1_" localSheetId="5">'1_mod_50_teeth'!$B$39</definedName>
    <definedName name="a1_">'0.75_mod_25_teeth'!$B$36</definedName>
    <definedName name="a2_" localSheetId="1">'0.75_mod_25_teeth (2)'!$B$37</definedName>
    <definedName name="a2_" localSheetId="2">'1_mod_100_teeth'!$B$40</definedName>
    <definedName name="a2_" localSheetId="3">'1_mod_25_teeth'!$B$40</definedName>
    <definedName name="a2_" localSheetId="4">'1_mod_25_teeth (2)'!$B$40</definedName>
    <definedName name="a2_" localSheetId="5">'1_mod_50_teeth'!$B$40</definedName>
    <definedName name="a2_">'0.75_mod_25_teeth'!$B$37</definedName>
    <definedName name="a3_" localSheetId="1">'0.75_mod_25_teeth (2)'!$B$38</definedName>
    <definedName name="a3_" localSheetId="2">'1_mod_100_teeth'!$B$41</definedName>
    <definedName name="a3_" localSheetId="3">'1_mod_25_teeth'!$B$41</definedName>
    <definedName name="a3_" localSheetId="4">'1_mod_25_teeth (2)'!$B$41</definedName>
    <definedName name="a3_" localSheetId="5">'1_mod_50_teeth'!$B$41</definedName>
    <definedName name="a3_">'0.75_mod_25_teeth'!$B$38</definedName>
    <definedName name="circ_pitch" localSheetId="1">'0.75_mod_25_teeth (2)'!$B$22</definedName>
    <definedName name="circ_pitch" localSheetId="2">'1_mod_100_teeth'!$B$25</definedName>
    <definedName name="circ_pitch" localSheetId="3">'1_mod_25_teeth'!$B$25</definedName>
    <definedName name="circ_pitch" localSheetId="4">'1_mod_25_teeth (2)'!$B$25</definedName>
    <definedName name="circ_pitch" localSheetId="5">'1_mod_50_teeth'!$B$25</definedName>
    <definedName name="circ_pitch">'0.75_mod_25_teeth'!$B$22</definedName>
    <definedName name="Dg" localSheetId="3">'1_mod_25_teeth'!$B$9</definedName>
    <definedName name="Dg" localSheetId="4">'1_mod_25_teeth (2)'!$B$9</definedName>
    <definedName name="Dg" localSheetId="5">'1_mod_50_teeth'!$B$9</definedName>
    <definedName name="Dg">'1_mod_100_teeth'!$B$9</definedName>
    <definedName name="Dg_m" localSheetId="3">'1_mod_25_teeth'!$B$21</definedName>
    <definedName name="Dg_m" localSheetId="4">'1_mod_25_teeth (2)'!$B$21</definedName>
    <definedName name="Dg_m" localSheetId="5">'1_mod_50_teeth'!$B$21</definedName>
    <definedName name="Dg_m">'1_mod_100_teeth'!$B$21</definedName>
    <definedName name="Dp" localSheetId="1">'0.75_mod_25_teeth (2)'!$B$8</definedName>
    <definedName name="Dp" localSheetId="2">'1_mod_100_teeth'!$B$8</definedName>
    <definedName name="Dp" localSheetId="3">'1_mod_25_teeth'!$B$8</definedName>
    <definedName name="Dp" localSheetId="4">'1_mod_25_teeth (2)'!$B$8</definedName>
    <definedName name="Dp" localSheetId="5">'1_mod_50_teeth'!$B$8</definedName>
    <definedName name="Dp">'0.75_mod_25_teeth'!$B$8</definedName>
    <definedName name="Dp_m" localSheetId="1">'0.75_mod_25_teeth (2)'!$B$18</definedName>
    <definedName name="Dp_m" localSheetId="2">'1_mod_100_teeth'!$B$20</definedName>
    <definedName name="Dp_m" localSheetId="3">'1_mod_25_teeth'!$B$20</definedName>
    <definedName name="Dp_m" localSheetId="4">'1_mod_25_teeth (2)'!$B$20</definedName>
    <definedName name="Dp_m" localSheetId="5">'1_mod_50_teeth'!$B$20</definedName>
    <definedName name="Dp_m">'0.75_mod_25_teeth'!$B$18</definedName>
    <definedName name="E" localSheetId="1">'0.75_mod_25_teeth (2)'!$B$16</definedName>
    <definedName name="E" localSheetId="2">'1_mod_100_teeth'!$B$18</definedName>
    <definedName name="E" localSheetId="3">'1_mod_25_teeth'!$B$18</definedName>
    <definedName name="E" localSheetId="4">'1_mod_25_teeth (2)'!$B$18</definedName>
    <definedName name="E" localSheetId="5">'1_mod_50_teeth'!$B$18</definedName>
    <definedName name="E">'0.75_mod_25_teeth'!$B$16</definedName>
    <definedName name="E_m" localSheetId="1">'0.75_mod_25_teeth (2)'!#REF!</definedName>
    <definedName name="E_m" localSheetId="2">'1_mod_100_teeth'!#REF!</definedName>
    <definedName name="E_m" localSheetId="3">'1_mod_25_teeth'!#REF!</definedName>
    <definedName name="E_m" localSheetId="4">'1_mod_25_teeth (2)'!#REF!</definedName>
    <definedName name="E_m" localSheetId="5">'1_mod_50_teeth'!#REF!</definedName>
    <definedName name="E_m">'0.75_mod_25_teeth'!#REF!</definedName>
    <definedName name="F" localSheetId="1">'0.75_mod_25_teeth (2)'!$B$4</definedName>
    <definedName name="F" localSheetId="2">'1_mod_100_teeth'!$B$4</definedName>
    <definedName name="F" localSheetId="3">'1_mod_25_teeth'!$B$4</definedName>
    <definedName name="F" localSheetId="4">'1_mod_25_teeth (2)'!$B$4</definedName>
    <definedName name="F" localSheetId="5">'1_mod_50_teeth'!$B$4</definedName>
    <definedName name="F">'0.75_mod_25_teeth'!$B$4</definedName>
    <definedName name="F_m" localSheetId="1">'0.75_mod_25_teeth (2)'!$B$23</definedName>
    <definedName name="F_m" localSheetId="2">'1_mod_100_teeth'!$B$26</definedName>
    <definedName name="F_m" localSheetId="3">'1_mod_25_teeth'!$B$26</definedName>
    <definedName name="F_m" localSheetId="4">'1_mod_25_teeth (2)'!$B$26</definedName>
    <definedName name="F_m" localSheetId="5">'1_mod_50_teeth'!$B$26</definedName>
    <definedName name="F_m">'0.75_mod_25_teeth'!$B$23</definedName>
    <definedName name="fw" localSheetId="1">'0.75_mod_25_teeth (2)'!$B$13</definedName>
    <definedName name="fw" localSheetId="2">'1_mod_100_teeth'!$B$14</definedName>
    <definedName name="fw" localSheetId="3">'1_mod_25_teeth'!$B$14</definedName>
    <definedName name="fw" localSheetId="4">'1_mod_25_teeth (2)'!$B$14</definedName>
    <definedName name="fw" localSheetId="5">'1_mod_50_teeth'!$B$14</definedName>
    <definedName name="fw">'0.75_mod_25_teeth'!$B$13</definedName>
    <definedName name="fw_m" localSheetId="1">'0.75_mod_25_teeth (2)'!$B$21</definedName>
    <definedName name="fw_m" localSheetId="2">'1_mod_100_teeth'!$B$24</definedName>
    <definedName name="fw_m" localSheetId="3">'1_mod_25_teeth'!$B$24</definedName>
    <definedName name="fw_m" localSheetId="4">'1_mod_25_teeth (2)'!$B$24</definedName>
    <definedName name="fw_m" localSheetId="5">'1_mod_50_teeth'!$B$24</definedName>
    <definedName name="fw_m">'0.75_mod_25_teeth'!$B$21</definedName>
    <definedName name="m" localSheetId="1">'0.75_mod_25_teeth (2)'!$B$12</definedName>
    <definedName name="m" localSheetId="2">'1_mod_100_teeth'!$B$13</definedName>
    <definedName name="m" localSheetId="3">'1_mod_25_teeth'!$B$13</definedName>
    <definedName name="m" localSheetId="4">'1_mod_25_teeth (2)'!$B$13</definedName>
    <definedName name="m" localSheetId="5">'1_mod_50_teeth'!$B$13</definedName>
    <definedName name="m">'0.75_mod_25_teeth'!$B$12</definedName>
    <definedName name="module" localSheetId="1">'0.75_mod_25_teeth (2)'!$B$20</definedName>
    <definedName name="module" localSheetId="2">'1_mod_100_teeth'!$B$23</definedName>
    <definedName name="module" localSheetId="3">'1_mod_25_teeth'!$B$23</definedName>
    <definedName name="module" localSheetId="4">'1_mod_25_teeth (2)'!$B$23</definedName>
    <definedName name="module" localSheetId="5">'1_mod_50_teeth'!$B$23</definedName>
    <definedName name="module">'0.75_mod_25_teeth'!$B$20</definedName>
    <definedName name="mu" localSheetId="1">'0.75_mod_25_teeth (2)'!$B$9</definedName>
    <definedName name="mu" localSheetId="2">'1_mod_100_teeth'!$B$10</definedName>
    <definedName name="mu" localSheetId="3">'1_mod_25_teeth'!$B$10</definedName>
    <definedName name="mu" localSheetId="4">'1_mod_25_teeth (2)'!$B$10</definedName>
    <definedName name="mu" localSheetId="5">'1_mod_50_teeth'!$B$10</definedName>
    <definedName name="mu">'0.75_mod_25_teeth'!$B$9</definedName>
    <definedName name="Ng" localSheetId="1">'0.75_mod_25_teeth (2)'!$B$2</definedName>
    <definedName name="Ng" localSheetId="2">'1_mod_100_teeth'!$B$2</definedName>
    <definedName name="Ng" localSheetId="3">'1_mod_25_teeth'!$B$2</definedName>
    <definedName name="Ng" localSheetId="4">'1_mod_25_teeth (2)'!$B$2</definedName>
    <definedName name="Ng" localSheetId="5">'1_mod_50_teeth'!$B$2</definedName>
    <definedName name="Ng">'0.75_mod_25_teeth'!$B$2</definedName>
    <definedName name="Np" localSheetId="1">'0.75_mod_25_teeth (2)'!$B$3</definedName>
    <definedName name="Np" localSheetId="2">'1_mod_100_teeth'!$B$3</definedName>
    <definedName name="Np" localSheetId="3">'1_mod_25_teeth'!$B$3</definedName>
    <definedName name="Np" localSheetId="4">'1_mod_25_teeth (2)'!$B$3</definedName>
    <definedName name="Np" localSheetId="5">'1_mod_50_teeth'!$B$3</definedName>
    <definedName name="Np">'0.75_mod_25_teeth'!$B$3</definedName>
    <definedName name="Pd" localSheetId="1">'0.75_mod_25_teeth (2)'!$B$5</definedName>
    <definedName name="Pd" localSheetId="2">'1_mod_100_teeth'!$B$5</definedName>
    <definedName name="Pd" localSheetId="3">'1_mod_25_teeth'!$B$5</definedName>
    <definedName name="Pd" localSheetId="4">'1_mod_25_teeth (2)'!$B$5</definedName>
    <definedName name="Pd" localSheetId="5">'1_mod_50_teeth'!$B$5</definedName>
    <definedName name="Pd">'0.75_mod_25_teeth'!$B$5</definedName>
    <definedName name="Pd_m" localSheetId="1">'0.75_mod_25_teeth (2)'!$B$17</definedName>
    <definedName name="Pd_m" localSheetId="2">'1_mod_100_teeth'!$B$19</definedName>
    <definedName name="Pd_m" localSheetId="3">'1_mod_25_teeth'!$B$19</definedName>
    <definedName name="Pd_m" localSheetId="4">'1_mod_25_teeth (2)'!$B$19</definedName>
    <definedName name="Pd_m" localSheetId="5">'1_mod_50_teeth'!$B$19</definedName>
    <definedName name="Pd_m">'0.75_mod_25_teeth'!$B$17</definedName>
    <definedName name="phi" localSheetId="1">'0.75_mod_25_teeth (2)'!$B$11</definedName>
    <definedName name="phi" localSheetId="2">'1_mod_100_teeth'!$B$12</definedName>
    <definedName name="phi" localSheetId="3">'1_mod_25_teeth'!$B$12</definedName>
    <definedName name="phi" localSheetId="4">'1_mod_25_teeth (2)'!$B$12</definedName>
    <definedName name="phi" localSheetId="5">'1_mod_50_teeth'!$B$12</definedName>
    <definedName name="phi">'0.75_mod_25_teeth'!$B$11</definedName>
    <definedName name="T" localSheetId="1">'0.75_mod_25_teeth (2)'!$B$24</definedName>
    <definedName name="T" localSheetId="2">'1_mod_100_teeth'!$B$27</definedName>
    <definedName name="T" localSheetId="3">'1_mod_25_teeth'!$B$27</definedName>
    <definedName name="T" localSheetId="4">'1_mod_25_teeth (2)'!$B$27</definedName>
    <definedName name="T" localSheetId="5">'1_mod_50_teeth'!$B$27</definedName>
    <definedName name="T">'0.75_mod_25_teeth'!$B$24</definedName>
    <definedName name="Wt" localSheetId="1">'0.75_mod_25_teeth (2)'!$B$7</definedName>
    <definedName name="Wt" localSheetId="2">'1_mod_100_teeth'!$B$7</definedName>
    <definedName name="Wt" localSheetId="3">'1_mod_25_teeth'!$B$7</definedName>
    <definedName name="Wt" localSheetId="4">'1_mod_25_teeth (2)'!$B$7</definedName>
    <definedName name="Wt" localSheetId="5">'1_mod_50_teeth'!$B$7</definedName>
    <definedName name="Wt">'0.75_mod_25_teeth'!$B$7</definedName>
    <definedName name="Wt_m" localSheetId="1">'0.75_mod_25_teeth (2)'!$B$19</definedName>
    <definedName name="Wt_m" localSheetId="2">'1_mod_100_teeth'!$B$22</definedName>
    <definedName name="Wt_m" localSheetId="3">'1_mod_25_teeth'!$B$22</definedName>
    <definedName name="Wt_m" localSheetId="4">'1_mod_25_teeth (2)'!$B$22</definedName>
    <definedName name="Wt_m" localSheetId="5">'1_mod_50_teeth'!$B$22</definedName>
    <definedName name="Wt_m">'0.75_mod_25_teeth'!$B$19</definedName>
    <definedName name="Y" localSheetId="1">'0.75_mod_25_teeth (2)'!$B$6</definedName>
    <definedName name="Y" localSheetId="2">'1_mod_100_teeth'!$B$6</definedName>
    <definedName name="Y" localSheetId="3">'1_mod_25_teeth'!$B$6</definedName>
    <definedName name="Y" localSheetId="4">'1_mod_25_teeth (2)'!$B$6</definedName>
    <definedName name="Y" localSheetId="5">'1_mod_50_teeth'!$B$6</definedName>
    <definedName name="Y">'0.75_mod_25_teeth'!$B$6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7" l="1"/>
  <c r="B22" i="7" s="1"/>
  <c r="B25" i="7" a="1"/>
  <c r="B25" i="7" s="1"/>
  <c r="B20" i="7"/>
  <c r="B8" i="7" s="1"/>
  <c r="B5" i="7" s="1"/>
  <c r="B19" i="7"/>
  <c r="B18" i="7"/>
  <c r="B14" i="7"/>
  <c r="B12" i="7"/>
  <c r="B11" i="7"/>
  <c r="B40" i="7" s="1"/>
  <c r="B13" i="7"/>
  <c r="B27" i="6"/>
  <c r="B2" i="6"/>
  <c r="B21" i="6" s="1"/>
  <c r="B9" i="6" s="1"/>
  <c r="B25" i="6" a="1"/>
  <c r="B25" i="6" s="1"/>
  <c r="B20" i="6"/>
  <c r="B19" i="6"/>
  <c r="B18" i="6"/>
  <c r="B14" i="6"/>
  <c r="B12" i="6"/>
  <c r="B11" i="6"/>
  <c r="B40" i="6" s="1"/>
  <c r="B8" i="6"/>
  <c r="B5" i="6"/>
  <c r="B2" i="5"/>
  <c r="B13" i="5" s="1"/>
  <c r="B27" i="5" s="1"/>
  <c r="B25" i="5" a="1"/>
  <c r="B25" i="5" s="1"/>
  <c r="B20" i="5"/>
  <c r="B18" i="5"/>
  <c r="B14" i="5"/>
  <c r="B12" i="5"/>
  <c r="B11" i="5"/>
  <c r="B40" i="5" s="1"/>
  <c r="B8" i="5"/>
  <c r="B5" i="5" s="1"/>
  <c r="B2" i="4"/>
  <c r="B13" i="4" s="1"/>
  <c r="B25" i="4" a="1"/>
  <c r="B25" i="4" s="1"/>
  <c r="B20" i="4"/>
  <c r="B18" i="4"/>
  <c r="B14" i="4"/>
  <c r="B12" i="4"/>
  <c r="B11" i="4"/>
  <c r="B40" i="4" s="1"/>
  <c r="B2" i="3"/>
  <c r="B12" i="3" s="1"/>
  <c r="B38" i="3" s="1"/>
  <c r="B22" i="3" a="1"/>
  <c r="B22" i="3" s="1"/>
  <c r="B18" i="3"/>
  <c r="B17" i="3" s="1"/>
  <c r="B16" i="3"/>
  <c r="B13" i="3"/>
  <c r="B11" i="3"/>
  <c r="B10" i="3"/>
  <c r="B37" i="3" s="1"/>
  <c r="B2" i="1"/>
  <c r="B12" i="1" s="1"/>
  <c r="B16" i="1"/>
  <c r="B10" i="1" s="1"/>
  <c r="B37" i="1" s="1"/>
  <c r="B11" i="1"/>
  <c r="B22" i="1" a="1"/>
  <c r="B22" i="1" s="1"/>
  <c r="B13" i="1" s="1"/>
  <c r="B18" i="1"/>
  <c r="B8" i="1" s="1"/>
  <c r="B5" i="1" s="1"/>
  <c r="B26" i="7" l="1"/>
  <c r="B4" i="7" s="1"/>
  <c r="B32" i="7" s="1" a="1"/>
  <c r="B32" i="7" s="1"/>
  <c r="B35" i="7" s="1"/>
  <c r="D35" i="7" s="1"/>
  <c r="B7" i="7"/>
  <c r="B39" i="7" s="1"/>
  <c r="B41" i="7"/>
  <c r="B21" i="7"/>
  <c r="B9" i="7" s="1"/>
  <c r="B13" i="6"/>
  <c r="B22" i="6" s="1"/>
  <c r="B26" i="6" s="1"/>
  <c r="B4" i="6" s="1"/>
  <c r="B32" i="6" s="1" a="1"/>
  <c r="B32" i="6" s="1"/>
  <c r="B35" i="6" s="1"/>
  <c r="D35" i="6" s="1"/>
  <c r="B22" i="5"/>
  <c r="B26" i="5" s="1"/>
  <c r="B4" i="5" s="1"/>
  <c r="B32" i="5" s="1" a="1"/>
  <c r="B32" i="5" s="1"/>
  <c r="B35" i="5" s="1"/>
  <c r="D35" i="5" s="1"/>
  <c r="B21" i="5"/>
  <c r="B9" i="5" s="1"/>
  <c r="B19" i="5"/>
  <c r="B41" i="5"/>
  <c r="B19" i="3"/>
  <c r="B23" i="3" s="1"/>
  <c r="B4" i="3" s="1"/>
  <c r="B8" i="3"/>
  <c r="B5" i="3" s="1"/>
  <c r="B19" i="4"/>
  <c r="B21" i="4"/>
  <c r="B41" i="4"/>
  <c r="B8" i="4"/>
  <c r="B5" i="4" s="1"/>
  <c r="B19" i="1"/>
  <c r="B23" i="1" s="1"/>
  <c r="B4" i="1" s="1"/>
  <c r="B29" i="1" s="1" a="1"/>
  <c r="B29" i="1" s="1"/>
  <c r="B32" i="1" s="1"/>
  <c r="D32" i="1" s="1"/>
  <c r="B38" i="1"/>
  <c r="B17" i="1"/>
  <c r="B33" i="7" l="1"/>
  <c r="B36" i="7" s="1"/>
  <c r="D36" i="7" s="1"/>
  <c r="B7" i="5"/>
  <c r="B7" i="3"/>
  <c r="B36" i="3" s="1"/>
  <c r="B30" i="3" s="1"/>
  <c r="B33" i="3" s="1"/>
  <c r="D33" i="3" s="1"/>
  <c r="B29" i="3" a="1"/>
  <c r="B29" i="3" s="1"/>
  <c r="B32" i="3" s="1"/>
  <c r="D32" i="3" s="1"/>
  <c r="B7" i="6"/>
  <c r="B39" i="6" s="1"/>
  <c r="B41" i="6"/>
  <c r="B9" i="4"/>
  <c r="B22" i="4"/>
  <c r="B39" i="5"/>
  <c r="B33" i="5" s="1"/>
  <c r="B36" i="5" s="1"/>
  <c r="D36" i="5" s="1"/>
  <c r="B7" i="1"/>
  <c r="B36" i="1" s="1"/>
  <c r="B33" i="6" l="1"/>
  <c r="B36" i="6" s="1"/>
  <c r="D36" i="6" s="1"/>
  <c r="B26" i="4"/>
  <c r="B4" i="4" s="1"/>
  <c r="B32" i="4" s="1" a="1"/>
  <c r="B32" i="4" s="1"/>
  <c r="B35" i="4" s="1"/>
  <c r="D35" i="4" s="1"/>
  <c r="B7" i="4"/>
  <c r="B39" i="4" s="1" a="1"/>
  <c r="B39" i="4" s="1"/>
  <c r="B33" i="4" s="1"/>
  <c r="B36" i="4" s="1"/>
  <c r="D36" i="4" s="1"/>
  <c r="B30" i="1"/>
  <c r="B33" i="1" l="1"/>
  <c r="D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<sst xmlns="http://schemas.openxmlformats.org/spreadsheetml/2006/main" count="486" uniqueCount="70">
  <si>
    <t>Value</t>
  </si>
  <si>
    <t>Description</t>
  </si>
  <si>
    <t>Variable</t>
  </si>
  <si>
    <t>F</t>
  </si>
  <si>
    <t>Pd</t>
  </si>
  <si>
    <t>Y</t>
  </si>
  <si>
    <t>Tangential tooth loading at pitch line</t>
  </si>
  <si>
    <t>Diametral pitch</t>
  </si>
  <si>
    <t>Lewis form factor for plastic gears, loaded at the pitch point</t>
  </si>
  <si>
    <t>Bending Stress, Sb</t>
  </si>
  <si>
    <t>Contact Stress, SH</t>
  </si>
  <si>
    <t>fw</t>
  </si>
  <si>
    <t>Wt</t>
  </si>
  <si>
    <t>Transmitted load</t>
  </si>
  <si>
    <t>Dp</t>
  </si>
  <si>
    <t>Pitch diameter, pinion</t>
  </si>
  <si>
    <t>mu</t>
  </si>
  <si>
    <t>Poisson's ratio</t>
  </si>
  <si>
    <t>E</t>
  </si>
  <si>
    <t>Modulus of Elasticity</t>
  </si>
  <si>
    <t>Pressure angle</t>
  </si>
  <si>
    <t>phi</t>
  </si>
  <si>
    <t>m</t>
  </si>
  <si>
    <t>Speed Ratio, Ng/Np</t>
  </si>
  <si>
    <t>Ng</t>
  </si>
  <si>
    <t>Np</t>
  </si>
  <si>
    <t>Number of teeth - gear</t>
  </si>
  <si>
    <t>Number of teeth - pinion</t>
  </si>
  <si>
    <t>Units</t>
  </si>
  <si>
    <t>Radians</t>
  </si>
  <si>
    <t>circ_pitch</t>
  </si>
  <si>
    <t>Circular pitch</t>
  </si>
  <si>
    <t>module</t>
  </si>
  <si>
    <t>Module</t>
  </si>
  <si>
    <t>Face width (recommended 3-5x circular pitch)</t>
  </si>
  <si>
    <t>mm</t>
  </si>
  <si>
    <t>/in</t>
  </si>
  <si>
    <t>Metric Variable</t>
  </si>
  <si>
    <t>E_m</t>
  </si>
  <si>
    <t>Modulus of Elasticity, metric</t>
  </si>
  <si>
    <t>/mm</t>
  </si>
  <si>
    <t>Pd_m</t>
  </si>
  <si>
    <t>in</t>
  </si>
  <si>
    <t>Dp_m</t>
  </si>
  <si>
    <t>Pitch diameter, pinion, metric</t>
  </si>
  <si>
    <t>Diametral pitch, metric</t>
  </si>
  <si>
    <t>Pa</t>
  </si>
  <si>
    <t>psi</t>
  </si>
  <si>
    <t>Wt_m</t>
  </si>
  <si>
    <t>Transmitted load, metric</t>
  </si>
  <si>
    <t>N</t>
  </si>
  <si>
    <t>lbf</t>
  </si>
  <si>
    <t>fw_m</t>
  </si>
  <si>
    <t>F_m</t>
  </si>
  <si>
    <t>Note: Cells highlighted in yellow are independent parameters/variables</t>
  </si>
  <si>
    <t>Tangential tooth loading at pitch line, metric</t>
  </si>
  <si>
    <t>Sb, metric</t>
  </si>
  <si>
    <t>SH, metric</t>
  </si>
  <si>
    <t>Transmitted torque</t>
  </si>
  <si>
    <t>T</t>
  </si>
  <si>
    <t>Nm</t>
  </si>
  <si>
    <t>Mpa</t>
  </si>
  <si>
    <t>a1</t>
  </si>
  <si>
    <t>a2</t>
  </si>
  <si>
    <t>a3</t>
  </si>
  <si>
    <t>Intermediate calculations for contact stress:</t>
  </si>
  <si>
    <t>Dg_m</t>
  </si>
  <si>
    <t>Pitch diameter, gear, metric</t>
  </si>
  <si>
    <t>Dg</t>
  </si>
  <si>
    <t>Pitch diameter,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</si>
</sst>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1</xdr:row>
      <xdr:rowOff>76200</xdr:rowOff>
    </xdr:from>
    <xdr:to>
      <xdr:col>14</xdr:col>
      <xdr:colOff>122934</xdr:colOff>
      <xdr:row>35</xdr:row>
      <xdr:rowOff>115457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EC5118-3F9C-4C28-B9B9-F41634374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0" y="266700"/>
          <a:ext cx="3123309" cy="65162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1</xdr:row>
      <xdr:rowOff>76200</xdr:rowOff>
    </xdr:from>
    <xdr:to>
      <xdr:col>14</xdr:col>
      <xdr:colOff>122934</xdr:colOff>
      <xdr:row>35</xdr:row>
      <xdr:rowOff>115457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FA502-F0B0-479D-933A-1ACFE58B8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266700"/>
          <a:ext cx="3123309" cy="65162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1</xdr:row>
      <xdr:rowOff>76200</xdr:rowOff>
    </xdr:from>
    <xdr:to>
      <xdr:col>14</xdr:col>
      <xdr:colOff>122934</xdr:colOff>
      <xdr:row>35</xdr:row>
      <xdr:rowOff>115457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90ECFD-E039-4C9A-8ADB-DCE031046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266700"/>
          <a:ext cx="3123309" cy="65162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1</xdr:row>
      <xdr:rowOff>76200</xdr:rowOff>
    </xdr:from>
    <xdr:to>
      <xdr:col>14</xdr:col>
      <xdr:colOff>122934</xdr:colOff>
      <xdr:row>35</xdr:row>
      <xdr:rowOff>115457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1CF759-DFCB-4413-99FD-E8B0535B3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266700"/>
          <a:ext cx="3123309" cy="65162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1</xdr:row>
      <xdr:rowOff>76200</xdr:rowOff>
    </xdr:from>
    <xdr:to>
      <xdr:col>14</xdr:col>
      <xdr:colOff>122934</xdr:colOff>
      <xdr:row>35</xdr:row>
      <xdr:rowOff>115457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1A76F3-4DB9-4650-A9C4-28C4424C4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266700"/>
          <a:ext cx="3123309" cy="65162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1</xdr:row>
      <xdr:rowOff>76200</xdr:rowOff>
    </xdr:from>
    <xdr:to>
      <xdr:col>14</xdr:col>
      <xdr:colOff>122934</xdr:colOff>
      <xdr:row>35</xdr:row>
      <xdr:rowOff>115457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5DF719-8BFC-48EE-A433-06B8ACA9B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266700"/>
          <a:ext cx="3123309" cy="6516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1B6E-B24E-4877-8F44-FAA6FC99717D}">
  <dimension ref="A1:J38"/>
  <sheetViews>
    <sheetView workbookViewId="0">
      <selection activeCell="B28" sqref="B28"/>
    </sheetView>
  </sheetViews>
  <sheetFormatPr defaultRowHeight="15" x14ac:dyDescent="0.25"/>
  <cols>
    <col min="1" max="1" width="18.7109375" customWidth="1"/>
    <col min="2" max="2" width="15.42578125" customWidth="1"/>
    <col min="3" max="3" width="12.140625" style="11" customWidth="1"/>
    <col min="4" max="4" width="15" customWidth="1"/>
  </cols>
  <sheetData>
    <row r="1" spans="1:10" x14ac:dyDescent="0.25">
      <c r="A1" s="1" t="s">
        <v>2</v>
      </c>
      <c r="B1" s="1" t="s">
        <v>0</v>
      </c>
      <c r="C1" s="10" t="s">
        <v>28</v>
      </c>
      <c r="D1" s="1" t="s">
        <v>1</v>
      </c>
      <c r="J1" t="s">
        <v>54</v>
      </c>
    </row>
    <row r="2" spans="1:10" x14ac:dyDescent="0.25">
      <c r="A2" s="2" t="s">
        <v>24</v>
      </c>
      <c r="B2" s="5">
        <f>Np*4</f>
        <v>100</v>
      </c>
      <c r="C2" s="3"/>
      <c r="D2" s="2" t="s">
        <v>26</v>
      </c>
    </row>
    <row r="3" spans="1:10" x14ac:dyDescent="0.25">
      <c r="A3" s="2" t="s">
        <v>25</v>
      </c>
      <c r="B3" s="5">
        <v>25</v>
      </c>
      <c r="C3" s="3"/>
      <c r="D3" s="2" t="s">
        <v>27</v>
      </c>
    </row>
    <row r="4" spans="1:10" x14ac:dyDescent="0.25">
      <c r="A4" t="s">
        <v>3</v>
      </c>
      <c r="B4" s="7">
        <f>F_m*0.224809</f>
        <v>4.7239864533333336</v>
      </c>
      <c r="C4" s="4" t="s">
        <v>51</v>
      </c>
      <c r="D4" t="s">
        <v>6</v>
      </c>
    </row>
    <row r="5" spans="1:10" x14ac:dyDescent="0.25">
      <c r="A5" t="s">
        <v>4</v>
      </c>
      <c r="B5">
        <f>Np/Dp</f>
        <v>33.866648378676544</v>
      </c>
      <c r="C5" s="4" t="s">
        <v>36</v>
      </c>
      <c r="D5" t="s">
        <v>7</v>
      </c>
    </row>
    <row r="6" spans="1:10" x14ac:dyDescent="0.25">
      <c r="A6" t="s">
        <v>5</v>
      </c>
      <c r="B6" s="6">
        <v>0.57899999999999996</v>
      </c>
      <c r="C6" s="4"/>
      <c r="D6" t="s">
        <v>8</v>
      </c>
    </row>
    <row r="7" spans="1:10" x14ac:dyDescent="0.25">
      <c r="A7" t="s">
        <v>12</v>
      </c>
      <c r="B7" s="7">
        <f>Wt_m*0.224809</f>
        <v>4.7239864533333336</v>
      </c>
      <c r="C7" s="4" t="s">
        <v>51</v>
      </c>
      <c r="D7" t="s">
        <v>13</v>
      </c>
    </row>
    <row r="8" spans="1:10" x14ac:dyDescent="0.25">
      <c r="A8" t="s">
        <v>14</v>
      </c>
      <c r="B8" s="7">
        <f>Dp_m*0.0393701</f>
        <v>0.73818937499999993</v>
      </c>
      <c r="C8" s="4" t="s">
        <v>42</v>
      </c>
      <c r="D8" t="s">
        <v>15</v>
      </c>
    </row>
    <row r="9" spans="1:10" x14ac:dyDescent="0.25">
      <c r="A9" t="s">
        <v>16</v>
      </c>
      <c r="B9">
        <v>0.32</v>
      </c>
      <c r="C9" s="4"/>
      <c r="D9" t="s">
        <v>17</v>
      </c>
    </row>
    <row r="10" spans="1:10" x14ac:dyDescent="0.25">
      <c r="A10" t="s">
        <v>18</v>
      </c>
      <c r="B10">
        <f>E/6894.76</f>
        <v>333586.66581577895</v>
      </c>
      <c r="C10" s="11" t="s">
        <v>47</v>
      </c>
      <c r="D10" t="s">
        <v>19</v>
      </c>
    </row>
    <row r="11" spans="1:10" x14ac:dyDescent="0.25">
      <c r="A11" t="s">
        <v>21</v>
      </c>
      <c r="B11">
        <f>RADIANS(20)</f>
        <v>0.3490658503988659</v>
      </c>
      <c r="C11" s="4" t="s">
        <v>29</v>
      </c>
      <c r="D11" t="s">
        <v>20</v>
      </c>
    </row>
    <row r="12" spans="1:10" x14ac:dyDescent="0.25">
      <c r="A12" t="s">
        <v>22</v>
      </c>
      <c r="B12">
        <f>Ng/Np</f>
        <v>4</v>
      </c>
      <c r="C12" s="4"/>
      <c r="D12" t="s">
        <v>23</v>
      </c>
    </row>
    <row r="13" spans="1:10" x14ac:dyDescent="0.25">
      <c r="A13" t="s">
        <v>11</v>
      </c>
      <c r="B13">
        <f>fw_m*0.0393701</f>
        <v>0.29527575</v>
      </c>
      <c r="C13" s="11" t="s">
        <v>42</v>
      </c>
    </row>
    <row r="14" spans="1:10" s="7" customFormat="1" x14ac:dyDescent="0.25">
      <c r="C14" s="12"/>
    </row>
    <row r="15" spans="1:10" s="7" customFormat="1" x14ac:dyDescent="0.25">
      <c r="A15" s="9" t="s">
        <v>37</v>
      </c>
      <c r="C15" s="12"/>
    </row>
    <row r="16" spans="1:10" s="7" customFormat="1" x14ac:dyDescent="0.25">
      <c r="A16" s="7" t="s">
        <v>38</v>
      </c>
      <c r="B16" s="7">
        <f>2.3*1000000000</f>
        <v>2300000000</v>
      </c>
      <c r="C16" s="4" t="s">
        <v>46</v>
      </c>
      <c r="D16" t="s">
        <v>39</v>
      </c>
    </row>
    <row r="17" spans="1:5" s="7" customFormat="1" x14ac:dyDescent="0.25">
      <c r="A17" t="s">
        <v>41</v>
      </c>
      <c r="B17">
        <f>Np/Dp_m</f>
        <v>1.3333333333333333</v>
      </c>
      <c r="C17" s="4" t="s">
        <v>40</v>
      </c>
      <c r="D17" t="s">
        <v>45</v>
      </c>
    </row>
    <row r="18" spans="1:5" s="7" customFormat="1" x14ac:dyDescent="0.25">
      <c r="A18" s="7" t="s">
        <v>43</v>
      </c>
      <c r="B18" s="7">
        <f>Np*module</f>
        <v>18.75</v>
      </c>
      <c r="C18" s="12" t="s">
        <v>35</v>
      </c>
      <c r="D18" t="s">
        <v>44</v>
      </c>
    </row>
    <row r="19" spans="1:5" s="7" customFormat="1" x14ac:dyDescent="0.25">
      <c r="A19" t="s">
        <v>48</v>
      </c>
      <c r="B19" s="7">
        <f>T/((Dp_m/1000)/2)</f>
        <v>21.013333333333335</v>
      </c>
      <c r="C19" s="12" t="s">
        <v>50</v>
      </c>
      <c r="D19" t="s">
        <v>49</v>
      </c>
    </row>
    <row r="20" spans="1:5" s="8" customFormat="1" x14ac:dyDescent="0.25">
      <c r="A20" t="s">
        <v>32</v>
      </c>
      <c r="B20" s="6">
        <v>0.75</v>
      </c>
      <c r="C20" s="11" t="s">
        <v>35</v>
      </c>
      <c r="D20" t="s">
        <v>33</v>
      </c>
    </row>
    <row r="21" spans="1:5" s="7" customFormat="1" x14ac:dyDescent="0.25">
      <c r="A21" t="s">
        <v>52</v>
      </c>
      <c r="B21" s="6">
        <v>7.5</v>
      </c>
      <c r="C21" s="4" t="s">
        <v>35</v>
      </c>
      <c r="D21" t="s">
        <v>34</v>
      </c>
    </row>
    <row r="22" spans="1:5" s="7" customFormat="1" x14ac:dyDescent="0.25">
      <c r="A22" t="s">
        <v>30</v>
      </c>
      <c r="B22" cm="1">
        <f t="array" ref="B22">PI()*module</f>
        <v>2.3561944901923448</v>
      </c>
      <c r="C22" s="11" t="s">
        <v>35</v>
      </c>
      <c r="D22" t="s">
        <v>31</v>
      </c>
    </row>
    <row r="23" spans="1:5" x14ac:dyDescent="0.25">
      <c r="A23" t="s">
        <v>53</v>
      </c>
      <c r="B23" s="7">
        <f>Wt_m</f>
        <v>21.013333333333335</v>
      </c>
      <c r="C23" s="11" t="s">
        <v>50</v>
      </c>
      <c r="D23" t="s">
        <v>55</v>
      </c>
    </row>
    <row r="24" spans="1:5" x14ac:dyDescent="0.25">
      <c r="A24" t="s">
        <v>59</v>
      </c>
      <c r="B24" s="6">
        <v>0.19700000000000001</v>
      </c>
      <c r="C24" s="11" t="s">
        <v>60</v>
      </c>
      <c r="D24" t="s">
        <v>58</v>
      </c>
    </row>
    <row r="25" spans="1:5" x14ac:dyDescent="0.25">
      <c r="B25" s="7"/>
    </row>
    <row r="26" spans="1:5" x14ac:dyDescent="0.25">
      <c r="B26" s="7"/>
    </row>
    <row r="27" spans="1:5" x14ac:dyDescent="0.25">
      <c r="B27" s="7"/>
    </row>
    <row r="29" spans="1:5" x14ac:dyDescent="0.25">
      <c r="A29" s="1" t="s">
        <v>9</v>
      </c>
      <c r="B29" cm="1">
        <f t="array" ref="B29">(F*Pd)/(fw*Y)</f>
        <v>935.78163383302444</v>
      </c>
      <c r="C29" s="11" t="s">
        <v>47</v>
      </c>
    </row>
    <row r="30" spans="1:5" x14ac:dyDescent="0.25">
      <c r="A30" s="1" t="s">
        <v>10</v>
      </c>
      <c r="B30" s="2">
        <f>SQRT(a1_*a2_*a3_)</f>
        <v>3157.772040629</v>
      </c>
      <c r="C30" s="13" t="s">
        <v>47</v>
      </c>
    </row>
    <row r="32" spans="1:5" x14ac:dyDescent="0.25">
      <c r="A32" s="1" t="s">
        <v>56</v>
      </c>
      <c r="B32">
        <f>B29*6894.76</f>
        <v>6451989.7776865838</v>
      </c>
      <c r="C32" s="11" t="s">
        <v>46</v>
      </c>
      <c r="D32">
        <f>B32/1000000</f>
        <v>6.4519897776865838</v>
      </c>
      <c r="E32" t="s">
        <v>61</v>
      </c>
    </row>
    <row r="33" spans="1:5" x14ac:dyDescent="0.25">
      <c r="A33" s="1" t="s">
        <v>57</v>
      </c>
      <c r="B33">
        <f>B30*6894.76</f>
        <v>21772080.354847204</v>
      </c>
      <c r="C33" s="11" t="s">
        <v>46</v>
      </c>
      <c r="D33">
        <f>B33/1000000</f>
        <v>21.772080354847205</v>
      </c>
      <c r="E33" t="s">
        <v>61</v>
      </c>
    </row>
    <row r="34" spans="1:5" x14ac:dyDescent="0.25">
      <c r="A34" s="1"/>
    </row>
    <row r="35" spans="1:5" x14ac:dyDescent="0.25">
      <c r="A35" s="1" t="s">
        <v>65</v>
      </c>
    </row>
    <row r="36" spans="1:5" x14ac:dyDescent="0.25">
      <c r="A36" s="2" t="s">
        <v>62</v>
      </c>
      <c r="B36">
        <f>(Wt/(fw*Dp))</f>
        <v>21.672702639572847</v>
      </c>
    </row>
    <row r="37" spans="1:5" x14ac:dyDescent="0.25">
      <c r="A37" s="2" t="s">
        <v>63</v>
      </c>
      <c r="B37">
        <f>1/(PI()*(2*((1-mu^2)/B10)))</f>
        <v>59148.804382938288</v>
      </c>
    </row>
    <row r="38" spans="1:5" x14ac:dyDescent="0.25">
      <c r="A38" s="2" t="s">
        <v>64</v>
      </c>
      <c r="B38">
        <f>1/((COS(phi)*SIN(phi)/2)*(m/(m+1)))</f>
        <v>7.778619134302061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C497-823B-476D-AEFF-E9A3C7CFB279}">
  <dimension ref="A1:J38"/>
  <sheetViews>
    <sheetView workbookViewId="0">
      <selection activeCell="B25" sqref="B25"/>
    </sheetView>
  </sheetViews>
  <sheetFormatPr defaultRowHeight="15" x14ac:dyDescent="0.25"/>
  <cols>
    <col min="1" max="1" width="18.7109375" customWidth="1"/>
    <col min="2" max="2" width="15.42578125" customWidth="1"/>
    <col min="3" max="3" width="12.140625" style="11" customWidth="1"/>
    <col min="4" max="4" width="15" customWidth="1"/>
  </cols>
  <sheetData>
    <row r="1" spans="1:10" x14ac:dyDescent="0.25">
      <c r="A1" s="1" t="s">
        <v>2</v>
      </c>
      <c r="B1" s="1" t="s">
        <v>0</v>
      </c>
      <c r="C1" s="10" t="s">
        <v>28</v>
      </c>
      <c r="D1" s="1" t="s">
        <v>1</v>
      </c>
      <c r="J1" t="s">
        <v>54</v>
      </c>
    </row>
    <row r="2" spans="1:10" x14ac:dyDescent="0.25">
      <c r="A2" s="2" t="s">
        <v>24</v>
      </c>
      <c r="B2" s="5">
        <f>Np</f>
        <v>25</v>
      </c>
      <c r="C2" s="3"/>
      <c r="D2" s="2" t="s">
        <v>26</v>
      </c>
    </row>
    <row r="3" spans="1:10" x14ac:dyDescent="0.25">
      <c r="A3" s="2" t="s">
        <v>25</v>
      </c>
      <c r="B3" s="5">
        <v>25</v>
      </c>
      <c r="C3" s="3"/>
      <c r="D3" s="2" t="s">
        <v>27</v>
      </c>
    </row>
    <row r="4" spans="1:10" x14ac:dyDescent="0.25">
      <c r="A4" t="s">
        <v>3</v>
      </c>
      <c r="B4" s="7">
        <f>F_m*0.224809</f>
        <v>4.7239864533333336</v>
      </c>
      <c r="C4" s="4" t="s">
        <v>51</v>
      </c>
      <c r="D4" t="s">
        <v>6</v>
      </c>
    </row>
    <row r="5" spans="1:10" x14ac:dyDescent="0.25">
      <c r="A5" t="s">
        <v>4</v>
      </c>
      <c r="B5">
        <f>Np/Dp</f>
        <v>33.866648378676544</v>
      </c>
      <c r="C5" s="4" t="s">
        <v>36</v>
      </c>
      <c r="D5" t="s">
        <v>7</v>
      </c>
    </row>
    <row r="6" spans="1:10" x14ac:dyDescent="0.25">
      <c r="A6" t="s">
        <v>5</v>
      </c>
      <c r="B6" s="6">
        <v>0.57899999999999996</v>
      </c>
      <c r="C6" s="4"/>
      <c r="D6" t="s">
        <v>8</v>
      </c>
    </row>
    <row r="7" spans="1:10" x14ac:dyDescent="0.25">
      <c r="A7" t="s">
        <v>12</v>
      </c>
      <c r="B7" s="7">
        <f>Wt_m*0.224809</f>
        <v>4.7239864533333336</v>
      </c>
      <c r="C7" s="4" t="s">
        <v>51</v>
      </c>
      <c r="D7" t="s">
        <v>13</v>
      </c>
    </row>
    <row r="8" spans="1:10" x14ac:dyDescent="0.25">
      <c r="A8" t="s">
        <v>14</v>
      </c>
      <c r="B8" s="7">
        <f>Dp_m*0.0393701</f>
        <v>0.73818937499999993</v>
      </c>
      <c r="C8" s="4" t="s">
        <v>42</v>
      </c>
      <c r="D8" t="s">
        <v>15</v>
      </c>
    </row>
    <row r="9" spans="1:10" x14ac:dyDescent="0.25">
      <c r="A9" t="s">
        <v>16</v>
      </c>
      <c r="B9">
        <v>0.32</v>
      </c>
      <c r="C9" s="4"/>
      <c r="D9" t="s">
        <v>17</v>
      </c>
    </row>
    <row r="10" spans="1:10" x14ac:dyDescent="0.25">
      <c r="A10" t="s">
        <v>18</v>
      </c>
      <c r="B10">
        <f>E/6894.76</f>
        <v>333586.66581577895</v>
      </c>
      <c r="C10" s="11" t="s">
        <v>47</v>
      </c>
      <c r="D10" t="s">
        <v>19</v>
      </c>
    </row>
    <row r="11" spans="1:10" x14ac:dyDescent="0.25">
      <c r="A11" t="s">
        <v>21</v>
      </c>
      <c r="B11">
        <f>RADIANS(20)</f>
        <v>0.3490658503988659</v>
      </c>
      <c r="C11" s="4" t="s">
        <v>29</v>
      </c>
      <c r="D11" t="s">
        <v>20</v>
      </c>
    </row>
    <row r="12" spans="1:10" x14ac:dyDescent="0.25">
      <c r="A12" t="s">
        <v>22</v>
      </c>
      <c r="B12">
        <f>Ng/Np</f>
        <v>1</v>
      </c>
      <c r="C12" s="4"/>
      <c r="D12" t="s">
        <v>23</v>
      </c>
    </row>
    <row r="13" spans="1:10" x14ac:dyDescent="0.25">
      <c r="A13" t="s">
        <v>11</v>
      </c>
      <c r="B13">
        <f>fw_m*0.0393701</f>
        <v>0.29527575</v>
      </c>
      <c r="C13" s="11" t="s">
        <v>42</v>
      </c>
    </row>
    <row r="14" spans="1:10" s="7" customFormat="1" x14ac:dyDescent="0.25">
      <c r="C14" s="12"/>
    </row>
    <row r="15" spans="1:10" s="7" customFormat="1" x14ac:dyDescent="0.25">
      <c r="A15" s="9" t="s">
        <v>37</v>
      </c>
      <c r="C15" s="12"/>
    </row>
    <row r="16" spans="1:10" s="7" customFormat="1" x14ac:dyDescent="0.25">
      <c r="A16" s="7" t="s">
        <v>38</v>
      </c>
      <c r="B16" s="7">
        <f>2.3*1000000000</f>
        <v>2300000000</v>
      </c>
      <c r="C16" s="4" t="s">
        <v>46</v>
      </c>
      <c r="D16" t="s">
        <v>39</v>
      </c>
    </row>
    <row r="17" spans="1:5" s="7" customFormat="1" x14ac:dyDescent="0.25">
      <c r="A17" t="s">
        <v>41</v>
      </c>
      <c r="B17">
        <f>Np/Dp_m</f>
        <v>1.3333333333333333</v>
      </c>
      <c r="C17" s="4" t="s">
        <v>40</v>
      </c>
      <c r="D17" t="s">
        <v>45</v>
      </c>
    </row>
    <row r="18" spans="1:5" s="7" customFormat="1" x14ac:dyDescent="0.25">
      <c r="A18" s="7" t="s">
        <v>43</v>
      </c>
      <c r="B18" s="7">
        <f>Np*module</f>
        <v>18.75</v>
      </c>
      <c r="C18" s="12" t="s">
        <v>35</v>
      </c>
      <c r="D18" t="s">
        <v>44</v>
      </c>
    </row>
    <row r="19" spans="1:5" s="7" customFormat="1" x14ac:dyDescent="0.25">
      <c r="A19" t="s">
        <v>48</v>
      </c>
      <c r="B19" s="7">
        <f>T/((Dp_m/1000)/2)</f>
        <v>21.013333333333335</v>
      </c>
      <c r="C19" s="12" t="s">
        <v>50</v>
      </c>
      <c r="D19" t="s">
        <v>49</v>
      </c>
    </row>
    <row r="20" spans="1:5" s="8" customFormat="1" x14ac:dyDescent="0.25">
      <c r="A20" t="s">
        <v>32</v>
      </c>
      <c r="B20" s="6">
        <v>0.75</v>
      </c>
      <c r="C20" s="11" t="s">
        <v>35</v>
      </c>
      <c r="D20" t="s">
        <v>33</v>
      </c>
    </row>
    <row r="21" spans="1:5" s="7" customFormat="1" x14ac:dyDescent="0.25">
      <c r="A21" t="s">
        <v>52</v>
      </c>
      <c r="B21" s="6">
        <v>7.5</v>
      </c>
      <c r="C21" s="4" t="s">
        <v>35</v>
      </c>
      <c r="D21" t="s">
        <v>34</v>
      </c>
    </row>
    <row r="22" spans="1:5" s="7" customFormat="1" x14ac:dyDescent="0.25">
      <c r="A22" t="s">
        <v>30</v>
      </c>
      <c r="B22" cm="1">
        <f t="array" ref="B22">PI()*module</f>
        <v>2.3561944901923448</v>
      </c>
      <c r="C22" s="11" t="s">
        <v>35</v>
      </c>
      <c r="D22" t="s">
        <v>31</v>
      </c>
    </row>
    <row r="23" spans="1:5" x14ac:dyDescent="0.25">
      <c r="A23" t="s">
        <v>53</v>
      </c>
      <c r="B23" s="7">
        <f>Wt_m</f>
        <v>21.013333333333335</v>
      </c>
      <c r="C23" s="11" t="s">
        <v>50</v>
      </c>
      <c r="D23" t="s">
        <v>55</v>
      </c>
    </row>
    <row r="24" spans="1:5" x14ac:dyDescent="0.25">
      <c r="A24" t="s">
        <v>59</v>
      </c>
      <c r="B24" s="6">
        <v>0.19700000000000001</v>
      </c>
      <c r="C24" s="11" t="s">
        <v>60</v>
      </c>
      <c r="D24" t="s">
        <v>58</v>
      </c>
    </row>
    <row r="25" spans="1:5" x14ac:dyDescent="0.25">
      <c r="B25" s="7"/>
    </row>
    <row r="26" spans="1:5" x14ac:dyDescent="0.25">
      <c r="B26" s="7"/>
    </row>
    <row r="27" spans="1:5" x14ac:dyDescent="0.25">
      <c r="B27" s="7"/>
    </row>
    <row r="29" spans="1:5" x14ac:dyDescent="0.25">
      <c r="A29" s="1" t="s">
        <v>9</v>
      </c>
      <c r="B29" cm="1">
        <f t="array" ref="B29">(F*Pd)/(fw*Y)</f>
        <v>935.78163383302444</v>
      </c>
      <c r="C29" s="11" t="s">
        <v>47</v>
      </c>
    </row>
    <row r="30" spans="1:5" x14ac:dyDescent="0.25">
      <c r="A30" s="1" t="s">
        <v>10</v>
      </c>
      <c r="B30" s="2">
        <f>SQRT(a1_*a2_*a3_)</f>
        <v>3994.300791994161</v>
      </c>
      <c r="C30" s="13" t="s">
        <v>47</v>
      </c>
    </row>
    <row r="32" spans="1:5" x14ac:dyDescent="0.25">
      <c r="A32" s="1" t="s">
        <v>56</v>
      </c>
      <c r="B32">
        <f>B29*6894.76</f>
        <v>6451989.7776865838</v>
      </c>
      <c r="C32" s="11" t="s">
        <v>46</v>
      </c>
      <c r="D32">
        <f>B32/1000000</f>
        <v>6.4519897776865838</v>
      </c>
      <c r="E32" t="s">
        <v>61</v>
      </c>
    </row>
    <row r="33" spans="1:5" x14ac:dyDescent="0.25">
      <c r="A33" s="1" t="s">
        <v>57</v>
      </c>
      <c r="B33">
        <f>B30*6894.76</f>
        <v>27539745.328609664</v>
      </c>
      <c r="C33" s="11" t="s">
        <v>46</v>
      </c>
      <c r="D33">
        <f>B33/1000000</f>
        <v>27.539745328609666</v>
      </c>
      <c r="E33" t="s">
        <v>61</v>
      </c>
    </row>
    <row r="34" spans="1:5" x14ac:dyDescent="0.25">
      <c r="A34" s="1"/>
    </row>
    <row r="35" spans="1:5" x14ac:dyDescent="0.25">
      <c r="A35" s="1" t="s">
        <v>65</v>
      </c>
    </row>
    <row r="36" spans="1:5" x14ac:dyDescent="0.25">
      <c r="A36" s="2" t="s">
        <v>62</v>
      </c>
      <c r="B36">
        <f>(Wt/(fw*Dp))</f>
        <v>21.672702639572847</v>
      </c>
    </row>
    <row r="37" spans="1:5" x14ac:dyDescent="0.25">
      <c r="A37" s="2" t="s">
        <v>63</v>
      </c>
      <c r="B37">
        <f>1/(PI()*(2*((1-mu^2)/B10)))</f>
        <v>59148.804382938288</v>
      </c>
    </row>
    <row r="38" spans="1:5" x14ac:dyDescent="0.25">
      <c r="A38" s="2" t="s">
        <v>64</v>
      </c>
      <c r="B38">
        <f>1/((COS(phi)*SIN(phi)/2)*(m/(m+1)))</f>
        <v>12.445790614883299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8473-8C66-466E-8253-CCAF9D8F0BF7}">
  <dimension ref="A1:J41"/>
  <sheetViews>
    <sheetView workbookViewId="0">
      <selection activeCell="B26" sqref="B26"/>
    </sheetView>
  </sheetViews>
  <sheetFormatPr defaultRowHeight="15" x14ac:dyDescent="0.25"/>
  <cols>
    <col min="1" max="1" width="18.7109375" customWidth="1"/>
    <col min="2" max="2" width="15.42578125" customWidth="1"/>
    <col min="3" max="3" width="12.140625" style="11" customWidth="1"/>
    <col min="4" max="4" width="15" customWidth="1"/>
  </cols>
  <sheetData>
    <row r="1" spans="1:10" x14ac:dyDescent="0.25">
      <c r="A1" s="1" t="s">
        <v>2</v>
      </c>
      <c r="B1" s="1" t="s">
        <v>0</v>
      </c>
      <c r="C1" s="10" t="s">
        <v>28</v>
      </c>
      <c r="D1" s="1" t="s">
        <v>1</v>
      </c>
      <c r="J1" t="s">
        <v>54</v>
      </c>
    </row>
    <row r="2" spans="1:10" x14ac:dyDescent="0.25">
      <c r="A2" s="2" t="s">
        <v>24</v>
      </c>
      <c r="B2" s="5">
        <f>Np*4</f>
        <v>100</v>
      </c>
      <c r="C2" s="3"/>
      <c r="D2" s="2" t="s">
        <v>26</v>
      </c>
    </row>
    <row r="3" spans="1:10" x14ac:dyDescent="0.25">
      <c r="A3" s="2" t="s">
        <v>25</v>
      </c>
      <c r="B3" s="5">
        <v>25</v>
      </c>
      <c r="C3" s="3"/>
      <c r="D3" s="2" t="s">
        <v>27</v>
      </c>
    </row>
    <row r="4" spans="1:10" x14ac:dyDescent="0.25">
      <c r="A4" t="s">
        <v>3</v>
      </c>
      <c r="B4" s="7">
        <f>F_m*0.224809</f>
        <v>2.7915432766000001</v>
      </c>
      <c r="C4" s="4" t="s">
        <v>51</v>
      </c>
      <c r="D4" t="s">
        <v>6</v>
      </c>
    </row>
    <row r="5" spans="1:10" x14ac:dyDescent="0.25">
      <c r="A5" t="s">
        <v>4</v>
      </c>
      <c r="B5">
        <f>Np/Dp</f>
        <v>25.399986284007408</v>
      </c>
      <c r="C5" s="4" t="s">
        <v>36</v>
      </c>
      <c r="D5" t="s">
        <v>7</v>
      </c>
    </row>
    <row r="6" spans="1:10" x14ac:dyDescent="0.25">
      <c r="A6" t="s">
        <v>5</v>
      </c>
      <c r="B6" s="6">
        <v>0.75800000000000001</v>
      </c>
      <c r="C6" s="4"/>
      <c r="D6" t="s">
        <v>8</v>
      </c>
    </row>
    <row r="7" spans="1:10" x14ac:dyDescent="0.25">
      <c r="A7" t="s">
        <v>12</v>
      </c>
      <c r="B7" s="7">
        <f>Wt_m*0.224809</f>
        <v>2.7915432766000001</v>
      </c>
      <c r="C7" s="4" t="s">
        <v>51</v>
      </c>
      <c r="D7" t="s">
        <v>13</v>
      </c>
    </row>
    <row r="8" spans="1:10" x14ac:dyDescent="0.25">
      <c r="A8" t="s">
        <v>14</v>
      </c>
      <c r="B8" s="7">
        <f>Dp_m*0.0393701</f>
        <v>0.98425249999999997</v>
      </c>
      <c r="C8" s="4" t="s">
        <v>42</v>
      </c>
      <c r="D8" t="s">
        <v>15</v>
      </c>
    </row>
    <row r="9" spans="1:10" x14ac:dyDescent="0.25">
      <c r="A9" t="s">
        <v>68</v>
      </c>
      <c r="B9" s="7">
        <f>Dg_m*0.0393701</f>
        <v>3.9370099999999999</v>
      </c>
      <c r="C9" s="4" t="s">
        <v>42</v>
      </c>
      <c r="D9" t="s">
        <v>69</v>
      </c>
    </row>
    <row r="10" spans="1:10" x14ac:dyDescent="0.25">
      <c r="A10" t="s">
        <v>16</v>
      </c>
      <c r="B10">
        <v>0.32</v>
      </c>
      <c r="C10" s="4"/>
      <c r="D10" t="s">
        <v>17</v>
      </c>
    </row>
    <row r="11" spans="1:10" x14ac:dyDescent="0.25">
      <c r="A11" t="s">
        <v>18</v>
      </c>
      <c r="B11">
        <f>E/6894.76</f>
        <v>333586.66581577895</v>
      </c>
      <c r="C11" s="11" t="s">
        <v>47</v>
      </c>
      <c r="D11" t="s">
        <v>19</v>
      </c>
    </row>
    <row r="12" spans="1:10" x14ac:dyDescent="0.25">
      <c r="A12" t="s">
        <v>21</v>
      </c>
      <c r="B12">
        <f>RADIANS(20)</f>
        <v>0.3490658503988659</v>
      </c>
      <c r="C12" s="4" t="s">
        <v>29</v>
      </c>
      <c r="D12" t="s">
        <v>20</v>
      </c>
    </row>
    <row r="13" spans="1:10" x14ac:dyDescent="0.25">
      <c r="A13" t="s">
        <v>22</v>
      </c>
      <c r="B13">
        <f>Ng/Np</f>
        <v>4</v>
      </c>
      <c r="C13" s="4"/>
      <c r="D13" t="s">
        <v>23</v>
      </c>
    </row>
    <row r="14" spans="1:10" x14ac:dyDescent="0.25">
      <c r="A14" t="s">
        <v>11</v>
      </c>
      <c r="B14">
        <f>fw_m*0.0393701</f>
        <v>0.39370099999999997</v>
      </c>
      <c r="C14" s="11" t="s">
        <v>42</v>
      </c>
    </row>
    <row r="16" spans="1:10" s="7" customFormat="1" x14ac:dyDescent="0.25">
      <c r="C16" s="12"/>
    </row>
    <row r="17" spans="1:4" s="7" customFormat="1" x14ac:dyDescent="0.25">
      <c r="A17" s="9" t="s">
        <v>37</v>
      </c>
      <c r="C17" s="12"/>
    </row>
    <row r="18" spans="1:4" s="7" customFormat="1" x14ac:dyDescent="0.25">
      <c r="A18" s="7" t="s">
        <v>38</v>
      </c>
      <c r="B18" s="7">
        <f>2.3*1000000000</f>
        <v>2300000000</v>
      </c>
      <c r="C18" s="4" t="s">
        <v>46</v>
      </c>
      <c r="D18" t="s">
        <v>39</v>
      </c>
    </row>
    <row r="19" spans="1:4" s="7" customFormat="1" x14ac:dyDescent="0.25">
      <c r="A19" t="s">
        <v>41</v>
      </c>
      <c r="B19">
        <f>Np/Dp_m</f>
        <v>1</v>
      </c>
      <c r="C19" s="4" t="s">
        <v>40</v>
      </c>
      <c r="D19" t="s">
        <v>45</v>
      </c>
    </row>
    <row r="20" spans="1:4" s="7" customFormat="1" x14ac:dyDescent="0.25">
      <c r="A20" s="7" t="s">
        <v>43</v>
      </c>
      <c r="B20" s="7">
        <f>Np*module</f>
        <v>25</v>
      </c>
      <c r="C20" s="12" t="s">
        <v>35</v>
      </c>
      <c r="D20" t="s">
        <v>44</v>
      </c>
    </row>
    <row r="21" spans="1:4" s="7" customFormat="1" x14ac:dyDescent="0.25">
      <c r="A21" s="7" t="s">
        <v>66</v>
      </c>
      <c r="B21" s="7">
        <f>Ng*module</f>
        <v>100</v>
      </c>
      <c r="C21" s="12" t="s">
        <v>35</v>
      </c>
      <c r="D21" t="s">
        <v>67</v>
      </c>
    </row>
    <row r="22" spans="1:4" s="7" customFormat="1" x14ac:dyDescent="0.25">
      <c r="A22" t="s">
        <v>48</v>
      </c>
      <c r="B22" s="7">
        <f>T/((Dg_m/1000)/2)</f>
        <v>12.417400000000001</v>
      </c>
      <c r="C22" s="12" t="s">
        <v>50</v>
      </c>
      <c r="D22" t="s">
        <v>49</v>
      </c>
    </row>
    <row r="23" spans="1:4" s="8" customFormat="1" x14ac:dyDescent="0.25">
      <c r="A23" t="s">
        <v>32</v>
      </c>
      <c r="B23" s="6">
        <v>1</v>
      </c>
      <c r="C23" s="11" t="s">
        <v>35</v>
      </c>
      <c r="D23" t="s">
        <v>33</v>
      </c>
    </row>
    <row r="24" spans="1:4" s="7" customFormat="1" x14ac:dyDescent="0.25">
      <c r="A24" t="s">
        <v>52</v>
      </c>
      <c r="B24" s="6">
        <v>10</v>
      </c>
      <c r="C24" s="4" t="s">
        <v>35</v>
      </c>
      <c r="D24" t="s">
        <v>34</v>
      </c>
    </row>
    <row r="25" spans="1:4" s="7" customFormat="1" x14ac:dyDescent="0.25">
      <c r="A25" t="s">
        <v>30</v>
      </c>
      <c r="B25" cm="1">
        <f t="array" ref="B25">PI()*module</f>
        <v>3.1415926535897931</v>
      </c>
      <c r="C25" s="11" t="s">
        <v>35</v>
      </c>
      <c r="D25" t="s">
        <v>31</v>
      </c>
    </row>
    <row r="26" spans="1:4" x14ac:dyDescent="0.25">
      <c r="A26" t="s">
        <v>53</v>
      </c>
      <c r="B26" s="7">
        <f>Wt_m</f>
        <v>12.417400000000001</v>
      </c>
      <c r="C26" s="11" t="s">
        <v>50</v>
      </c>
      <c r="D26" t="s">
        <v>55</v>
      </c>
    </row>
    <row r="27" spans="1:4" x14ac:dyDescent="0.25">
      <c r="A27" t="s">
        <v>59</v>
      </c>
      <c r="B27" s="6">
        <v>0.62087000000000003</v>
      </c>
      <c r="C27" s="11" t="s">
        <v>60</v>
      </c>
      <c r="D27" t="s">
        <v>58</v>
      </c>
    </row>
    <row r="28" spans="1:4" x14ac:dyDescent="0.25">
      <c r="B28" s="7"/>
    </row>
    <row r="29" spans="1:4" x14ac:dyDescent="0.25">
      <c r="B29" s="7"/>
    </row>
    <row r="30" spans="1:4" x14ac:dyDescent="0.25">
      <c r="B30" s="7"/>
    </row>
    <row r="32" spans="1:4" x14ac:dyDescent="0.25">
      <c r="A32" s="1" t="s">
        <v>9</v>
      </c>
      <c r="B32" cm="1">
        <f t="array" ref="B32">(F*Pd)/(fw*Y)</f>
        <v>237.59764053580565</v>
      </c>
      <c r="C32" s="11" t="s">
        <v>47</v>
      </c>
    </row>
    <row r="33" spans="1:5" x14ac:dyDescent="0.25">
      <c r="A33" s="1" t="s">
        <v>10</v>
      </c>
      <c r="B33" s="2">
        <f>SQRT(a1_*a2_*a3_)</f>
        <v>910.29027616042765</v>
      </c>
      <c r="C33" s="13" t="s">
        <v>47</v>
      </c>
    </row>
    <row r="35" spans="1:5" x14ac:dyDescent="0.25">
      <c r="A35" s="1" t="s">
        <v>56</v>
      </c>
      <c r="B35">
        <f>B32*6894.76</f>
        <v>1638178.7080606513</v>
      </c>
      <c r="C35" s="11" t="s">
        <v>46</v>
      </c>
      <c r="D35">
        <f>B35/1000000</f>
        <v>1.6381787080606514</v>
      </c>
      <c r="E35" t="s">
        <v>61</v>
      </c>
    </row>
    <row r="36" spans="1:5" x14ac:dyDescent="0.25">
      <c r="A36" s="1" t="s">
        <v>57</v>
      </c>
      <c r="B36">
        <f>B33*6894.76</f>
        <v>6276232.9844598705</v>
      </c>
      <c r="C36" s="11" t="s">
        <v>46</v>
      </c>
      <c r="D36">
        <f>B36/1000000</f>
        <v>6.2762329844598703</v>
      </c>
      <c r="E36" t="s">
        <v>61</v>
      </c>
    </row>
    <row r="37" spans="1:5" x14ac:dyDescent="0.25">
      <c r="A37" s="1"/>
    </row>
    <row r="38" spans="1:5" x14ac:dyDescent="0.25">
      <c r="A38" s="1" t="s">
        <v>65</v>
      </c>
    </row>
    <row r="39" spans="1:5" x14ac:dyDescent="0.25">
      <c r="A39" s="2" t="s">
        <v>62</v>
      </c>
      <c r="B39" cm="1">
        <f t="array" ref="B39">(Wt/(fw*Dg))</f>
        <v>1.8009901152614067</v>
      </c>
    </row>
    <row r="40" spans="1:5" x14ac:dyDescent="0.25">
      <c r="A40" s="2" t="s">
        <v>63</v>
      </c>
      <c r="B40">
        <f>1/(PI()*(2*((1-mu^2)/B11)))</f>
        <v>59148.804382938288</v>
      </c>
    </row>
    <row r="41" spans="1:5" x14ac:dyDescent="0.25">
      <c r="A41" s="2" t="s">
        <v>64</v>
      </c>
      <c r="B41">
        <f>1/((COS(phi)*SIN(phi)/2)*(m/(m+1)))</f>
        <v>7.778619134302061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6BB3-E76B-4F30-8AFD-1437D3049C18}">
  <dimension ref="A1:J41"/>
  <sheetViews>
    <sheetView workbookViewId="0">
      <selection activeCell="C25" sqref="C25"/>
    </sheetView>
  </sheetViews>
  <sheetFormatPr defaultRowHeight="15" x14ac:dyDescent="0.25"/>
  <cols>
    <col min="1" max="1" width="18.7109375" customWidth="1"/>
    <col min="2" max="2" width="15.42578125" customWidth="1"/>
    <col min="3" max="3" width="12.140625" style="11" customWidth="1"/>
    <col min="4" max="4" width="15" customWidth="1"/>
  </cols>
  <sheetData>
    <row r="1" spans="1:10" x14ac:dyDescent="0.25">
      <c r="A1" s="1" t="s">
        <v>2</v>
      </c>
      <c r="B1" s="1" t="s">
        <v>0</v>
      </c>
      <c r="C1" s="10" t="s">
        <v>28</v>
      </c>
      <c r="D1" s="1" t="s">
        <v>1</v>
      </c>
      <c r="J1" t="s">
        <v>54</v>
      </c>
    </row>
    <row r="2" spans="1:10" x14ac:dyDescent="0.25">
      <c r="A2" s="2" t="s">
        <v>24</v>
      </c>
      <c r="B2" s="5">
        <f>Np*4</f>
        <v>100</v>
      </c>
      <c r="C2" s="3"/>
      <c r="D2" s="2" t="s">
        <v>26</v>
      </c>
    </row>
    <row r="3" spans="1:10" x14ac:dyDescent="0.25">
      <c r="A3" s="2" t="s">
        <v>25</v>
      </c>
      <c r="B3" s="5">
        <v>25</v>
      </c>
      <c r="C3" s="3"/>
      <c r="D3" s="2" t="s">
        <v>27</v>
      </c>
    </row>
    <row r="4" spans="1:10" x14ac:dyDescent="0.25">
      <c r="A4" t="s">
        <v>3</v>
      </c>
      <c r="B4" s="7">
        <f>F_m*0.224809</f>
        <v>2.7915432766000001</v>
      </c>
      <c r="C4" s="4" t="s">
        <v>51</v>
      </c>
      <c r="D4" t="s">
        <v>6</v>
      </c>
    </row>
    <row r="5" spans="1:10" x14ac:dyDescent="0.25">
      <c r="A5" t="s">
        <v>4</v>
      </c>
      <c r="B5">
        <f>Np/Dp</f>
        <v>25.399986284007408</v>
      </c>
      <c r="C5" s="4" t="s">
        <v>36</v>
      </c>
      <c r="D5" t="s">
        <v>7</v>
      </c>
    </row>
    <row r="6" spans="1:10" x14ac:dyDescent="0.25">
      <c r="A6" t="s">
        <v>5</v>
      </c>
      <c r="B6" s="6">
        <v>0.57899999999999996</v>
      </c>
      <c r="C6" s="4"/>
      <c r="D6" t="s">
        <v>8</v>
      </c>
    </row>
    <row r="7" spans="1:10" x14ac:dyDescent="0.25">
      <c r="A7" t="s">
        <v>12</v>
      </c>
      <c r="B7" s="7">
        <f>Wt_m*0.224809</f>
        <v>2.7915432766000001</v>
      </c>
      <c r="C7" s="4" t="s">
        <v>51</v>
      </c>
      <c r="D7" t="s">
        <v>13</v>
      </c>
    </row>
    <row r="8" spans="1:10" x14ac:dyDescent="0.25">
      <c r="A8" t="s">
        <v>14</v>
      </c>
      <c r="B8" s="7">
        <f>Dp_m*0.0393701</f>
        <v>0.98425249999999997</v>
      </c>
      <c r="C8" s="4" t="s">
        <v>42</v>
      </c>
      <c r="D8" t="s">
        <v>15</v>
      </c>
    </row>
    <row r="9" spans="1:10" x14ac:dyDescent="0.25">
      <c r="A9" t="s">
        <v>68</v>
      </c>
      <c r="B9" s="7">
        <f>Dg_m*0.0393701</f>
        <v>3.9370099999999999</v>
      </c>
      <c r="C9" s="4" t="s">
        <v>42</v>
      </c>
      <c r="D9" t="s">
        <v>69</v>
      </c>
    </row>
    <row r="10" spans="1:10" x14ac:dyDescent="0.25">
      <c r="A10" t="s">
        <v>16</v>
      </c>
      <c r="B10">
        <v>0.32</v>
      </c>
      <c r="C10" s="4"/>
      <c r="D10" t="s">
        <v>17</v>
      </c>
    </row>
    <row r="11" spans="1:10" x14ac:dyDescent="0.25">
      <c r="A11" t="s">
        <v>18</v>
      </c>
      <c r="B11">
        <f>E/6894.76</f>
        <v>333586.66581577895</v>
      </c>
      <c r="C11" s="11" t="s">
        <v>47</v>
      </c>
      <c r="D11" t="s">
        <v>19</v>
      </c>
    </row>
    <row r="12" spans="1:10" x14ac:dyDescent="0.25">
      <c r="A12" t="s">
        <v>21</v>
      </c>
      <c r="B12">
        <f>RADIANS(20)</f>
        <v>0.3490658503988659</v>
      </c>
      <c r="C12" s="4" t="s">
        <v>29</v>
      </c>
      <c r="D12" t="s">
        <v>20</v>
      </c>
    </row>
    <row r="13" spans="1:10" x14ac:dyDescent="0.25">
      <c r="A13" t="s">
        <v>22</v>
      </c>
      <c r="B13">
        <f>Ng/Np</f>
        <v>4</v>
      </c>
      <c r="C13" s="4"/>
      <c r="D13" t="s">
        <v>23</v>
      </c>
    </row>
    <row r="14" spans="1:10" x14ac:dyDescent="0.25">
      <c r="A14" t="s">
        <v>11</v>
      </c>
      <c r="B14">
        <f>fw_m*0.0393701</f>
        <v>0.39370099999999997</v>
      </c>
      <c r="C14" s="11" t="s">
        <v>42</v>
      </c>
    </row>
    <row r="16" spans="1:10" s="7" customFormat="1" x14ac:dyDescent="0.25">
      <c r="C16" s="12"/>
    </row>
    <row r="17" spans="1:4" s="7" customFormat="1" x14ac:dyDescent="0.25">
      <c r="A17" s="9" t="s">
        <v>37</v>
      </c>
      <c r="C17" s="12"/>
    </row>
    <row r="18" spans="1:4" s="7" customFormat="1" x14ac:dyDescent="0.25">
      <c r="A18" s="7" t="s">
        <v>38</v>
      </c>
      <c r="B18" s="7">
        <f>2.3*1000000000</f>
        <v>2300000000</v>
      </c>
      <c r="C18" s="4" t="s">
        <v>46</v>
      </c>
      <c r="D18" t="s">
        <v>39</v>
      </c>
    </row>
    <row r="19" spans="1:4" s="7" customFormat="1" x14ac:dyDescent="0.25">
      <c r="A19" t="s">
        <v>41</v>
      </c>
      <c r="B19">
        <f>Np/Dp_m</f>
        <v>1</v>
      </c>
      <c r="C19" s="4" t="s">
        <v>40</v>
      </c>
      <c r="D19" t="s">
        <v>45</v>
      </c>
    </row>
    <row r="20" spans="1:4" s="7" customFormat="1" x14ac:dyDescent="0.25">
      <c r="A20" s="7" t="s">
        <v>43</v>
      </c>
      <c r="B20" s="7">
        <f>Np*module</f>
        <v>25</v>
      </c>
      <c r="C20" s="12" t="s">
        <v>35</v>
      </c>
      <c r="D20" t="s">
        <v>44</v>
      </c>
    </row>
    <row r="21" spans="1:4" s="7" customFormat="1" x14ac:dyDescent="0.25">
      <c r="A21" s="7" t="s">
        <v>66</v>
      </c>
      <c r="B21" s="7">
        <f>Ng*module</f>
        <v>100</v>
      </c>
      <c r="C21" s="12" t="s">
        <v>35</v>
      </c>
      <c r="D21" t="s">
        <v>67</v>
      </c>
    </row>
    <row r="22" spans="1:4" s="7" customFormat="1" x14ac:dyDescent="0.25">
      <c r="A22" t="s">
        <v>48</v>
      </c>
      <c r="B22" s="7">
        <f>T/((Dp_m/1000)/2)</f>
        <v>12.417400000000001</v>
      </c>
      <c r="C22" s="12" t="s">
        <v>50</v>
      </c>
      <c r="D22" t="s">
        <v>49</v>
      </c>
    </row>
    <row r="23" spans="1:4" s="8" customFormat="1" x14ac:dyDescent="0.25">
      <c r="A23" t="s">
        <v>32</v>
      </c>
      <c r="B23" s="6">
        <v>1</v>
      </c>
      <c r="C23" s="11" t="s">
        <v>35</v>
      </c>
      <c r="D23" t="s">
        <v>33</v>
      </c>
    </row>
    <row r="24" spans="1:4" s="7" customFormat="1" x14ac:dyDescent="0.25">
      <c r="A24" t="s">
        <v>52</v>
      </c>
      <c r="B24" s="6">
        <v>10</v>
      </c>
      <c r="C24" s="4" t="s">
        <v>35</v>
      </c>
      <c r="D24" t="s">
        <v>34</v>
      </c>
    </row>
    <row r="25" spans="1:4" s="7" customFormat="1" x14ac:dyDescent="0.25">
      <c r="A25" t="s">
        <v>30</v>
      </c>
      <c r="B25" cm="1">
        <f t="array" ref="B25">PI()*module</f>
        <v>3.1415926535897931</v>
      </c>
      <c r="C25" s="11" t="s">
        <v>35</v>
      </c>
      <c r="D25" t="s">
        <v>31</v>
      </c>
    </row>
    <row r="26" spans="1:4" x14ac:dyDescent="0.25">
      <c r="A26" t="s">
        <v>53</v>
      </c>
      <c r="B26" s="7">
        <f>Wt_m</f>
        <v>12.417400000000001</v>
      </c>
      <c r="C26" s="11" t="s">
        <v>50</v>
      </c>
      <c r="D26" t="s">
        <v>55</v>
      </c>
    </row>
    <row r="27" spans="1:4" x14ac:dyDescent="0.25">
      <c r="A27" t="s">
        <v>59</v>
      </c>
      <c r="B27" s="6">
        <f>0.62087/m</f>
        <v>0.15521750000000001</v>
      </c>
      <c r="C27" s="11" t="s">
        <v>60</v>
      </c>
      <c r="D27" t="s">
        <v>58</v>
      </c>
    </row>
    <row r="28" spans="1:4" x14ac:dyDescent="0.25">
      <c r="B28" s="7"/>
    </row>
    <row r="29" spans="1:4" x14ac:dyDescent="0.25">
      <c r="B29" s="7"/>
    </row>
    <row r="30" spans="1:4" x14ac:dyDescent="0.25">
      <c r="B30" s="7"/>
    </row>
    <row r="32" spans="1:4" x14ac:dyDescent="0.25">
      <c r="A32" s="1" t="s">
        <v>9</v>
      </c>
      <c r="B32" cm="1">
        <f t="array" ref="B32">(F*Pd)/(fw*Y)</f>
        <v>311.05183337848132</v>
      </c>
      <c r="C32" s="11" t="s">
        <v>47</v>
      </c>
    </row>
    <row r="33" spans="1:5" x14ac:dyDescent="0.25">
      <c r="A33" s="1" t="s">
        <v>10</v>
      </c>
      <c r="B33" s="2">
        <f>SQRT(a1_*a2_*a3_)</f>
        <v>1820.5805523208553</v>
      </c>
      <c r="C33" s="13" t="s">
        <v>47</v>
      </c>
    </row>
    <row r="35" spans="1:5" x14ac:dyDescent="0.25">
      <c r="A35" s="1" t="s">
        <v>56</v>
      </c>
      <c r="B35">
        <f>B32*6894.76</f>
        <v>2144627.7387046181</v>
      </c>
      <c r="C35" s="11" t="s">
        <v>46</v>
      </c>
      <c r="D35">
        <f>B35/1000000</f>
        <v>2.1446277387046182</v>
      </c>
      <c r="E35" t="s">
        <v>61</v>
      </c>
    </row>
    <row r="36" spans="1:5" x14ac:dyDescent="0.25">
      <c r="A36" s="1" t="s">
        <v>57</v>
      </c>
      <c r="B36">
        <f>B33*6894.76</f>
        <v>12552465.968919741</v>
      </c>
      <c r="C36" s="11" t="s">
        <v>46</v>
      </c>
      <c r="D36">
        <f>B36/1000000</f>
        <v>12.552465968919741</v>
      </c>
      <c r="E36" t="s">
        <v>61</v>
      </c>
    </row>
    <row r="37" spans="1:5" x14ac:dyDescent="0.25">
      <c r="A37" s="1"/>
    </row>
    <row r="38" spans="1:5" x14ac:dyDescent="0.25">
      <c r="A38" s="1" t="s">
        <v>65</v>
      </c>
    </row>
    <row r="39" spans="1:5" x14ac:dyDescent="0.25">
      <c r="A39" s="2" t="s">
        <v>62</v>
      </c>
      <c r="B39">
        <f>(Wt/(fw*Dp))</f>
        <v>7.2039604610456269</v>
      </c>
    </row>
    <row r="40" spans="1:5" x14ac:dyDescent="0.25">
      <c r="A40" s="2" t="s">
        <v>63</v>
      </c>
      <c r="B40">
        <f>1/(PI()*(2*((1-mu^2)/B11)))</f>
        <v>59148.804382938288</v>
      </c>
    </row>
    <row r="41" spans="1:5" x14ac:dyDescent="0.25">
      <c r="A41" s="2" t="s">
        <v>64</v>
      </c>
      <c r="B41">
        <f>1/((COS(phi)*SIN(phi)/2)*(m/(m+1)))</f>
        <v>7.778619134302061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4ED1-E0F9-4F14-A552-DCEF10DF094E}">
  <dimension ref="A1:J41"/>
  <sheetViews>
    <sheetView workbookViewId="0">
      <selection activeCell="C19" sqref="C19"/>
    </sheetView>
  </sheetViews>
  <sheetFormatPr defaultRowHeight="15" x14ac:dyDescent="0.25"/>
  <cols>
    <col min="1" max="1" width="18.7109375" customWidth="1"/>
    <col min="2" max="2" width="15.42578125" customWidth="1"/>
    <col min="3" max="3" width="12.140625" style="11" customWidth="1"/>
    <col min="4" max="4" width="15" customWidth="1"/>
  </cols>
  <sheetData>
    <row r="1" spans="1:10" x14ac:dyDescent="0.25">
      <c r="A1" s="1" t="s">
        <v>2</v>
      </c>
      <c r="B1" s="1" t="s">
        <v>0</v>
      </c>
      <c r="C1" s="10" t="s">
        <v>28</v>
      </c>
      <c r="D1" s="1" t="s">
        <v>1</v>
      </c>
      <c r="J1" t="s">
        <v>54</v>
      </c>
    </row>
    <row r="2" spans="1:10" x14ac:dyDescent="0.25">
      <c r="A2" s="2" t="s">
        <v>24</v>
      </c>
      <c r="B2" s="5">
        <f>Np</f>
        <v>25</v>
      </c>
      <c r="C2" s="3"/>
      <c r="D2" s="2" t="s">
        <v>26</v>
      </c>
    </row>
    <row r="3" spans="1:10" x14ac:dyDescent="0.25">
      <c r="A3" s="2" t="s">
        <v>25</v>
      </c>
      <c r="B3" s="5">
        <v>25</v>
      </c>
      <c r="C3" s="3"/>
      <c r="D3" s="2" t="s">
        <v>27</v>
      </c>
    </row>
    <row r="4" spans="1:10" x14ac:dyDescent="0.25">
      <c r="A4" t="s">
        <v>3</v>
      </c>
      <c r="B4" s="7">
        <f>F_m*0.224809</f>
        <v>2.7915432766000001</v>
      </c>
      <c r="C4" s="4" t="s">
        <v>51</v>
      </c>
      <c r="D4" t="s">
        <v>6</v>
      </c>
    </row>
    <row r="5" spans="1:10" x14ac:dyDescent="0.25">
      <c r="A5" t="s">
        <v>4</v>
      </c>
      <c r="B5">
        <f>Np/Dp</f>
        <v>25.399986284007408</v>
      </c>
      <c r="C5" s="4" t="s">
        <v>36</v>
      </c>
      <c r="D5" t="s">
        <v>7</v>
      </c>
    </row>
    <row r="6" spans="1:10" x14ac:dyDescent="0.25">
      <c r="A6" t="s">
        <v>5</v>
      </c>
      <c r="B6" s="6">
        <v>0.57899999999999996</v>
      </c>
      <c r="C6" s="4"/>
      <c r="D6" t="s">
        <v>8</v>
      </c>
    </row>
    <row r="7" spans="1:10" x14ac:dyDescent="0.25">
      <c r="A7" t="s">
        <v>12</v>
      </c>
      <c r="B7" s="7">
        <f>Wt_m*0.224809</f>
        <v>2.7915432766000001</v>
      </c>
      <c r="C7" s="4" t="s">
        <v>51</v>
      </c>
      <c r="D7" t="s">
        <v>13</v>
      </c>
    </row>
    <row r="8" spans="1:10" x14ac:dyDescent="0.25">
      <c r="A8" t="s">
        <v>14</v>
      </c>
      <c r="B8" s="7">
        <f>Dp_m*0.0393701</f>
        <v>0.98425249999999997</v>
      </c>
      <c r="C8" s="4" t="s">
        <v>42</v>
      </c>
      <c r="D8" t="s">
        <v>15</v>
      </c>
    </row>
    <row r="9" spans="1:10" x14ac:dyDescent="0.25">
      <c r="A9" t="s">
        <v>68</v>
      </c>
      <c r="B9" s="7">
        <f>Dg_m*0.0393701</f>
        <v>0.98425249999999997</v>
      </c>
      <c r="C9" s="4" t="s">
        <v>42</v>
      </c>
      <c r="D9" t="s">
        <v>69</v>
      </c>
    </row>
    <row r="10" spans="1:10" x14ac:dyDescent="0.25">
      <c r="A10" t="s">
        <v>16</v>
      </c>
      <c r="B10">
        <v>0.32</v>
      </c>
      <c r="C10" s="4"/>
      <c r="D10" t="s">
        <v>17</v>
      </c>
    </row>
    <row r="11" spans="1:10" x14ac:dyDescent="0.25">
      <c r="A11" t="s">
        <v>18</v>
      </c>
      <c r="B11">
        <f>E/6894.76</f>
        <v>333586.66581577895</v>
      </c>
      <c r="C11" s="11" t="s">
        <v>47</v>
      </c>
      <c r="D11" t="s">
        <v>19</v>
      </c>
    </row>
    <row r="12" spans="1:10" x14ac:dyDescent="0.25">
      <c r="A12" t="s">
        <v>21</v>
      </c>
      <c r="B12">
        <f>RADIANS(20)</f>
        <v>0.3490658503988659</v>
      </c>
      <c r="C12" s="4" t="s">
        <v>29</v>
      </c>
      <c r="D12" t="s">
        <v>20</v>
      </c>
    </row>
    <row r="13" spans="1:10" x14ac:dyDescent="0.25">
      <c r="A13" t="s">
        <v>22</v>
      </c>
      <c r="B13">
        <f>Ng/Np</f>
        <v>1</v>
      </c>
      <c r="C13" s="4"/>
      <c r="D13" t="s">
        <v>23</v>
      </c>
    </row>
    <row r="14" spans="1:10" x14ac:dyDescent="0.25">
      <c r="A14" t="s">
        <v>11</v>
      </c>
      <c r="B14">
        <f>fw_m*0.0393701</f>
        <v>0.39370099999999997</v>
      </c>
      <c r="C14" s="11" t="s">
        <v>42</v>
      </c>
    </row>
    <row r="16" spans="1:10" s="7" customFormat="1" x14ac:dyDescent="0.25">
      <c r="C16" s="12"/>
    </row>
    <row r="17" spans="1:4" s="7" customFormat="1" x14ac:dyDescent="0.25">
      <c r="A17" s="9" t="s">
        <v>37</v>
      </c>
      <c r="C17" s="12"/>
    </row>
    <row r="18" spans="1:4" s="7" customFormat="1" x14ac:dyDescent="0.25">
      <c r="A18" s="7" t="s">
        <v>38</v>
      </c>
      <c r="B18" s="7">
        <f>2.3*1000000000</f>
        <v>2300000000</v>
      </c>
      <c r="C18" s="4" t="s">
        <v>46</v>
      </c>
      <c r="D18" t="s">
        <v>39</v>
      </c>
    </row>
    <row r="19" spans="1:4" s="7" customFormat="1" x14ac:dyDescent="0.25">
      <c r="A19" t="s">
        <v>41</v>
      </c>
      <c r="B19">
        <f>Np/Dp_m</f>
        <v>1</v>
      </c>
      <c r="C19" s="4" t="s">
        <v>40</v>
      </c>
      <c r="D19" t="s">
        <v>45</v>
      </c>
    </row>
    <row r="20" spans="1:4" s="7" customFormat="1" x14ac:dyDescent="0.25">
      <c r="A20" s="7" t="s">
        <v>43</v>
      </c>
      <c r="B20" s="7">
        <f>Np*module</f>
        <v>25</v>
      </c>
      <c r="C20" s="12" t="s">
        <v>35</v>
      </c>
      <c r="D20" t="s">
        <v>44</v>
      </c>
    </row>
    <row r="21" spans="1:4" s="7" customFormat="1" x14ac:dyDescent="0.25">
      <c r="A21" s="7" t="s">
        <v>66</v>
      </c>
      <c r="B21" s="7">
        <f>Ng*module</f>
        <v>25</v>
      </c>
      <c r="C21" s="12" t="s">
        <v>35</v>
      </c>
      <c r="D21" t="s">
        <v>67</v>
      </c>
    </row>
    <row r="22" spans="1:4" s="7" customFormat="1" x14ac:dyDescent="0.25">
      <c r="A22" t="s">
        <v>48</v>
      </c>
      <c r="B22" s="7">
        <f>T/((Dp_m/1000)/2)</f>
        <v>12.417400000000001</v>
      </c>
      <c r="C22" s="12" t="s">
        <v>50</v>
      </c>
      <c r="D22" t="s">
        <v>49</v>
      </c>
    </row>
    <row r="23" spans="1:4" s="8" customFormat="1" x14ac:dyDescent="0.25">
      <c r="A23" t="s">
        <v>32</v>
      </c>
      <c r="B23" s="6">
        <v>1</v>
      </c>
      <c r="C23" s="11" t="s">
        <v>35</v>
      </c>
      <c r="D23" t="s">
        <v>33</v>
      </c>
    </row>
    <row r="24" spans="1:4" s="7" customFormat="1" x14ac:dyDescent="0.25">
      <c r="A24" t="s">
        <v>52</v>
      </c>
      <c r="B24" s="6">
        <v>10</v>
      </c>
      <c r="C24" s="4" t="s">
        <v>35</v>
      </c>
      <c r="D24" t="s">
        <v>34</v>
      </c>
    </row>
    <row r="25" spans="1:4" s="7" customFormat="1" x14ac:dyDescent="0.25">
      <c r="A25" t="s">
        <v>30</v>
      </c>
      <c r="B25" cm="1">
        <f t="array" ref="B25">PI()*module</f>
        <v>3.1415926535897931</v>
      </c>
      <c r="C25" s="11" t="s">
        <v>35</v>
      </c>
      <c r="D25" t="s">
        <v>31</v>
      </c>
    </row>
    <row r="26" spans="1:4" x14ac:dyDescent="0.25">
      <c r="A26" t="s">
        <v>53</v>
      </c>
      <c r="B26" s="7">
        <f>Wt_m</f>
        <v>12.417400000000001</v>
      </c>
      <c r="C26" s="11" t="s">
        <v>50</v>
      </c>
      <c r="D26" t="s">
        <v>55</v>
      </c>
    </row>
    <row r="27" spans="1:4" x14ac:dyDescent="0.25">
      <c r="A27" t="s">
        <v>59</v>
      </c>
      <c r="B27" s="6">
        <f>0.62087/4</f>
        <v>0.15521750000000001</v>
      </c>
      <c r="C27" s="11" t="s">
        <v>60</v>
      </c>
      <c r="D27" t="s">
        <v>58</v>
      </c>
    </row>
    <row r="28" spans="1:4" x14ac:dyDescent="0.25">
      <c r="B28" s="7"/>
    </row>
    <row r="29" spans="1:4" x14ac:dyDescent="0.25">
      <c r="B29" s="7"/>
    </row>
    <row r="30" spans="1:4" x14ac:dyDescent="0.25">
      <c r="B30" s="7"/>
    </row>
    <row r="32" spans="1:4" x14ac:dyDescent="0.25">
      <c r="A32" s="1" t="s">
        <v>9</v>
      </c>
      <c r="B32" cm="1">
        <f t="array" ref="B32">(F*Pd)/(fw*Y)</f>
        <v>311.05183337848132</v>
      </c>
      <c r="C32" s="11" t="s">
        <v>47</v>
      </c>
    </row>
    <row r="33" spans="1:5" x14ac:dyDescent="0.25">
      <c r="A33" s="1" t="s">
        <v>10</v>
      </c>
      <c r="B33" s="2">
        <f>SQRT(a1_*a2_*a3_)</f>
        <v>2302.8724836564998</v>
      </c>
      <c r="C33" s="13" t="s">
        <v>47</v>
      </c>
    </row>
    <row r="35" spans="1:5" x14ac:dyDescent="0.25">
      <c r="A35" s="1" t="s">
        <v>56</v>
      </c>
      <c r="B35">
        <f>B32*6894.76</f>
        <v>2144627.7387046181</v>
      </c>
      <c r="C35" s="11" t="s">
        <v>46</v>
      </c>
      <c r="D35">
        <f>B35/1000000</f>
        <v>2.1446277387046182</v>
      </c>
      <c r="E35" t="s">
        <v>61</v>
      </c>
    </row>
    <row r="36" spans="1:5" x14ac:dyDescent="0.25">
      <c r="A36" s="1" t="s">
        <v>57</v>
      </c>
      <c r="B36">
        <f>B33*6894.76</f>
        <v>15877753.085415488</v>
      </c>
      <c r="C36" s="11" t="s">
        <v>46</v>
      </c>
      <c r="D36">
        <f>B36/1000000</f>
        <v>15.877753085415488</v>
      </c>
      <c r="E36" t="s">
        <v>61</v>
      </c>
    </row>
    <row r="37" spans="1:5" x14ac:dyDescent="0.25">
      <c r="A37" s="1"/>
    </row>
    <row r="38" spans="1:5" x14ac:dyDescent="0.25">
      <c r="A38" s="1" t="s">
        <v>65</v>
      </c>
    </row>
    <row r="39" spans="1:5" x14ac:dyDescent="0.25">
      <c r="A39" s="2" t="s">
        <v>62</v>
      </c>
      <c r="B39">
        <f>(Wt/(fw*Dp))</f>
        <v>7.2039604610456269</v>
      </c>
    </row>
    <row r="40" spans="1:5" x14ac:dyDescent="0.25">
      <c r="A40" s="2" t="s">
        <v>63</v>
      </c>
      <c r="B40">
        <f>1/(PI()*(2*((1-mu^2)/B11)))</f>
        <v>59148.804382938288</v>
      </c>
    </row>
    <row r="41" spans="1:5" x14ac:dyDescent="0.25">
      <c r="A41" s="2" t="s">
        <v>64</v>
      </c>
      <c r="B41">
        <f>1/((COS(phi)*SIN(phi)/2)*(m/(m+1)))</f>
        <v>12.445790614883299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25DD-1808-444F-AC27-4B4F3B4DCBD2}">
  <dimension ref="A1:J41"/>
  <sheetViews>
    <sheetView tabSelected="1" workbookViewId="0">
      <selection activeCell="B7" sqref="B7"/>
    </sheetView>
  </sheetViews>
  <sheetFormatPr defaultRowHeight="15" x14ac:dyDescent="0.25"/>
  <cols>
    <col min="1" max="1" width="18.7109375" customWidth="1"/>
    <col min="2" max="2" width="15.42578125" customWidth="1"/>
    <col min="3" max="3" width="12.140625" style="11" customWidth="1"/>
    <col min="4" max="4" width="15" customWidth="1"/>
  </cols>
  <sheetData>
    <row r="1" spans="1:10" x14ac:dyDescent="0.25">
      <c r="A1" s="1" t="s">
        <v>2</v>
      </c>
      <c r="B1" s="1" t="s">
        <v>0</v>
      </c>
      <c r="C1" s="10" t="s">
        <v>28</v>
      </c>
      <c r="D1" s="1" t="s">
        <v>1</v>
      </c>
      <c r="J1" t="s">
        <v>54</v>
      </c>
    </row>
    <row r="2" spans="1:10" x14ac:dyDescent="0.25">
      <c r="A2" s="2" t="s">
        <v>24</v>
      </c>
      <c r="B2" s="5">
        <v>50</v>
      </c>
      <c r="C2" s="3"/>
      <c r="D2" s="2" t="s">
        <v>26</v>
      </c>
    </row>
    <row r="3" spans="1:10" x14ac:dyDescent="0.25">
      <c r="A3" s="2" t="s">
        <v>25</v>
      </c>
      <c r="B3" s="5">
        <v>50</v>
      </c>
      <c r="C3" s="3"/>
      <c r="D3" s="2" t="s">
        <v>27</v>
      </c>
    </row>
    <row r="4" spans="1:10" x14ac:dyDescent="0.25">
      <c r="A4" t="s">
        <v>3</v>
      </c>
      <c r="B4" s="7">
        <f>F_m*0.224809</f>
        <v>5.5830865532000002</v>
      </c>
      <c r="C4" s="4" t="s">
        <v>51</v>
      </c>
      <c r="D4" t="s">
        <v>6</v>
      </c>
    </row>
    <row r="5" spans="1:10" x14ac:dyDescent="0.25">
      <c r="A5" t="s">
        <v>4</v>
      </c>
      <c r="B5">
        <f>Np/Dp</f>
        <v>25.399986284007408</v>
      </c>
      <c r="C5" s="4" t="s">
        <v>36</v>
      </c>
      <c r="D5" t="s">
        <v>7</v>
      </c>
    </row>
    <row r="6" spans="1:10" x14ac:dyDescent="0.25">
      <c r="A6" t="s">
        <v>5</v>
      </c>
      <c r="B6" s="6">
        <v>0.69599999999999995</v>
      </c>
      <c r="C6" s="4"/>
      <c r="D6" t="s">
        <v>8</v>
      </c>
    </row>
    <row r="7" spans="1:10" x14ac:dyDescent="0.25">
      <c r="A7" t="s">
        <v>12</v>
      </c>
      <c r="B7" s="7">
        <f>Wt_m*0.224809</f>
        <v>5.5830865532000002</v>
      </c>
      <c r="C7" s="4" t="s">
        <v>51</v>
      </c>
      <c r="D7" t="s">
        <v>13</v>
      </c>
    </row>
    <row r="8" spans="1:10" x14ac:dyDescent="0.25">
      <c r="A8" t="s">
        <v>14</v>
      </c>
      <c r="B8" s="7">
        <f>Dp_m*0.0393701</f>
        <v>1.9685049999999999</v>
      </c>
      <c r="C8" s="4" t="s">
        <v>42</v>
      </c>
      <c r="D8" t="s">
        <v>15</v>
      </c>
    </row>
    <row r="9" spans="1:10" x14ac:dyDescent="0.25">
      <c r="A9" t="s">
        <v>68</v>
      </c>
      <c r="B9" s="7">
        <f>Dg_m*0.0393701</f>
        <v>1.9685049999999999</v>
      </c>
      <c r="C9" s="4" t="s">
        <v>42</v>
      </c>
      <c r="D9" t="s">
        <v>69</v>
      </c>
    </row>
    <row r="10" spans="1:10" x14ac:dyDescent="0.25">
      <c r="A10" t="s">
        <v>16</v>
      </c>
      <c r="B10">
        <v>0.32</v>
      </c>
      <c r="C10" s="4"/>
      <c r="D10" t="s">
        <v>17</v>
      </c>
    </row>
    <row r="11" spans="1:10" x14ac:dyDescent="0.25">
      <c r="A11" t="s">
        <v>18</v>
      </c>
      <c r="B11">
        <f>E/6894.76</f>
        <v>333586.66581577895</v>
      </c>
      <c r="C11" s="11" t="s">
        <v>47</v>
      </c>
      <c r="D11" t="s">
        <v>19</v>
      </c>
    </row>
    <row r="12" spans="1:10" x14ac:dyDescent="0.25">
      <c r="A12" t="s">
        <v>21</v>
      </c>
      <c r="B12">
        <f>RADIANS(20)</f>
        <v>0.3490658503988659</v>
      </c>
      <c r="C12" s="4" t="s">
        <v>29</v>
      </c>
      <c r="D12" t="s">
        <v>20</v>
      </c>
    </row>
    <row r="13" spans="1:10" x14ac:dyDescent="0.25">
      <c r="A13" t="s">
        <v>22</v>
      </c>
      <c r="B13">
        <f>Ng/Np</f>
        <v>1</v>
      </c>
      <c r="C13" s="4"/>
      <c r="D13" t="s">
        <v>23</v>
      </c>
    </row>
    <row r="14" spans="1:10" x14ac:dyDescent="0.25">
      <c r="A14" t="s">
        <v>11</v>
      </c>
      <c r="B14">
        <f>fw_m*0.0393701</f>
        <v>0.39370099999999997</v>
      </c>
      <c r="C14" s="11" t="s">
        <v>42</v>
      </c>
    </row>
    <row r="16" spans="1:10" s="7" customFormat="1" x14ac:dyDescent="0.25">
      <c r="C16" s="12"/>
    </row>
    <row r="17" spans="1:4" s="7" customFormat="1" x14ac:dyDescent="0.25">
      <c r="A17" s="9" t="s">
        <v>37</v>
      </c>
      <c r="C17" s="12"/>
    </row>
    <row r="18" spans="1:4" s="7" customFormat="1" x14ac:dyDescent="0.25">
      <c r="A18" s="7" t="s">
        <v>38</v>
      </c>
      <c r="B18" s="7">
        <f>2.3*1000000000</f>
        <v>2300000000</v>
      </c>
      <c r="C18" s="4" t="s">
        <v>46</v>
      </c>
      <c r="D18" t="s">
        <v>39</v>
      </c>
    </row>
    <row r="19" spans="1:4" s="7" customFormat="1" x14ac:dyDescent="0.25">
      <c r="A19" t="s">
        <v>41</v>
      </c>
      <c r="B19">
        <f>Np/Dp_m</f>
        <v>1</v>
      </c>
      <c r="C19" s="4" t="s">
        <v>40</v>
      </c>
      <c r="D19" t="s">
        <v>45</v>
      </c>
    </row>
    <row r="20" spans="1:4" s="7" customFormat="1" x14ac:dyDescent="0.25">
      <c r="A20" s="7" t="s">
        <v>43</v>
      </c>
      <c r="B20" s="7">
        <f>Np*module</f>
        <v>50</v>
      </c>
      <c r="C20" s="12" t="s">
        <v>35</v>
      </c>
      <c r="D20" t="s">
        <v>44</v>
      </c>
    </row>
    <row r="21" spans="1:4" s="7" customFormat="1" x14ac:dyDescent="0.25">
      <c r="A21" s="7" t="s">
        <v>66</v>
      </c>
      <c r="B21" s="7">
        <f>Ng*module</f>
        <v>50</v>
      </c>
      <c r="C21" s="12" t="s">
        <v>35</v>
      </c>
      <c r="D21" t="s">
        <v>67</v>
      </c>
    </row>
    <row r="22" spans="1:4" s="7" customFormat="1" x14ac:dyDescent="0.25">
      <c r="A22" t="s">
        <v>48</v>
      </c>
      <c r="B22" s="7">
        <f>T/((Dp_m/1000)/2)</f>
        <v>24.834800000000001</v>
      </c>
      <c r="C22" s="12" t="s">
        <v>50</v>
      </c>
      <c r="D22" t="s">
        <v>49</v>
      </c>
    </row>
    <row r="23" spans="1:4" s="8" customFormat="1" x14ac:dyDescent="0.25">
      <c r="A23" t="s">
        <v>32</v>
      </c>
      <c r="B23" s="6">
        <v>1</v>
      </c>
      <c r="C23" s="11" t="s">
        <v>35</v>
      </c>
      <c r="D23" t="s">
        <v>33</v>
      </c>
    </row>
    <row r="24" spans="1:4" s="7" customFormat="1" x14ac:dyDescent="0.25">
      <c r="A24" t="s">
        <v>52</v>
      </c>
      <c r="B24" s="6">
        <v>10</v>
      </c>
      <c r="C24" s="4" t="s">
        <v>35</v>
      </c>
      <c r="D24" t="s">
        <v>34</v>
      </c>
    </row>
    <row r="25" spans="1:4" s="7" customFormat="1" x14ac:dyDescent="0.25">
      <c r="A25" t="s">
        <v>30</v>
      </c>
      <c r="B25" cm="1">
        <f t="array" ref="B25">PI()*module</f>
        <v>3.1415926535897931</v>
      </c>
      <c r="C25" s="11" t="s">
        <v>35</v>
      </c>
      <c r="D25" t="s">
        <v>31</v>
      </c>
    </row>
    <row r="26" spans="1:4" x14ac:dyDescent="0.25">
      <c r="A26" t="s">
        <v>53</v>
      </c>
      <c r="B26" s="7">
        <f>Wt_m</f>
        <v>24.834800000000001</v>
      </c>
      <c r="C26" s="11" t="s">
        <v>50</v>
      </c>
      <c r="D26" t="s">
        <v>55</v>
      </c>
    </row>
    <row r="27" spans="1:4" x14ac:dyDescent="0.25">
      <c r="A27" t="s">
        <v>59</v>
      </c>
      <c r="B27" s="6">
        <f>0.62087</f>
        <v>0.62087000000000003</v>
      </c>
      <c r="C27" s="11" t="s">
        <v>60</v>
      </c>
      <c r="D27" t="s">
        <v>58</v>
      </c>
    </row>
    <row r="28" spans="1:4" x14ac:dyDescent="0.25">
      <c r="B28" s="7"/>
    </row>
    <row r="29" spans="1:4" x14ac:dyDescent="0.25">
      <c r="B29" s="7"/>
    </row>
    <row r="30" spans="1:4" x14ac:dyDescent="0.25">
      <c r="B30" s="7"/>
    </row>
    <row r="32" spans="1:4" x14ac:dyDescent="0.25">
      <c r="A32" s="1" t="s">
        <v>9</v>
      </c>
      <c r="B32" cm="1">
        <f t="array" ref="B32">(F*Pd)/(fw*Y)</f>
        <v>517.52589519005937</v>
      </c>
      <c r="C32" s="11" t="s">
        <v>47</v>
      </c>
    </row>
    <row r="33" spans="1:5" x14ac:dyDescent="0.25">
      <c r="A33" s="1" t="s">
        <v>10</v>
      </c>
      <c r="B33" s="2">
        <f>SQRT(a1_*a2_*a3_)</f>
        <v>2302.8724836564998</v>
      </c>
      <c r="C33" s="13" t="s">
        <v>47</v>
      </c>
    </row>
    <row r="35" spans="1:5" x14ac:dyDescent="0.25">
      <c r="A35" s="1" t="s">
        <v>56</v>
      </c>
      <c r="B35">
        <f>B32*6894.76</f>
        <v>3568216.8411206137</v>
      </c>
      <c r="C35" s="11" t="s">
        <v>46</v>
      </c>
      <c r="D35">
        <f>B35/1000000</f>
        <v>3.5682168411206137</v>
      </c>
      <c r="E35" t="s">
        <v>61</v>
      </c>
    </row>
    <row r="36" spans="1:5" x14ac:dyDescent="0.25">
      <c r="A36" s="1" t="s">
        <v>57</v>
      </c>
      <c r="B36">
        <f>B33*6894.76</f>
        <v>15877753.085415488</v>
      </c>
      <c r="C36" s="11" t="s">
        <v>46</v>
      </c>
      <c r="D36">
        <f>B36/1000000</f>
        <v>15.877753085415488</v>
      </c>
      <c r="E36" t="s">
        <v>61</v>
      </c>
    </row>
    <row r="37" spans="1:5" x14ac:dyDescent="0.25">
      <c r="A37" s="1"/>
    </row>
    <row r="38" spans="1:5" x14ac:dyDescent="0.25">
      <c r="A38" s="1" t="s">
        <v>65</v>
      </c>
    </row>
    <row r="39" spans="1:5" x14ac:dyDescent="0.25">
      <c r="A39" s="2" t="s">
        <v>62</v>
      </c>
      <c r="B39">
        <f>(Wt/(fw*Dp))</f>
        <v>7.2039604610456269</v>
      </c>
    </row>
    <row r="40" spans="1:5" x14ac:dyDescent="0.25">
      <c r="A40" s="2" t="s">
        <v>63</v>
      </c>
      <c r="B40">
        <f>1/(PI()*(2*((1-mu^2)/B11)))</f>
        <v>59148.804382938288</v>
      </c>
    </row>
    <row r="41" spans="1:5" x14ac:dyDescent="0.25">
      <c r="A41" s="2" t="s">
        <v>64</v>
      </c>
      <c r="B41">
        <f>1/((COS(phi)*SIN(phi)/2)*(m/(m+1)))</f>
        <v>12.445790614883299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F31C6991F6E144A310FCA14C699D60" ma:contentTypeVersion="10" ma:contentTypeDescription="Create a new document." ma:contentTypeScope="" ma:versionID="34643b5ba511c895a5e32da6297ded02">
  <xsd:schema xmlns:xsd="http://www.w3.org/2001/XMLSchema" xmlns:xs="http://www.w3.org/2001/XMLSchema" xmlns:p="http://schemas.microsoft.com/office/2006/metadata/properties" xmlns:ns2="33f85e70-1418-47d1-9bf4-775a889d42ac" targetNamespace="http://schemas.microsoft.com/office/2006/metadata/properties" ma:root="true" ma:fieldsID="f786051eba236b782ef1f8c8e508d5e2" ns2:_="">
    <xsd:import namespace="33f85e70-1418-47d1-9bf4-775a889d4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85e70-1418-47d1-9bf4-775a889d4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37E764-1F02-457B-9422-4E9C6D3EED04}"/>
</file>

<file path=customXml/itemProps2.xml><?xml version="1.0" encoding="utf-8"?>
<ds:datastoreItem xmlns:ds="http://schemas.openxmlformats.org/officeDocument/2006/customXml" ds:itemID="{545B0E72-C927-4E76-982F-9C93EBE6FA46}"/>
</file>

<file path=customXml/itemProps3.xml><?xml version="1.0" encoding="utf-8"?>
<ds:datastoreItem xmlns:ds="http://schemas.openxmlformats.org/officeDocument/2006/customXml" ds:itemID="{05C2C49E-8D5C-4FB7-B121-D73639E0A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146</vt:i4>
      </vt:variant>
    </vt:vector>
  </HeadingPairs>
  <TitlesOfParts>
    <vt:vector size="152" baseType="lpstr">
      <vt:lpstr>0.75_mod_25_teeth</vt:lpstr>
      <vt:lpstr>0.75_mod_25_teeth (2)</vt:lpstr>
      <vt:lpstr>1_mod_100_teeth</vt:lpstr>
      <vt:lpstr>1_mod_25_teeth</vt:lpstr>
      <vt:lpstr>1_mod_25_teeth (2)</vt:lpstr>
      <vt:lpstr>1_mod_50_teeth</vt:lpstr>
      <vt:lpstr>'0.75_mod_25_teeth (2)'!a1_</vt:lpstr>
      <vt:lpstr>'1_mod_100_teeth'!a1_</vt:lpstr>
      <vt:lpstr>'1_mod_25_teeth'!a1_</vt:lpstr>
      <vt:lpstr>'1_mod_25_teeth (2)'!a1_</vt:lpstr>
      <vt:lpstr>'1_mod_50_teeth'!a1_</vt:lpstr>
      <vt:lpstr>a1_</vt:lpstr>
      <vt:lpstr>'0.75_mod_25_teeth (2)'!a2_</vt:lpstr>
      <vt:lpstr>'1_mod_100_teeth'!a2_</vt:lpstr>
      <vt:lpstr>'1_mod_25_teeth'!a2_</vt:lpstr>
      <vt:lpstr>'1_mod_25_teeth (2)'!a2_</vt:lpstr>
      <vt:lpstr>'1_mod_50_teeth'!a2_</vt:lpstr>
      <vt:lpstr>a2_</vt:lpstr>
      <vt:lpstr>'0.75_mod_25_teeth (2)'!a3_</vt:lpstr>
      <vt:lpstr>'1_mod_100_teeth'!a3_</vt:lpstr>
      <vt:lpstr>'1_mod_25_teeth'!a3_</vt:lpstr>
      <vt:lpstr>'1_mod_25_teeth (2)'!a3_</vt:lpstr>
      <vt:lpstr>'1_mod_50_teeth'!a3_</vt:lpstr>
      <vt:lpstr>a3_</vt:lpstr>
      <vt:lpstr>'0.75_mod_25_teeth (2)'!circ_pitch</vt:lpstr>
      <vt:lpstr>'1_mod_100_teeth'!circ_pitch</vt:lpstr>
      <vt:lpstr>'1_mod_25_teeth'!circ_pitch</vt:lpstr>
      <vt:lpstr>'1_mod_25_teeth (2)'!circ_pitch</vt:lpstr>
      <vt:lpstr>'1_mod_50_teeth'!circ_pitch</vt:lpstr>
      <vt:lpstr>circ_pitch</vt:lpstr>
      <vt:lpstr>'1_mod_25_teeth'!Dg</vt:lpstr>
      <vt:lpstr>'1_mod_25_teeth (2)'!Dg</vt:lpstr>
      <vt:lpstr>'1_mod_50_teeth'!Dg</vt:lpstr>
      <vt:lpstr>Dg</vt:lpstr>
      <vt:lpstr>'1_mod_25_teeth'!Dg_m</vt:lpstr>
      <vt:lpstr>'1_mod_25_teeth (2)'!Dg_m</vt:lpstr>
      <vt:lpstr>'1_mod_50_teeth'!Dg_m</vt:lpstr>
      <vt:lpstr>Dg_m</vt:lpstr>
      <vt:lpstr>'0.75_mod_25_teeth (2)'!Dp</vt:lpstr>
      <vt:lpstr>'1_mod_100_teeth'!Dp</vt:lpstr>
      <vt:lpstr>'1_mod_25_teeth'!Dp</vt:lpstr>
      <vt:lpstr>'1_mod_25_teeth (2)'!Dp</vt:lpstr>
      <vt:lpstr>'1_mod_50_teeth'!Dp</vt:lpstr>
      <vt:lpstr>Dp</vt:lpstr>
      <vt:lpstr>'0.75_mod_25_teeth (2)'!Dp_m</vt:lpstr>
      <vt:lpstr>'1_mod_100_teeth'!Dp_m</vt:lpstr>
      <vt:lpstr>'1_mod_25_teeth'!Dp_m</vt:lpstr>
      <vt:lpstr>'1_mod_25_teeth (2)'!Dp_m</vt:lpstr>
      <vt:lpstr>'1_mod_50_teeth'!Dp_m</vt:lpstr>
      <vt:lpstr>Dp_m</vt:lpstr>
      <vt:lpstr>'0.75_mod_25_teeth (2)'!E</vt:lpstr>
      <vt:lpstr>'1_mod_100_teeth'!E</vt:lpstr>
      <vt:lpstr>'1_mod_25_teeth'!E</vt:lpstr>
      <vt:lpstr>'1_mod_25_teeth (2)'!E</vt:lpstr>
      <vt:lpstr>'1_mod_50_teeth'!E</vt:lpstr>
      <vt:lpstr>E</vt:lpstr>
      <vt:lpstr>'0.75_mod_25_teeth (2)'!F</vt:lpstr>
      <vt:lpstr>'1_mod_100_teeth'!F</vt:lpstr>
      <vt:lpstr>'1_mod_25_teeth'!F</vt:lpstr>
      <vt:lpstr>'1_mod_25_teeth (2)'!F</vt:lpstr>
      <vt:lpstr>'1_mod_50_teeth'!F</vt:lpstr>
      <vt:lpstr>F</vt:lpstr>
      <vt:lpstr>'0.75_mod_25_teeth (2)'!F_m</vt:lpstr>
      <vt:lpstr>'1_mod_100_teeth'!F_m</vt:lpstr>
      <vt:lpstr>'1_mod_25_teeth'!F_m</vt:lpstr>
      <vt:lpstr>'1_mod_25_teeth (2)'!F_m</vt:lpstr>
      <vt:lpstr>'1_mod_50_teeth'!F_m</vt:lpstr>
      <vt:lpstr>F_m</vt:lpstr>
      <vt:lpstr>'0.75_mod_25_teeth (2)'!fw</vt:lpstr>
      <vt:lpstr>'1_mod_100_teeth'!fw</vt:lpstr>
      <vt:lpstr>'1_mod_25_teeth'!fw</vt:lpstr>
      <vt:lpstr>'1_mod_25_teeth (2)'!fw</vt:lpstr>
      <vt:lpstr>'1_mod_50_teeth'!fw</vt:lpstr>
      <vt:lpstr>fw</vt:lpstr>
      <vt:lpstr>'0.75_mod_25_teeth (2)'!fw_m</vt:lpstr>
      <vt:lpstr>'1_mod_100_teeth'!fw_m</vt:lpstr>
      <vt:lpstr>'1_mod_25_teeth'!fw_m</vt:lpstr>
      <vt:lpstr>'1_mod_25_teeth (2)'!fw_m</vt:lpstr>
      <vt:lpstr>'1_mod_50_teeth'!fw_m</vt:lpstr>
      <vt:lpstr>fw_m</vt:lpstr>
      <vt:lpstr>'0.75_mod_25_teeth (2)'!m</vt:lpstr>
      <vt:lpstr>'1_mod_100_teeth'!m</vt:lpstr>
      <vt:lpstr>'1_mod_25_teeth'!m</vt:lpstr>
      <vt:lpstr>'1_mod_25_teeth (2)'!m</vt:lpstr>
      <vt:lpstr>'1_mod_50_teeth'!m</vt:lpstr>
      <vt:lpstr>m</vt:lpstr>
      <vt:lpstr>'0.75_mod_25_teeth (2)'!module</vt:lpstr>
      <vt:lpstr>'1_mod_100_teeth'!module</vt:lpstr>
      <vt:lpstr>'1_mod_25_teeth'!module</vt:lpstr>
      <vt:lpstr>'1_mod_25_teeth (2)'!module</vt:lpstr>
      <vt:lpstr>'1_mod_50_teeth'!module</vt:lpstr>
      <vt:lpstr>module</vt:lpstr>
      <vt:lpstr>'0.75_mod_25_teeth (2)'!mu</vt:lpstr>
      <vt:lpstr>'1_mod_100_teeth'!mu</vt:lpstr>
      <vt:lpstr>'1_mod_25_teeth'!mu</vt:lpstr>
      <vt:lpstr>'1_mod_25_teeth (2)'!mu</vt:lpstr>
      <vt:lpstr>'1_mod_50_teeth'!mu</vt:lpstr>
      <vt:lpstr>mu</vt:lpstr>
      <vt:lpstr>'0.75_mod_25_teeth (2)'!Ng</vt:lpstr>
      <vt:lpstr>'1_mod_100_teeth'!Ng</vt:lpstr>
      <vt:lpstr>'1_mod_25_teeth'!Ng</vt:lpstr>
      <vt:lpstr>'1_mod_25_teeth (2)'!Ng</vt:lpstr>
      <vt:lpstr>'1_mod_50_teeth'!Ng</vt:lpstr>
      <vt:lpstr>Ng</vt:lpstr>
      <vt:lpstr>'0.75_mod_25_teeth (2)'!Np</vt:lpstr>
      <vt:lpstr>'1_mod_100_teeth'!Np</vt:lpstr>
      <vt:lpstr>'1_mod_25_teeth'!Np</vt:lpstr>
      <vt:lpstr>'1_mod_25_teeth (2)'!Np</vt:lpstr>
      <vt:lpstr>'1_mod_50_teeth'!Np</vt:lpstr>
      <vt:lpstr>Np</vt:lpstr>
      <vt:lpstr>'0.75_mod_25_teeth (2)'!Pd</vt:lpstr>
      <vt:lpstr>'1_mod_100_teeth'!Pd</vt:lpstr>
      <vt:lpstr>'1_mod_25_teeth'!Pd</vt:lpstr>
      <vt:lpstr>'1_mod_25_teeth (2)'!Pd</vt:lpstr>
      <vt:lpstr>'1_mod_50_teeth'!Pd</vt:lpstr>
      <vt:lpstr>Pd</vt:lpstr>
      <vt:lpstr>'0.75_mod_25_teeth (2)'!Pd_m</vt:lpstr>
      <vt:lpstr>'1_mod_100_teeth'!Pd_m</vt:lpstr>
      <vt:lpstr>'1_mod_25_teeth'!Pd_m</vt:lpstr>
      <vt:lpstr>'1_mod_25_teeth (2)'!Pd_m</vt:lpstr>
      <vt:lpstr>'1_mod_50_teeth'!Pd_m</vt:lpstr>
      <vt:lpstr>Pd_m</vt:lpstr>
      <vt:lpstr>'0.75_mod_25_teeth (2)'!phi</vt:lpstr>
      <vt:lpstr>'1_mod_100_teeth'!phi</vt:lpstr>
      <vt:lpstr>'1_mod_25_teeth'!phi</vt:lpstr>
      <vt:lpstr>'1_mod_25_teeth (2)'!phi</vt:lpstr>
      <vt:lpstr>'1_mod_50_teeth'!phi</vt:lpstr>
      <vt:lpstr>phi</vt:lpstr>
      <vt:lpstr>'0.75_mod_25_teeth (2)'!T</vt:lpstr>
      <vt:lpstr>'1_mod_100_teeth'!T</vt:lpstr>
      <vt:lpstr>'1_mod_25_teeth'!T</vt:lpstr>
      <vt:lpstr>'1_mod_25_teeth (2)'!T</vt:lpstr>
      <vt:lpstr>'1_mod_50_teeth'!T</vt:lpstr>
      <vt:lpstr>T</vt:lpstr>
      <vt:lpstr>'0.75_mod_25_teeth (2)'!Wt</vt:lpstr>
      <vt:lpstr>'1_mod_100_teeth'!Wt</vt:lpstr>
      <vt:lpstr>'1_mod_25_teeth'!Wt</vt:lpstr>
      <vt:lpstr>'1_mod_25_teeth (2)'!Wt</vt:lpstr>
      <vt:lpstr>'1_mod_50_teeth'!Wt</vt:lpstr>
      <vt:lpstr>Wt</vt:lpstr>
      <vt:lpstr>'0.75_mod_25_teeth (2)'!Wt_m</vt:lpstr>
      <vt:lpstr>'1_mod_100_teeth'!Wt_m</vt:lpstr>
      <vt:lpstr>'1_mod_25_teeth'!Wt_m</vt:lpstr>
      <vt:lpstr>'1_mod_25_teeth (2)'!Wt_m</vt:lpstr>
      <vt:lpstr>'1_mod_50_teeth'!Wt_m</vt:lpstr>
      <vt:lpstr>Wt_m</vt:lpstr>
      <vt:lpstr>'0.75_mod_25_teeth (2)'!Y</vt:lpstr>
      <vt:lpstr>'1_mod_100_teeth'!Y</vt:lpstr>
      <vt:lpstr>'1_mod_25_teeth'!Y</vt:lpstr>
      <vt:lpstr>'1_mod_25_teeth (2)'!Y</vt:lpstr>
      <vt:lpstr>'1_mod_50_teeth'!Y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 Studzinski</cp:lastModifiedBy>
  <dcterms:created xsi:type="dcterms:W3CDTF">2021-03-05T22:22:05Z</dcterms:created>
  <dcterms:modified xsi:type="dcterms:W3CDTF">2021-03-09T23:00:31Z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0x0101002FF31C6991F6E144A310FCA14C699D60</vt:lpwstr>
  </property>
</Properties>
</file>