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ver\OneDrive - Office 365 Fontys\project 2 the market\final docs\"/>
    </mc:Choice>
  </mc:AlternateContent>
  <xr:revisionPtr revIDLastSave="0" documentId="13_ncr:1_{BE0E4345-8DE8-4972-8145-13120F589D2F}" xr6:coauthVersionLast="47" xr6:coauthVersionMax="47" xr10:uidLastSave="{00000000-0000-0000-0000-000000000000}"/>
  <bookViews>
    <workbookView xWindow="-108" yWindow="-108" windowWidth="23256" windowHeight="13176" tabRatio="847" firstSheet="3" activeTab="10" xr2:uid="{FC25AF05-719B-446E-8BA1-FAA9291F1302}"/>
  </bookViews>
  <sheets>
    <sheet name="Given" sheetId="11" r:id="rId1"/>
    <sheet name="Budget" sheetId="16" r:id="rId2"/>
    <sheet name="Balance Sheet" sheetId="1" r:id="rId3"/>
    <sheet name="Loan payment plan 2" sheetId="6" r:id="rId4"/>
    <sheet name="New Balance Sheet" sheetId="22" r:id="rId5"/>
    <sheet name="Loan payment plan 3" sheetId="10" r:id="rId6"/>
    <sheet name="Loan payment plan 1" sheetId="9" r:id="rId7"/>
    <sheet name="Fixed Assets" sheetId="2" r:id="rId8"/>
    <sheet name="PLA" sheetId="14" r:id="rId9"/>
    <sheet name="Cost prices bicycles" sheetId="4" r:id="rId10"/>
    <sheet name="Liquidity Budget" sheetId="20" r:id="rId11"/>
    <sheet name="Ledgers" sheetId="18" r:id="rId12"/>
    <sheet name="Stock" sheetId="3" r:id="rId13"/>
    <sheet name="Purchases &amp; production usage" sheetId="17" r:id="rId14"/>
    <sheet name="Purchase value stock" sheetId="21" r:id="rId15"/>
    <sheet name="Departments and FTE" sheetId="12" r:id="rId16"/>
    <sheet name="Liabilities Long" sheetId="5" r:id="rId17"/>
    <sheet name="Lists" sheetId="7" r:id="rId18"/>
  </sheets>
  <definedNames>
    <definedName name="CostPrices">Lists!$A$16:$D$19</definedName>
    <definedName name="Forcasted_Production">Budget!$A$11:$I$14</definedName>
    <definedName name="Forcasted_SalesQuantity">Budget!$K$5:$S$8</definedName>
    <definedName name="LTL_ResidualLoan">'Liabilities Long'!$L$1:$M$4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2" l="1"/>
  <c r="E16" i="22"/>
  <c r="D10" i="22"/>
  <c r="C5" i="22"/>
  <c r="D4" i="22"/>
  <c r="C4" i="22"/>
  <c r="E17" i="22"/>
  <c r="D16" i="22"/>
  <c r="D15" i="22"/>
  <c r="E15" i="22"/>
  <c r="D6" i="14"/>
  <c r="D4" i="14"/>
  <c r="E4" i="14"/>
  <c r="F4" i="14" s="1"/>
  <c r="D9" i="14"/>
  <c r="C4" i="14"/>
  <c r="C9" i="14"/>
  <c r="G16" i="14"/>
  <c r="M19" i="14"/>
  <c r="G19" i="14"/>
  <c r="C15" i="14"/>
  <c r="D15" i="14" s="1"/>
  <c r="D14" i="14"/>
  <c r="E14" i="14" s="1"/>
  <c r="F14" i="14" s="1"/>
  <c r="I14" i="14" s="1"/>
  <c r="M13" i="14"/>
  <c r="G13" i="14"/>
  <c r="M12" i="14"/>
  <c r="G12" i="14"/>
  <c r="M11" i="14"/>
  <c r="G11" i="14"/>
  <c r="M10" i="14"/>
  <c r="G10" i="14"/>
  <c r="E9" i="14"/>
  <c r="C6" i="14"/>
  <c r="F6" i="14" l="1"/>
  <c r="I4" i="14"/>
  <c r="G15" i="14"/>
  <c r="E15" i="14"/>
  <c r="F15" i="14" s="1"/>
  <c r="I15" i="14" s="1"/>
  <c r="J14" i="14"/>
  <c r="K14" i="14" s="1"/>
  <c r="L14" i="14" s="1"/>
  <c r="E16" i="14"/>
  <c r="F9" i="14"/>
  <c r="G14" i="14"/>
  <c r="G4" i="14"/>
  <c r="C16" i="14"/>
  <c r="C18" i="14" s="1"/>
  <c r="D16" i="14"/>
  <c r="D18" i="14" s="1"/>
  <c r="D20" i="14" s="1"/>
  <c r="E6" i="14"/>
  <c r="E18" i="14" s="1"/>
  <c r="E20" i="14" s="1"/>
  <c r="C20" i="14" l="1"/>
  <c r="I9" i="14"/>
  <c r="F16" i="14"/>
  <c r="M14" i="14"/>
  <c r="G9" i="14"/>
  <c r="I6" i="14"/>
  <c r="J4" i="14"/>
  <c r="J15" i="14"/>
  <c r="K15" i="14" s="1"/>
  <c r="L15" i="14" s="1"/>
  <c r="G6" i="14"/>
  <c r="M15" i="14" l="1"/>
  <c r="J9" i="14"/>
  <c r="I16" i="14"/>
  <c r="I18" i="14"/>
  <c r="F18" i="14"/>
  <c r="K4" i="14"/>
  <c r="J6" i="14"/>
  <c r="L4" i="14" l="1"/>
  <c r="L6" i="14" s="1"/>
  <c r="K6" i="14"/>
  <c r="M4" i="14"/>
  <c r="M6" i="14" s="1"/>
  <c r="I20" i="14"/>
  <c r="F20" i="14"/>
  <c r="G20" i="14" s="1"/>
  <c r="G18" i="14"/>
  <c r="J16" i="14"/>
  <c r="K9" i="14"/>
  <c r="J18" i="14" l="1"/>
  <c r="K16" i="14"/>
  <c r="L9" i="14"/>
  <c r="K18" i="14"/>
  <c r="K20" i="14" s="1"/>
  <c r="J20" i="14" l="1"/>
  <c r="L16" i="14"/>
  <c r="M9" i="14"/>
  <c r="M16" i="14" l="1"/>
  <c r="L18" i="14"/>
  <c r="L20" i="14" l="1"/>
  <c r="M20" i="14" s="1"/>
  <c r="M18" i="14"/>
  <c r="E43" i="22" l="1"/>
  <c r="D8" i="22" s="1"/>
  <c r="E8" i="22" s="1"/>
  <c r="F8" i="22" s="1"/>
  <c r="G8" i="22" s="1"/>
  <c r="H8" i="22" s="1"/>
  <c r="I8" i="22" s="1"/>
  <c r="J8" i="22" s="1"/>
  <c r="C8" i="22"/>
  <c r="B12" i="14"/>
  <c r="I15" i="22"/>
  <c r="D17" i="22"/>
  <c r="C16" i="22"/>
  <c r="I14" i="1"/>
  <c r="L13" i="22"/>
  <c r="N13" i="22"/>
  <c r="O13" i="22"/>
  <c r="P13" i="22"/>
  <c r="Q13" i="22"/>
  <c r="R13" i="22"/>
  <c r="S13" i="22"/>
  <c r="N23" i="22"/>
  <c r="L23" i="22"/>
  <c r="L19" i="22"/>
  <c r="C23" i="22"/>
  <c r="C20" i="22"/>
  <c r="C21" i="22"/>
  <c r="E23" i="22"/>
  <c r="K32" i="1"/>
  <c r="K31" i="1"/>
  <c r="K33" i="1" s="1"/>
  <c r="F16" i="22"/>
  <c r="F15" i="22"/>
  <c r="G15" i="22" s="1"/>
  <c r="H15" i="22" s="1"/>
  <c r="J15" i="22" s="1"/>
  <c r="E10" i="22"/>
  <c r="F10" i="22" s="1"/>
  <c r="G10" i="22" s="1"/>
  <c r="H10" i="22" s="1"/>
  <c r="I10" i="22" s="1"/>
  <c r="J10" i="22" s="1"/>
  <c r="D9" i="22"/>
  <c r="E7" i="22"/>
  <c r="F7" i="22" s="1"/>
  <c r="G7" i="22" s="1"/>
  <c r="H7" i="22" s="1"/>
  <c r="I7" i="22" s="1"/>
  <c r="J7" i="22" s="1"/>
  <c r="E6" i="22"/>
  <c r="F6" i="22" s="1"/>
  <c r="G6" i="22" s="1"/>
  <c r="H6" i="22" s="1"/>
  <c r="I6" i="22" s="1"/>
  <c r="J6" i="22" s="1"/>
  <c r="D5" i="22"/>
  <c r="C7" i="22"/>
  <c r="C6" i="22"/>
  <c r="F18" i="22"/>
  <c r="G18" i="22" s="1"/>
  <c r="H18" i="22" s="1"/>
  <c r="I18" i="22" s="1"/>
  <c r="J18" i="22" s="1"/>
  <c r="F17" i="22"/>
  <c r="G17" i="22" s="1"/>
  <c r="H17" i="22" s="1"/>
  <c r="I17" i="22" s="1"/>
  <c r="J17" i="22" s="1"/>
  <c r="B85" i="12"/>
  <c r="B10" i="14"/>
  <c r="N5" i="16"/>
  <c r="N8" i="16" s="1"/>
  <c r="B83" i="12"/>
  <c r="M23" i="22"/>
  <c r="M13" i="22"/>
  <c r="C4" i="4"/>
  <c r="G16" i="22" l="1"/>
  <c r="F23" i="22"/>
  <c r="C12" i="22"/>
  <c r="C25" i="22" s="1"/>
  <c r="E9" i="22"/>
  <c r="F9" i="22" s="1"/>
  <c r="G9" i="22" s="1"/>
  <c r="H9" i="22" s="1"/>
  <c r="I9" i="22" s="1"/>
  <c r="J9" i="22" s="1"/>
  <c r="E5" i="22"/>
  <c r="D23" i="22"/>
  <c r="H51" i="12"/>
  <c r="H50" i="12"/>
  <c r="H49" i="12"/>
  <c r="H48" i="12"/>
  <c r="H47" i="12"/>
  <c r="H52" i="12" s="1"/>
  <c r="H44" i="12"/>
  <c r="H43" i="12"/>
  <c r="H42" i="12"/>
  <c r="H41" i="12"/>
  <c r="H40" i="12"/>
  <c r="H45" i="12" s="1"/>
  <c r="H37" i="12"/>
  <c r="H36" i="12"/>
  <c r="H35" i="12"/>
  <c r="H34" i="12"/>
  <c r="H33" i="12"/>
  <c r="H38" i="12" s="1"/>
  <c r="H30" i="12"/>
  <c r="H29" i="12"/>
  <c r="H28" i="12"/>
  <c r="H27" i="12"/>
  <c r="H26" i="12"/>
  <c r="H31" i="12" s="1"/>
  <c r="H24" i="12"/>
  <c r="H20" i="12"/>
  <c r="H21" i="12"/>
  <c r="H22" i="12"/>
  <c r="H23" i="12"/>
  <c r="H19" i="12"/>
  <c r="C19" i="18"/>
  <c r="A13" i="18"/>
  <c r="C13" i="18" s="1"/>
  <c r="C14" i="18" s="1"/>
  <c r="C15" i="18" s="1"/>
  <c r="C16" i="18" s="1"/>
  <c r="C17" i="18" s="1"/>
  <c r="C18" i="18" s="1"/>
  <c r="E3" i="2"/>
  <c r="F3" i="2" s="1"/>
  <c r="H3" i="2" s="1"/>
  <c r="F18" i="18" s="1"/>
  <c r="I2" i="1"/>
  <c r="L2" i="1" s="1"/>
  <c r="H55" i="12"/>
  <c r="H56" i="12"/>
  <c r="H57" i="12"/>
  <c r="H58" i="12"/>
  <c r="H59" i="12"/>
  <c r="H54" i="12"/>
  <c r="H6" i="12"/>
  <c r="H7" i="12"/>
  <c r="H8" i="12"/>
  <c r="H9" i="12"/>
  <c r="H10" i="12"/>
  <c r="H5" i="12"/>
  <c r="H3" i="12"/>
  <c r="G3" i="12"/>
  <c r="G24" i="12"/>
  <c r="G26" i="12"/>
  <c r="G27" i="12"/>
  <c r="G34" i="12" s="1"/>
  <c r="G28" i="12"/>
  <c r="G35" i="12" s="1"/>
  <c r="G29" i="12"/>
  <c r="G36" i="12" s="1"/>
  <c r="G30" i="12"/>
  <c r="G37" i="12" s="1"/>
  <c r="G54" i="12"/>
  <c r="G55" i="12"/>
  <c r="G56" i="12"/>
  <c r="G57" i="12"/>
  <c r="G58" i="12"/>
  <c r="G10" i="12"/>
  <c r="D3" i="12"/>
  <c r="E3" i="12"/>
  <c r="F3" i="12"/>
  <c r="C7" i="21"/>
  <c r="D3" i="20"/>
  <c r="N37" i="16"/>
  <c r="N31" i="16"/>
  <c r="N28" i="16"/>
  <c r="N22" i="16"/>
  <c r="N16" i="16"/>
  <c r="N10" i="16"/>
  <c r="D3" i="14"/>
  <c r="M9" i="18"/>
  <c r="C69" i="18"/>
  <c r="C77" i="18"/>
  <c r="C59" i="18"/>
  <c r="C49" i="18"/>
  <c r="C39" i="18"/>
  <c r="C29" i="18"/>
  <c r="I39" i="16"/>
  <c r="I38" i="16"/>
  <c r="I37" i="16"/>
  <c r="I36" i="16"/>
  <c r="I26" i="16"/>
  <c r="I25" i="16"/>
  <c r="I24" i="16"/>
  <c r="I23" i="16"/>
  <c r="I6" i="16"/>
  <c r="I7" i="16"/>
  <c r="I5" i="16"/>
  <c r="N4" i="16"/>
  <c r="R37" i="16"/>
  <c r="Q37" i="16"/>
  <c r="P37" i="16"/>
  <c r="O37" i="16"/>
  <c r="R31" i="16"/>
  <c r="Q31" i="16"/>
  <c r="P31" i="16"/>
  <c r="O31" i="16"/>
  <c r="R28" i="16"/>
  <c r="Q28" i="16"/>
  <c r="P28" i="16"/>
  <c r="O28" i="16"/>
  <c r="R22" i="16"/>
  <c r="Q22" i="16"/>
  <c r="P22" i="16"/>
  <c r="O22" i="16"/>
  <c r="R16" i="16"/>
  <c r="Q16" i="16"/>
  <c r="P16" i="16"/>
  <c r="O16" i="16"/>
  <c r="R10" i="16"/>
  <c r="Q10" i="16"/>
  <c r="P10" i="16"/>
  <c r="O10" i="16"/>
  <c r="F17" i="11"/>
  <c r="E71" i="16"/>
  <c r="F71" i="16"/>
  <c r="G71" i="16"/>
  <c r="H71" i="16"/>
  <c r="E66" i="16"/>
  <c r="F66" i="16"/>
  <c r="G66" i="16"/>
  <c r="H66" i="16"/>
  <c r="E57" i="16"/>
  <c r="F57" i="16"/>
  <c r="G57" i="16"/>
  <c r="H57" i="16"/>
  <c r="E51" i="16"/>
  <c r="F51" i="16"/>
  <c r="G51" i="16"/>
  <c r="H51" i="16"/>
  <c r="E46" i="16"/>
  <c r="F46" i="16"/>
  <c r="G46" i="16"/>
  <c r="H46" i="16"/>
  <c r="E41" i="16"/>
  <c r="F41" i="16"/>
  <c r="G41" i="16"/>
  <c r="H41" i="16"/>
  <c r="E35" i="16"/>
  <c r="F35" i="16"/>
  <c r="G35" i="16"/>
  <c r="H35" i="16"/>
  <c r="E28" i="16"/>
  <c r="F28" i="16"/>
  <c r="G28" i="16"/>
  <c r="H28" i="16"/>
  <c r="E22" i="16"/>
  <c r="F22" i="16"/>
  <c r="G22" i="16"/>
  <c r="H22" i="16"/>
  <c r="E16" i="16"/>
  <c r="F16" i="16"/>
  <c r="G16" i="16"/>
  <c r="H16" i="16"/>
  <c r="E10" i="16"/>
  <c r="F10" i="16"/>
  <c r="G10" i="16"/>
  <c r="H10" i="16"/>
  <c r="E4" i="16"/>
  <c r="F4" i="16"/>
  <c r="G4" i="16"/>
  <c r="H4" i="16"/>
  <c r="C3" i="20"/>
  <c r="E3" i="20"/>
  <c r="F3" i="20"/>
  <c r="G3" i="20"/>
  <c r="B70" i="11"/>
  <c r="P55" i="18" s="1"/>
  <c r="B35" i="1" s="1"/>
  <c r="M15" i="1" s="1"/>
  <c r="M59" i="18"/>
  <c r="L4" i="22" l="1"/>
  <c r="L25" i="22" s="1"/>
  <c r="H16" i="22"/>
  <c r="G23" i="22"/>
  <c r="F5" i="22"/>
  <c r="G5" i="22" s="1"/>
  <c r="H5" i="22" s="1"/>
  <c r="I5" i="22" s="1"/>
  <c r="G31" i="12"/>
  <c r="G65" i="12"/>
  <c r="G64" i="12"/>
  <c r="G61" i="12"/>
  <c r="G33" i="12"/>
  <c r="G40" i="12" s="1"/>
  <c r="G41" i="12"/>
  <c r="G69" i="12" s="1"/>
  <c r="G42" i="12"/>
  <c r="G70" i="12" s="1"/>
  <c r="G63" i="12"/>
  <c r="G44" i="12"/>
  <c r="G72" i="12" s="1"/>
  <c r="G79" i="12" s="1"/>
  <c r="G62" i="12"/>
  <c r="G66" i="12" s="1"/>
  <c r="G43" i="12"/>
  <c r="G71" i="12" s="1"/>
  <c r="G78" i="12" s="1"/>
  <c r="G59" i="12"/>
  <c r="P58" i="18"/>
  <c r="B16" i="20" s="1"/>
  <c r="B18" i="20"/>
  <c r="D61" i="16"/>
  <c r="D60" i="16"/>
  <c r="M51" i="18"/>
  <c r="M43" i="18"/>
  <c r="M35" i="18"/>
  <c r="M27" i="18"/>
  <c r="M21" i="18"/>
  <c r="M15" i="18"/>
  <c r="B5" i="20"/>
  <c r="C133" i="18"/>
  <c r="C125" i="18"/>
  <c r="C117" i="18"/>
  <c r="C109" i="18"/>
  <c r="C101" i="18"/>
  <c r="C93" i="18"/>
  <c r="C85" i="18"/>
  <c r="C9" i="18"/>
  <c r="I16" i="22" l="1"/>
  <c r="H23" i="22"/>
  <c r="J5" i="22"/>
  <c r="G49" i="12"/>
  <c r="G38" i="12"/>
  <c r="G76" i="12"/>
  <c r="G77" i="12"/>
  <c r="G50" i="12"/>
  <c r="G47" i="12"/>
  <c r="G68" i="12"/>
  <c r="G45" i="12"/>
  <c r="G51" i="12"/>
  <c r="G48" i="12"/>
  <c r="U3" i="17"/>
  <c r="U4" i="17"/>
  <c r="U5" i="17"/>
  <c r="F105" i="18"/>
  <c r="F97" i="18"/>
  <c r="D54" i="12"/>
  <c r="E54" i="12"/>
  <c r="F54" i="12"/>
  <c r="D55" i="12"/>
  <c r="E55" i="12"/>
  <c r="F55" i="12"/>
  <c r="D56" i="12"/>
  <c r="E56" i="12"/>
  <c r="F56" i="12"/>
  <c r="D57" i="12"/>
  <c r="E57" i="12"/>
  <c r="F57" i="12"/>
  <c r="D58" i="12"/>
  <c r="E58" i="12"/>
  <c r="F58" i="12"/>
  <c r="D26" i="12"/>
  <c r="D33" i="12" s="1"/>
  <c r="E26" i="12"/>
  <c r="E61" i="12" s="1"/>
  <c r="F26" i="12"/>
  <c r="F61" i="12" s="1"/>
  <c r="D27" i="12"/>
  <c r="D62" i="12" s="1"/>
  <c r="E27" i="12"/>
  <c r="E62" i="12" s="1"/>
  <c r="F27" i="12"/>
  <c r="F62" i="12" s="1"/>
  <c r="D28" i="12"/>
  <c r="D63" i="12" s="1"/>
  <c r="E28" i="12"/>
  <c r="F28" i="12"/>
  <c r="F63" i="12" s="1"/>
  <c r="D29" i="12"/>
  <c r="D64" i="12" s="1"/>
  <c r="E29" i="12"/>
  <c r="E64" i="12" s="1"/>
  <c r="F29" i="12"/>
  <c r="D30" i="12"/>
  <c r="D37" i="12" s="1"/>
  <c r="E30" i="12"/>
  <c r="E65" i="12" s="1"/>
  <c r="F30" i="12"/>
  <c r="F65" i="12" s="1"/>
  <c r="D24" i="12"/>
  <c r="E24" i="12"/>
  <c r="F24" i="12"/>
  <c r="C55" i="12"/>
  <c r="C56" i="12"/>
  <c r="C57" i="12"/>
  <c r="C58" i="12"/>
  <c r="C54" i="12"/>
  <c r="C24" i="12"/>
  <c r="C27" i="12"/>
  <c r="C34" i="12" s="1"/>
  <c r="C41" i="12" s="1"/>
  <c r="C69" i="12" s="1"/>
  <c r="C28" i="12"/>
  <c r="C35" i="12" s="1"/>
  <c r="C42" i="12" s="1"/>
  <c r="C70" i="12" s="1"/>
  <c r="C29" i="12"/>
  <c r="C64" i="12" s="1"/>
  <c r="C30" i="12"/>
  <c r="C37" i="12" s="1"/>
  <c r="C44" i="12" s="1"/>
  <c r="C72" i="12" s="1"/>
  <c r="C26" i="12"/>
  <c r="C33" i="12" s="1"/>
  <c r="D10" i="12"/>
  <c r="E10" i="12"/>
  <c r="F10" i="12"/>
  <c r="C10" i="12"/>
  <c r="C3" i="12"/>
  <c r="F43" i="11"/>
  <c r="E43" i="11"/>
  <c r="D43" i="11"/>
  <c r="C43" i="11"/>
  <c r="B43" i="11"/>
  <c r="B17" i="11"/>
  <c r="C17" i="11"/>
  <c r="D17" i="11"/>
  <c r="E17" i="11"/>
  <c r="B11" i="20"/>
  <c r="B3" i="20"/>
  <c r="C3" i="14"/>
  <c r="E3" i="14"/>
  <c r="F3" i="14"/>
  <c r="G3" i="14"/>
  <c r="B3" i="14"/>
  <c r="C4" i="21"/>
  <c r="C5" i="21"/>
  <c r="C6" i="21"/>
  <c r="C3" i="21"/>
  <c r="S37" i="16"/>
  <c r="S31" i="16"/>
  <c r="S28" i="16"/>
  <c r="S22" i="16"/>
  <c r="S16" i="16"/>
  <c r="S10" i="16"/>
  <c r="S4" i="16"/>
  <c r="R4" i="16"/>
  <c r="Q4" i="16"/>
  <c r="P4" i="16"/>
  <c r="O4" i="16"/>
  <c r="I71" i="16"/>
  <c r="D71" i="16"/>
  <c r="I66" i="16"/>
  <c r="D66" i="16"/>
  <c r="I57" i="16"/>
  <c r="D57" i="16"/>
  <c r="I51" i="16"/>
  <c r="D51" i="16"/>
  <c r="I46" i="16"/>
  <c r="D46" i="16"/>
  <c r="I41" i="16"/>
  <c r="D41" i="16"/>
  <c r="I35" i="16"/>
  <c r="D35" i="16"/>
  <c r="I28" i="16"/>
  <c r="I33" i="16" s="1"/>
  <c r="H33" i="16"/>
  <c r="G33" i="16"/>
  <c r="F33" i="16"/>
  <c r="E33" i="16"/>
  <c r="D28" i="16"/>
  <c r="I22" i="16"/>
  <c r="D22" i="16"/>
  <c r="I16" i="16"/>
  <c r="D16" i="16"/>
  <c r="I10" i="16"/>
  <c r="D10" i="16"/>
  <c r="I4" i="16"/>
  <c r="D4" i="16"/>
  <c r="AE3" i="17"/>
  <c r="AE5" i="17"/>
  <c r="AE4" i="17"/>
  <c r="X4" i="17"/>
  <c r="X5" i="17"/>
  <c r="X3" i="17"/>
  <c r="D4" i="17"/>
  <c r="D5" i="17"/>
  <c r="D6" i="17"/>
  <c r="D7" i="17"/>
  <c r="D8" i="17"/>
  <c r="D9" i="17"/>
  <c r="D10" i="17"/>
  <c r="D11" i="17"/>
  <c r="D3" i="17"/>
  <c r="M11" i="17"/>
  <c r="M10" i="17"/>
  <c r="M9" i="17"/>
  <c r="M8" i="17"/>
  <c r="M7" i="17"/>
  <c r="M6" i="17"/>
  <c r="M5" i="17"/>
  <c r="M4" i="17"/>
  <c r="M3" i="17"/>
  <c r="R6" i="16"/>
  <c r="R7" i="16"/>
  <c r="R5" i="16"/>
  <c r="R35" i="16"/>
  <c r="S34" i="16"/>
  <c r="S33" i="16"/>
  <c r="S32" i="16"/>
  <c r="P35" i="16"/>
  <c r="Q35" i="16"/>
  <c r="O5" i="16"/>
  <c r="P5" i="16"/>
  <c r="Q5" i="16"/>
  <c r="E74" i="16"/>
  <c r="F74" i="16"/>
  <c r="G74" i="16"/>
  <c r="H74" i="16"/>
  <c r="I74" i="16"/>
  <c r="E69" i="16"/>
  <c r="F69" i="16"/>
  <c r="G69" i="16"/>
  <c r="H69" i="16"/>
  <c r="I69" i="16"/>
  <c r="E64" i="16"/>
  <c r="F64" i="16"/>
  <c r="G64" i="16"/>
  <c r="H64" i="16"/>
  <c r="I64" i="16"/>
  <c r="E55" i="16"/>
  <c r="F55" i="16"/>
  <c r="G55" i="16"/>
  <c r="H55" i="16"/>
  <c r="I55" i="16"/>
  <c r="H12" i="16"/>
  <c r="H13" i="16"/>
  <c r="H11" i="16"/>
  <c r="E11" i="16"/>
  <c r="F11" i="16"/>
  <c r="G11" i="16"/>
  <c r="E12" i="16"/>
  <c r="F12" i="16"/>
  <c r="P6" i="16" s="1"/>
  <c r="G12" i="16"/>
  <c r="Q6" i="16" s="1"/>
  <c r="E13" i="16"/>
  <c r="F13" i="16"/>
  <c r="P7" i="16" s="1"/>
  <c r="G13" i="16"/>
  <c r="Q7" i="16" s="1"/>
  <c r="D12" i="16"/>
  <c r="L4" i="17" s="1"/>
  <c r="D13" i="16"/>
  <c r="F5" i="17" s="1"/>
  <c r="F8" i="17" s="1"/>
  <c r="D11" i="16"/>
  <c r="F3" i="17" s="1"/>
  <c r="F6" i="17" s="1"/>
  <c r="E49" i="16"/>
  <c r="F49" i="16"/>
  <c r="G49" i="16"/>
  <c r="H49" i="16"/>
  <c r="I49" i="16"/>
  <c r="D49" i="16"/>
  <c r="J16" i="22" l="1"/>
  <c r="J23" i="22" s="1"/>
  <c r="I23" i="22"/>
  <c r="H62" i="12"/>
  <c r="G52" i="12"/>
  <c r="S5" i="16"/>
  <c r="I11" i="16"/>
  <c r="G73" i="12"/>
  <c r="G75" i="12"/>
  <c r="G80" i="12" s="1"/>
  <c r="D59" i="12"/>
  <c r="F31" i="12"/>
  <c r="F35" i="12"/>
  <c r="E59" i="12"/>
  <c r="D61" i="12"/>
  <c r="H61" i="12" s="1"/>
  <c r="F59" i="12"/>
  <c r="D35" i="12"/>
  <c r="D42" i="12" s="1"/>
  <c r="D70" i="12" s="1"/>
  <c r="E34" i="12"/>
  <c r="E41" i="12" s="1"/>
  <c r="E69" i="12" s="1"/>
  <c r="E76" i="12" s="1"/>
  <c r="O7" i="16"/>
  <c r="S7" i="16" s="1"/>
  <c r="I13" i="16"/>
  <c r="O6" i="16"/>
  <c r="S6" i="16" s="1"/>
  <c r="I12" i="16"/>
  <c r="F33" i="12"/>
  <c r="F40" i="12" s="1"/>
  <c r="F68" i="12" s="1"/>
  <c r="F75" i="12" s="1"/>
  <c r="D31" i="12"/>
  <c r="E31" i="12"/>
  <c r="F37" i="12"/>
  <c r="F44" i="12" s="1"/>
  <c r="F72" i="12" s="1"/>
  <c r="F79" i="12" s="1"/>
  <c r="D65" i="12"/>
  <c r="H65" i="12" s="1"/>
  <c r="E36" i="12"/>
  <c r="E43" i="12" s="1"/>
  <c r="E71" i="12" s="1"/>
  <c r="E78" i="12" s="1"/>
  <c r="B13" i="20"/>
  <c r="L3" i="17"/>
  <c r="O3" i="17" s="1"/>
  <c r="P3" i="17" s="1"/>
  <c r="I5" i="17"/>
  <c r="O4" i="17"/>
  <c r="P4" i="17" s="1"/>
  <c r="L5" i="17"/>
  <c r="O5" i="17" s="1"/>
  <c r="P5" i="17" s="1"/>
  <c r="I3" i="17"/>
  <c r="F4" i="17"/>
  <c r="F7" i="17" s="1"/>
  <c r="F10" i="17" s="1"/>
  <c r="I10" i="17" s="1"/>
  <c r="B15" i="1"/>
  <c r="J16" i="1" s="1"/>
  <c r="F36" i="12"/>
  <c r="E35" i="12"/>
  <c r="D34" i="12"/>
  <c r="D44" i="12"/>
  <c r="D51" i="12" s="1"/>
  <c r="F42" i="12"/>
  <c r="F70" i="12" s="1"/>
  <c r="F77" i="12" s="1"/>
  <c r="D40" i="12"/>
  <c r="F64" i="12"/>
  <c r="H64" i="12" s="1"/>
  <c r="E63" i="12"/>
  <c r="H63" i="12" s="1"/>
  <c r="E37" i="12"/>
  <c r="D36" i="12"/>
  <c r="F34" i="12"/>
  <c r="E33" i="12"/>
  <c r="C63" i="12"/>
  <c r="C49" i="12"/>
  <c r="C59" i="12"/>
  <c r="B9" i="20" s="1"/>
  <c r="C36" i="12"/>
  <c r="C48" i="12"/>
  <c r="C61" i="12"/>
  <c r="C62" i="12"/>
  <c r="C51" i="12"/>
  <c r="C65" i="12"/>
  <c r="C40" i="12"/>
  <c r="C31" i="12"/>
  <c r="B13" i="14"/>
  <c r="I6" i="17"/>
  <c r="N4" i="17"/>
  <c r="L7" i="17"/>
  <c r="S35" i="16"/>
  <c r="Q8" i="16"/>
  <c r="R8" i="16"/>
  <c r="P8" i="16"/>
  <c r="H44" i="16"/>
  <c r="I44" i="16"/>
  <c r="E44" i="16"/>
  <c r="F44" i="16"/>
  <c r="G44" i="16"/>
  <c r="D44" i="16"/>
  <c r="E39" i="16"/>
  <c r="F39" i="16"/>
  <c r="G39" i="16"/>
  <c r="H39" i="16"/>
  <c r="I4" i="5"/>
  <c r="E8" i="16"/>
  <c r="F8" i="16"/>
  <c r="G8" i="16"/>
  <c r="H8" i="16"/>
  <c r="D8" i="16"/>
  <c r="I12" i="4"/>
  <c r="N12" i="4"/>
  <c r="D12" i="4"/>
  <c r="H20" i="16"/>
  <c r="E26" i="16"/>
  <c r="F26" i="16"/>
  <c r="G26" i="16"/>
  <c r="F20" i="16"/>
  <c r="G20" i="16"/>
  <c r="E17" i="16"/>
  <c r="I17" i="16" s="1"/>
  <c r="E18" i="16"/>
  <c r="I18" i="16" s="1"/>
  <c r="E19" i="16"/>
  <c r="I19" i="16" s="1"/>
  <c r="D24" i="16"/>
  <c r="D19" i="16"/>
  <c r="G11" i="17"/>
  <c r="G10" i="17"/>
  <c r="G9" i="17"/>
  <c r="G8" i="17"/>
  <c r="G7" i="17"/>
  <c r="G6" i="17"/>
  <c r="G3" i="17"/>
  <c r="G4" i="17"/>
  <c r="G5" i="17"/>
  <c r="F73" i="18"/>
  <c r="B12" i="1" s="1"/>
  <c r="J13" i="1" s="1"/>
  <c r="G2" i="7"/>
  <c r="O8" i="16" l="1"/>
  <c r="S8" i="16"/>
  <c r="I8" i="16"/>
  <c r="D66" i="12"/>
  <c r="B12" i="20"/>
  <c r="L6" i="17"/>
  <c r="L9" i="17" s="1"/>
  <c r="O9" i="17" s="1"/>
  <c r="P9" i="17" s="1"/>
  <c r="C68" i="12"/>
  <c r="C75" i="12" s="1"/>
  <c r="E40" i="12"/>
  <c r="E68" i="12" s="1"/>
  <c r="E75" i="12" s="1"/>
  <c r="D41" i="12"/>
  <c r="D48" i="12" s="1"/>
  <c r="F49" i="12"/>
  <c r="C79" i="12"/>
  <c r="D72" i="16" s="1"/>
  <c r="C77" i="12"/>
  <c r="F41" i="12"/>
  <c r="F69" i="12" s="1"/>
  <c r="F76" i="12" s="1"/>
  <c r="E66" i="12"/>
  <c r="E38" i="12"/>
  <c r="E42" i="12"/>
  <c r="D77" i="12"/>
  <c r="F47" i="12"/>
  <c r="C38" i="12"/>
  <c r="D43" i="12"/>
  <c r="D71" i="12" s="1"/>
  <c r="F66" i="12"/>
  <c r="D72" i="12"/>
  <c r="H72" i="12" s="1"/>
  <c r="F38" i="12"/>
  <c r="F43" i="12"/>
  <c r="D49" i="12"/>
  <c r="E50" i="12"/>
  <c r="C76" i="12"/>
  <c r="E44" i="12"/>
  <c r="E72" i="12" s="1"/>
  <c r="E79" i="12" s="1"/>
  <c r="D68" i="12"/>
  <c r="D38" i="12"/>
  <c r="E48" i="12"/>
  <c r="F51" i="12"/>
  <c r="D47" i="12"/>
  <c r="C66" i="12"/>
  <c r="C43" i="12"/>
  <c r="C47" i="12"/>
  <c r="I7" i="17"/>
  <c r="J7" i="17" s="1"/>
  <c r="L8" i="17"/>
  <c r="L11" i="17" s="1"/>
  <c r="N3" i="17"/>
  <c r="I4" i="17"/>
  <c r="J4" i="17" s="1"/>
  <c r="N5" i="17"/>
  <c r="F9" i="17"/>
  <c r="I9" i="17" s="1"/>
  <c r="J9" i="17" s="1"/>
  <c r="F11" i="17"/>
  <c r="I11" i="17" s="1"/>
  <c r="J11" i="17" s="1"/>
  <c r="I8" i="17"/>
  <c r="J8" i="17" s="1"/>
  <c r="L10" i="17"/>
  <c r="O7" i="17"/>
  <c r="P7" i="17" s="1"/>
  <c r="N7" i="17"/>
  <c r="E20" i="16"/>
  <c r="I20" i="16" s="1"/>
  <c r="H7" i="17"/>
  <c r="J5" i="17"/>
  <c r="H5" i="17"/>
  <c r="H10" i="17"/>
  <c r="J10" i="17"/>
  <c r="H4" i="17"/>
  <c r="H8" i="17"/>
  <c r="D17" i="16"/>
  <c r="D25" i="16"/>
  <c r="D18" i="16"/>
  <c r="G14" i="16"/>
  <c r="D23" i="16"/>
  <c r="F14" i="16"/>
  <c r="H3" i="17"/>
  <c r="J3" i="17"/>
  <c r="J6" i="17"/>
  <c r="E14" i="16"/>
  <c r="H6" i="17"/>
  <c r="N6" i="16"/>
  <c r="N7" i="16"/>
  <c r="D14" i="16"/>
  <c r="D59" i="16"/>
  <c r="N11" i="4"/>
  <c r="N23" i="4" s="1"/>
  <c r="I11" i="4"/>
  <c r="I23" i="4" s="1"/>
  <c r="D11" i="4"/>
  <c r="D23" i="4" s="1"/>
  <c r="B35" i="11"/>
  <c r="B37" i="11" s="1"/>
  <c r="B32" i="11"/>
  <c r="I2" i="7"/>
  <c r="H2" i="7"/>
  <c r="B34" i="1"/>
  <c r="B4" i="10"/>
  <c r="B5" i="10" s="1"/>
  <c r="J97" i="10"/>
  <c r="G97" i="10"/>
  <c r="J96" i="10"/>
  <c r="G96" i="10"/>
  <c r="H96" i="10" s="1"/>
  <c r="J95" i="10"/>
  <c r="G95" i="10"/>
  <c r="J94" i="10"/>
  <c r="G94" i="10"/>
  <c r="H94" i="10" s="1"/>
  <c r="J93" i="10"/>
  <c r="G93" i="10"/>
  <c r="J92" i="10"/>
  <c r="G92" i="10"/>
  <c r="H92" i="10" s="1"/>
  <c r="J91" i="10"/>
  <c r="G91" i="10"/>
  <c r="J90" i="10"/>
  <c r="G90" i="10"/>
  <c r="H90" i="10" s="1"/>
  <c r="J89" i="10"/>
  <c r="G89" i="10"/>
  <c r="J88" i="10"/>
  <c r="G88" i="10"/>
  <c r="H88" i="10" s="1"/>
  <c r="J87" i="10"/>
  <c r="G87" i="10"/>
  <c r="J86" i="10"/>
  <c r="G86" i="10"/>
  <c r="H86" i="10" s="1"/>
  <c r="J85" i="10"/>
  <c r="G85" i="10"/>
  <c r="J84" i="10"/>
  <c r="G84" i="10"/>
  <c r="H84" i="10" s="1"/>
  <c r="J83" i="10"/>
  <c r="G83" i="10"/>
  <c r="J82" i="10"/>
  <c r="G82" i="10"/>
  <c r="H82" i="10" s="1"/>
  <c r="J81" i="10"/>
  <c r="G81" i="10"/>
  <c r="J80" i="10"/>
  <c r="G80" i="10"/>
  <c r="H80" i="10" s="1"/>
  <c r="J79" i="10"/>
  <c r="G79" i="10"/>
  <c r="I79" i="10" s="1"/>
  <c r="J78" i="10"/>
  <c r="G78" i="10"/>
  <c r="J77" i="10"/>
  <c r="G77" i="10"/>
  <c r="J76" i="10"/>
  <c r="G76" i="10"/>
  <c r="J75" i="10"/>
  <c r="G75" i="10"/>
  <c r="I75" i="10" s="1"/>
  <c r="J74" i="10"/>
  <c r="G74" i="10"/>
  <c r="J73" i="10"/>
  <c r="G73" i="10"/>
  <c r="H73" i="10" s="1"/>
  <c r="J72" i="10"/>
  <c r="G72" i="10"/>
  <c r="J71" i="10"/>
  <c r="G71" i="10"/>
  <c r="H71" i="10" s="1"/>
  <c r="J70" i="10"/>
  <c r="G70" i="10"/>
  <c r="J69" i="10"/>
  <c r="G69" i="10"/>
  <c r="J68" i="10"/>
  <c r="G68" i="10"/>
  <c r="J67" i="10"/>
  <c r="G67" i="10"/>
  <c r="I67" i="10" s="1"/>
  <c r="J66" i="10"/>
  <c r="G66" i="10"/>
  <c r="J65" i="10"/>
  <c r="I65" i="10"/>
  <c r="G65" i="10"/>
  <c r="H65" i="10" s="1"/>
  <c r="J64" i="10"/>
  <c r="G64" i="10"/>
  <c r="J63" i="10"/>
  <c r="G63" i="10"/>
  <c r="H63" i="10" s="1"/>
  <c r="J62" i="10"/>
  <c r="G62" i="10"/>
  <c r="J61" i="10"/>
  <c r="G61" i="10"/>
  <c r="J60" i="10"/>
  <c r="G60" i="10"/>
  <c r="J59" i="10"/>
  <c r="K59" i="10" s="1"/>
  <c r="G59" i="10"/>
  <c r="I59" i="10" s="1"/>
  <c r="J58" i="10"/>
  <c r="G58" i="10"/>
  <c r="J57" i="10"/>
  <c r="G57" i="10"/>
  <c r="H57" i="10" s="1"/>
  <c r="J56" i="10"/>
  <c r="G56" i="10"/>
  <c r="H56" i="10" s="1"/>
  <c r="J55" i="10"/>
  <c r="G55" i="10"/>
  <c r="H55" i="10" s="1"/>
  <c r="J54" i="10"/>
  <c r="G54" i="10"/>
  <c r="H54" i="10" s="1"/>
  <c r="J53" i="10"/>
  <c r="G53" i="10"/>
  <c r="H53" i="10" s="1"/>
  <c r="J52" i="10"/>
  <c r="G52" i="10"/>
  <c r="H52" i="10" s="1"/>
  <c r="J51" i="10"/>
  <c r="G51" i="10"/>
  <c r="H51" i="10" s="1"/>
  <c r="J50" i="10"/>
  <c r="G50" i="10"/>
  <c r="H50" i="10" s="1"/>
  <c r="J49" i="10"/>
  <c r="G49" i="10"/>
  <c r="H49" i="10" s="1"/>
  <c r="J48" i="10"/>
  <c r="G48" i="10"/>
  <c r="H48" i="10" s="1"/>
  <c r="J47" i="10"/>
  <c r="G47" i="10"/>
  <c r="H47" i="10" s="1"/>
  <c r="J46" i="10"/>
  <c r="G46" i="10"/>
  <c r="I46" i="10" s="1"/>
  <c r="J45" i="10"/>
  <c r="G45" i="10"/>
  <c r="H45" i="10" s="1"/>
  <c r="J44" i="10"/>
  <c r="G44" i="10"/>
  <c r="I44" i="10" s="1"/>
  <c r="J43" i="10"/>
  <c r="G43" i="10"/>
  <c r="H43" i="10" s="1"/>
  <c r="J42" i="10"/>
  <c r="G42" i="10"/>
  <c r="I42" i="10" s="1"/>
  <c r="J41" i="10"/>
  <c r="G41" i="10"/>
  <c r="H41" i="10" s="1"/>
  <c r="J40" i="10"/>
  <c r="G40" i="10"/>
  <c r="I40" i="10" s="1"/>
  <c r="J39" i="10"/>
  <c r="G39" i="10"/>
  <c r="H39" i="10" s="1"/>
  <c r="J38" i="10"/>
  <c r="G38" i="10"/>
  <c r="I38" i="10" s="1"/>
  <c r="J37" i="10"/>
  <c r="G37" i="10"/>
  <c r="H37" i="10" s="1"/>
  <c r="J36" i="10"/>
  <c r="G36" i="10"/>
  <c r="I36" i="10" s="1"/>
  <c r="J35" i="10"/>
  <c r="G35" i="10"/>
  <c r="H35" i="10" s="1"/>
  <c r="J34" i="10"/>
  <c r="G34" i="10"/>
  <c r="I34" i="10" s="1"/>
  <c r="J33" i="10"/>
  <c r="G33" i="10"/>
  <c r="H33" i="10" s="1"/>
  <c r="J32" i="10"/>
  <c r="G32" i="10"/>
  <c r="I32" i="10" s="1"/>
  <c r="J31" i="10"/>
  <c r="G31" i="10"/>
  <c r="I31" i="10" s="1"/>
  <c r="J30" i="10"/>
  <c r="G30" i="10"/>
  <c r="J29" i="10"/>
  <c r="G29" i="10"/>
  <c r="I29" i="10" s="1"/>
  <c r="J28" i="10"/>
  <c r="G28" i="10"/>
  <c r="I28" i="10" s="1"/>
  <c r="J27" i="10"/>
  <c r="G27" i="10"/>
  <c r="I27" i="10" s="1"/>
  <c r="J26" i="10"/>
  <c r="G26" i="10"/>
  <c r="H26" i="10" s="1"/>
  <c r="J25" i="10"/>
  <c r="G25" i="10"/>
  <c r="I25" i="10" s="1"/>
  <c r="J24" i="10"/>
  <c r="G24" i="10"/>
  <c r="J23" i="10"/>
  <c r="G23" i="10"/>
  <c r="I23" i="10" s="1"/>
  <c r="J22" i="10"/>
  <c r="G22" i="10"/>
  <c r="J21" i="10"/>
  <c r="G21" i="10"/>
  <c r="I21" i="10" s="1"/>
  <c r="J20" i="10"/>
  <c r="G20" i="10"/>
  <c r="I20" i="10" s="1"/>
  <c r="J19" i="10"/>
  <c r="G19" i="10"/>
  <c r="I19" i="10" s="1"/>
  <c r="J18" i="10"/>
  <c r="G18" i="10"/>
  <c r="H18" i="10" s="1"/>
  <c r="J17" i="10"/>
  <c r="G17" i="10"/>
  <c r="I17" i="10" s="1"/>
  <c r="J16" i="10"/>
  <c r="G16" i="10"/>
  <c r="I16" i="10" s="1"/>
  <c r="J15" i="10"/>
  <c r="G15" i="10"/>
  <c r="I15" i="10" s="1"/>
  <c r="J14" i="10"/>
  <c r="G14" i="10"/>
  <c r="J13" i="10"/>
  <c r="G13" i="10"/>
  <c r="I13" i="10" s="1"/>
  <c r="J12" i="10"/>
  <c r="G12" i="10"/>
  <c r="I12" i="10" s="1"/>
  <c r="J11" i="10"/>
  <c r="G11" i="10"/>
  <c r="I11" i="10" s="1"/>
  <c r="J10" i="10"/>
  <c r="G10" i="10"/>
  <c r="H10" i="10" s="1"/>
  <c r="J9" i="10"/>
  <c r="G9" i="10"/>
  <c r="I9" i="10" s="1"/>
  <c r="J8" i="10"/>
  <c r="G8" i="10"/>
  <c r="I8" i="10" s="1"/>
  <c r="J7" i="10"/>
  <c r="G7" i="10"/>
  <c r="J6" i="10"/>
  <c r="G6" i="10"/>
  <c r="I6" i="10" s="1"/>
  <c r="J5" i="10"/>
  <c r="G5" i="10"/>
  <c r="J4" i="10"/>
  <c r="G4" i="10"/>
  <c r="J3" i="10"/>
  <c r="G3" i="10"/>
  <c r="I3" i="10" s="1"/>
  <c r="E3" i="10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J2" i="10"/>
  <c r="G2" i="10"/>
  <c r="I2" i="10" s="1"/>
  <c r="B4" i="6"/>
  <c r="B5" i="6" s="1"/>
  <c r="J301" i="9"/>
  <c r="G301" i="9"/>
  <c r="I301" i="9" s="1"/>
  <c r="J300" i="9"/>
  <c r="G300" i="9"/>
  <c r="J299" i="9"/>
  <c r="G299" i="9"/>
  <c r="H299" i="9" s="1"/>
  <c r="J298" i="9"/>
  <c r="G298" i="9"/>
  <c r="H298" i="9" s="1"/>
  <c r="J297" i="9"/>
  <c r="G297" i="9"/>
  <c r="H297" i="9" s="1"/>
  <c r="J296" i="9"/>
  <c r="G296" i="9"/>
  <c r="H296" i="9" s="1"/>
  <c r="J295" i="9"/>
  <c r="G295" i="9"/>
  <c r="H295" i="9" s="1"/>
  <c r="J294" i="9"/>
  <c r="G294" i="9"/>
  <c r="H294" i="9" s="1"/>
  <c r="J293" i="9"/>
  <c r="G293" i="9"/>
  <c r="H293" i="9" s="1"/>
  <c r="J292" i="9"/>
  <c r="G292" i="9"/>
  <c r="H292" i="9" s="1"/>
  <c r="J291" i="9"/>
  <c r="G291" i="9"/>
  <c r="H291" i="9" s="1"/>
  <c r="J290" i="9"/>
  <c r="G290" i="9"/>
  <c r="H290" i="9" s="1"/>
  <c r="J289" i="9"/>
  <c r="G289" i="9"/>
  <c r="H289" i="9" s="1"/>
  <c r="J288" i="9"/>
  <c r="G288" i="9"/>
  <c r="H288" i="9" s="1"/>
  <c r="J287" i="9"/>
  <c r="G287" i="9"/>
  <c r="H287" i="9" s="1"/>
  <c r="J286" i="9"/>
  <c r="G286" i="9"/>
  <c r="H286" i="9" s="1"/>
  <c r="J285" i="9"/>
  <c r="G285" i="9"/>
  <c r="J284" i="9"/>
  <c r="G284" i="9"/>
  <c r="H284" i="9" s="1"/>
  <c r="J283" i="9"/>
  <c r="G283" i="9"/>
  <c r="J282" i="9"/>
  <c r="G282" i="9"/>
  <c r="H282" i="9" s="1"/>
  <c r="J281" i="9"/>
  <c r="G281" i="9"/>
  <c r="J280" i="9"/>
  <c r="G280" i="9"/>
  <c r="H280" i="9" s="1"/>
  <c r="J279" i="9"/>
  <c r="G279" i="9"/>
  <c r="J278" i="9"/>
  <c r="G278" i="9"/>
  <c r="H278" i="9" s="1"/>
  <c r="J277" i="9"/>
  <c r="G277" i="9"/>
  <c r="J276" i="9"/>
  <c r="G276" i="9"/>
  <c r="H276" i="9" s="1"/>
  <c r="J275" i="9"/>
  <c r="G275" i="9"/>
  <c r="J274" i="9"/>
  <c r="G274" i="9"/>
  <c r="H274" i="9" s="1"/>
  <c r="J273" i="9"/>
  <c r="G273" i="9"/>
  <c r="J272" i="9"/>
  <c r="G272" i="9"/>
  <c r="H272" i="9" s="1"/>
  <c r="J271" i="9"/>
  <c r="G271" i="9"/>
  <c r="J270" i="9"/>
  <c r="G270" i="9"/>
  <c r="H270" i="9" s="1"/>
  <c r="J269" i="9"/>
  <c r="G269" i="9"/>
  <c r="J268" i="9"/>
  <c r="G268" i="9"/>
  <c r="H268" i="9" s="1"/>
  <c r="J267" i="9"/>
  <c r="G267" i="9"/>
  <c r="J266" i="9"/>
  <c r="G266" i="9"/>
  <c r="H266" i="9" s="1"/>
  <c r="J265" i="9"/>
  <c r="G265" i="9"/>
  <c r="J264" i="9"/>
  <c r="G264" i="9"/>
  <c r="H264" i="9" s="1"/>
  <c r="J263" i="9"/>
  <c r="G263" i="9"/>
  <c r="J262" i="9"/>
  <c r="G262" i="9"/>
  <c r="H262" i="9" s="1"/>
  <c r="J261" i="9"/>
  <c r="G261" i="9"/>
  <c r="I261" i="9" s="1"/>
  <c r="J260" i="9"/>
  <c r="G260" i="9"/>
  <c r="J259" i="9"/>
  <c r="G259" i="9"/>
  <c r="H259" i="9" s="1"/>
  <c r="J258" i="9"/>
  <c r="G258" i="9"/>
  <c r="H258" i="9" s="1"/>
  <c r="J257" i="9"/>
  <c r="G257" i="9"/>
  <c r="H257" i="9" s="1"/>
  <c r="J256" i="9"/>
  <c r="G256" i="9"/>
  <c r="H256" i="9" s="1"/>
  <c r="J255" i="9"/>
  <c r="G255" i="9"/>
  <c r="H255" i="9" s="1"/>
  <c r="J254" i="9"/>
  <c r="G254" i="9"/>
  <c r="H254" i="9" s="1"/>
  <c r="J253" i="9"/>
  <c r="G253" i="9"/>
  <c r="H253" i="9" s="1"/>
  <c r="J252" i="9"/>
  <c r="G252" i="9"/>
  <c r="H252" i="9" s="1"/>
  <c r="J251" i="9"/>
  <c r="G251" i="9"/>
  <c r="H251" i="9" s="1"/>
  <c r="J250" i="9"/>
  <c r="G250" i="9"/>
  <c r="H250" i="9" s="1"/>
  <c r="J249" i="9"/>
  <c r="G249" i="9"/>
  <c r="H249" i="9" s="1"/>
  <c r="J248" i="9"/>
  <c r="G248" i="9"/>
  <c r="H248" i="9" s="1"/>
  <c r="J247" i="9"/>
  <c r="G247" i="9"/>
  <c r="H247" i="9" s="1"/>
  <c r="J246" i="9"/>
  <c r="G246" i="9"/>
  <c r="H246" i="9" s="1"/>
  <c r="J245" i="9"/>
  <c r="G245" i="9"/>
  <c r="H245" i="9" s="1"/>
  <c r="J244" i="9"/>
  <c r="G244" i="9"/>
  <c r="H244" i="9" s="1"/>
  <c r="J243" i="9"/>
  <c r="G243" i="9"/>
  <c r="H243" i="9" s="1"/>
  <c r="J242" i="9"/>
  <c r="G242" i="9"/>
  <c r="H242" i="9" s="1"/>
  <c r="J241" i="9"/>
  <c r="G241" i="9"/>
  <c r="H241" i="9" s="1"/>
  <c r="J240" i="9"/>
  <c r="G240" i="9"/>
  <c r="H240" i="9" s="1"/>
  <c r="J239" i="9"/>
  <c r="G239" i="9"/>
  <c r="H239" i="9" s="1"/>
  <c r="J238" i="9"/>
  <c r="G238" i="9"/>
  <c r="H238" i="9" s="1"/>
  <c r="J237" i="9"/>
  <c r="G237" i="9"/>
  <c r="H237" i="9" s="1"/>
  <c r="J236" i="9"/>
  <c r="G236" i="9"/>
  <c r="H236" i="9" s="1"/>
  <c r="J235" i="9"/>
  <c r="G235" i="9"/>
  <c r="H235" i="9" s="1"/>
  <c r="J234" i="9"/>
  <c r="G234" i="9"/>
  <c r="H234" i="9" s="1"/>
  <c r="J233" i="9"/>
  <c r="G233" i="9"/>
  <c r="H233" i="9" s="1"/>
  <c r="J232" i="9"/>
  <c r="G232" i="9"/>
  <c r="I232" i="9" s="1"/>
  <c r="J231" i="9"/>
  <c r="G231" i="9"/>
  <c r="J230" i="9"/>
  <c r="G230" i="9"/>
  <c r="I230" i="9" s="1"/>
  <c r="J229" i="9"/>
  <c r="G229" i="9"/>
  <c r="H229" i="9" s="1"/>
  <c r="J228" i="9"/>
  <c r="G228" i="9"/>
  <c r="J227" i="9"/>
  <c r="G227" i="9"/>
  <c r="H227" i="9" s="1"/>
  <c r="J226" i="9"/>
  <c r="G226" i="9"/>
  <c r="I226" i="9" s="1"/>
  <c r="J225" i="9"/>
  <c r="G225" i="9"/>
  <c r="H225" i="9" s="1"/>
  <c r="J224" i="9"/>
  <c r="G224" i="9"/>
  <c r="I224" i="9" s="1"/>
  <c r="J223" i="9"/>
  <c r="G223" i="9"/>
  <c r="H223" i="9" s="1"/>
  <c r="J222" i="9"/>
  <c r="G222" i="9"/>
  <c r="I222" i="9" s="1"/>
  <c r="J221" i="9"/>
  <c r="G221" i="9"/>
  <c r="J220" i="9"/>
  <c r="G220" i="9"/>
  <c r="I220" i="9" s="1"/>
  <c r="J219" i="9"/>
  <c r="G219" i="9"/>
  <c r="J218" i="9"/>
  <c r="G218" i="9"/>
  <c r="I218" i="9" s="1"/>
  <c r="J217" i="9"/>
  <c r="G217" i="9"/>
  <c r="I217" i="9" s="1"/>
  <c r="J216" i="9"/>
  <c r="G216" i="9"/>
  <c r="I216" i="9" s="1"/>
  <c r="J215" i="9"/>
  <c r="G215" i="9"/>
  <c r="H215" i="9" s="1"/>
  <c r="J214" i="9"/>
  <c r="G214" i="9"/>
  <c r="I214" i="9" s="1"/>
  <c r="J213" i="9"/>
  <c r="G213" i="9"/>
  <c r="J212" i="9"/>
  <c r="G212" i="9"/>
  <c r="I212" i="9" s="1"/>
  <c r="J211" i="9"/>
  <c r="G211" i="9"/>
  <c r="J210" i="9"/>
  <c r="G210" i="9"/>
  <c r="J209" i="9"/>
  <c r="G209" i="9"/>
  <c r="I209" i="9" s="1"/>
  <c r="J208" i="9"/>
  <c r="G208" i="9"/>
  <c r="J207" i="9"/>
  <c r="G207" i="9"/>
  <c r="H207" i="9" s="1"/>
  <c r="J206" i="9"/>
  <c r="G206" i="9"/>
  <c r="J205" i="9"/>
  <c r="G205" i="9"/>
  <c r="H205" i="9" s="1"/>
  <c r="J204" i="9"/>
  <c r="G204" i="9"/>
  <c r="J203" i="9"/>
  <c r="G203" i="9"/>
  <c r="J202" i="9"/>
  <c r="G202" i="9"/>
  <c r="J201" i="9"/>
  <c r="G201" i="9"/>
  <c r="I201" i="9" s="1"/>
  <c r="J200" i="9"/>
  <c r="G200" i="9"/>
  <c r="J199" i="9"/>
  <c r="G199" i="9"/>
  <c r="H199" i="9" s="1"/>
  <c r="J198" i="9"/>
  <c r="G198" i="9"/>
  <c r="J197" i="9"/>
  <c r="G197" i="9"/>
  <c r="J196" i="9"/>
  <c r="G196" i="9"/>
  <c r="J195" i="9"/>
  <c r="G195" i="9"/>
  <c r="J194" i="9"/>
  <c r="G194" i="9"/>
  <c r="J193" i="9"/>
  <c r="G193" i="9"/>
  <c r="I193" i="9" s="1"/>
  <c r="J192" i="9"/>
  <c r="G192" i="9"/>
  <c r="J191" i="9"/>
  <c r="G191" i="9"/>
  <c r="H191" i="9" s="1"/>
  <c r="J190" i="9"/>
  <c r="G190" i="9"/>
  <c r="J189" i="9"/>
  <c r="G189" i="9"/>
  <c r="I189" i="9" s="1"/>
  <c r="J188" i="9"/>
  <c r="G188" i="9"/>
  <c r="J187" i="9"/>
  <c r="G187" i="9"/>
  <c r="J186" i="9"/>
  <c r="G186" i="9"/>
  <c r="J185" i="9"/>
  <c r="G185" i="9"/>
  <c r="I185" i="9" s="1"/>
  <c r="J184" i="9"/>
  <c r="G184" i="9"/>
  <c r="J183" i="9"/>
  <c r="G183" i="9"/>
  <c r="H183" i="9" s="1"/>
  <c r="J182" i="9"/>
  <c r="G182" i="9"/>
  <c r="J181" i="9"/>
  <c r="G181" i="9"/>
  <c r="H181" i="9" s="1"/>
  <c r="J180" i="9"/>
  <c r="G180" i="9"/>
  <c r="J179" i="9"/>
  <c r="G179" i="9"/>
  <c r="J178" i="9"/>
  <c r="G178" i="9"/>
  <c r="J177" i="9"/>
  <c r="G177" i="9"/>
  <c r="I177" i="9" s="1"/>
  <c r="J176" i="9"/>
  <c r="G176" i="9"/>
  <c r="J175" i="9"/>
  <c r="G175" i="9"/>
  <c r="H175" i="9" s="1"/>
  <c r="J174" i="9"/>
  <c r="G174" i="9"/>
  <c r="J173" i="9"/>
  <c r="G173" i="9"/>
  <c r="J172" i="9"/>
  <c r="G172" i="9"/>
  <c r="J171" i="9"/>
  <c r="G171" i="9"/>
  <c r="J170" i="9"/>
  <c r="G170" i="9"/>
  <c r="J169" i="9"/>
  <c r="G169" i="9"/>
  <c r="I169" i="9" s="1"/>
  <c r="J168" i="9"/>
  <c r="G168" i="9"/>
  <c r="J167" i="9"/>
  <c r="G167" i="9"/>
  <c r="H167" i="9" s="1"/>
  <c r="J166" i="9"/>
  <c r="G166" i="9"/>
  <c r="J165" i="9"/>
  <c r="G165" i="9"/>
  <c r="H165" i="9" s="1"/>
  <c r="J164" i="9"/>
  <c r="G164" i="9"/>
  <c r="J163" i="9"/>
  <c r="G163" i="9"/>
  <c r="J162" i="9"/>
  <c r="G162" i="9"/>
  <c r="J161" i="9"/>
  <c r="G161" i="9"/>
  <c r="J160" i="9"/>
  <c r="G160" i="9"/>
  <c r="J159" i="9"/>
  <c r="G159" i="9"/>
  <c r="H159" i="9" s="1"/>
  <c r="J158" i="9"/>
  <c r="G158" i="9"/>
  <c r="H158" i="9" s="1"/>
  <c r="J157" i="9"/>
  <c r="G157" i="9"/>
  <c r="H157" i="9" s="1"/>
  <c r="J156" i="9"/>
  <c r="G156" i="9"/>
  <c r="H156" i="9" s="1"/>
  <c r="J155" i="9"/>
  <c r="G155" i="9"/>
  <c r="H155" i="9" s="1"/>
  <c r="J154" i="9"/>
  <c r="G154" i="9"/>
  <c r="H154" i="9" s="1"/>
  <c r="J153" i="9"/>
  <c r="G153" i="9"/>
  <c r="H153" i="9" s="1"/>
  <c r="J152" i="9"/>
  <c r="G152" i="9"/>
  <c r="H152" i="9" s="1"/>
  <c r="J151" i="9"/>
  <c r="G151" i="9"/>
  <c r="H151" i="9" s="1"/>
  <c r="J150" i="9"/>
  <c r="G150" i="9"/>
  <c r="H150" i="9" s="1"/>
  <c r="J149" i="9"/>
  <c r="G149" i="9"/>
  <c r="H149" i="9" s="1"/>
  <c r="J148" i="9"/>
  <c r="G148" i="9"/>
  <c r="J147" i="9"/>
  <c r="G147" i="9"/>
  <c r="H147" i="9" s="1"/>
  <c r="J146" i="9"/>
  <c r="G146" i="9"/>
  <c r="J145" i="9"/>
  <c r="G145" i="9"/>
  <c r="H145" i="9" s="1"/>
  <c r="J144" i="9"/>
  <c r="G144" i="9"/>
  <c r="J143" i="9"/>
  <c r="G143" i="9"/>
  <c r="H143" i="9" s="1"/>
  <c r="J142" i="9"/>
  <c r="G142" i="9"/>
  <c r="J141" i="9"/>
  <c r="G141" i="9"/>
  <c r="H141" i="9" s="1"/>
  <c r="J140" i="9"/>
  <c r="G140" i="9"/>
  <c r="J139" i="9"/>
  <c r="G139" i="9"/>
  <c r="H139" i="9" s="1"/>
  <c r="J138" i="9"/>
  <c r="G138" i="9"/>
  <c r="J137" i="9"/>
  <c r="G137" i="9"/>
  <c r="H137" i="9" s="1"/>
  <c r="J136" i="9"/>
  <c r="G136" i="9"/>
  <c r="J135" i="9"/>
  <c r="G135" i="9"/>
  <c r="H135" i="9" s="1"/>
  <c r="J134" i="9"/>
  <c r="G134" i="9"/>
  <c r="J133" i="9"/>
  <c r="G133" i="9"/>
  <c r="H133" i="9" s="1"/>
  <c r="J132" i="9"/>
  <c r="G132" i="9"/>
  <c r="J131" i="9"/>
  <c r="G131" i="9"/>
  <c r="J130" i="9"/>
  <c r="G130" i="9"/>
  <c r="H130" i="9" s="1"/>
  <c r="J129" i="9"/>
  <c r="G129" i="9"/>
  <c r="J128" i="9"/>
  <c r="G128" i="9"/>
  <c r="J127" i="9"/>
  <c r="G127" i="9"/>
  <c r="J126" i="9"/>
  <c r="G126" i="9"/>
  <c r="H126" i="9" s="1"/>
  <c r="J125" i="9"/>
  <c r="G125" i="9"/>
  <c r="I125" i="9" s="1"/>
  <c r="J124" i="9"/>
  <c r="G124" i="9"/>
  <c r="H124" i="9" s="1"/>
  <c r="J123" i="9"/>
  <c r="G123" i="9"/>
  <c r="H123" i="9" s="1"/>
  <c r="J122" i="9"/>
  <c r="G122" i="9"/>
  <c r="J121" i="9"/>
  <c r="G121" i="9"/>
  <c r="I121" i="9" s="1"/>
  <c r="J120" i="9"/>
  <c r="G120" i="9"/>
  <c r="J119" i="9"/>
  <c r="G119" i="9"/>
  <c r="I119" i="9" s="1"/>
  <c r="J118" i="9"/>
  <c r="G118" i="9"/>
  <c r="H118" i="9" s="1"/>
  <c r="J117" i="9"/>
  <c r="G117" i="9"/>
  <c r="I117" i="9" s="1"/>
  <c r="J116" i="9"/>
  <c r="G116" i="9"/>
  <c r="H116" i="9" s="1"/>
  <c r="J115" i="9"/>
  <c r="G115" i="9"/>
  <c r="H115" i="9" s="1"/>
  <c r="J114" i="9"/>
  <c r="G114" i="9"/>
  <c r="J113" i="9"/>
  <c r="G113" i="9"/>
  <c r="J112" i="9"/>
  <c r="G112" i="9"/>
  <c r="J111" i="9"/>
  <c r="G111" i="9"/>
  <c r="I111" i="9" s="1"/>
  <c r="J110" i="9"/>
  <c r="G110" i="9"/>
  <c r="H110" i="9" s="1"/>
  <c r="J109" i="9"/>
  <c r="G109" i="9"/>
  <c r="I109" i="9" s="1"/>
  <c r="J108" i="9"/>
  <c r="G108" i="9"/>
  <c r="H108" i="9" s="1"/>
  <c r="J107" i="9"/>
  <c r="G107" i="9"/>
  <c r="H107" i="9" s="1"/>
  <c r="J106" i="9"/>
  <c r="G106" i="9"/>
  <c r="J105" i="9"/>
  <c r="G105" i="9"/>
  <c r="J104" i="9"/>
  <c r="G104" i="9"/>
  <c r="J103" i="9"/>
  <c r="G103" i="9"/>
  <c r="I103" i="9" s="1"/>
  <c r="J102" i="9"/>
  <c r="G102" i="9"/>
  <c r="H102" i="9" s="1"/>
  <c r="J101" i="9"/>
  <c r="G101" i="9"/>
  <c r="I101" i="9" s="1"/>
  <c r="J100" i="9"/>
  <c r="G100" i="9"/>
  <c r="H100" i="9" s="1"/>
  <c r="J99" i="9"/>
  <c r="G99" i="9"/>
  <c r="H99" i="9" s="1"/>
  <c r="J98" i="9"/>
  <c r="G98" i="9"/>
  <c r="J97" i="9"/>
  <c r="G97" i="9"/>
  <c r="J96" i="9"/>
  <c r="G96" i="9"/>
  <c r="J95" i="9"/>
  <c r="G95" i="9"/>
  <c r="I95" i="9" s="1"/>
  <c r="J94" i="9"/>
  <c r="G94" i="9"/>
  <c r="H94" i="9" s="1"/>
  <c r="J93" i="9"/>
  <c r="G93" i="9"/>
  <c r="I93" i="9" s="1"/>
  <c r="J92" i="9"/>
  <c r="G92" i="9"/>
  <c r="H92" i="9" s="1"/>
  <c r="J91" i="9"/>
  <c r="G91" i="9"/>
  <c r="H91" i="9" s="1"/>
  <c r="J90" i="9"/>
  <c r="G90" i="9"/>
  <c r="J89" i="9"/>
  <c r="G89" i="9"/>
  <c r="H89" i="9" s="1"/>
  <c r="J88" i="9"/>
  <c r="G88" i="9"/>
  <c r="J87" i="9"/>
  <c r="G87" i="9"/>
  <c r="I87" i="9" s="1"/>
  <c r="J86" i="9"/>
  <c r="G86" i="9"/>
  <c r="H86" i="9" s="1"/>
  <c r="J85" i="9"/>
  <c r="G85" i="9"/>
  <c r="I85" i="9" s="1"/>
  <c r="J84" i="9"/>
  <c r="G84" i="9"/>
  <c r="H84" i="9" s="1"/>
  <c r="J83" i="9"/>
  <c r="G83" i="9"/>
  <c r="H83" i="9" s="1"/>
  <c r="J82" i="9"/>
  <c r="G82" i="9"/>
  <c r="J81" i="9"/>
  <c r="G81" i="9"/>
  <c r="J80" i="9"/>
  <c r="G80" i="9"/>
  <c r="J79" i="9"/>
  <c r="G79" i="9"/>
  <c r="H79" i="9" s="1"/>
  <c r="J78" i="9"/>
  <c r="G78" i="9"/>
  <c r="J77" i="9"/>
  <c r="G77" i="9"/>
  <c r="H77" i="9" s="1"/>
  <c r="J76" i="9"/>
  <c r="G76" i="9"/>
  <c r="J75" i="9"/>
  <c r="G75" i="9"/>
  <c r="H75" i="9" s="1"/>
  <c r="J74" i="9"/>
  <c r="G74" i="9"/>
  <c r="J73" i="9"/>
  <c r="G73" i="9"/>
  <c r="H73" i="9" s="1"/>
  <c r="J72" i="9"/>
  <c r="G72" i="9"/>
  <c r="J71" i="9"/>
  <c r="G71" i="9"/>
  <c r="H71" i="9" s="1"/>
  <c r="J70" i="9"/>
  <c r="G70" i="9"/>
  <c r="J69" i="9"/>
  <c r="G69" i="9"/>
  <c r="H69" i="9" s="1"/>
  <c r="J68" i="9"/>
  <c r="G68" i="9"/>
  <c r="J67" i="9"/>
  <c r="G67" i="9"/>
  <c r="H67" i="9" s="1"/>
  <c r="J66" i="9"/>
  <c r="G66" i="9"/>
  <c r="H66" i="9" s="1"/>
  <c r="J65" i="9"/>
  <c r="G65" i="9"/>
  <c r="H65" i="9" s="1"/>
  <c r="J64" i="9"/>
  <c r="G64" i="9"/>
  <c r="I64" i="9" s="1"/>
  <c r="J63" i="9"/>
  <c r="G63" i="9"/>
  <c r="H63" i="9" s="1"/>
  <c r="J62" i="9"/>
  <c r="G62" i="9"/>
  <c r="J61" i="9"/>
  <c r="G61" i="9"/>
  <c r="H61" i="9" s="1"/>
  <c r="J60" i="9"/>
  <c r="G60" i="9"/>
  <c r="H60" i="9" s="1"/>
  <c r="J59" i="9"/>
  <c r="G59" i="9"/>
  <c r="H59" i="9" s="1"/>
  <c r="J58" i="9"/>
  <c r="G58" i="9"/>
  <c r="J57" i="9"/>
  <c r="G57" i="9"/>
  <c r="H57" i="9" s="1"/>
  <c r="J56" i="9"/>
  <c r="G56" i="9"/>
  <c r="I56" i="9" s="1"/>
  <c r="J55" i="9"/>
  <c r="G55" i="9"/>
  <c r="H55" i="9" s="1"/>
  <c r="J54" i="9"/>
  <c r="G54" i="9"/>
  <c r="J53" i="9"/>
  <c r="G53" i="9"/>
  <c r="H53" i="9" s="1"/>
  <c r="J52" i="9"/>
  <c r="G52" i="9"/>
  <c r="I52" i="9" s="1"/>
  <c r="J51" i="9"/>
  <c r="G51" i="9"/>
  <c r="I51" i="9" s="1"/>
  <c r="J50" i="9"/>
  <c r="G50" i="9"/>
  <c r="J49" i="9"/>
  <c r="G49" i="9"/>
  <c r="I49" i="9" s="1"/>
  <c r="J48" i="9"/>
  <c r="G48" i="9"/>
  <c r="I48" i="9" s="1"/>
  <c r="J47" i="9"/>
  <c r="G47" i="9"/>
  <c r="I47" i="9" s="1"/>
  <c r="J46" i="9"/>
  <c r="G46" i="9"/>
  <c r="J45" i="9"/>
  <c r="G45" i="9"/>
  <c r="I45" i="9" s="1"/>
  <c r="J44" i="9"/>
  <c r="G44" i="9"/>
  <c r="J43" i="9"/>
  <c r="G43" i="9"/>
  <c r="I43" i="9" s="1"/>
  <c r="J42" i="9"/>
  <c r="G42" i="9"/>
  <c r="J41" i="9"/>
  <c r="G41" i="9"/>
  <c r="I41" i="9" s="1"/>
  <c r="J40" i="9"/>
  <c r="G40" i="9"/>
  <c r="I40" i="9" s="1"/>
  <c r="J39" i="9"/>
  <c r="G39" i="9"/>
  <c r="I39" i="9" s="1"/>
  <c r="J38" i="9"/>
  <c r="G38" i="9"/>
  <c r="H38" i="9" s="1"/>
  <c r="J37" i="9"/>
  <c r="G37" i="9"/>
  <c r="I37" i="9" s="1"/>
  <c r="J36" i="9"/>
  <c r="G36" i="9"/>
  <c r="I36" i="9" s="1"/>
  <c r="J35" i="9"/>
  <c r="G35" i="9"/>
  <c r="I35" i="9" s="1"/>
  <c r="J34" i="9"/>
  <c r="G34" i="9"/>
  <c r="J33" i="9"/>
  <c r="G33" i="9"/>
  <c r="I33" i="9" s="1"/>
  <c r="J32" i="9"/>
  <c r="G32" i="9"/>
  <c r="I32" i="9" s="1"/>
  <c r="J31" i="9"/>
  <c r="G31" i="9"/>
  <c r="I31" i="9" s="1"/>
  <c r="J30" i="9"/>
  <c r="G30" i="9"/>
  <c r="H30" i="9" s="1"/>
  <c r="J29" i="9"/>
  <c r="G29" i="9"/>
  <c r="I29" i="9" s="1"/>
  <c r="J28" i="9"/>
  <c r="G28" i="9"/>
  <c r="J27" i="9"/>
  <c r="G27" i="9"/>
  <c r="I27" i="9" s="1"/>
  <c r="J26" i="9"/>
  <c r="G26" i="9"/>
  <c r="J25" i="9"/>
  <c r="G25" i="9"/>
  <c r="I25" i="9" s="1"/>
  <c r="J24" i="9"/>
  <c r="G24" i="9"/>
  <c r="I24" i="9" s="1"/>
  <c r="J23" i="9"/>
  <c r="G23" i="9"/>
  <c r="I23" i="9" s="1"/>
  <c r="J22" i="9"/>
  <c r="G22" i="9"/>
  <c r="H22" i="9" s="1"/>
  <c r="J21" i="9"/>
  <c r="G21" i="9"/>
  <c r="I21" i="9" s="1"/>
  <c r="J20" i="9"/>
  <c r="G20" i="9"/>
  <c r="H20" i="9" s="1"/>
  <c r="J19" i="9"/>
  <c r="G19" i="9"/>
  <c r="I19" i="9" s="1"/>
  <c r="J18" i="9"/>
  <c r="G18" i="9"/>
  <c r="J17" i="9"/>
  <c r="G17" i="9"/>
  <c r="I17" i="9" s="1"/>
  <c r="J16" i="9"/>
  <c r="G16" i="9"/>
  <c r="I16" i="9" s="1"/>
  <c r="J15" i="9"/>
  <c r="G15" i="9"/>
  <c r="I15" i="9" s="1"/>
  <c r="J14" i="9"/>
  <c r="G14" i="9"/>
  <c r="H14" i="9" s="1"/>
  <c r="J13" i="9"/>
  <c r="G13" i="9"/>
  <c r="I13" i="9" s="1"/>
  <c r="J12" i="9"/>
  <c r="G12" i="9"/>
  <c r="J11" i="9"/>
  <c r="G11" i="9"/>
  <c r="I11" i="9" s="1"/>
  <c r="J10" i="9"/>
  <c r="G10" i="9"/>
  <c r="J9" i="9"/>
  <c r="G9" i="9"/>
  <c r="I9" i="9" s="1"/>
  <c r="J8" i="9"/>
  <c r="G8" i="9"/>
  <c r="I8" i="9" s="1"/>
  <c r="J7" i="9"/>
  <c r="G7" i="9"/>
  <c r="I7" i="9" s="1"/>
  <c r="J6" i="9"/>
  <c r="G6" i="9"/>
  <c r="H6" i="9" s="1"/>
  <c r="J5" i="9"/>
  <c r="G5" i="9"/>
  <c r="I5" i="9" s="1"/>
  <c r="J4" i="9"/>
  <c r="G4" i="9"/>
  <c r="I4" i="9" s="1"/>
  <c r="B4" i="9"/>
  <c r="B5" i="9" s="1"/>
  <c r="J3" i="9"/>
  <c r="G3" i="9"/>
  <c r="H3" i="9" s="1"/>
  <c r="E3" i="9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J2" i="9"/>
  <c r="G2" i="9"/>
  <c r="B1" i="1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G3" i="6"/>
  <c r="G4" i="6"/>
  <c r="G5" i="6"/>
  <c r="G6" i="6"/>
  <c r="G7" i="6"/>
  <c r="G8" i="6"/>
  <c r="G9" i="6"/>
  <c r="H9" i="6" s="1"/>
  <c r="G10" i="6"/>
  <c r="G11" i="6"/>
  <c r="G12" i="6"/>
  <c r="I12" i="6" s="1"/>
  <c r="G13" i="6"/>
  <c r="G14" i="6"/>
  <c r="G15" i="6"/>
  <c r="G16" i="6"/>
  <c r="I16" i="6" s="1"/>
  <c r="G17" i="6"/>
  <c r="G18" i="6"/>
  <c r="G19" i="6"/>
  <c r="G20" i="6"/>
  <c r="G21" i="6"/>
  <c r="G22" i="6"/>
  <c r="G23" i="6"/>
  <c r="G24" i="6"/>
  <c r="G25" i="6"/>
  <c r="H25" i="6" s="1"/>
  <c r="G26" i="6"/>
  <c r="G27" i="6"/>
  <c r="G28" i="6"/>
  <c r="I28" i="6" s="1"/>
  <c r="G29" i="6"/>
  <c r="G30" i="6"/>
  <c r="G31" i="6"/>
  <c r="G32" i="6"/>
  <c r="G33" i="6"/>
  <c r="G34" i="6"/>
  <c r="G35" i="6"/>
  <c r="G36" i="6"/>
  <c r="I36" i="6" s="1"/>
  <c r="G37" i="6"/>
  <c r="I37" i="6" s="1"/>
  <c r="G38" i="6"/>
  <c r="G39" i="6"/>
  <c r="G40" i="6"/>
  <c r="G41" i="6"/>
  <c r="H41" i="6" s="1"/>
  <c r="G42" i="6"/>
  <c r="I42" i="6" s="1"/>
  <c r="G43" i="6"/>
  <c r="I43" i="6" s="1"/>
  <c r="G44" i="6"/>
  <c r="G45" i="6"/>
  <c r="H45" i="6" s="1"/>
  <c r="G46" i="6"/>
  <c r="G47" i="6"/>
  <c r="I47" i="6" s="1"/>
  <c r="G48" i="6"/>
  <c r="G49" i="6"/>
  <c r="G50" i="6"/>
  <c r="I50" i="6" s="1"/>
  <c r="G51" i="6"/>
  <c r="I51" i="6" s="1"/>
  <c r="G52" i="6"/>
  <c r="G53" i="6"/>
  <c r="G54" i="6"/>
  <c r="I54" i="6" s="1"/>
  <c r="G55" i="6"/>
  <c r="I55" i="6" s="1"/>
  <c r="G56" i="6"/>
  <c r="G57" i="6"/>
  <c r="G58" i="6"/>
  <c r="I58" i="6" s="1"/>
  <c r="G59" i="6"/>
  <c r="I59" i="6" s="1"/>
  <c r="G60" i="6"/>
  <c r="G61" i="6"/>
  <c r="H61" i="6" s="1"/>
  <c r="G62" i="6"/>
  <c r="I62" i="6" s="1"/>
  <c r="G63" i="6"/>
  <c r="I63" i="6" s="1"/>
  <c r="G64" i="6"/>
  <c r="G65" i="6"/>
  <c r="G66" i="6"/>
  <c r="I66" i="6" s="1"/>
  <c r="G67" i="6"/>
  <c r="I67" i="6" s="1"/>
  <c r="G68" i="6"/>
  <c r="G69" i="6"/>
  <c r="G70" i="6"/>
  <c r="G71" i="6"/>
  <c r="I71" i="6" s="1"/>
  <c r="G72" i="6"/>
  <c r="G73" i="6"/>
  <c r="H73" i="6" s="1"/>
  <c r="G74" i="6"/>
  <c r="I74" i="6" s="1"/>
  <c r="G75" i="6"/>
  <c r="I75" i="6" s="1"/>
  <c r="G76" i="6"/>
  <c r="G77" i="6"/>
  <c r="G78" i="6"/>
  <c r="G79" i="6"/>
  <c r="I79" i="6" s="1"/>
  <c r="G80" i="6"/>
  <c r="G81" i="6"/>
  <c r="G82" i="6"/>
  <c r="I82" i="6" s="1"/>
  <c r="G83" i="6"/>
  <c r="I83" i="6" s="1"/>
  <c r="G84" i="6"/>
  <c r="G85" i="6"/>
  <c r="G86" i="6"/>
  <c r="I86" i="6" s="1"/>
  <c r="G87" i="6"/>
  <c r="I87" i="6" s="1"/>
  <c r="G88" i="6"/>
  <c r="G89" i="6"/>
  <c r="H89" i="6" s="1"/>
  <c r="G90" i="6"/>
  <c r="I90" i="6" s="1"/>
  <c r="G91" i="6"/>
  <c r="I91" i="6" s="1"/>
  <c r="G92" i="6"/>
  <c r="G93" i="6"/>
  <c r="H93" i="6" s="1"/>
  <c r="G94" i="6"/>
  <c r="I94" i="6" s="1"/>
  <c r="G95" i="6"/>
  <c r="I95" i="6" s="1"/>
  <c r="G96" i="6"/>
  <c r="G97" i="6"/>
  <c r="G98" i="6"/>
  <c r="I98" i="6" s="1"/>
  <c r="G99" i="6"/>
  <c r="I99" i="6" s="1"/>
  <c r="G100" i="6"/>
  <c r="G101" i="6"/>
  <c r="G102" i="6"/>
  <c r="G103" i="6"/>
  <c r="I103" i="6" s="1"/>
  <c r="G104" i="6"/>
  <c r="G105" i="6"/>
  <c r="H105" i="6" s="1"/>
  <c r="G106" i="6"/>
  <c r="I106" i="6" s="1"/>
  <c r="G107" i="6"/>
  <c r="I107" i="6" s="1"/>
  <c r="G108" i="6"/>
  <c r="G109" i="6"/>
  <c r="H109" i="6" s="1"/>
  <c r="G110" i="6"/>
  <c r="G111" i="6"/>
  <c r="I111" i="6" s="1"/>
  <c r="G112" i="6"/>
  <c r="G113" i="6"/>
  <c r="G114" i="6"/>
  <c r="I114" i="6" s="1"/>
  <c r="G115" i="6"/>
  <c r="I115" i="6" s="1"/>
  <c r="G116" i="6"/>
  <c r="G117" i="6"/>
  <c r="G118" i="6"/>
  <c r="I118" i="6" s="1"/>
  <c r="G119" i="6"/>
  <c r="I119" i="6" s="1"/>
  <c r="G120" i="6"/>
  <c r="G121" i="6"/>
  <c r="G2" i="6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I2" i="5"/>
  <c r="J2" i="5" s="1"/>
  <c r="B3" i="9" s="1"/>
  <c r="I3" i="5"/>
  <c r="J3" i="5" s="1"/>
  <c r="B3" i="6" s="1"/>
  <c r="J4" i="5"/>
  <c r="B3" i="10" s="1"/>
  <c r="G2" i="5"/>
  <c r="B1" i="9" s="1"/>
  <c r="L2" i="9" s="1"/>
  <c r="G3" i="5"/>
  <c r="B1" i="6" s="1"/>
  <c r="L2" i="6" s="1"/>
  <c r="G4" i="5"/>
  <c r="B1" i="10" s="1"/>
  <c r="L2" i="10" s="1"/>
  <c r="F3" i="5"/>
  <c r="F4" i="5"/>
  <c r="F2" i="5"/>
  <c r="C22" i="3"/>
  <c r="M4" i="4"/>
  <c r="N4" i="4" s="1"/>
  <c r="M3" i="4"/>
  <c r="N3" i="4" s="1"/>
  <c r="H4" i="4"/>
  <c r="I4" i="4" s="1"/>
  <c r="H3" i="4"/>
  <c r="I3" i="4" s="1"/>
  <c r="D4" i="4"/>
  <c r="C3" i="4"/>
  <c r="D3" i="4" s="1"/>
  <c r="C16" i="3"/>
  <c r="E14" i="3"/>
  <c r="E15" i="3"/>
  <c r="C11" i="3"/>
  <c r="E8" i="3"/>
  <c r="E9" i="3"/>
  <c r="E10" i="3"/>
  <c r="C5" i="3"/>
  <c r="E3" i="3"/>
  <c r="E4" i="3"/>
  <c r="E2" i="3"/>
  <c r="E8" i="2"/>
  <c r="F8" i="2" s="1"/>
  <c r="H8" i="2" s="1"/>
  <c r="F68" i="18" s="1"/>
  <c r="E4" i="2"/>
  <c r="F4" i="2" s="1"/>
  <c r="H4" i="2" s="1"/>
  <c r="F28" i="18" s="1"/>
  <c r="E5" i="2"/>
  <c r="F5" i="2" s="1"/>
  <c r="H5" i="2" s="1"/>
  <c r="F38" i="18" s="1"/>
  <c r="E7" i="2"/>
  <c r="F7" i="2" s="1"/>
  <c r="H7" i="2" s="1"/>
  <c r="F48" i="18" s="1"/>
  <c r="E2" i="2"/>
  <c r="F2" i="2" s="1"/>
  <c r="H2" i="2" s="1"/>
  <c r="F8" i="18" s="1"/>
  <c r="E6" i="2"/>
  <c r="F6" i="2" s="1"/>
  <c r="H6" i="2" s="1"/>
  <c r="K37" i="6" l="1"/>
  <c r="J2" i="1"/>
  <c r="M2" i="1" s="1"/>
  <c r="I3" i="2"/>
  <c r="J3" i="2" s="1"/>
  <c r="K3" i="2" s="1"/>
  <c r="F13" i="18" s="1"/>
  <c r="D75" i="12"/>
  <c r="H75" i="12" s="1"/>
  <c r="H68" i="12"/>
  <c r="D78" i="12"/>
  <c r="B23" i="20"/>
  <c r="M14" i="1"/>
  <c r="H66" i="12"/>
  <c r="B19" i="3"/>
  <c r="K19" i="18"/>
  <c r="M19" i="18" s="1"/>
  <c r="M20" i="18" s="1"/>
  <c r="A105" i="18"/>
  <c r="C105" i="18" s="1"/>
  <c r="C106" i="18" s="1"/>
  <c r="C107" i="18" s="1"/>
  <c r="C108" i="18" s="1"/>
  <c r="A63" i="18"/>
  <c r="C63" i="18" s="1"/>
  <c r="C64" i="18" s="1"/>
  <c r="C65" i="18" s="1"/>
  <c r="C66" i="18" s="1"/>
  <c r="C67" i="18" s="1"/>
  <c r="C68" i="18" s="1"/>
  <c r="A23" i="18"/>
  <c r="C23" i="18" s="1"/>
  <c r="C24" i="18" s="1"/>
  <c r="C25" i="18" s="1"/>
  <c r="C26" i="18" s="1"/>
  <c r="C27" i="18" s="1"/>
  <c r="C28" i="18" s="1"/>
  <c r="A3" i="18"/>
  <c r="A81" i="18"/>
  <c r="C81" i="18" s="1"/>
  <c r="C82" i="18" s="1"/>
  <c r="C83" i="18" s="1"/>
  <c r="C84" i="18" s="1"/>
  <c r="K13" i="18"/>
  <c r="M13" i="18" s="1"/>
  <c r="M14" i="18" s="1"/>
  <c r="A97" i="18"/>
  <c r="C97" i="18" s="1"/>
  <c r="C98" i="18" s="1"/>
  <c r="C99" i="18" s="1"/>
  <c r="C100" i="18" s="1"/>
  <c r="K3" i="18"/>
  <c r="M3" i="18" s="1"/>
  <c r="M4" i="18" s="1"/>
  <c r="M5" i="18" s="1"/>
  <c r="M6" i="18" s="1"/>
  <c r="M7" i="18" s="1"/>
  <c r="M8" i="18" s="1"/>
  <c r="A89" i="18"/>
  <c r="C89" i="18" s="1"/>
  <c r="C90" i="18" s="1"/>
  <c r="C91" i="18" s="1"/>
  <c r="C92" i="18" s="1"/>
  <c r="A53" i="18"/>
  <c r="C53" i="18" s="1"/>
  <c r="C54" i="18" s="1"/>
  <c r="C55" i="18" s="1"/>
  <c r="C56" i="18" s="1"/>
  <c r="C57" i="18" s="1"/>
  <c r="C58" i="18" s="1"/>
  <c r="K55" i="18"/>
  <c r="M55" i="18" s="1"/>
  <c r="M56" i="18" s="1"/>
  <c r="M57" i="18" s="1"/>
  <c r="M58" i="18" s="1"/>
  <c r="A43" i="18"/>
  <c r="C43" i="18" s="1"/>
  <c r="C44" i="18" s="1"/>
  <c r="C45" i="18" s="1"/>
  <c r="C46" i="18" s="1"/>
  <c r="C47" i="18" s="1"/>
  <c r="C48" i="18" s="1"/>
  <c r="K47" i="18"/>
  <c r="M47" i="18" s="1"/>
  <c r="M48" i="18" s="1"/>
  <c r="M49" i="18" s="1"/>
  <c r="M50" i="18" s="1"/>
  <c r="K39" i="18"/>
  <c r="M39" i="18" s="1"/>
  <c r="M40" i="18" s="1"/>
  <c r="M41" i="18" s="1"/>
  <c r="M42" i="18" s="1"/>
  <c r="A129" i="18"/>
  <c r="C129" i="18" s="1"/>
  <c r="C130" i="18" s="1"/>
  <c r="C131" i="18" s="1"/>
  <c r="C132" i="18" s="1"/>
  <c r="K31" i="18"/>
  <c r="M31" i="18" s="1"/>
  <c r="M32" i="18" s="1"/>
  <c r="M33" i="18" s="1"/>
  <c r="M34" i="18" s="1"/>
  <c r="A121" i="18"/>
  <c r="C121" i="18" s="1"/>
  <c r="C122" i="18" s="1"/>
  <c r="C123" i="18" s="1"/>
  <c r="C124" i="18" s="1"/>
  <c r="A73" i="18"/>
  <c r="C73" i="18" s="1"/>
  <c r="C74" i="18" s="1"/>
  <c r="C75" i="18" s="1"/>
  <c r="C76" i="18" s="1"/>
  <c r="A33" i="18"/>
  <c r="C33" i="18" s="1"/>
  <c r="C34" i="18" s="1"/>
  <c r="C35" i="18" s="1"/>
  <c r="C36" i="18" s="1"/>
  <c r="C37" i="18" s="1"/>
  <c r="C38" i="18" s="1"/>
  <c r="K25" i="18"/>
  <c r="M25" i="18" s="1"/>
  <c r="M26" i="18" s="1"/>
  <c r="A113" i="18"/>
  <c r="C113" i="18" s="1"/>
  <c r="C114" i="18" s="1"/>
  <c r="C115" i="18" s="1"/>
  <c r="C116" i="18" s="1"/>
  <c r="D53" i="16"/>
  <c r="B11" i="14" s="1"/>
  <c r="F58" i="18"/>
  <c r="N19" i="16"/>
  <c r="N18" i="16"/>
  <c r="D45" i="12"/>
  <c r="F48" i="12"/>
  <c r="E51" i="12"/>
  <c r="O6" i="17"/>
  <c r="P6" i="17" s="1"/>
  <c r="N6" i="17"/>
  <c r="N9" i="17"/>
  <c r="K8" i="9"/>
  <c r="K16" i="9"/>
  <c r="K24" i="9"/>
  <c r="K32" i="9"/>
  <c r="K40" i="9"/>
  <c r="K48" i="9"/>
  <c r="K56" i="9"/>
  <c r="K4" i="9"/>
  <c r="K36" i="9"/>
  <c r="K52" i="9"/>
  <c r="K64" i="9"/>
  <c r="K5" i="9"/>
  <c r="K7" i="9"/>
  <c r="K9" i="9"/>
  <c r="K11" i="9"/>
  <c r="K13" i="9"/>
  <c r="K15" i="9"/>
  <c r="K17" i="9"/>
  <c r="K19" i="9"/>
  <c r="K21" i="9"/>
  <c r="K23" i="9"/>
  <c r="K25" i="9"/>
  <c r="K27" i="9"/>
  <c r="K29" i="9"/>
  <c r="K31" i="9"/>
  <c r="K33" i="9"/>
  <c r="K35" i="9"/>
  <c r="K37" i="9"/>
  <c r="K39" i="9"/>
  <c r="K41" i="9"/>
  <c r="K43" i="9"/>
  <c r="K45" i="9"/>
  <c r="K47" i="9"/>
  <c r="K49" i="9"/>
  <c r="K51" i="9"/>
  <c r="K85" i="9"/>
  <c r="K87" i="9"/>
  <c r="K93" i="9"/>
  <c r="K95" i="9"/>
  <c r="K101" i="9"/>
  <c r="K103" i="9"/>
  <c r="K109" i="9"/>
  <c r="K111" i="9"/>
  <c r="K117" i="9"/>
  <c r="K119" i="9"/>
  <c r="K121" i="9"/>
  <c r="K125" i="9"/>
  <c r="K169" i="9"/>
  <c r="K177" i="9"/>
  <c r="K185" i="9"/>
  <c r="K189" i="9"/>
  <c r="K193" i="9"/>
  <c r="K201" i="9"/>
  <c r="K209" i="9"/>
  <c r="K217" i="9"/>
  <c r="K261" i="9"/>
  <c r="K3" i="10"/>
  <c r="K34" i="10"/>
  <c r="K38" i="10"/>
  <c r="K42" i="10"/>
  <c r="K75" i="10"/>
  <c r="K79" i="10"/>
  <c r="K8" i="10"/>
  <c r="K12" i="10"/>
  <c r="K16" i="10"/>
  <c r="K20" i="10"/>
  <c r="K28" i="10"/>
  <c r="K32" i="10"/>
  <c r="K36" i="10"/>
  <c r="K40" i="10"/>
  <c r="K44" i="10"/>
  <c r="K46" i="10"/>
  <c r="K65" i="10"/>
  <c r="K67" i="10"/>
  <c r="K2" i="10"/>
  <c r="D8" i="10"/>
  <c r="K6" i="10"/>
  <c r="H8" i="10"/>
  <c r="K9" i="10"/>
  <c r="K11" i="10"/>
  <c r="K13" i="10"/>
  <c r="K15" i="10"/>
  <c r="K17" i="10"/>
  <c r="K19" i="10"/>
  <c r="K21" i="10"/>
  <c r="K23" i="10"/>
  <c r="K25" i="10"/>
  <c r="K27" i="10"/>
  <c r="K29" i="10"/>
  <c r="K31" i="10"/>
  <c r="D43" i="10"/>
  <c r="I47" i="10"/>
  <c r="K47" i="10" s="1"/>
  <c r="D82" i="10"/>
  <c r="D86" i="10"/>
  <c r="D90" i="10"/>
  <c r="D94" i="10"/>
  <c r="K118" i="6"/>
  <c r="K114" i="6"/>
  <c r="K106" i="6"/>
  <c r="K98" i="6"/>
  <c r="K94" i="6"/>
  <c r="K90" i="6"/>
  <c r="K86" i="6"/>
  <c r="K82" i="6"/>
  <c r="K74" i="6"/>
  <c r="K66" i="6"/>
  <c r="K62" i="6"/>
  <c r="K58" i="6"/>
  <c r="K54" i="6"/>
  <c r="K50" i="6"/>
  <c r="K42" i="6"/>
  <c r="K36" i="6"/>
  <c r="K28" i="6"/>
  <c r="K16" i="6"/>
  <c r="K12" i="6"/>
  <c r="K119" i="6"/>
  <c r="K115" i="6"/>
  <c r="K111" i="6"/>
  <c r="K107" i="6"/>
  <c r="K103" i="6"/>
  <c r="K99" i="6"/>
  <c r="K95" i="6"/>
  <c r="K91" i="6"/>
  <c r="K87" i="6"/>
  <c r="K83" i="6"/>
  <c r="K79" i="6"/>
  <c r="K75" i="6"/>
  <c r="K71" i="6"/>
  <c r="K67" i="6"/>
  <c r="K63" i="6"/>
  <c r="K59" i="6"/>
  <c r="K55" i="6"/>
  <c r="K51" i="6"/>
  <c r="K47" i="6"/>
  <c r="K43" i="6"/>
  <c r="K212" i="9"/>
  <c r="K214" i="9"/>
  <c r="K216" i="9"/>
  <c r="K218" i="9"/>
  <c r="K220" i="9"/>
  <c r="K222" i="9"/>
  <c r="K224" i="9"/>
  <c r="K226" i="9"/>
  <c r="K230" i="9"/>
  <c r="K232" i="9"/>
  <c r="K301" i="9"/>
  <c r="I3" i="21"/>
  <c r="O8" i="17"/>
  <c r="P8" i="17" s="1"/>
  <c r="N8" i="17"/>
  <c r="F45" i="12"/>
  <c r="F71" i="12"/>
  <c r="H71" i="12" s="1"/>
  <c r="D79" i="12"/>
  <c r="H79" i="12" s="1"/>
  <c r="J2" i="7"/>
  <c r="F50" i="12"/>
  <c r="D50" i="12"/>
  <c r="D52" i="12" s="1"/>
  <c r="E45" i="12"/>
  <c r="E70" i="12"/>
  <c r="H70" i="12" s="1"/>
  <c r="E47" i="12"/>
  <c r="E49" i="12"/>
  <c r="D69" i="12"/>
  <c r="H69" i="12" s="1"/>
  <c r="P32" i="18"/>
  <c r="P31" i="18"/>
  <c r="B37" i="1" s="1"/>
  <c r="M17" i="1" s="1"/>
  <c r="C45" i="12"/>
  <c r="C71" i="12"/>
  <c r="C50" i="12"/>
  <c r="C52" i="12" s="1"/>
  <c r="D197" i="9"/>
  <c r="D221" i="9"/>
  <c r="D273" i="9"/>
  <c r="D275" i="9"/>
  <c r="D279" i="9"/>
  <c r="D281" i="9"/>
  <c r="D24" i="10"/>
  <c r="I49" i="10"/>
  <c r="K49" i="10" s="1"/>
  <c r="I71" i="10"/>
  <c r="K71" i="10" s="1"/>
  <c r="H24" i="10"/>
  <c r="I39" i="10"/>
  <c r="K39" i="10" s="1"/>
  <c r="D51" i="10"/>
  <c r="I24" i="10"/>
  <c r="K24" i="10" s="1"/>
  <c r="D30" i="10"/>
  <c r="D39" i="10"/>
  <c r="D49" i="10"/>
  <c r="D69" i="10"/>
  <c r="D71" i="10"/>
  <c r="H9" i="17"/>
  <c r="H11" i="17"/>
  <c r="O11" i="17"/>
  <c r="P11" i="17" s="1"/>
  <c r="N11" i="17"/>
  <c r="O10" i="17"/>
  <c r="P10" i="17" s="1"/>
  <c r="N10" i="17"/>
  <c r="B38" i="11"/>
  <c r="B39" i="11" s="1"/>
  <c r="B65" i="11"/>
  <c r="B66" i="11" s="1"/>
  <c r="N38" i="16" s="1"/>
  <c r="B20" i="3"/>
  <c r="I2" i="2"/>
  <c r="J2" i="2" s="1"/>
  <c r="K2" i="2" s="1"/>
  <c r="F3" i="18" s="1"/>
  <c r="C3" i="18"/>
  <c r="C4" i="18" s="1"/>
  <c r="C5" i="18" s="1"/>
  <c r="C6" i="18" s="1"/>
  <c r="C7" i="18" s="1"/>
  <c r="C8" i="18" s="1"/>
  <c r="N35" i="16"/>
  <c r="N17" i="16"/>
  <c r="O35" i="16"/>
  <c r="D20" i="16"/>
  <c r="H9" i="2"/>
  <c r="D62" i="16" s="1"/>
  <c r="B10" i="3"/>
  <c r="B14" i="3"/>
  <c r="D5" i="4"/>
  <c r="D22" i="4" s="1"/>
  <c r="N5" i="4"/>
  <c r="N22" i="4" s="1"/>
  <c r="I5" i="4"/>
  <c r="I22" i="4" s="1"/>
  <c r="D2" i="10"/>
  <c r="H16" i="10"/>
  <c r="D22" i="10"/>
  <c r="H79" i="10"/>
  <c r="D61" i="10"/>
  <c r="D63" i="10"/>
  <c r="D14" i="10"/>
  <c r="D16" i="10"/>
  <c r="D77" i="10"/>
  <c r="D79" i="10"/>
  <c r="D5" i="10"/>
  <c r="I10" i="10"/>
  <c r="K10" i="10" s="1"/>
  <c r="D12" i="10"/>
  <c r="D18" i="10"/>
  <c r="I26" i="10"/>
  <c r="K26" i="10" s="1"/>
  <c r="D28" i="10"/>
  <c r="I35" i="10"/>
  <c r="K35" i="10" s="1"/>
  <c r="D47" i="10"/>
  <c r="I53" i="10"/>
  <c r="K53" i="10" s="1"/>
  <c r="D55" i="10"/>
  <c r="I57" i="10"/>
  <c r="K57" i="10" s="1"/>
  <c r="D59" i="10"/>
  <c r="I63" i="10"/>
  <c r="K63" i="10" s="1"/>
  <c r="D65" i="10"/>
  <c r="I73" i="10"/>
  <c r="K73" i="10" s="1"/>
  <c r="D75" i="10"/>
  <c r="D35" i="10"/>
  <c r="D10" i="10"/>
  <c r="I18" i="10"/>
  <c r="K18" i="10" s="1"/>
  <c r="D20" i="10"/>
  <c r="D26" i="10"/>
  <c r="I43" i="10"/>
  <c r="K43" i="10" s="1"/>
  <c r="I51" i="10"/>
  <c r="K51" i="10" s="1"/>
  <c r="D53" i="10"/>
  <c r="I55" i="10"/>
  <c r="K55" i="10" s="1"/>
  <c r="D57" i="10"/>
  <c r="D67" i="10"/>
  <c r="D73" i="10"/>
  <c r="B53" i="11"/>
  <c r="D2" i="6"/>
  <c r="B4" i="3"/>
  <c r="B8" i="3"/>
  <c r="B21" i="3"/>
  <c r="I7" i="2"/>
  <c r="J7" i="2" s="1"/>
  <c r="K7" i="2" s="1"/>
  <c r="F43" i="18" s="1"/>
  <c r="I4" i="2"/>
  <c r="J4" i="2" s="1"/>
  <c r="K4" i="2" s="1"/>
  <c r="F23" i="18" s="1"/>
  <c r="B2" i="3"/>
  <c r="B9" i="3"/>
  <c r="I6" i="2"/>
  <c r="J6" i="2" s="1"/>
  <c r="K6" i="2" s="1"/>
  <c r="F53" i="18" s="1"/>
  <c r="I5" i="2"/>
  <c r="J5" i="2" s="1"/>
  <c r="K5" i="2" s="1"/>
  <c r="F33" i="18" s="1"/>
  <c r="I8" i="2"/>
  <c r="J8" i="2" s="1"/>
  <c r="K8" i="2" s="1"/>
  <c r="F63" i="18" s="1"/>
  <c r="B3" i="3"/>
  <c r="B15" i="3"/>
  <c r="E5" i="3"/>
  <c r="F81" i="18" s="1"/>
  <c r="B13" i="1" s="1"/>
  <c r="J14" i="1" s="1"/>
  <c r="E11" i="3"/>
  <c r="F89" i="18" s="1"/>
  <c r="B14" i="1" s="1"/>
  <c r="J15" i="1" s="1"/>
  <c r="E16" i="3"/>
  <c r="B8" i="10"/>
  <c r="N2" i="10" s="1"/>
  <c r="M2" i="10"/>
  <c r="B8" i="6"/>
  <c r="N5" i="6" s="1"/>
  <c r="M2" i="6"/>
  <c r="B2" i="9"/>
  <c r="B2" i="6"/>
  <c r="B7" i="6" s="1"/>
  <c r="B2" i="10"/>
  <c r="B7" i="10" s="1"/>
  <c r="H14" i="10"/>
  <c r="H22" i="10"/>
  <c r="H30" i="10"/>
  <c r="H34" i="10"/>
  <c r="H38" i="10"/>
  <c r="H42" i="10"/>
  <c r="H46" i="10"/>
  <c r="H61" i="10"/>
  <c r="H77" i="10"/>
  <c r="I96" i="10"/>
  <c r="K96" i="10" s="1"/>
  <c r="I5" i="10"/>
  <c r="K5" i="10" s="1"/>
  <c r="H12" i="10"/>
  <c r="I14" i="10"/>
  <c r="K14" i="10" s="1"/>
  <c r="H20" i="10"/>
  <c r="I22" i="10"/>
  <c r="K22" i="10" s="1"/>
  <c r="H28" i="10"/>
  <c r="I30" i="10"/>
  <c r="K30" i="10" s="1"/>
  <c r="I33" i="10"/>
  <c r="K33" i="10" s="1"/>
  <c r="I37" i="10"/>
  <c r="K37" i="10" s="1"/>
  <c r="I41" i="10"/>
  <c r="K41" i="10" s="1"/>
  <c r="I45" i="10"/>
  <c r="K45" i="10" s="1"/>
  <c r="H59" i="10"/>
  <c r="I61" i="10"/>
  <c r="K61" i="10" s="1"/>
  <c r="H67" i="10"/>
  <c r="I69" i="10"/>
  <c r="K69" i="10" s="1"/>
  <c r="H75" i="10"/>
  <c r="I77" i="10"/>
  <c r="K77" i="10" s="1"/>
  <c r="H5" i="10"/>
  <c r="H69" i="10"/>
  <c r="I80" i="10"/>
  <c r="K80" i="10" s="1"/>
  <c r="I84" i="10"/>
  <c r="K84" i="10" s="1"/>
  <c r="I88" i="10"/>
  <c r="K88" i="10" s="1"/>
  <c r="I92" i="10"/>
  <c r="K92" i="10" s="1"/>
  <c r="H32" i="10"/>
  <c r="D33" i="10"/>
  <c r="H36" i="10"/>
  <c r="D37" i="10"/>
  <c r="H40" i="10"/>
  <c r="D41" i="10"/>
  <c r="H44" i="10"/>
  <c r="D45" i="10"/>
  <c r="D80" i="10"/>
  <c r="I82" i="10"/>
  <c r="K82" i="10" s="1"/>
  <c r="D84" i="10"/>
  <c r="I86" i="10"/>
  <c r="K86" i="10" s="1"/>
  <c r="D88" i="10"/>
  <c r="I90" i="10"/>
  <c r="K90" i="10" s="1"/>
  <c r="D92" i="10"/>
  <c r="I94" i="10"/>
  <c r="K94" i="10" s="1"/>
  <c r="D96" i="10"/>
  <c r="H2" i="10"/>
  <c r="H7" i="10"/>
  <c r="I7" i="10"/>
  <c r="K7" i="10" s="1"/>
  <c r="D7" i="10"/>
  <c r="I4" i="10"/>
  <c r="K4" i="10" s="1"/>
  <c r="D4" i="10"/>
  <c r="H4" i="10"/>
  <c r="D32" i="10"/>
  <c r="D34" i="10"/>
  <c r="D36" i="10"/>
  <c r="D38" i="10"/>
  <c r="D40" i="10"/>
  <c r="D42" i="10"/>
  <c r="D44" i="10"/>
  <c r="D46" i="10"/>
  <c r="I58" i="10"/>
  <c r="K58" i="10" s="1"/>
  <c r="D58" i="10"/>
  <c r="H58" i="10"/>
  <c r="I60" i="10"/>
  <c r="K60" i="10" s="1"/>
  <c r="D60" i="10"/>
  <c r="H60" i="10"/>
  <c r="I62" i="10"/>
  <c r="K62" i="10" s="1"/>
  <c r="D62" i="10"/>
  <c r="H62" i="10"/>
  <c r="I64" i="10"/>
  <c r="K64" i="10" s="1"/>
  <c r="D64" i="10"/>
  <c r="H64" i="10"/>
  <c r="I70" i="10"/>
  <c r="K70" i="10" s="1"/>
  <c r="D70" i="10"/>
  <c r="H70" i="10"/>
  <c r="I78" i="10"/>
  <c r="K78" i="10" s="1"/>
  <c r="D78" i="10"/>
  <c r="H78" i="10"/>
  <c r="H83" i="10"/>
  <c r="D83" i="10"/>
  <c r="I83" i="10"/>
  <c r="K83" i="10" s="1"/>
  <c r="H91" i="10"/>
  <c r="D91" i="10"/>
  <c r="I91" i="10"/>
  <c r="K91" i="10" s="1"/>
  <c r="I68" i="10"/>
  <c r="K68" i="10" s="1"/>
  <c r="D68" i="10"/>
  <c r="H68" i="10"/>
  <c r="H93" i="10"/>
  <c r="D93" i="10"/>
  <c r="I93" i="10"/>
  <c r="K93" i="10" s="1"/>
  <c r="H3" i="10"/>
  <c r="H6" i="10"/>
  <c r="H9" i="10"/>
  <c r="H11" i="10"/>
  <c r="H13" i="10"/>
  <c r="H15" i="10"/>
  <c r="H17" i="10"/>
  <c r="H19" i="10"/>
  <c r="H21" i="10"/>
  <c r="H23" i="10"/>
  <c r="H25" i="10"/>
  <c r="H27" i="10"/>
  <c r="H29" i="10"/>
  <c r="H31" i="10"/>
  <c r="I48" i="10"/>
  <c r="K48" i="10" s="1"/>
  <c r="D48" i="10"/>
  <c r="I50" i="10"/>
  <c r="K50" i="10" s="1"/>
  <c r="D50" i="10"/>
  <c r="I52" i="10"/>
  <c r="K52" i="10" s="1"/>
  <c r="D52" i="10"/>
  <c r="I54" i="10"/>
  <c r="K54" i="10" s="1"/>
  <c r="D54" i="10"/>
  <c r="I56" i="10"/>
  <c r="K56" i="10" s="1"/>
  <c r="D56" i="10"/>
  <c r="I72" i="10"/>
  <c r="K72" i="10" s="1"/>
  <c r="D72" i="10"/>
  <c r="H72" i="10"/>
  <c r="H81" i="10"/>
  <c r="D81" i="10"/>
  <c r="I81" i="10"/>
  <c r="K81" i="10" s="1"/>
  <c r="H89" i="10"/>
  <c r="D89" i="10"/>
  <c r="I89" i="10"/>
  <c r="K89" i="10" s="1"/>
  <c r="H97" i="10"/>
  <c r="D97" i="10"/>
  <c r="I97" i="10"/>
  <c r="K97" i="10" s="1"/>
  <c r="I76" i="10"/>
  <c r="K76" i="10" s="1"/>
  <c r="D76" i="10"/>
  <c r="H76" i="10"/>
  <c r="H85" i="10"/>
  <c r="D85" i="10"/>
  <c r="I85" i="10"/>
  <c r="K85" i="10" s="1"/>
  <c r="D3" i="10"/>
  <c r="D6" i="10"/>
  <c r="D9" i="10"/>
  <c r="D11" i="10"/>
  <c r="D13" i="10"/>
  <c r="D15" i="10"/>
  <c r="D17" i="10"/>
  <c r="D19" i="10"/>
  <c r="D21" i="10"/>
  <c r="D23" i="10"/>
  <c r="D25" i="10"/>
  <c r="D27" i="10"/>
  <c r="D29" i="10"/>
  <c r="D31" i="10"/>
  <c r="I66" i="10"/>
  <c r="K66" i="10" s="1"/>
  <c r="D66" i="10"/>
  <c r="H66" i="10"/>
  <c r="I74" i="10"/>
  <c r="K74" i="10" s="1"/>
  <c r="D74" i="10"/>
  <c r="H74" i="10"/>
  <c r="H87" i="10"/>
  <c r="D87" i="10"/>
  <c r="I87" i="10"/>
  <c r="K87" i="10" s="1"/>
  <c r="H95" i="10"/>
  <c r="D95" i="10"/>
  <c r="I95" i="10"/>
  <c r="K95" i="10" s="1"/>
  <c r="D68" i="9"/>
  <c r="I183" i="9"/>
  <c r="K183" i="9" s="1"/>
  <c r="D189" i="9"/>
  <c r="D56" i="9"/>
  <c r="H193" i="9"/>
  <c r="I150" i="9"/>
  <c r="K150" i="9" s="1"/>
  <c r="I20" i="9"/>
  <c r="K20" i="9" s="1"/>
  <c r="I38" i="9"/>
  <c r="K38" i="9" s="1"/>
  <c r="D87" i="9"/>
  <c r="D97" i="9"/>
  <c r="I3" i="9"/>
  <c r="K3" i="9" s="1"/>
  <c r="D16" i="9"/>
  <c r="I165" i="9"/>
  <c r="K165" i="9" s="1"/>
  <c r="I123" i="9"/>
  <c r="K123" i="9" s="1"/>
  <c r="H189" i="9"/>
  <c r="I249" i="9"/>
  <c r="K249" i="9" s="1"/>
  <c r="H217" i="9"/>
  <c r="D10" i="9"/>
  <c r="D46" i="9"/>
  <c r="D89" i="9"/>
  <c r="D173" i="9"/>
  <c r="D3" i="9"/>
  <c r="I22" i="9"/>
  <c r="K22" i="9" s="1"/>
  <c r="D38" i="9"/>
  <c r="H46" i="9"/>
  <c r="D75" i="9"/>
  <c r="I79" i="9"/>
  <c r="K79" i="9" s="1"/>
  <c r="H109" i="9"/>
  <c r="D165" i="9"/>
  <c r="D169" i="9"/>
  <c r="H173" i="9"/>
  <c r="I205" i="9"/>
  <c r="K205" i="9" s="1"/>
  <c r="D224" i="9"/>
  <c r="D232" i="9"/>
  <c r="D261" i="9"/>
  <c r="D109" i="9"/>
  <c r="D2" i="9"/>
  <c r="D22" i="9"/>
  <c r="D32" i="9"/>
  <c r="H36" i="9"/>
  <c r="H87" i="9"/>
  <c r="H125" i="9"/>
  <c r="I156" i="9"/>
  <c r="K156" i="9" s="1"/>
  <c r="D162" i="9"/>
  <c r="H201" i="9"/>
  <c r="D205" i="9"/>
  <c r="D225" i="9"/>
  <c r="D237" i="9"/>
  <c r="D241" i="9"/>
  <c r="I254" i="9"/>
  <c r="K254" i="9" s="1"/>
  <c r="I6" i="9"/>
  <c r="K6" i="9" s="1"/>
  <c r="D12" i="9"/>
  <c r="D14" i="9"/>
  <c r="D48" i="9"/>
  <c r="H52" i="9"/>
  <c r="I66" i="9"/>
  <c r="K66" i="9" s="1"/>
  <c r="D79" i="9"/>
  <c r="I83" i="9"/>
  <c r="K83" i="9" s="1"/>
  <c r="D93" i="9"/>
  <c r="H97" i="9"/>
  <c r="D105" i="9"/>
  <c r="I154" i="9"/>
  <c r="K154" i="9" s="1"/>
  <c r="H177" i="9"/>
  <c r="D181" i="9"/>
  <c r="D193" i="9"/>
  <c r="I199" i="9"/>
  <c r="K199" i="9" s="1"/>
  <c r="I207" i="9"/>
  <c r="K207" i="9" s="1"/>
  <c r="D209" i="9"/>
  <c r="D217" i="9"/>
  <c r="D239" i="9"/>
  <c r="I247" i="9"/>
  <c r="K247" i="9" s="1"/>
  <c r="D272" i="9"/>
  <c r="D278" i="9"/>
  <c r="D282" i="9"/>
  <c r="D284" i="9"/>
  <c r="D26" i="9"/>
  <c r="D28" i="9"/>
  <c r="D30" i="9"/>
  <c r="D54" i="9"/>
  <c r="D58" i="9"/>
  <c r="D60" i="9"/>
  <c r="D65" i="9"/>
  <c r="D213" i="9"/>
  <c r="D247" i="9"/>
  <c r="D6" i="9"/>
  <c r="D42" i="9"/>
  <c r="D44" i="9"/>
  <c r="D62" i="9"/>
  <c r="D66" i="9"/>
  <c r="D117" i="9"/>
  <c r="D151" i="9"/>
  <c r="I181" i="9"/>
  <c r="K181" i="9" s="1"/>
  <c r="H213" i="9"/>
  <c r="I241" i="9"/>
  <c r="K241" i="9" s="1"/>
  <c r="D264" i="9"/>
  <c r="H12" i="9"/>
  <c r="I14" i="9"/>
  <c r="K14" i="9" s="1"/>
  <c r="H28" i="9"/>
  <c r="I30" i="9"/>
  <c r="K30" i="9" s="1"/>
  <c r="H44" i="9"/>
  <c r="I46" i="9"/>
  <c r="K46" i="9" s="1"/>
  <c r="I57" i="9"/>
  <c r="K57" i="9" s="1"/>
  <c r="H58" i="9"/>
  <c r="I59" i="9"/>
  <c r="K59" i="9" s="1"/>
  <c r="I60" i="9"/>
  <c r="K60" i="9" s="1"/>
  <c r="H68" i="9"/>
  <c r="I71" i="9"/>
  <c r="K71" i="9" s="1"/>
  <c r="D83" i="9"/>
  <c r="H85" i="9"/>
  <c r="I89" i="9"/>
  <c r="K89" i="9" s="1"/>
  <c r="I97" i="9"/>
  <c r="K97" i="9" s="1"/>
  <c r="H111" i="9"/>
  <c r="H119" i="9"/>
  <c r="D125" i="9"/>
  <c r="I152" i="9"/>
  <c r="K152" i="9" s="1"/>
  <c r="D159" i="9"/>
  <c r="I167" i="9"/>
  <c r="K167" i="9" s="1"/>
  <c r="I173" i="9"/>
  <c r="K173" i="9" s="1"/>
  <c r="H185" i="9"/>
  <c r="I191" i="9"/>
  <c r="K191" i="9" s="1"/>
  <c r="H197" i="9"/>
  <c r="D201" i="9"/>
  <c r="I213" i="9"/>
  <c r="K213" i="9" s="1"/>
  <c r="H221" i="9"/>
  <c r="I256" i="9"/>
  <c r="K256" i="9" s="1"/>
  <c r="D301" i="9"/>
  <c r="I12" i="9"/>
  <c r="K12" i="9" s="1"/>
  <c r="D18" i="9"/>
  <c r="D20" i="9"/>
  <c r="I28" i="9"/>
  <c r="K28" i="9" s="1"/>
  <c r="D34" i="9"/>
  <c r="D36" i="9"/>
  <c r="I44" i="9"/>
  <c r="K44" i="9" s="1"/>
  <c r="D50" i="9"/>
  <c r="D52" i="9"/>
  <c r="D55" i="9"/>
  <c r="D57" i="9"/>
  <c r="I58" i="9"/>
  <c r="K58" i="9" s="1"/>
  <c r="D64" i="9"/>
  <c r="I65" i="9"/>
  <c r="K65" i="9" s="1"/>
  <c r="I67" i="9"/>
  <c r="K67" i="9" s="1"/>
  <c r="I68" i="9"/>
  <c r="K68" i="9" s="1"/>
  <c r="D71" i="9"/>
  <c r="I75" i="9"/>
  <c r="K75" i="9" s="1"/>
  <c r="D85" i="9"/>
  <c r="H93" i="9"/>
  <c r="D95" i="9"/>
  <c r="I107" i="9"/>
  <c r="K107" i="9" s="1"/>
  <c r="D111" i="9"/>
  <c r="H117" i="9"/>
  <c r="D155" i="9"/>
  <c r="D157" i="9"/>
  <c r="I158" i="9"/>
  <c r="K158" i="9" s="1"/>
  <c r="H169" i="9"/>
  <c r="I175" i="9"/>
  <c r="K175" i="9" s="1"/>
  <c r="D177" i="9"/>
  <c r="D185" i="9"/>
  <c r="I197" i="9"/>
  <c r="K197" i="9" s="1"/>
  <c r="H209" i="9"/>
  <c r="I215" i="9"/>
  <c r="K215" i="9" s="1"/>
  <c r="I221" i="9"/>
  <c r="K221" i="9" s="1"/>
  <c r="D230" i="9"/>
  <c r="I233" i="9"/>
  <c r="K233" i="9" s="1"/>
  <c r="I239" i="9"/>
  <c r="K239" i="9" s="1"/>
  <c r="D253" i="9"/>
  <c r="I258" i="9"/>
  <c r="K258" i="9" s="1"/>
  <c r="D260" i="9"/>
  <c r="H261" i="9"/>
  <c r="D270" i="9"/>
  <c r="D280" i="9"/>
  <c r="D8" i="9"/>
  <c r="D24" i="9"/>
  <c r="D40" i="9"/>
  <c r="D63" i="9"/>
  <c r="D81" i="9"/>
  <c r="D119" i="9"/>
  <c r="D153" i="9"/>
  <c r="D164" i="9"/>
  <c r="D227" i="9"/>
  <c r="D265" i="9"/>
  <c r="D267" i="9"/>
  <c r="D271" i="9"/>
  <c r="D113" i="9"/>
  <c r="H113" i="9"/>
  <c r="D161" i="9"/>
  <c r="I161" i="9"/>
  <c r="K161" i="9" s="1"/>
  <c r="H161" i="9"/>
  <c r="H34" i="9"/>
  <c r="H42" i="9"/>
  <c r="H50" i="9"/>
  <c r="I53" i="9"/>
  <c r="K53" i="9" s="1"/>
  <c r="H54" i="9"/>
  <c r="I69" i="9"/>
  <c r="K69" i="9" s="1"/>
  <c r="I73" i="9"/>
  <c r="K73" i="9" s="1"/>
  <c r="I77" i="9"/>
  <c r="K77" i="9" s="1"/>
  <c r="H81" i="9"/>
  <c r="I99" i="9"/>
  <c r="K99" i="9" s="1"/>
  <c r="H103" i="9"/>
  <c r="I113" i="9"/>
  <c r="K113" i="9" s="1"/>
  <c r="D163" i="9"/>
  <c r="I163" i="9"/>
  <c r="K163" i="9" s="1"/>
  <c r="H163" i="9"/>
  <c r="D179" i="9"/>
  <c r="I179" i="9"/>
  <c r="K179" i="9" s="1"/>
  <c r="H179" i="9"/>
  <c r="D195" i="9"/>
  <c r="I195" i="9"/>
  <c r="K195" i="9" s="1"/>
  <c r="H195" i="9"/>
  <c r="D211" i="9"/>
  <c r="I211" i="9"/>
  <c r="K211" i="9" s="1"/>
  <c r="H211" i="9"/>
  <c r="H231" i="9"/>
  <c r="D231" i="9"/>
  <c r="H8" i="9"/>
  <c r="I10" i="9"/>
  <c r="K10" i="9" s="1"/>
  <c r="H16" i="9"/>
  <c r="I18" i="9"/>
  <c r="K18" i="9" s="1"/>
  <c r="H24" i="9"/>
  <c r="I26" i="9"/>
  <c r="K26" i="9" s="1"/>
  <c r="H32" i="9"/>
  <c r="I34" i="9"/>
  <c r="K34" i="9" s="1"/>
  <c r="H40" i="9"/>
  <c r="I42" i="9"/>
  <c r="K42" i="9" s="1"/>
  <c r="H48" i="9"/>
  <c r="I50" i="9"/>
  <c r="K50" i="9" s="1"/>
  <c r="I54" i="9"/>
  <c r="K54" i="9" s="1"/>
  <c r="I55" i="9"/>
  <c r="K55" i="9" s="1"/>
  <c r="H56" i="9"/>
  <c r="D59" i="9"/>
  <c r="I62" i="9"/>
  <c r="K62" i="9" s="1"/>
  <c r="I63" i="9"/>
  <c r="K63" i="9" s="1"/>
  <c r="H64" i="9"/>
  <c r="D67" i="9"/>
  <c r="I81" i="9"/>
  <c r="K81" i="9" s="1"/>
  <c r="I91" i="9"/>
  <c r="K91" i="9" s="1"/>
  <c r="H95" i="9"/>
  <c r="D99" i="9"/>
  <c r="H101" i="9"/>
  <c r="H105" i="9"/>
  <c r="I115" i="9"/>
  <c r="K115" i="9" s="1"/>
  <c r="D121" i="9"/>
  <c r="H121" i="9"/>
  <c r="I228" i="9"/>
  <c r="K228" i="9" s="1"/>
  <c r="D228" i="9"/>
  <c r="H2" i="9"/>
  <c r="H10" i="9"/>
  <c r="H18" i="9"/>
  <c r="H26" i="9"/>
  <c r="I61" i="9"/>
  <c r="K61" i="9" s="1"/>
  <c r="H62" i="9"/>
  <c r="D53" i="9"/>
  <c r="D61" i="9"/>
  <c r="D69" i="9"/>
  <c r="D73" i="9"/>
  <c r="D77" i="9"/>
  <c r="D91" i="9"/>
  <c r="D101" i="9"/>
  <c r="D103" i="9"/>
  <c r="I105" i="9"/>
  <c r="K105" i="9" s="1"/>
  <c r="D171" i="9"/>
  <c r="I171" i="9"/>
  <c r="K171" i="9" s="1"/>
  <c r="H171" i="9"/>
  <c r="D187" i="9"/>
  <c r="I187" i="9"/>
  <c r="K187" i="9" s="1"/>
  <c r="H187" i="9"/>
  <c r="D203" i="9"/>
  <c r="I203" i="9"/>
  <c r="K203" i="9" s="1"/>
  <c r="H203" i="9"/>
  <c r="D219" i="9"/>
  <c r="I219" i="9"/>
  <c r="K219" i="9" s="1"/>
  <c r="H219" i="9"/>
  <c r="D107" i="9"/>
  <c r="D115" i="9"/>
  <c r="D123" i="9"/>
  <c r="D160" i="9"/>
  <c r="D167" i="9"/>
  <c r="D175" i="9"/>
  <c r="D183" i="9"/>
  <c r="D191" i="9"/>
  <c r="D199" i="9"/>
  <c r="D207" i="9"/>
  <c r="D215" i="9"/>
  <c r="D223" i="9"/>
  <c r="D226" i="9"/>
  <c r="I235" i="9"/>
  <c r="K235" i="9" s="1"/>
  <c r="D243" i="9"/>
  <c r="I245" i="9"/>
  <c r="K245" i="9" s="1"/>
  <c r="I251" i="9"/>
  <c r="K251" i="9" s="1"/>
  <c r="D254" i="9"/>
  <c r="D256" i="9"/>
  <c r="D258" i="9"/>
  <c r="D262" i="9"/>
  <c r="D283" i="9"/>
  <c r="D288" i="9"/>
  <c r="I289" i="9"/>
  <c r="K289" i="9" s="1"/>
  <c r="D292" i="9"/>
  <c r="I293" i="9"/>
  <c r="K293" i="9" s="1"/>
  <c r="D296" i="9"/>
  <c r="I297" i="9"/>
  <c r="K297" i="9" s="1"/>
  <c r="I298" i="9"/>
  <c r="K298" i="9" s="1"/>
  <c r="I299" i="9"/>
  <c r="K299" i="9" s="1"/>
  <c r="D245" i="9"/>
  <c r="D229" i="9"/>
  <c r="D233" i="9"/>
  <c r="D235" i="9"/>
  <c r="I237" i="9"/>
  <c r="K237" i="9" s="1"/>
  <c r="I243" i="9"/>
  <c r="K243" i="9" s="1"/>
  <c r="D249" i="9"/>
  <c r="D251" i="9"/>
  <c r="I253" i="9"/>
  <c r="K253" i="9" s="1"/>
  <c r="D266" i="9"/>
  <c r="D268" i="9"/>
  <c r="D274" i="9"/>
  <c r="D276" i="9"/>
  <c r="D286" i="9"/>
  <c r="I287" i="9"/>
  <c r="K287" i="9" s="1"/>
  <c r="D290" i="9"/>
  <c r="I291" i="9"/>
  <c r="K291" i="9" s="1"/>
  <c r="D294" i="9"/>
  <c r="I295" i="9"/>
  <c r="K295" i="9" s="1"/>
  <c r="D298" i="9"/>
  <c r="D299" i="9"/>
  <c r="B6" i="9"/>
  <c r="I88" i="9"/>
  <c r="K88" i="9" s="1"/>
  <c r="D88" i="9"/>
  <c r="D146" i="9"/>
  <c r="I146" i="9"/>
  <c r="K146" i="9" s="1"/>
  <c r="H146" i="9"/>
  <c r="I70" i="9"/>
  <c r="K70" i="9" s="1"/>
  <c r="D70" i="9"/>
  <c r="I72" i="9"/>
  <c r="K72" i="9" s="1"/>
  <c r="D72" i="9"/>
  <c r="I74" i="9"/>
  <c r="K74" i="9" s="1"/>
  <c r="D74" i="9"/>
  <c r="I76" i="9"/>
  <c r="K76" i="9" s="1"/>
  <c r="D76" i="9"/>
  <c r="I78" i="9"/>
  <c r="K78" i="9" s="1"/>
  <c r="D78" i="9"/>
  <c r="I80" i="9"/>
  <c r="K80" i="9" s="1"/>
  <c r="D80" i="9"/>
  <c r="I96" i="9"/>
  <c r="K96" i="9" s="1"/>
  <c r="D96" i="9"/>
  <c r="I104" i="9"/>
  <c r="K104" i="9" s="1"/>
  <c r="D104" i="9"/>
  <c r="I112" i="9"/>
  <c r="K112" i="9" s="1"/>
  <c r="D112" i="9"/>
  <c r="I120" i="9"/>
  <c r="K120" i="9" s="1"/>
  <c r="D120" i="9"/>
  <c r="D138" i="9"/>
  <c r="I138" i="9"/>
  <c r="K138" i="9" s="1"/>
  <c r="H138" i="9"/>
  <c r="I2" i="9"/>
  <c r="K2" i="9" s="1"/>
  <c r="N2" i="9"/>
  <c r="H5" i="9"/>
  <c r="I98" i="9"/>
  <c r="K98" i="9" s="1"/>
  <c r="D98" i="9"/>
  <c r="H104" i="9"/>
  <c r="I106" i="9"/>
  <c r="K106" i="9" s="1"/>
  <c r="D106" i="9"/>
  <c r="H112" i="9"/>
  <c r="I114" i="9"/>
  <c r="K114" i="9" s="1"/>
  <c r="D114" i="9"/>
  <c r="H120" i="9"/>
  <c r="I122" i="9"/>
  <c r="K122" i="9" s="1"/>
  <c r="D122" i="9"/>
  <c r="H127" i="9"/>
  <c r="D127" i="9"/>
  <c r="I127" i="9"/>
  <c r="K127" i="9" s="1"/>
  <c r="D128" i="9"/>
  <c r="I128" i="9"/>
  <c r="K128" i="9" s="1"/>
  <c r="H131" i="9"/>
  <c r="D131" i="9"/>
  <c r="I131" i="9"/>
  <c r="K131" i="9" s="1"/>
  <c r="D132" i="9"/>
  <c r="I132" i="9"/>
  <c r="K132" i="9" s="1"/>
  <c r="D136" i="9"/>
  <c r="I136" i="9"/>
  <c r="K136" i="9" s="1"/>
  <c r="H136" i="9"/>
  <c r="D144" i="9"/>
  <c r="I144" i="9"/>
  <c r="K144" i="9" s="1"/>
  <c r="H144" i="9"/>
  <c r="I174" i="9"/>
  <c r="K174" i="9" s="1"/>
  <c r="D174" i="9"/>
  <c r="H174" i="9"/>
  <c r="I190" i="9"/>
  <c r="K190" i="9" s="1"/>
  <c r="D190" i="9"/>
  <c r="H190" i="9"/>
  <c r="I206" i="9"/>
  <c r="K206" i="9" s="1"/>
  <c r="D206" i="9"/>
  <c r="H206" i="9"/>
  <c r="H70" i="9"/>
  <c r="H72" i="9"/>
  <c r="H74" i="9"/>
  <c r="H76" i="9"/>
  <c r="H78" i="9"/>
  <c r="H80" i="9"/>
  <c r="I82" i="9"/>
  <c r="K82" i="9" s="1"/>
  <c r="D82" i="9"/>
  <c r="H88" i="9"/>
  <c r="I90" i="9"/>
  <c r="K90" i="9" s="1"/>
  <c r="D90" i="9"/>
  <c r="H96" i="9"/>
  <c r="H4" i="9"/>
  <c r="D5" i="9"/>
  <c r="H7" i="9"/>
  <c r="H9" i="9"/>
  <c r="H11" i="9"/>
  <c r="H13" i="9"/>
  <c r="H15" i="9"/>
  <c r="H17" i="9"/>
  <c r="H19" i="9"/>
  <c r="H21" i="9"/>
  <c r="H23" i="9"/>
  <c r="H25" i="9"/>
  <c r="H27" i="9"/>
  <c r="H29" i="9"/>
  <c r="H31" i="9"/>
  <c r="H33" i="9"/>
  <c r="H35" i="9"/>
  <c r="H37" i="9"/>
  <c r="H39" i="9"/>
  <c r="H41" i="9"/>
  <c r="H43" i="9"/>
  <c r="H45" i="9"/>
  <c r="H47" i="9"/>
  <c r="H49" i="9"/>
  <c r="H51" i="9"/>
  <c r="H82" i="9"/>
  <c r="I84" i="9"/>
  <c r="K84" i="9" s="1"/>
  <c r="D84" i="9"/>
  <c r="H90" i="9"/>
  <c r="I92" i="9"/>
  <c r="K92" i="9" s="1"/>
  <c r="D92" i="9"/>
  <c r="H98" i="9"/>
  <c r="I100" i="9"/>
  <c r="K100" i="9" s="1"/>
  <c r="D100" i="9"/>
  <c r="H106" i="9"/>
  <c r="I108" i="9"/>
  <c r="K108" i="9" s="1"/>
  <c r="D108" i="9"/>
  <c r="H114" i="9"/>
  <c r="I116" i="9"/>
  <c r="K116" i="9" s="1"/>
  <c r="D116" i="9"/>
  <c r="H122" i="9"/>
  <c r="I124" i="9"/>
  <c r="K124" i="9" s="1"/>
  <c r="D124" i="9"/>
  <c r="H128" i="9"/>
  <c r="H132" i="9"/>
  <c r="D134" i="9"/>
  <c r="I134" i="9"/>
  <c r="K134" i="9" s="1"/>
  <c r="H134" i="9"/>
  <c r="D142" i="9"/>
  <c r="I142" i="9"/>
  <c r="K142" i="9" s="1"/>
  <c r="H142" i="9"/>
  <c r="D4" i="9"/>
  <c r="D7" i="9"/>
  <c r="D9" i="9"/>
  <c r="D11" i="9"/>
  <c r="D13" i="9"/>
  <c r="D15" i="9"/>
  <c r="D17" i="9"/>
  <c r="D19" i="9"/>
  <c r="D21" i="9"/>
  <c r="D23" i="9"/>
  <c r="D25" i="9"/>
  <c r="D27" i="9"/>
  <c r="D29" i="9"/>
  <c r="D31" i="9"/>
  <c r="D33" i="9"/>
  <c r="D35" i="9"/>
  <c r="D37" i="9"/>
  <c r="D39" i="9"/>
  <c r="D41" i="9"/>
  <c r="D43" i="9"/>
  <c r="D45" i="9"/>
  <c r="D47" i="9"/>
  <c r="D49" i="9"/>
  <c r="D51" i="9"/>
  <c r="I86" i="9"/>
  <c r="K86" i="9" s="1"/>
  <c r="D86" i="9"/>
  <c r="I94" i="9"/>
  <c r="K94" i="9" s="1"/>
  <c r="D94" i="9"/>
  <c r="I102" i="9"/>
  <c r="K102" i="9" s="1"/>
  <c r="D102" i="9"/>
  <c r="I110" i="9"/>
  <c r="K110" i="9" s="1"/>
  <c r="D110" i="9"/>
  <c r="I118" i="9"/>
  <c r="K118" i="9" s="1"/>
  <c r="D118" i="9"/>
  <c r="I126" i="9"/>
  <c r="K126" i="9" s="1"/>
  <c r="D126" i="9"/>
  <c r="H129" i="9"/>
  <c r="D129" i="9"/>
  <c r="I129" i="9"/>
  <c r="K129" i="9" s="1"/>
  <c r="D130" i="9"/>
  <c r="I130" i="9"/>
  <c r="K130" i="9" s="1"/>
  <c r="D140" i="9"/>
  <c r="I140" i="9"/>
  <c r="K140" i="9" s="1"/>
  <c r="H140" i="9"/>
  <c r="D148" i="9"/>
  <c r="I148" i="9"/>
  <c r="K148" i="9" s="1"/>
  <c r="H148" i="9"/>
  <c r="I166" i="9"/>
  <c r="K166" i="9" s="1"/>
  <c r="D166" i="9"/>
  <c r="H166" i="9"/>
  <c r="I182" i="9"/>
  <c r="K182" i="9" s="1"/>
  <c r="D182" i="9"/>
  <c r="H182" i="9"/>
  <c r="I198" i="9"/>
  <c r="K198" i="9" s="1"/>
  <c r="D198" i="9"/>
  <c r="H198" i="9"/>
  <c r="H162" i="9"/>
  <c r="I162" i="9"/>
  <c r="K162" i="9" s="1"/>
  <c r="I168" i="9"/>
  <c r="K168" i="9" s="1"/>
  <c r="D168" i="9"/>
  <c r="H168" i="9"/>
  <c r="I176" i="9"/>
  <c r="K176" i="9" s="1"/>
  <c r="D176" i="9"/>
  <c r="H176" i="9"/>
  <c r="I184" i="9"/>
  <c r="K184" i="9" s="1"/>
  <c r="D184" i="9"/>
  <c r="H184" i="9"/>
  <c r="I192" i="9"/>
  <c r="K192" i="9" s="1"/>
  <c r="D192" i="9"/>
  <c r="H192" i="9"/>
  <c r="I200" i="9"/>
  <c r="K200" i="9" s="1"/>
  <c r="D200" i="9"/>
  <c r="H200" i="9"/>
  <c r="I208" i="9"/>
  <c r="K208" i="9" s="1"/>
  <c r="D208" i="9"/>
  <c r="H208" i="9"/>
  <c r="I133" i="9"/>
  <c r="K133" i="9" s="1"/>
  <c r="I135" i="9"/>
  <c r="K135" i="9" s="1"/>
  <c r="I137" i="9"/>
  <c r="K137" i="9" s="1"/>
  <c r="I139" i="9"/>
  <c r="K139" i="9" s="1"/>
  <c r="I141" i="9"/>
  <c r="K141" i="9" s="1"/>
  <c r="I143" i="9"/>
  <c r="K143" i="9" s="1"/>
  <c r="I145" i="9"/>
  <c r="K145" i="9" s="1"/>
  <c r="I147" i="9"/>
  <c r="K147" i="9" s="1"/>
  <c r="I149" i="9"/>
  <c r="K149" i="9" s="1"/>
  <c r="D150" i="9"/>
  <c r="I151" i="9"/>
  <c r="K151" i="9" s="1"/>
  <c r="D152" i="9"/>
  <c r="I153" i="9"/>
  <c r="K153" i="9" s="1"/>
  <c r="D154" i="9"/>
  <c r="I155" i="9"/>
  <c r="K155" i="9" s="1"/>
  <c r="D156" i="9"/>
  <c r="I157" i="9"/>
  <c r="K157" i="9" s="1"/>
  <c r="D158" i="9"/>
  <c r="I159" i="9"/>
  <c r="K159" i="9" s="1"/>
  <c r="I170" i="9"/>
  <c r="K170" i="9" s="1"/>
  <c r="D170" i="9"/>
  <c r="H170" i="9"/>
  <c r="I178" i="9"/>
  <c r="K178" i="9" s="1"/>
  <c r="D178" i="9"/>
  <c r="H178" i="9"/>
  <c r="I186" i="9"/>
  <c r="K186" i="9" s="1"/>
  <c r="D186" i="9"/>
  <c r="H186" i="9"/>
  <c r="I194" i="9"/>
  <c r="K194" i="9" s="1"/>
  <c r="D194" i="9"/>
  <c r="H194" i="9"/>
  <c r="I202" i="9"/>
  <c r="K202" i="9" s="1"/>
  <c r="D202" i="9"/>
  <c r="H202" i="9"/>
  <c r="I210" i="9"/>
  <c r="K210" i="9" s="1"/>
  <c r="D210" i="9"/>
  <c r="H210" i="9"/>
  <c r="D133" i="9"/>
  <c r="D135" i="9"/>
  <c r="D137" i="9"/>
  <c r="D139" i="9"/>
  <c r="D141" i="9"/>
  <c r="D143" i="9"/>
  <c r="D145" i="9"/>
  <c r="D147" i="9"/>
  <c r="D149" i="9"/>
  <c r="H160" i="9"/>
  <c r="I160" i="9"/>
  <c r="K160" i="9" s="1"/>
  <c r="H164" i="9"/>
  <c r="I164" i="9"/>
  <c r="K164" i="9" s="1"/>
  <c r="I172" i="9"/>
  <c r="K172" i="9" s="1"/>
  <c r="D172" i="9"/>
  <c r="H172" i="9"/>
  <c r="I180" i="9"/>
  <c r="K180" i="9" s="1"/>
  <c r="D180" i="9"/>
  <c r="H180" i="9"/>
  <c r="I188" i="9"/>
  <c r="K188" i="9" s="1"/>
  <c r="D188" i="9"/>
  <c r="H188" i="9"/>
  <c r="I196" i="9"/>
  <c r="K196" i="9" s="1"/>
  <c r="D196" i="9"/>
  <c r="H196" i="9"/>
  <c r="I204" i="9"/>
  <c r="K204" i="9" s="1"/>
  <c r="D204" i="9"/>
  <c r="H204" i="9"/>
  <c r="H263" i="9"/>
  <c r="I263" i="9"/>
  <c r="K263" i="9" s="1"/>
  <c r="D263" i="9"/>
  <c r="H269" i="9"/>
  <c r="I269" i="9"/>
  <c r="K269" i="9" s="1"/>
  <c r="D269" i="9"/>
  <c r="H212" i="9"/>
  <c r="H214" i="9"/>
  <c r="H216" i="9"/>
  <c r="H218" i="9"/>
  <c r="H220" i="9"/>
  <c r="H222" i="9"/>
  <c r="H224" i="9"/>
  <c r="H226" i="9"/>
  <c r="H228" i="9"/>
  <c r="H230" i="9"/>
  <c r="H232" i="9"/>
  <c r="H279" i="9"/>
  <c r="I279" i="9"/>
  <c r="K279" i="9" s="1"/>
  <c r="H285" i="9"/>
  <c r="I285" i="9"/>
  <c r="K285" i="9" s="1"/>
  <c r="D285" i="9"/>
  <c r="D212" i="9"/>
  <c r="D214" i="9"/>
  <c r="D216" i="9"/>
  <c r="D218" i="9"/>
  <c r="D220" i="9"/>
  <c r="D222" i="9"/>
  <c r="I223" i="9"/>
  <c r="K223" i="9" s="1"/>
  <c r="I225" i="9"/>
  <c r="K225" i="9" s="1"/>
  <c r="I227" i="9"/>
  <c r="K227" i="9" s="1"/>
  <c r="I229" i="9"/>
  <c r="K229" i="9" s="1"/>
  <c r="I231" i="9"/>
  <c r="K231" i="9" s="1"/>
  <c r="I234" i="9"/>
  <c r="K234" i="9" s="1"/>
  <c r="D234" i="9"/>
  <c r="I236" i="9"/>
  <c r="K236" i="9" s="1"/>
  <c r="D236" i="9"/>
  <c r="I238" i="9"/>
  <c r="K238" i="9" s="1"/>
  <c r="D238" i="9"/>
  <c r="I240" i="9"/>
  <c r="K240" i="9" s="1"/>
  <c r="D240" i="9"/>
  <c r="I242" i="9"/>
  <c r="K242" i="9" s="1"/>
  <c r="D242" i="9"/>
  <c r="I244" i="9"/>
  <c r="K244" i="9" s="1"/>
  <c r="D244" i="9"/>
  <c r="I246" i="9"/>
  <c r="K246" i="9" s="1"/>
  <c r="D246" i="9"/>
  <c r="I248" i="9"/>
  <c r="K248" i="9" s="1"/>
  <c r="D248" i="9"/>
  <c r="I250" i="9"/>
  <c r="K250" i="9" s="1"/>
  <c r="D250" i="9"/>
  <c r="I252" i="9"/>
  <c r="K252" i="9" s="1"/>
  <c r="D252" i="9"/>
  <c r="H271" i="9"/>
  <c r="I271" i="9"/>
  <c r="K271" i="9" s="1"/>
  <c r="H277" i="9"/>
  <c r="I277" i="9"/>
  <c r="K277" i="9" s="1"/>
  <c r="D277" i="9"/>
  <c r="H260" i="9"/>
  <c r="I260" i="9"/>
  <c r="K260" i="9" s="1"/>
  <c r="H265" i="9"/>
  <c r="I265" i="9"/>
  <c r="K265" i="9" s="1"/>
  <c r="H273" i="9"/>
  <c r="I273" i="9"/>
  <c r="K273" i="9" s="1"/>
  <c r="H281" i="9"/>
  <c r="I281" i="9"/>
  <c r="K281" i="9" s="1"/>
  <c r="I255" i="9"/>
  <c r="K255" i="9" s="1"/>
  <c r="D255" i="9"/>
  <c r="I257" i="9"/>
  <c r="K257" i="9" s="1"/>
  <c r="D257" i="9"/>
  <c r="I259" i="9"/>
  <c r="K259" i="9" s="1"/>
  <c r="D259" i="9"/>
  <c r="H267" i="9"/>
  <c r="I267" i="9"/>
  <c r="K267" i="9" s="1"/>
  <c r="H275" i="9"/>
  <c r="I275" i="9"/>
  <c r="K275" i="9" s="1"/>
  <c r="H283" i="9"/>
  <c r="I283" i="9"/>
  <c r="K283" i="9" s="1"/>
  <c r="I262" i="9"/>
  <c r="K262" i="9" s="1"/>
  <c r="I264" i="9"/>
  <c r="K264" i="9" s="1"/>
  <c r="I266" i="9"/>
  <c r="K266" i="9" s="1"/>
  <c r="I268" i="9"/>
  <c r="K268" i="9" s="1"/>
  <c r="I270" i="9"/>
  <c r="K270" i="9" s="1"/>
  <c r="I272" i="9"/>
  <c r="K272" i="9" s="1"/>
  <c r="I274" i="9"/>
  <c r="K274" i="9" s="1"/>
  <c r="I276" i="9"/>
  <c r="K276" i="9" s="1"/>
  <c r="I278" i="9"/>
  <c r="K278" i="9" s="1"/>
  <c r="I280" i="9"/>
  <c r="K280" i="9" s="1"/>
  <c r="I282" i="9"/>
  <c r="K282" i="9" s="1"/>
  <c r="I284" i="9"/>
  <c r="K284" i="9" s="1"/>
  <c r="I286" i="9"/>
  <c r="K286" i="9" s="1"/>
  <c r="D287" i="9"/>
  <c r="I288" i="9"/>
  <c r="K288" i="9" s="1"/>
  <c r="D289" i="9"/>
  <c r="I290" i="9"/>
  <c r="K290" i="9" s="1"/>
  <c r="D291" i="9"/>
  <c r="I292" i="9"/>
  <c r="K292" i="9" s="1"/>
  <c r="D293" i="9"/>
  <c r="I294" i="9"/>
  <c r="K294" i="9" s="1"/>
  <c r="D295" i="9"/>
  <c r="I296" i="9"/>
  <c r="K296" i="9" s="1"/>
  <c r="D297" i="9"/>
  <c r="H300" i="9"/>
  <c r="I300" i="9"/>
  <c r="K300" i="9" s="1"/>
  <c r="D300" i="9"/>
  <c r="H301" i="9"/>
  <c r="D120" i="6"/>
  <c r="D112" i="6"/>
  <c r="D104" i="6"/>
  <c r="D100" i="6"/>
  <c r="D92" i="6"/>
  <c r="D88" i="6"/>
  <c r="D84" i="6"/>
  <c r="D80" i="6"/>
  <c r="D76" i="6"/>
  <c r="D72" i="6"/>
  <c r="D68" i="6"/>
  <c r="D64" i="6"/>
  <c r="D60" i="6"/>
  <c r="D52" i="6"/>
  <c r="D48" i="6"/>
  <c r="D44" i="6"/>
  <c r="D40" i="6"/>
  <c r="D32" i="6"/>
  <c r="D24" i="6"/>
  <c r="D20" i="6"/>
  <c r="D8" i="6"/>
  <c r="D4" i="6"/>
  <c r="D39" i="6"/>
  <c r="D35" i="6"/>
  <c r="D31" i="6"/>
  <c r="D27" i="6"/>
  <c r="D23" i="6"/>
  <c r="D19" i="6"/>
  <c r="D15" i="6"/>
  <c r="D11" i="6"/>
  <c r="D7" i="6"/>
  <c r="D3" i="6"/>
  <c r="D116" i="6"/>
  <c r="D108" i="6"/>
  <c r="D96" i="6"/>
  <c r="D56" i="6"/>
  <c r="D110" i="6"/>
  <c r="D102" i="6"/>
  <c r="D78" i="6"/>
  <c r="D70" i="6"/>
  <c r="D46" i="6"/>
  <c r="D38" i="6"/>
  <c r="D34" i="6"/>
  <c r="D30" i="6"/>
  <c r="D26" i="6"/>
  <c r="D22" i="6"/>
  <c r="D18" i="6"/>
  <c r="D14" i="6"/>
  <c r="D10" i="6"/>
  <c r="D6" i="6"/>
  <c r="D121" i="6"/>
  <c r="D117" i="6"/>
  <c r="D113" i="6"/>
  <c r="D101" i="6"/>
  <c r="D97" i="6"/>
  <c r="D85" i="6"/>
  <c r="D81" i="6"/>
  <c r="D77" i="6"/>
  <c r="D69" i="6"/>
  <c r="D65" i="6"/>
  <c r="D57" i="6"/>
  <c r="D53" i="6"/>
  <c r="D49" i="6"/>
  <c r="D33" i="6"/>
  <c r="D29" i="6"/>
  <c r="D21" i="6"/>
  <c r="D17" i="6"/>
  <c r="D13" i="6"/>
  <c r="D5" i="6"/>
  <c r="D36" i="6"/>
  <c r="D28" i="6"/>
  <c r="D16" i="6"/>
  <c r="D12" i="6"/>
  <c r="I109" i="6"/>
  <c r="K109" i="6" s="1"/>
  <c r="D119" i="6"/>
  <c r="D115" i="6"/>
  <c r="D111" i="6"/>
  <c r="D107" i="6"/>
  <c r="D103" i="6"/>
  <c r="D99" i="6"/>
  <c r="D95" i="6"/>
  <c r="D91" i="6"/>
  <c r="D87" i="6"/>
  <c r="D83" i="6"/>
  <c r="D79" i="6"/>
  <c r="D75" i="6"/>
  <c r="D71" i="6"/>
  <c r="D67" i="6"/>
  <c r="D63" i="6"/>
  <c r="D59" i="6"/>
  <c r="D55" i="6"/>
  <c r="D51" i="6"/>
  <c r="D47" i="6"/>
  <c r="D43" i="6"/>
  <c r="D118" i="6"/>
  <c r="D114" i="6"/>
  <c r="D106" i="6"/>
  <c r="D98" i="6"/>
  <c r="D94" i="6"/>
  <c r="D90" i="6"/>
  <c r="D86" i="6"/>
  <c r="D82" i="6"/>
  <c r="D74" i="6"/>
  <c r="D66" i="6"/>
  <c r="D62" i="6"/>
  <c r="D58" i="6"/>
  <c r="D54" i="6"/>
  <c r="D50" i="6"/>
  <c r="D42" i="6"/>
  <c r="D109" i="6"/>
  <c r="D105" i="6"/>
  <c r="D93" i="6"/>
  <c r="D89" i="6"/>
  <c r="D73" i="6"/>
  <c r="D61" i="6"/>
  <c r="D45" i="6"/>
  <c r="D41" i="6"/>
  <c r="D37" i="6"/>
  <c r="D25" i="6"/>
  <c r="D9" i="6"/>
  <c r="I110" i="6"/>
  <c r="K110" i="6" s="1"/>
  <c r="H110" i="6"/>
  <c r="I102" i="6"/>
  <c r="K102" i="6" s="1"/>
  <c r="H102" i="6"/>
  <c r="I78" i="6"/>
  <c r="K78" i="6" s="1"/>
  <c r="H78" i="6"/>
  <c r="I70" i="6"/>
  <c r="K70" i="6" s="1"/>
  <c r="H70" i="6"/>
  <c r="H121" i="6"/>
  <c r="I121" i="6"/>
  <c r="K121" i="6" s="1"/>
  <c r="H77" i="6"/>
  <c r="I77" i="6"/>
  <c r="K77" i="6" s="1"/>
  <c r="H57" i="6"/>
  <c r="I57" i="6"/>
  <c r="K57" i="6" s="1"/>
  <c r="I29" i="6"/>
  <c r="K29" i="6" s="1"/>
  <c r="H29" i="6"/>
  <c r="H13" i="6"/>
  <c r="I13" i="6"/>
  <c r="K13" i="6" s="1"/>
  <c r="H118" i="6"/>
  <c r="H54" i="6"/>
  <c r="I89" i="6"/>
  <c r="K89" i="6" s="1"/>
  <c r="H94" i="6"/>
  <c r="I45" i="6"/>
  <c r="K45" i="6" s="1"/>
  <c r="I46" i="6"/>
  <c r="K46" i="6" s="1"/>
  <c r="H46" i="6"/>
  <c r="H62" i="6"/>
  <c r="H86" i="6"/>
  <c r="I25" i="6"/>
  <c r="K25" i="6" s="1"/>
  <c r="I120" i="6"/>
  <c r="K120" i="6" s="1"/>
  <c r="H120" i="6"/>
  <c r="I116" i="6"/>
  <c r="K116" i="6" s="1"/>
  <c r="H116" i="6"/>
  <c r="I112" i="6"/>
  <c r="K112" i="6" s="1"/>
  <c r="H112" i="6"/>
  <c r="I104" i="6"/>
  <c r="K104" i="6" s="1"/>
  <c r="H104" i="6"/>
  <c r="I96" i="6"/>
  <c r="K96" i="6" s="1"/>
  <c r="H96" i="6"/>
  <c r="I88" i="6"/>
  <c r="K88" i="6" s="1"/>
  <c r="H88" i="6"/>
  <c r="I80" i="6"/>
  <c r="K80" i="6" s="1"/>
  <c r="H80" i="6"/>
  <c r="I72" i="6"/>
  <c r="K72" i="6" s="1"/>
  <c r="H72" i="6"/>
  <c r="I64" i="6"/>
  <c r="K64" i="6" s="1"/>
  <c r="H64" i="6"/>
  <c r="I56" i="6"/>
  <c r="K56" i="6" s="1"/>
  <c r="H56" i="6"/>
  <c r="I48" i="6"/>
  <c r="K48" i="6" s="1"/>
  <c r="H48" i="6"/>
  <c r="I20" i="6"/>
  <c r="K20" i="6" s="1"/>
  <c r="H20" i="6"/>
  <c r="I4" i="6"/>
  <c r="K4" i="6" s="1"/>
  <c r="H4" i="6"/>
  <c r="I39" i="6"/>
  <c r="K39" i="6" s="1"/>
  <c r="H39" i="6"/>
  <c r="I31" i="6"/>
  <c r="K31" i="6" s="1"/>
  <c r="H31" i="6"/>
  <c r="I23" i="6"/>
  <c r="K23" i="6" s="1"/>
  <c r="H23" i="6"/>
  <c r="I15" i="6"/>
  <c r="K15" i="6" s="1"/>
  <c r="H15" i="6"/>
  <c r="I7" i="6"/>
  <c r="K7" i="6" s="1"/>
  <c r="H7" i="6"/>
  <c r="H115" i="6"/>
  <c r="H99" i="6"/>
  <c r="H91" i="6"/>
  <c r="H67" i="6"/>
  <c r="H51" i="6"/>
  <c r="I2" i="6"/>
  <c r="K2" i="6" s="1"/>
  <c r="H2" i="6"/>
  <c r="I38" i="6"/>
  <c r="K38" i="6" s="1"/>
  <c r="H38" i="6"/>
  <c r="I34" i="6"/>
  <c r="K34" i="6" s="1"/>
  <c r="H34" i="6"/>
  <c r="I30" i="6"/>
  <c r="K30" i="6" s="1"/>
  <c r="H30" i="6"/>
  <c r="I26" i="6"/>
  <c r="K26" i="6" s="1"/>
  <c r="H26" i="6"/>
  <c r="I22" i="6"/>
  <c r="K22" i="6" s="1"/>
  <c r="H22" i="6"/>
  <c r="I18" i="6"/>
  <c r="K18" i="6" s="1"/>
  <c r="H18" i="6"/>
  <c r="I14" i="6"/>
  <c r="K14" i="6" s="1"/>
  <c r="H14" i="6"/>
  <c r="I10" i="6"/>
  <c r="K10" i="6" s="1"/>
  <c r="H10" i="6"/>
  <c r="I6" i="6"/>
  <c r="K6" i="6" s="1"/>
  <c r="H6" i="6"/>
  <c r="H114" i="6"/>
  <c r="H106" i="6"/>
  <c r="H98" i="6"/>
  <c r="H90" i="6"/>
  <c r="H82" i="6"/>
  <c r="H74" i="6"/>
  <c r="H66" i="6"/>
  <c r="H58" i="6"/>
  <c r="H50" i="6"/>
  <c r="H42" i="6"/>
  <c r="H28" i="6"/>
  <c r="I105" i="6"/>
  <c r="K105" i="6" s="1"/>
  <c r="I73" i="6"/>
  <c r="K73" i="6" s="1"/>
  <c r="I41" i="6"/>
  <c r="K41" i="6" s="1"/>
  <c r="I9" i="6"/>
  <c r="K9" i="6" s="1"/>
  <c r="I108" i="6"/>
  <c r="K108" i="6" s="1"/>
  <c r="H108" i="6"/>
  <c r="I100" i="6"/>
  <c r="K100" i="6" s="1"/>
  <c r="H100" i="6"/>
  <c r="I92" i="6"/>
  <c r="K92" i="6" s="1"/>
  <c r="H92" i="6"/>
  <c r="I84" i="6"/>
  <c r="K84" i="6" s="1"/>
  <c r="H84" i="6"/>
  <c r="I76" i="6"/>
  <c r="K76" i="6" s="1"/>
  <c r="H76" i="6"/>
  <c r="I68" i="6"/>
  <c r="K68" i="6" s="1"/>
  <c r="H68" i="6"/>
  <c r="I60" i="6"/>
  <c r="K60" i="6" s="1"/>
  <c r="H60" i="6"/>
  <c r="I52" i="6"/>
  <c r="K52" i="6" s="1"/>
  <c r="H52" i="6"/>
  <c r="I44" i="6"/>
  <c r="K44" i="6" s="1"/>
  <c r="H44" i="6"/>
  <c r="I40" i="6"/>
  <c r="K40" i="6" s="1"/>
  <c r="H40" i="6"/>
  <c r="I32" i="6"/>
  <c r="K32" i="6" s="1"/>
  <c r="H32" i="6"/>
  <c r="I24" i="6"/>
  <c r="K24" i="6" s="1"/>
  <c r="H24" i="6"/>
  <c r="I8" i="6"/>
  <c r="K8" i="6" s="1"/>
  <c r="H8" i="6"/>
  <c r="H36" i="6"/>
  <c r="H12" i="6"/>
  <c r="I35" i="6"/>
  <c r="K35" i="6" s="1"/>
  <c r="H35" i="6"/>
  <c r="I27" i="6"/>
  <c r="K27" i="6" s="1"/>
  <c r="H27" i="6"/>
  <c r="I19" i="6"/>
  <c r="K19" i="6" s="1"/>
  <c r="H19" i="6"/>
  <c r="I11" i="6"/>
  <c r="K11" i="6" s="1"/>
  <c r="H11" i="6"/>
  <c r="I3" i="6"/>
  <c r="K3" i="6" s="1"/>
  <c r="H3" i="6"/>
  <c r="H107" i="6"/>
  <c r="H83" i="6"/>
  <c r="H75" i="6"/>
  <c r="H59" i="6"/>
  <c r="H43" i="6"/>
  <c r="I117" i="6"/>
  <c r="K117" i="6" s="1"/>
  <c r="H117" i="6"/>
  <c r="I113" i="6"/>
  <c r="K113" i="6" s="1"/>
  <c r="H113" i="6"/>
  <c r="I101" i="6"/>
  <c r="K101" i="6" s="1"/>
  <c r="H101" i="6"/>
  <c r="I97" i="6"/>
  <c r="K97" i="6" s="1"/>
  <c r="H97" i="6"/>
  <c r="I85" i="6"/>
  <c r="K85" i="6" s="1"/>
  <c r="H85" i="6"/>
  <c r="I81" i="6"/>
  <c r="K81" i="6" s="1"/>
  <c r="H81" i="6"/>
  <c r="I69" i="6"/>
  <c r="K69" i="6" s="1"/>
  <c r="H69" i="6"/>
  <c r="I65" i="6"/>
  <c r="K65" i="6" s="1"/>
  <c r="H65" i="6"/>
  <c r="I53" i="6"/>
  <c r="K53" i="6" s="1"/>
  <c r="H53" i="6"/>
  <c r="I49" i="6"/>
  <c r="K49" i="6" s="1"/>
  <c r="H49" i="6"/>
  <c r="I33" i="6"/>
  <c r="K33" i="6" s="1"/>
  <c r="H33" i="6"/>
  <c r="H21" i="6"/>
  <c r="I21" i="6"/>
  <c r="K21" i="6" s="1"/>
  <c r="H17" i="6"/>
  <c r="I17" i="6"/>
  <c r="K17" i="6" s="1"/>
  <c r="H5" i="6"/>
  <c r="I5" i="6"/>
  <c r="K5" i="6" s="1"/>
  <c r="H119" i="6"/>
  <c r="H111" i="6"/>
  <c r="H103" i="6"/>
  <c r="H95" i="6"/>
  <c r="H87" i="6"/>
  <c r="H79" i="6"/>
  <c r="H71" i="6"/>
  <c r="H63" i="6"/>
  <c r="H55" i="6"/>
  <c r="H47" i="6"/>
  <c r="H37" i="6"/>
  <c r="H16" i="6"/>
  <c r="I93" i="6"/>
  <c r="K93" i="6" s="1"/>
  <c r="I61" i="6"/>
  <c r="K61" i="6" s="1"/>
  <c r="P2" i="10" l="1"/>
  <c r="F15" i="18"/>
  <c r="F17" i="18" s="1"/>
  <c r="F19" i="18" s="1"/>
  <c r="C4" i="1" s="1"/>
  <c r="I5" i="1" s="1"/>
  <c r="B4" i="1"/>
  <c r="J5" i="1" s="1"/>
  <c r="N58" i="10"/>
  <c r="F52" i="12"/>
  <c r="G12" i="12"/>
  <c r="G13" i="12"/>
  <c r="G14" i="12"/>
  <c r="G15" i="12"/>
  <c r="G16" i="12"/>
  <c r="E52" i="12"/>
  <c r="I8" i="21"/>
  <c r="F84" i="18"/>
  <c r="J3" i="21"/>
  <c r="AD5" i="17"/>
  <c r="AD4" i="17"/>
  <c r="AD3" i="17"/>
  <c r="N39" i="16"/>
  <c r="D73" i="16" s="1"/>
  <c r="D74" i="16" s="1"/>
  <c r="D12" i="12"/>
  <c r="E13" i="12"/>
  <c r="F14" i="12"/>
  <c r="D16" i="12"/>
  <c r="C14" i="12"/>
  <c r="E12" i="12"/>
  <c r="F13" i="12"/>
  <c r="D15" i="12"/>
  <c r="E16" i="12"/>
  <c r="C15" i="12"/>
  <c r="F12" i="12"/>
  <c r="D14" i="12"/>
  <c r="E15" i="12"/>
  <c r="F16" i="12"/>
  <c r="C16" i="12"/>
  <c r="D13" i="12"/>
  <c r="E14" i="12"/>
  <c r="F15" i="12"/>
  <c r="C13" i="12"/>
  <c r="C12" i="12"/>
  <c r="F73" i="12"/>
  <c r="F78" i="12"/>
  <c r="F80" i="12" s="1"/>
  <c r="D73" i="12"/>
  <c r="D76" i="12"/>
  <c r="H76" i="12" s="1"/>
  <c r="E73" i="12"/>
  <c r="E77" i="12"/>
  <c r="H77" i="12" s="1"/>
  <c r="C78" i="12"/>
  <c r="D54" i="16" s="1"/>
  <c r="C73" i="12"/>
  <c r="E3" i="21"/>
  <c r="D3" i="21"/>
  <c r="D8" i="21" s="1"/>
  <c r="F82" i="18"/>
  <c r="W3" i="17"/>
  <c r="W5" i="17"/>
  <c r="W4" i="17"/>
  <c r="N29" i="16"/>
  <c r="H14" i="16"/>
  <c r="I14" i="16" s="1"/>
  <c r="D68" i="16"/>
  <c r="D26" i="16"/>
  <c r="D52" i="16" s="1"/>
  <c r="B9" i="14" s="1"/>
  <c r="N20" i="16"/>
  <c r="H26" i="16"/>
  <c r="N81" i="10"/>
  <c r="N77" i="10"/>
  <c r="N48" i="10"/>
  <c r="N24" i="10"/>
  <c r="N43" i="10"/>
  <c r="O2" i="10"/>
  <c r="N46" i="10"/>
  <c r="N33" i="10"/>
  <c r="N90" i="10"/>
  <c r="B56" i="11"/>
  <c r="C7" i="4" s="1"/>
  <c r="H7" i="4" s="1"/>
  <c r="M7" i="4" s="1"/>
  <c r="N22" i="10"/>
  <c r="N11" i="10"/>
  <c r="N53" i="10"/>
  <c r="N70" i="10"/>
  <c r="N36" i="10"/>
  <c r="N65" i="10"/>
  <c r="N21" i="10"/>
  <c r="N67" i="10"/>
  <c r="N80" i="10"/>
  <c r="N71" i="10"/>
  <c r="N26" i="10"/>
  <c r="N8" i="10"/>
  <c r="N13" i="10"/>
  <c r="N35" i="10"/>
  <c r="N57" i="10"/>
  <c r="N50" i="10"/>
  <c r="N72" i="10"/>
  <c r="N94" i="10"/>
  <c r="N40" i="10"/>
  <c r="N87" i="10"/>
  <c r="N10" i="10"/>
  <c r="N28" i="10"/>
  <c r="N93" i="10"/>
  <c r="N14" i="10"/>
  <c r="N3" i="10"/>
  <c r="N17" i="10"/>
  <c r="N27" i="10"/>
  <c r="N37" i="10"/>
  <c r="N49" i="10"/>
  <c r="N59" i="10"/>
  <c r="N83" i="10"/>
  <c r="N54" i="10"/>
  <c r="N64" i="10"/>
  <c r="N74" i="10"/>
  <c r="N86" i="10"/>
  <c r="N96" i="10"/>
  <c r="N38" i="10"/>
  <c r="N5" i="10"/>
  <c r="N73" i="10"/>
  <c r="N30" i="10"/>
  <c r="N25" i="10"/>
  <c r="N45" i="10"/>
  <c r="N75" i="10"/>
  <c r="N62" i="10"/>
  <c r="N82" i="10"/>
  <c r="N32" i="10"/>
  <c r="N44" i="10"/>
  <c r="N95" i="10"/>
  <c r="N12" i="10"/>
  <c r="N7" i="10"/>
  <c r="N69" i="10"/>
  <c r="N18" i="10"/>
  <c r="N9" i="10"/>
  <c r="N19" i="10"/>
  <c r="N29" i="10"/>
  <c r="N41" i="10"/>
  <c r="N51" i="10"/>
  <c r="N61" i="10"/>
  <c r="N56" i="10"/>
  <c r="N66" i="10"/>
  <c r="N78" i="10"/>
  <c r="N88" i="10"/>
  <c r="C10" i="11"/>
  <c r="P47" i="18" s="1"/>
  <c r="N121" i="6"/>
  <c r="N34" i="10"/>
  <c r="N42" i="10"/>
  <c r="N79" i="10"/>
  <c r="N97" i="10"/>
  <c r="N16" i="10"/>
  <c r="N4" i="10"/>
  <c r="N85" i="10"/>
  <c r="N89" i="10"/>
  <c r="N20" i="10"/>
  <c r="N6" i="10"/>
  <c r="N15" i="10"/>
  <c r="N23" i="10"/>
  <c r="N31" i="10"/>
  <c r="N39" i="10"/>
  <c r="N47" i="10"/>
  <c r="N55" i="10"/>
  <c r="N63" i="10"/>
  <c r="N91" i="10"/>
  <c r="N52" i="10"/>
  <c r="N60" i="10"/>
  <c r="N68" i="10"/>
  <c r="N76" i="10"/>
  <c r="N84" i="10"/>
  <c r="N92" i="10"/>
  <c r="N7" i="6"/>
  <c r="N16" i="6"/>
  <c r="N105" i="6"/>
  <c r="N110" i="6"/>
  <c r="N119" i="6"/>
  <c r="N41" i="6"/>
  <c r="N46" i="6"/>
  <c r="N55" i="6"/>
  <c r="N64" i="6"/>
  <c r="N57" i="6"/>
  <c r="N62" i="6"/>
  <c r="N71" i="6"/>
  <c r="N80" i="6"/>
  <c r="N9" i="6"/>
  <c r="N73" i="6"/>
  <c r="N14" i="6"/>
  <c r="N78" i="6"/>
  <c r="N23" i="6"/>
  <c r="N87" i="6"/>
  <c r="N32" i="6"/>
  <c r="N96" i="6"/>
  <c r="N25" i="6"/>
  <c r="N89" i="6"/>
  <c r="N30" i="6"/>
  <c r="N94" i="6"/>
  <c r="N39" i="6"/>
  <c r="N103" i="6"/>
  <c r="N48" i="6"/>
  <c r="N112" i="6"/>
  <c r="N13" i="6"/>
  <c r="N45" i="6"/>
  <c r="N77" i="6"/>
  <c r="N109" i="6"/>
  <c r="N18" i="6"/>
  <c r="N50" i="6"/>
  <c r="N82" i="6"/>
  <c r="N114" i="6"/>
  <c r="N27" i="6"/>
  <c r="N59" i="6"/>
  <c r="N91" i="6"/>
  <c r="N4" i="6"/>
  <c r="N36" i="6"/>
  <c r="N68" i="6"/>
  <c r="N84" i="6"/>
  <c r="N116" i="6"/>
  <c r="N17" i="6"/>
  <c r="N33" i="6"/>
  <c r="N49" i="6"/>
  <c r="N65" i="6"/>
  <c r="N81" i="6"/>
  <c r="N97" i="6"/>
  <c r="N113" i="6"/>
  <c r="N6" i="6"/>
  <c r="N22" i="6"/>
  <c r="N38" i="6"/>
  <c r="N54" i="6"/>
  <c r="N70" i="6"/>
  <c r="N86" i="6"/>
  <c r="N102" i="6"/>
  <c r="N118" i="6"/>
  <c r="N15" i="6"/>
  <c r="N31" i="6"/>
  <c r="N47" i="6"/>
  <c r="N63" i="6"/>
  <c r="N79" i="6"/>
  <c r="N95" i="6"/>
  <c r="N111" i="6"/>
  <c r="N8" i="6"/>
  <c r="N24" i="6"/>
  <c r="N40" i="6"/>
  <c r="N56" i="6"/>
  <c r="N72" i="6"/>
  <c r="N88" i="6"/>
  <c r="N104" i="6"/>
  <c r="N120" i="6"/>
  <c r="N29" i="6"/>
  <c r="N61" i="6"/>
  <c r="N93" i="6"/>
  <c r="N2" i="6"/>
  <c r="O2" i="6" s="1"/>
  <c r="N34" i="6"/>
  <c r="N66" i="6"/>
  <c r="N98" i="6"/>
  <c r="N11" i="6"/>
  <c r="N43" i="6"/>
  <c r="N75" i="6"/>
  <c r="N107" i="6"/>
  <c r="N20" i="6"/>
  <c r="N52" i="6"/>
  <c r="N100" i="6"/>
  <c r="N21" i="6"/>
  <c r="N37" i="6"/>
  <c r="N53" i="6"/>
  <c r="N69" i="6"/>
  <c r="N85" i="6"/>
  <c r="N101" i="6"/>
  <c r="N117" i="6"/>
  <c r="N10" i="6"/>
  <c r="N26" i="6"/>
  <c r="N42" i="6"/>
  <c r="N58" i="6"/>
  <c r="N74" i="6"/>
  <c r="N90" i="6"/>
  <c r="N106" i="6"/>
  <c r="N3" i="6"/>
  <c r="N19" i="6"/>
  <c r="N35" i="6"/>
  <c r="N51" i="6"/>
  <c r="N67" i="6"/>
  <c r="N83" i="6"/>
  <c r="N99" i="6"/>
  <c r="N115" i="6"/>
  <c r="N12" i="6"/>
  <c r="N28" i="6"/>
  <c r="N44" i="6"/>
  <c r="N60" i="6"/>
  <c r="N76" i="6"/>
  <c r="N92" i="6"/>
  <c r="N108" i="6"/>
  <c r="M300" i="9"/>
  <c r="M298" i="9"/>
  <c r="M296" i="9"/>
  <c r="M294" i="9"/>
  <c r="M292" i="9"/>
  <c r="M290" i="9"/>
  <c r="M288" i="9"/>
  <c r="M286" i="9"/>
  <c r="M284" i="9"/>
  <c r="M282" i="9"/>
  <c r="M280" i="9"/>
  <c r="M278" i="9"/>
  <c r="M276" i="9"/>
  <c r="M274" i="9"/>
  <c r="M272" i="9"/>
  <c r="M270" i="9"/>
  <c r="M268" i="9"/>
  <c r="M266" i="9"/>
  <c r="M264" i="9"/>
  <c r="M262" i="9"/>
  <c r="M260" i="9"/>
  <c r="M301" i="9"/>
  <c r="M299" i="9"/>
  <c r="M297" i="9"/>
  <c r="M295" i="9"/>
  <c r="M293" i="9"/>
  <c r="M291" i="9"/>
  <c r="M289" i="9"/>
  <c r="M287" i="9"/>
  <c r="M285" i="9"/>
  <c r="M283" i="9"/>
  <c r="M281" i="9"/>
  <c r="M279" i="9"/>
  <c r="M277" i="9"/>
  <c r="M275" i="9"/>
  <c r="M273" i="9"/>
  <c r="M271" i="9"/>
  <c r="M269" i="9"/>
  <c r="M267" i="9"/>
  <c r="M265" i="9"/>
  <c r="M263" i="9"/>
  <c r="M261" i="9"/>
  <c r="M259" i="9"/>
  <c r="M258" i="9"/>
  <c r="M257" i="9"/>
  <c r="M256" i="9"/>
  <c r="M255" i="9"/>
  <c r="M254" i="9"/>
  <c r="M253" i="9"/>
  <c r="M251" i="9"/>
  <c r="M249" i="9"/>
  <c r="M247" i="9"/>
  <c r="M245" i="9"/>
  <c r="M243" i="9"/>
  <c r="M241" i="9"/>
  <c r="M239" i="9"/>
  <c r="M237" i="9"/>
  <c r="M235" i="9"/>
  <c r="M233" i="9"/>
  <c r="M231" i="9"/>
  <c r="M229" i="9"/>
  <c r="M227" i="9"/>
  <c r="M225" i="9"/>
  <c r="M223" i="9"/>
  <c r="M252" i="9"/>
  <c r="M250" i="9"/>
  <c r="M248" i="9"/>
  <c r="M246" i="9"/>
  <c r="M244" i="9"/>
  <c r="M242" i="9"/>
  <c r="M240" i="9"/>
  <c r="M238" i="9"/>
  <c r="M236" i="9"/>
  <c r="M234" i="9"/>
  <c r="M232" i="9"/>
  <c r="M230" i="9"/>
  <c r="M228" i="9"/>
  <c r="M226" i="9"/>
  <c r="M224" i="9"/>
  <c r="M222" i="9"/>
  <c r="M220" i="9"/>
  <c r="M218" i="9"/>
  <c r="M216" i="9"/>
  <c r="M214" i="9"/>
  <c r="M212" i="9"/>
  <c r="M210" i="9"/>
  <c r="M208" i="9"/>
  <c r="M206" i="9"/>
  <c r="M204" i="9"/>
  <c r="M202" i="9"/>
  <c r="M200" i="9"/>
  <c r="M198" i="9"/>
  <c r="M196" i="9"/>
  <c r="M194" i="9"/>
  <c r="M192" i="9"/>
  <c r="M190" i="9"/>
  <c r="M188" i="9"/>
  <c r="M186" i="9"/>
  <c r="M184" i="9"/>
  <c r="M182" i="9"/>
  <c r="M180" i="9"/>
  <c r="M178" i="9"/>
  <c r="M176" i="9"/>
  <c r="M174" i="9"/>
  <c r="M172" i="9"/>
  <c r="M170" i="9"/>
  <c r="M168" i="9"/>
  <c r="M166" i="9"/>
  <c r="M164" i="9"/>
  <c r="M162" i="9"/>
  <c r="M160" i="9"/>
  <c r="M219" i="9"/>
  <c r="M215" i="9"/>
  <c r="M211" i="9"/>
  <c r="M209" i="9"/>
  <c r="M207" i="9"/>
  <c r="M205" i="9"/>
  <c r="M203" i="9"/>
  <c r="M201" i="9"/>
  <c r="M199" i="9"/>
  <c r="M197" i="9"/>
  <c r="M195" i="9"/>
  <c r="M193" i="9"/>
  <c r="M191" i="9"/>
  <c r="M189" i="9"/>
  <c r="M187" i="9"/>
  <c r="M185" i="9"/>
  <c r="M183" i="9"/>
  <c r="M181" i="9"/>
  <c r="M179" i="9"/>
  <c r="M177" i="9"/>
  <c r="M175" i="9"/>
  <c r="M173" i="9"/>
  <c r="M171" i="9"/>
  <c r="M169" i="9"/>
  <c r="M167" i="9"/>
  <c r="M165" i="9"/>
  <c r="M159" i="9"/>
  <c r="M157" i="9"/>
  <c r="M155" i="9"/>
  <c r="M153" i="9"/>
  <c r="M151" i="9"/>
  <c r="M149" i="9"/>
  <c r="M147" i="9"/>
  <c r="M145" i="9"/>
  <c r="M143" i="9"/>
  <c r="M141" i="9"/>
  <c r="M139" i="9"/>
  <c r="M137" i="9"/>
  <c r="M135" i="9"/>
  <c r="M133" i="9"/>
  <c r="M131" i="9"/>
  <c r="M129" i="9"/>
  <c r="M127" i="9"/>
  <c r="M221" i="9"/>
  <c r="M217" i="9"/>
  <c r="M213" i="9"/>
  <c r="M158" i="9"/>
  <c r="M156" i="9"/>
  <c r="M154" i="9"/>
  <c r="M152" i="9"/>
  <c r="M150" i="9"/>
  <c r="M161" i="9"/>
  <c r="M125" i="9"/>
  <c r="M123" i="9"/>
  <c r="M121" i="9"/>
  <c r="M119" i="9"/>
  <c r="M117" i="9"/>
  <c r="M115" i="9"/>
  <c r="M113" i="9"/>
  <c r="M111" i="9"/>
  <c r="M109" i="9"/>
  <c r="M107" i="9"/>
  <c r="M105" i="9"/>
  <c r="M103" i="9"/>
  <c r="M101" i="9"/>
  <c r="M99" i="9"/>
  <c r="M97" i="9"/>
  <c r="M95" i="9"/>
  <c r="M93" i="9"/>
  <c r="M91" i="9"/>
  <c r="M89" i="9"/>
  <c r="M87" i="9"/>
  <c r="M85" i="9"/>
  <c r="M83" i="9"/>
  <c r="M81" i="9"/>
  <c r="M79" i="9"/>
  <c r="M77" i="9"/>
  <c r="M75" i="9"/>
  <c r="M73" i="9"/>
  <c r="M71" i="9"/>
  <c r="M69" i="9"/>
  <c r="M67" i="9"/>
  <c r="M65" i="9"/>
  <c r="M63" i="9"/>
  <c r="M61" i="9"/>
  <c r="M59" i="9"/>
  <c r="M57" i="9"/>
  <c r="M55" i="9"/>
  <c r="M53" i="9"/>
  <c r="M163" i="9"/>
  <c r="M148" i="9"/>
  <c r="M146" i="9"/>
  <c r="M144" i="9"/>
  <c r="M142" i="9"/>
  <c r="M140" i="9"/>
  <c r="M138" i="9"/>
  <c r="M136" i="9"/>
  <c r="M134" i="9"/>
  <c r="M130" i="9"/>
  <c r="M126" i="9"/>
  <c r="M118" i="9"/>
  <c r="M110" i="9"/>
  <c r="M102" i="9"/>
  <c r="M94" i="9"/>
  <c r="M86" i="9"/>
  <c r="M68" i="9"/>
  <c r="M66" i="9"/>
  <c r="M64" i="9"/>
  <c r="M62" i="9"/>
  <c r="M60" i="9"/>
  <c r="M58" i="9"/>
  <c r="M56" i="9"/>
  <c r="M54" i="9"/>
  <c r="M52" i="9"/>
  <c r="M3" i="9"/>
  <c r="M124" i="9"/>
  <c r="M116" i="9"/>
  <c r="M108" i="9"/>
  <c r="M100" i="9"/>
  <c r="M92" i="9"/>
  <c r="M84" i="9"/>
  <c r="M51" i="9"/>
  <c r="M49" i="9"/>
  <c r="M47" i="9"/>
  <c r="M45" i="9"/>
  <c r="M43" i="9"/>
  <c r="M41" i="9"/>
  <c r="M39" i="9"/>
  <c r="M37" i="9"/>
  <c r="M35" i="9"/>
  <c r="M33" i="9"/>
  <c r="M31" i="9"/>
  <c r="M29" i="9"/>
  <c r="M27" i="9"/>
  <c r="M25" i="9"/>
  <c r="M23" i="9"/>
  <c r="M21" i="9"/>
  <c r="M19" i="9"/>
  <c r="M17" i="9"/>
  <c r="M15" i="9"/>
  <c r="M13" i="9"/>
  <c r="M11" i="9"/>
  <c r="M9" i="9"/>
  <c r="M7" i="9"/>
  <c r="M4" i="9"/>
  <c r="M90" i="9"/>
  <c r="M82" i="9"/>
  <c r="M132" i="9"/>
  <c r="M128" i="9"/>
  <c r="M122" i="9"/>
  <c r="M114" i="9"/>
  <c r="M106" i="9"/>
  <c r="M98" i="9"/>
  <c r="M5" i="9"/>
  <c r="M120" i="9"/>
  <c r="M112" i="9"/>
  <c r="M104" i="9"/>
  <c r="M96" i="9"/>
  <c r="M80" i="9"/>
  <c r="M78" i="9"/>
  <c r="M76" i="9"/>
  <c r="M74" i="9"/>
  <c r="M72" i="9"/>
  <c r="M70" i="9"/>
  <c r="M50" i="9"/>
  <c r="M46" i="9"/>
  <c r="M44" i="9"/>
  <c r="M42" i="9"/>
  <c r="M38" i="9"/>
  <c r="M36" i="9"/>
  <c r="M34" i="9"/>
  <c r="M28" i="9"/>
  <c r="M26" i="9"/>
  <c r="M24" i="9"/>
  <c r="M22" i="9"/>
  <c r="M18" i="9"/>
  <c r="M16" i="9"/>
  <c r="M12" i="9"/>
  <c r="M10" i="9"/>
  <c r="M88" i="9"/>
  <c r="M48" i="9"/>
  <c r="M40" i="9"/>
  <c r="M32" i="9"/>
  <c r="M30" i="9"/>
  <c r="M20" i="9"/>
  <c r="M14" i="9"/>
  <c r="M8" i="9"/>
  <c r="M6" i="9"/>
  <c r="M2" i="9"/>
  <c r="H31" i="1" l="1"/>
  <c r="P2" i="6"/>
  <c r="L3" i="10"/>
  <c r="M3" i="10" s="1"/>
  <c r="P3" i="10" s="1"/>
  <c r="L3" i="6"/>
  <c r="M3" i="6" s="1"/>
  <c r="P3" i="6" s="1"/>
  <c r="H14" i="12"/>
  <c r="H12" i="12"/>
  <c r="H13" i="12"/>
  <c r="H15" i="12"/>
  <c r="H73" i="12"/>
  <c r="H16" i="12"/>
  <c r="G17" i="12"/>
  <c r="H78" i="12"/>
  <c r="B55" i="11"/>
  <c r="B54" i="11"/>
  <c r="B7" i="4" s="1"/>
  <c r="G7" i="4" s="1"/>
  <c r="B14" i="14"/>
  <c r="B14" i="20"/>
  <c r="J8" i="21"/>
  <c r="F92" i="18"/>
  <c r="E8" i="21"/>
  <c r="F90" i="18"/>
  <c r="F91" i="18" s="1"/>
  <c r="F5" i="18"/>
  <c r="F7" i="18" s="1"/>
  <c r="F9" i="18" s="1"/>
  <c r="C3" i="1" s="1"/>
  <c r="I4" i="1" s="1"/>
  <c r="B3" i="1"/>
  <c r="J4" i="1" s="1"/>
  <c r="F65" i="18"/>
  <c r="F67" i="18" s="1"/>
  <c r="F69" i="18" s="1"/>
  <c r="C9" i="1" s="1"/>
  <c r="I10" i="1" s="1"/>
  <c r="B9" i="1"/>
  <c r="J10" i="1" s="1"/>
  <c r="F25" i="18"/>
  <c r="F27" i="18" s="1"/>
  <c r="F29" i="18" s="1"/>
  <c r="C5" i="1" s="1"/>
  <c r="I6" i="1" s="1"/>
  <c r="B5" i="1"/>
  <c r="J6" i="1" s="1"/>
  <c r="F55" i="18"/>
  <c r="F57" i="18" s="1"/>
  <c r="F59" i="18" s="1"/>
  <c r="C7" i="1" s="1"/>
  <c r="I8" i="1" s="1"/>
  <c r="B7" i="1"/>
  <c r="J8" i="1" s="1"/>
  <c r="F45" i="18"/>
  <c r="F47" i="18" s="1"/>
  <c r="F49" i="18" s="1"/>
  <c r="C8" i="1" s="1"/>
  <c r="I9" i="1" s="1"/>
  <c r="B8" i="1"/>
  <c r="J9" i="1" s="1"/>
  <c r="F35" i="18"/>
  <c r="F37" i="18" s="1"/>
  <c r="F39" i="18" s="1"/>
  <c r="C6" i="1" s="1"/>
  <c r="I7" i="1" s="1"/>
  <c r="B6" i="1"/>
  <c r="J7" i="1" s="1"/>
  <c r="C17" i="12"/>
  <c r="E80" i="12"/>
  <c r="F17" i="12"/>
  <c r="AG3" i="17"/>
  <c r="AH3" i="17" s="1"/>
  <c r="AF3" i="17"/>
  <c r="C80" i="12"/>
  <c r="D80" i="12"/>
  <c r="E17" i="12"/>
  <c r="AG4" i="17"/>
  <c r="AH4" i="17" s="1"/>
  <c r="AF4" i="17"/>
  <c r="D17" i="12"/>
  <c r="AG5" i="17"/>
  <c r="AH5" i="17" s="1"/>
  <c r="AF5" i="17"/>
  <c r="P40" i="18"/>
  <c r="P39" i="18"/>
  <c r="P26" i="18"/>
  <c r="P20" i="18"/>
  <c r="B33" i="1"/>
  <c r="M13" i="1" s="1"/>
  <c r="D55" i="16"/>
  <c r="Y4" i="17"/>
  <c r="Z4" i="17"/>
  <c r="AA4" i="17" s="1"/>
  <c r="Y5" i="17"/>
  <c r="Z5" i="17"/>
  <c r="AA5" i="17" s="1"/>
  <c r="Z3" i="17"/>
  <c r="AA3" i="17" s="1"/>
  <c r="Y3" i="17"/>
  <c r="D67" i="16"/>
  <c r="B15" i="14" s="1"/>
  <c r="D38" i="16"/>
  <c r="D37" i="16"/>
  <c r="N98" i="10"/>
  <c r="N122" i="6"/>
  <c r="O2" i="9"/>
  <c r="P2" i="9" s="1"/>
  <c r="M302" i="9"/>
  <c r="H30" i="1" l="1"/>
  <c r="I29" i="1"/>
  <c r="H33" i="1"/>
  <c r="O3" i="6"/>
  <c r="L4" i="6" s="1"/>
  <c r="O4" i="6" s="1"/>
  <c r="H32" i="1"/>
  <c r="I11" i="1"/>
  <c r="O3" i="10"/>
  <c r="L4" i="10" s="1"/>
  <c r="L3" i="9"/>
  <c r="N3" i="9" s="1"/>
  <c r="O3" i="9" s="1"/>
  <c r="P3" i="9" s="1"/>
  <c r="B45" i="11"/>
  <c r="B49" i="11" s="1"/>
  <c r="C6" i="4" s="1"/>
  <c r="H6" i="4" s="1"/>
  <c r="M6" i="4" s="1"/>
  <c r="H17" i="12"/>
  <c r="H80" i="12"/>
  <c r="J11" i="1"/>
  <c r="D7" i="4"/>
  <c r="B47" i="11"/>
  <c r="B16" i="14"/>
  <c r="D63" i="16"/>
  <c r="K3" i="21"/>
  <c r="L3" i="21"/>
  <c r="F93" i="18"/>
  <c r="C14" i="1" s="1"/>
  <c r="I15" i="1" s="1"/>
  <c r="C10" i="1"/>
  <c r="B10" i="1"/>
  <c r="G3" i="21"/>
  <c r="P42" i="18"/>
  <c r="B36" i="1"/>
  <c r="M16" i="1" s="1"/>
  <c r="M18" i="1" s="1"/>
  <c r="F3" i="21"/>
  <c r="D69" i="16"/>
  <c r="L7" i="4"/>
  <c r="N7" i="4" s="1"/>
  <c r="I7" i="4"/>
  <c r="M4" i="10" l="1"/>
  <c r="P4" i="10" s="1"/>
  <c r="O4" i="10"/>
  <c r="L5" i="10" s="1"/>
  <c r="O5" i="10" s="1"/>
  <c r="L5" i="6"/>
  <c r="M5" i="6" s="1"/>
  <c r="P5" i="6" s="1"/>
  <c r="M4" i="6"/>
  <c r="P4" i="6" s="1"/>
  <c r="L4" i="9"/>
  <c r="N4" i="9" s="1"/>
  <c r="O4" i="9" s="1"/>
  <c r="P4" i="9" s="1"/>
  <c r="L5" i="9" s="1"/>
  <c r="N5" i="9" s="1"/>
  <c r="O5" i="9" s="1"/>
  <c r="P5" i="9" s="1"/>
  <c r="L6" i="9" s="1"/>
  <c r="B48" i="11"/>
  <c r="B6" i="4" s="1"/>
  <c r="G6" i="4" s="1"/>
  <c r="L6" i="4" s="1"/>
  <c r="N6" i="4" s="1"/>
  <c r="N8" i="4" s="1"/>
  <c r="N9" i="4" s="1"/>
  <c r="N10" i="4" s="1"/>
  <c r="F108" i="18"/>
  <c r="L8" i="21"/>
  <c r="G8" i="21"/>
  <c r="F106" i="18"/>
  <c r="F107" i="18" s="1"/>
  <c r="F8" i="21"/>
  <c r="F98" i="18"/>
  <c r="F99" i="18" s="1"/>
  <c r="K8" i="21"/>
  <c r="F100" i="18"/>
  <c r="M3" i="21"/>
  <c r="H3" i="21"/>
  <c r="P48" i="18" s="1"/>
  <c r="P50" i="18" s="1"/>
  <c r="B8" i="20" s="1"/>
  <c r="P41" i="18"/>
  <c r="M5" i="10" l="1"/>
  <c r="P5" i="10" s="1"/>
  <c r="L6" i="10"/>
  <c r="O6" i="10" s="1"/>
  <c r="O5" i="6"/>
  <c r="L6" i="6" s="1"/>
  <c r="I6" i="4"/>
  <c r="I8" i="4" s="1"/>
  <c r="I9" i="4" s="1"/>
  <c r="I10" i="4" s="1"/>
  <c r="F124" i="18" s="1"/>
  <c r="D6" i="4"/>
  <c r="D8" i="4" s="1"/>
  <c r="D9" i="4" s="1"/>
  <c r="D10" i="4" s="1"/>
  <c r="F114" i="18" s="1"/>
  <c r="N13" i="4"/>
  <c r="N14" i="4" s="1"/>
  <c r="N15" i="4" s="1"/>
  <c r="C19" i="7" s="1"/>
  <c r="F132" i="18"/>
  <c r="M8" i="21"/>
  <c r="F109" i="18"/>
  <c r="F101" i="18"/>
  <c r="H8" i="21"/>
  <c r="P49" i="18"/>
  <c r="P51" i="18" s="1"/>
  <c r="C33" i="1" s="1"/>
  <c r="L13" i="1" s="1"/>
  <c r="B10" i="20"/>
  <c r="F130" i="18"/>
  <c r="B19" i="7"/>
  <c r="D21" i="3" s="1"/>
  <c r="E21" i="3" s="1"/>
  <c r="F129" i="18" s="1"/>
  <c r="N25" i="16"/>
  <c r="N6" i="9"/>
  <c r="O6" i="9" s="1"/>
  <c r="P6" i="9" s="1"/>
  <c r="L7" i="9" s="1"/>
  <c r="B24" i="7" l="1"/>
  <c r="F122" i="18"/>
  <c r="L7" i="10"/>
  <c r="M7" i="10" s="1"/>
  <c r="P7" i="10" s="1"/>
  <c r="M6" i="10"/>
  <c r="P6" i="10" s="1"/>
  <c r="O6" i="6"/>
  <c r="L7" i="6" s="1"/>
  <c r="M6" i="6"/>
  <c r="P6" i="6" s="1"/>
  <c r="I13" i="4"/>
  <c r="I14" i="4" s="1"/>
  <c r="I15" i="4" s="1"/>
  <c r="C18" i="7" s="1"/>
  <c r="B23" i="7" s="1"/>
  <c r="N24" i="16"/>
  <c r="B18" i="7"/>
  <c r="D20" i="3" s="1"/>
  <c r="E20" i="3" s="1"/>
  <c r="F121" i="18" s="1"/>
  <c r="B17" i="1" s="1"/>
  <c r="J18" i="1" s="1"/>
  <c r="B17" i="7"/>
  <c r="D19" i="3" s="1"/>
  <c r="E19" i="3" s="1"/>
  <c r="F113" i="18" s="1"/>
  <c r="F115" i="18" s="1"/>
  <c r="F116" i="18"/>
  <c r="N23" i="16"/>
  <c r="N26" i="16" s="1"/>
  <c r="B5" i="14" s="1"/>
  <c r="D13" i="4"/>
  <c r="D14" i="4" s="1"/>
  <c r="D15" i="4" s="1"/>
  <c r="C17" i="7" s="1"/>
  <c r="B22" i="7" s="1"/>
  <c r="N16" i="4"/>
  <c r="N17" i="4" s="1"/>
  <c r="N19" i="4" s="1"/>
  <c r="N13" i="16" s="1"/>
  <c r="C15" i="1"/>
  <c r="I16" i="1" s="1"/>
  <c r="P43" i="18"/>
  <c r="C36" i="1" s="1"/>
  <c r="L16" i="1" s="1"/>
  <c r="N7" i="9"/>
  <c r="O7" i="9" s="1"/>
  <c r="P7" i="9" s="1"/>
  <c r="L8" i="9" s="1"/>
  <c r="O7" i="10" l="1"/>
  <c r="L8" i="10" s="1"/>
  <c r="O7" i="6"/>
  <c r="L8" i="6" s="1"/>
  <c r="M7" i="6"/>
  <c r="P7" i="6" s="1"/>
  <c r="F117" i="18"/>
  <c r="C16" i="1" s="1"/>
  <c r="I17" i="1" s="1"/>
  <c r="I16" i="4"/>
  <c r="I17" i="4" s="1"/>
  <c r="I19" i="4" s="1"/>
  <c r="B16" i="1"/>
  <c r="J17" i="1" s="1"/>
  <c r="E22" i="3"/>
  <c r="D16" i="4"/>
  <c r="D17" i="4" s="1"/>
  <c r="D19" i="4" s="1"/>
  <c r="D25" i="4" s="1"/>
  <c r="N25" i="4"/>
  <c r="D19" i="7"/>
  <c r="F123" i="18"/>
  <c r="F125" i="18" s="1"/>
  <c r="C17" i="1" s="1"/>
  <c r="I18" i="1" s="1"/>
  <c r="F131" i="18"/>
  <c r="F133" i="18" s="1"/>
  <c r="C18" i="1" s="1"/>
  <c r="I19" i="1" s="1"/>
  <c r="B18" i="1"/>
  <c r="N8" i="9"/>
  <c r="O8" i="9" s="1"/>
  <c r="P8" i="9" s="1"/>
  <c r="L9" i="9" s="1"/>
  <c r="M8" i="10" l="1"/>
  <c r="P8" i="10" s="1"/>
  <c r="O8" i="10"/>
  <c r="L9" i="10" s="1"/>
  <c r="O8" i="6"/>
  <c r="L9" i="6" s="1"/>
  <c r="M8" i="6"/>
  <c r="P8" i="6" s="1"/>
  <c r="D18" i="7"/>
  <c r="D17" i="7"/>
  <c r="N11" i="16"/>
  <c r="B19" i="1"/>
  <c r="B21" i="1" s="1"/>
  <c r="J19" i="1"/>
  <c r="J20" i="1" s="1"/>
  <c r="J22" i="1" s="1"/>
  <c r="I25" i="4"/>
  <c r="N12" i="16"/>
  <c r="N9" i="9"/>
  <c r="O9" i="9" s="1"/>
  <c r="P9" i="9" s="1"/>
  <c r="L10" i="9" s="1"/>
  <c r="M9" i="10" l="1"/>
  <c r="P9" i="10" s="1"/>
  <c r="O9" i="10"/>
  <c r="L10" i="10" s="1"/>
  <c r="O9" i="6"/>
  <c r="L10" i="6" s="1"/>
  <c r="M9" i="6"/>
  <c r="P9" i="6" s="1"/>
  <c r="N14" i="16"/>
  <c r="F74" i="18" s="1"/>
  <c r="F75" i="18" s="1"/>
  <c r="F83" i="18"/>
  <c r="N10" i="9"/>
  <c r="O10" i="9" s="1"/>
  <c r="P10" i="9" s="1"/>
  <c r="L11" i="9" s="1"/>
  <c r="O10" i="10" l="1"/>
  <c r="L11" i="10" s="1"/>
  <c r="M10" i="10"/>
  <c r="P10" i="10" s="1"/>
  <c r="O10" i="6"/>
  <c r="L11" i="6" s="1"/>
  <c r="M10" i="6"/>
  <c r="P10" i="6" s="1"/>
  <c r="F76" i="18"/>
  <c r="B4" i="20" s="1"/>
  <c r="B6" i="20" s="1"/>
  <c r="B4" i="14"/>
  <c r="F85" i="18"/>
  <c r="C13" i="1" s="1"/>
  <c r="N11" i="9"/>
  <c r="O11" i="9" s="1"/>
  <c r="P11" i="9" s="1"/>
  <c r="L12" i="9" s="1"/>
  <c r="M11" i="10" l="1"/>
  <c r="P11" i="10" s="1"/>
  <c r="O11" i="10"/>
  <c r="L12" i="10" s="1"/>
  <c r="O11" i="6"/>
  <c r="L12" i="6" s="1"/>
  <c r="M11" i="6"/>
  <c r="P11" i="6" s="1"/>
  <c r="F77" i="18"/>
  <c r="C12" i="1" s="1"/>
  <c r="B6" i="14"/>
  <c r="B18" i="14" s="1"/>
  <c r="N12" i="9"/>
  <c r="O12" i="9" s="1"/>
  <c r="P12" i="9" s="1"/>
  <c r="L13" i="9" s="1"/>
  <c r="I13" i="1" l="1"/>
  <c r="H29" i="1" s="1"/>
  <c r="M12" i="10"/>
  <c r="P12" i="10" s="1"/>
  <c r="O12" i="10"/>
  <c r="L13" i="10" s="1"/>
  <c r="O12" i="6"/>
  <c r="L13" i="6" s="1"/>
  <c r="M12" i="6"/>
  <c r="P12" i="6" s="1"/>
  <c r="C19" i="1"/>
  <c r="C21" i="1" s="1"/>
  <c r="N13" i="9"/>
  <c r="O13" i="9" s="1"/>
  <c r="P13" i="9" s="1"/>
  <c r="L14" i="9" s="1"/>
  <c r="I20" i="1" l="1"/>
  <c r="I22" i="1" s="1"/>
  <c r="M13" i="10"/>
  <c r="P13" i="10" s="1"/>
  <c r="O13" i="10"/>
  <c r="L14" i="10" s="1"/>
  <c r="O13" i="6"/>
  <c r="L14" i="6" s="1"/>
  <c r="M13" i="6"/>
  <c r="P13" i="6" s="1"/>
  <c r="N14" i="9"/>
  <c r="O14" i="9" s="1"/>
  <c r="P14" i="9" s="1"/>
  <c r="L15" i="9" s="1"/>
  <c r="M14" i="10" l="1"/>
  <c r="P14" i="10" s="1"/>
  <c r="O14" i="10"/>
  <c r="L15" i="10" s="1"/>
  <c r="O14" i="6"/>
  <c r="L15" i="6" s="1"/>
  <c r="M14" i="6"/>
  <c r="P14" i="6" s="1"/>
  <c r="N15" i="9"/>
  <c r="O15" i="9" s="1"/>
  <c r="P15" i="9" s="1"/>
  <c r="L16" i="9" s="1"/>
  <c r="M15" i="10" l="1"/>
  <c r="P15" i="10" s="1"/>
  <c r="O15" i="10"/>
  <c r="L16" i="10" s="1"/>
  <c r="O15" i="6"/>
  <c r="L16" i="6" s="1"/>
  <c r="M15" i="6"/>
  <c r="P15" i="6" s="1"/>
  <c r="N16" i="9"/>
  <c r="O16" i="9" s="1"/>
  <c r="P16" i="9" s="1"/>
  <c r="L17" i="9" s="1"/>
  <c r="O16" i="10" l="1"/>
  <c r="L17" i="10" s="1"/>
  <c r="M16" i="10"/>
  <c r="P16" i="10" s="1"/>
  <c r="O16" i="6"/>
  <c r="L17" i="6" s="1"/>
  <c r="M16" i="6"/>
  <c r="P16" i="6" s="1"/>
  <c r="N17" i="9"/>
  <c r="O17" i="9" s="1"/>
  <c r="P17" i="9" s="1"/>
  <c r="L18" i="9" s="1"/>
  <c r="O17" i="10" l="1"/>
  <c r="L18" i="10" s="1"/>
  <c r="M17" i="10"/>
  <c r="P17" i="10" s="1"/>
  <c r="O17" i="6"/>
  <c r="L18" i="6" s="1"/>
  <c r="M17" i="6"/>
  <c r="P17" i="6" s="1"/>
  <c r="N18" i="9"/>
  <c r="O18" i="9" s="1"/>
  <c r="P18" i="9" s="1"/>
  <c r="L19" i="9" s="1"/>
  <c r="O18" i="10" l="1"/>
  <c r="L19" i="10" s="1"/>
  <c r="M18" i="10"/>
  <c r="P18" i="10" s="1"/>
  <c r="O18" i="6"/>
  <c r="L19" i="6" s="1"/>
  <c r="M18" i="6"/>
  <c r="P18" i="6" s="1"/>
  <c r="N19" i="9"/>
  <c r="O19" i="9" s="1"/>
  <c r="P19" i="9" s="1"/>
  <c r="L20" i="9" s="1"/>
  <c r="M19" i="10" l="1"/>
  <c r="P19" i="10" s="1"/>
  <c r="O19" i="10"/>
  <c r="L20" i="10" s="1"/>
  <c r="O19" i="6"/>
  <c r="L20" i="6" s="1"/>
  <c r="M19" i="6"/>
  <c r="P19" i="6" s="1"/>
  <c r="N20" i="9"/>
  <c r="O20" i="9" s="1"/>
  <c r="P20" i="9" s="1"/>
  <c r="L21" i="9" s="1"/>
  <c r="M20" i="10" l="1"/>
  <c r="P20" i="10" s="1"/>
  <c r="O20" i="10"/>
  <c r="L21" i="10" s="1"/>
  <c r="O20" i="6"/>
  <c r="L21" i="6" s="1"/>
  <c r="M20" i="6"/>
  <c r="P20" i="6" s="1"/>
  <c r="N21" i="9"/>
  <c r="O21" i="9" s="1"/>
  <c r="P21" i="9" s="1"/>
  <c r="L22" i="9" s="1"/>
  <c r="O21" i="10" l="1"/>
  <c r="L22" i="10" s="1"/>
  <c r="M21" i="10"/>
  <c r="P21" i="10" s="1"/>
  <c r="O21" i="6"/>
  <c r="L22" i="6" s="1"/>
  <c r="M21" i="6"/>
  <c r="P21" i="6" s="1"/>
  <c r="N22" i="9"/>
  <c r="O22" i="9" s="1"/>
  <c r="P22" i="9" s="1"/>
  <c r="L23" i="9" s="1"/>
  <c r="M22" i="10" l="1"/>
  <c r="P22" i="10" s="1"/>
  <c r="O22" i="10"/>
  <c r="L23" i="10" s="1"/>
  <c r="O22" i="6"/>
  <c r="L23" i="6" s="1"/>
  <c r="M22" i="6"/>
  <c r="P22" i="6" s="1"/>
  <c r="N23" i="9"/>
  <c r="O23" i="9" s="1"/>
  <c r="P23" i="9" s="1"/>
  <c r="L24" i="9" s="1"/>
  <c r="O23" i="10" l="1"/>
  <c r="L24" i="10" s="1"/>
  <c r="M23" i="10"/>
  <c r="P23" i="10" s="1"/>
  <c r="O23" i="6"/>
  <c r="L24" i="6" s="1"/>
  <c r="M23" i="6"/>
  <c r="P23" i="6" s="1"/>
  <c r="N24" i="9"/>
  <c r="O24" i="9" s="1"/>
  <c r="P24" i="9" s="1"/>
  <c r="L25" i="9" s="1"/>
  <c r="M24" i="10" l="1"/>
  <c r="P24" i="10" s="1"/>
  <c r="O24" i="10"/>
  <c r="L25" i="10" s="1"/>
  <c r="O24" i="6"/>
  <c r="L25" i="6" s="1"/>
  <c r="M24" i="6"/>
  <c r="P24" i="6" s="1"/>
  <c r="N25" i="9"/>
  <c r="O25" i="9" s="1"/>
  <c r="P25" i="9" s="1"/>
  <c r="L26" i="9" s="1"/>
  <c r="O25" i="10" l="1"/>
  <c r="L26" i="10" s="1"/>
  <c r="M25" i="10"/>
  <c r="P25" i="10" s="1"/>
  <c r="O25" i="6"/>
  <c r="L26" i="6" s="1"/>
  <c r="M25" i="6"/>
  <c r="P25" i="6" s="1"/>
  <c r="N26" i="9"/>
  <c r="O26" i="9" s="1"/>
  <c r="P26" i="9" s="1"/>
  <c r="L27" i="9" s="1"/>
  <c r="O26" i="10" l="1"/>
  <c r="L27" i="10" s="1"/>
  <c r="M26" i="10"/>
  <c r="P26" i="10" s="1"/>
  <c r="O26" i="6"/>
  <c r="L27" i="6" s="1"/>
  <c r="M26" i="6"/>
  <c r="P26" i="6" s="1"/>
  <c r="N27" i="9"/>
  <c r="O27" i="9" s="1"/>
  <c r="P27" i="9" s="1"/>
  <c r="L28" i="9" s="1"/>
  <c r="O27" i="10" l="1"/>
  <c r="L28" i="10" s="1"/>
  <c r="M27" i="10"/>
  <c r="P27" i="10" s="1"/>
  <c r="O27" i="6"/>
  <c r="L28" i="6" s="1"/>
  <c r="M27" i="6"/>
  <c r="P27" i="6" s="1"/>
  <c r="N28" i="9"/>
  <c r="O28" i="9" s="1"/>
  <c r="P28" i="9" s="1"/>
  <c r="L29" i="9" s="1"/>
  <c r="O28" i="10" l="1"/>
  <c r="L29" i="10" s="1"/>
  <c r="M28" i="10"/>
  <c r="P28" i="10" s="1"/>
  <c r="O28" i="6"/>
  <c r="L29" i="6" s="1"/>
  <c r="M28" i="6"/>
  <c r="P28" i="6" s="1"/>
  <c r="N29" i="9"/>
  <c r="O29" i="9" s="1"/>
  <c r="P29" i="9" s="1"/>
  <c r="L30" i="9" s="1"/>
  <c r="M29" i="10" l="1"/>
  <c r="P29" i="10" s="1"/>
  <c r="O29" i="10"/>
  <c r="L30" i="10" s="1"/>
  <c r="O29" i="6"/>
  <c r="L30" i="6" s="1"/>
  <c r="M29" i="6"/>
  <c r="P29" i="6" s="1"/>
  <c r="N30" i="9"/>
  <c r="O30" i="9" s="1"/>
  <c r="P30" i="9" s="1"/>
  <c r="L31" i="9" s="1"/>
  <c r="O30" i="10" l="1"/>
  <c r="L31" i="10" s="1"/>
  <c r="M30" i="10"/>
  <c r="P30" i="10" s="1"/>
  <c r="O30" i="6"/>
  <c r="L31" i="6" s="1"/>
  <c r="M30" i="6"/>
  <c r="P30" i="6" s="1"/>
  <c r="N31" i="9"/>
  <c r="O31" i="9" s="1"/>
  <c r="P31" i="9" s="1"/>
  <c r="L32" i="9" s="1"/>
  <c r="O31" i="10" l="1"/>
  <c r="L32" i="10" s="1"/>
  <c r="M31" i="10"/>
  <c r="P31" i="10" s="1"/>
  <c r="O31" i="6"/>
  <c r="L32" i="6" s="1"/>
  <c r="M31" i="6"/>
  <c r="P31" i="6" s="1"/>
  <c r="N32" i="9"/>
  <c r="O32" i="9" s="1"/>
  <c r="P32" i="9" s="1"/>
  <c r="L33" i="9" s="1"/>
  <c r="O32" i="10" l="1"/>
  <c r="L33" i="10" s="1"/>
  <c r="M32" i="10"/>
  <c r="P32" i="10" s="1"/>
  <c r="O32" i="6"/>
  <c r="L33" i="6" s="1"/>
  <c r="M32" i="6"/>
  <c r="P32" i="6" s="1"/>
  <c r="N33" i="9"/>
  <c r="O33" i="9" s="1"/>
  <c r="P33" i="9" s="1"/>
  <c r="L34" i="9" s="1"/>
  <c r="M33" i="10" l="1"/>
  <c r="P33" i="10" s="1"/>
  <c r="O33" i="10"/>
  <c r="L34" i="10" s="1"/>
  <c r="O33" i="6"/>
  <c r="L34" i="6" s="1"/>
  <c r="M33" i="6"/>
  <c r="P33" i="6" s="1"/>
  <c r="N34" i="9"/>
  <c r="O34" i="9" s="1"/>
  <c r="P34" i="9" s="1"/>
  <c r="L35" i="9" s="1"/>
  <c r="M34" i="10" l="1"/>
  <c r="P34" i="10" s="1"/>
  <c r="O34" i="10"/>
  <c r="O34" i="6"/>
  <c r="L35" i="6" s="1"/>
  <c r="M34" i="6"/>
  <c r="P34" i="6" s="1"/>
  <c r="N35" i="9"/>
  <c r="O35" i="9" s="1"/>
  <c r="P35" i="9" s="1"/>
  <c r="L36" i="9" s="1"/>
  <c r="L35" i="10" l="1"/>
  <c r="M4" i="5"/>
  <c r="P25" i="18" s="1"/>
  <c r="O35" i="6"/>
  <c r="L36" i="6" s="1"/>
  <c r="M35" i="6"/>
  <c r="P35" i="6" s="1"/>
  <c r="N36" i="9"/>
  <c r="O36" i="9" s="1"/>
  <c r="P36" i="9" s="1"/>
  <c r="L37" i="9" s="1"/>
  <c r="B30" i="1" l="1"/>
  <c r="M10" i="1" s="1"/>
  <c r="P27" i="18"/>
  <c r="C30" i="1" s="1"/>
  <c r="L10" i="1" s="1"/>
  <c r="O35" i="10"/>
  <c r="L36" i="10" s="1"/>
  <c r="M35" i="10"/>
  <c r="P35" i="10" s="1"/>
  <c r="O36" i="6"/>
  <c r="L37" i="6" s="1"/>
  <c r="M36" i="6"/>
  <c r="P36" i="6" s="1"/>
  <c r="N37" i="9"/>
  <c r="O37" i="9" s="1"/>
  <c r="P37" i="9" s="1"/>
  <c r="L38" i="9" s="1"/>
  <c r="O19" i="1" l="1"/>
  <c r="Q19" i="1" s="1"/>
  <c r="M36" i="10"/>
  <c r="P36" i="10" s="1"/>
  <c r="O36" i="10"/>
  <c r="L37" i="10" s="1"/>
  <c r="O37" i="6"/>
  <c r="L38" i="6" s="1"/>
  <c r="M37" i="6"/>
  <c r="P37" i="6" s="1"/>
  <c r="N38" i="9"/>
  <c r="O38" i="9" s="1"/>
  <c r="P38" i="9" s="1"/>
  <c r="L39" i="9" s="1"/>
  <c r="O37" i="10" l="1"/>
  <c r="L38" i="10" s="1"/>
  <c r="M37" i="10"/>
  <c r="O38" i="6"/>
  <c r="L39" i="6" s="1"/>
  <c r="M38" i="6"/>
  <c r="P38" i="6" s="1"/>
  <c r="N39" i="9"/>
  <c r="O39" i="9" s="1"/>
  <c r="P39" i="9" s="1"/>
  <c r="L40" i="9" s="1"/>
  <c r="D31" i="16" l="1"/>
  <c r="P37" i="10"/>
  <c r="O38" i="10"/>
  <c r="L39" i="10" s="1"/>
  <c r="M38" i="10"/>
  <c r="P38" i="10" s="1"/>
  <c r="O39" i="6"/>
  <c r="L40" i="6" s="1"/>
  <c r="M39" i="6"/>
  <c r="P39" i="6" s="1"/>
  <c r="N40" i="9"/>
  <c r="O40" i="9" s="1"/>
  <c r="P40" i="9" s="1"/>
  <c r="L41" i="9" s="1"/>
  <c r="O39" i="10" l="1"/>
  <c r="L40" i="10" s="1"/>
  <c r="M39" i="10"/>
  <c r="P39" i="10" s="1"/>
  <c r="O40" i="6"/>
  <c r="L41" i="6" s="1"/>
  <c r="M40" i="6"/>
  <c r="P40" i="6" s="1"/>
  <c r="N41" i="9"/>
  <c r="O41" i="9" s="1"/>
  <c r="P41" i="9" s="1"/>
  <c r="L42" i="9" s="1"/>
  <c r="O40" i="10" l="1"/>
  <c r="L41" i="10" s="1"/>
  <c r="M40" i="10"/>
  <c r="P40" i="10" s="1"/>
  <c r="O41" i="6"/>
  <c r="L42" i="6" s="1"/>
  <c r="M41" i="6"/>
  <c r="P41" i="6" s="1"/>
  <c r="N42" i="9"/>
  <c r="O42" i="9" s="1"/>
  <c r="P42" i="9" s="1"/>
  <c r="L43" i="9" s="1"/>
  <c r="O41" i="10" l="1"/>
  <c r="L42" i="10" s="1"/>
  <c r="M41" i="10"/>
  <c r="P41" i="10" s="1"/>
  <c r="O42" i="6"/>
  <c r="L43" i="6" s="1"/>
  <c r="M42" i="6"/>
  <c r="P42" i="6" s="1"/>
  <c r="N43" i="9"/>
  <c r="O43" i="9" s="1"/>
  <c r="P43" i="9" s="1"/>
  <c r="L44" i="9" s="1"/>
  <c r="M42" i="10" l="1"/>
  <c r="P42" i="10" s="1"/>
  <c r="O42" i="10"/>
  <c r="L43" i="10" s="1"/>
  <c r="O43" i="6"/>
  <c r="L44" i="6" s="1"/>
  <c r="M43" i="6"/>
  <c r="P43" i="6" s="1"/>
  <c r="N44" i="9"/>
  <c r="O44" i="9" s="1"/>
  <c r="P44" i="9" s="1"/>
  <c r="L45" i="9" s="1"/>
  <c r="M43" i="10" l="1"/>
  <c r="P43" i="10" s="1"/>
  <c r="O43" i="10"/>
  <c r="L44" i="10" s="1"/>
  <c r="O44" i="6"/>
  <c r="L45" i="6" s="1"/>
  <c r="M44" i="6"/>
  <c r="P44" i="6" s="1"/>
  <c r="N45" i="9"/>
  <c r="O45" i="9" s="1"/>
  <c r="P45" i="9" s="1"/>
  <c r="L46" i="9" s="1"/>
  <c r="O44" i="10" l="1"/>
  <c r="L45" i="10" s="1"/>
  <c r="M44" i="10"/>
  <c r="P44" i="10" s="1"/>
  <c r="O45" i="6"/>
  <c r="L46" i="6" s="1"/>
  <c r="M45" i="6"/>
  <c r="P45" i="6" s="1"/>
  <c r="N46" i="9"/>
  <c r="O46" i="9" s="1"/>
  <c r="P46" i="9" s="1"/>
  <c r="L47" i="9" s="1"/>
  <c r="O45" i="10" l="1"/>
  <c r="L46" i="10" s="1"/>
  <c r="M45" i="10"/>
  <c r="P45" i="10" s="1"/>
  <c r="O46" i="6"/>
  <c r="L47" i="6" s="1"/>
  <c r="M46" i="6"/>
  <c r="P46" i="6" s="1"/>
  <c r="N47" i="9"/>
  <c r="O47" i="9" s="1"/>
  <c r="P47" i="9" s="1"/>
  <c r="L48" i="9" s="1"/>
  <c r="M46" i="10" l="1"/>
  <c r="P46" i="10" s="1"/>
  <c r="O46" i="10"/>
  <c r="L47" i="10" s="1"/>
  <c r="O47" i="6"/>
  <c r="L48" i="6" s="1"/>
  <c r="M47" i="6"/>
  <c r="P47" i="6" s="1"/>
  <c r="N48" i="9"/>
  <c r="O48" i="9" s="1"/>
  <c r="P48" i="9" s="1"/>
  <c r="L49" i="9" s="1"/>
  <c r="O47" i="10" l="1"/>
  <c r="L48" i="10" s="1"/>
  <c r="M47" i="10"/>
  <c r="P47" i="10" s="1"/>
  <c r="O48" i="6"/>
  <c r="L49" i="6" s="1"/>
  <c r="M48" i="6"/>
  <c r="P48" i="6" s="1"/>
  <c r="N49" i="9"/>
  <c r="O49" i="9" s="1"/>
  <c r="P49" i="9" s="1"/>
  <c r="L50" i="9" s="1"/>
  <c r="M48" i="10" l="1"/>
  <c r="P48" i="10" s="1"/>
  <c r="O48" i="10"/>
  <c r="L49" i="10" s="1"/>
  <c r="O49" i="6"/>
  <c r="L50" i="6" s="1"/>
  <c r="M49" i="6"/>
  <c r="P49" i="6" s="1"/>
  <c r="N50" i="9"/>
  <c r="O50" i="9" s="1"/>
  <c r="P50" i="9" s="1"/>
  <c r="L51" i="9" s="1"/>
  <c r="M49" i="10" l="1"/>
  <c r="P49" i="10" s="1"/>
  <c r="O49" i="10"/>
  <c r="L50" i="10" s="1"/>
  <c r="O50" i="6"/>
  <c r="L51" i="6" s="1"/>
  <c r="M50" i="6"/>
  <c r="P50" i="6" s="1"/>
  <c r="N51" i="9"/>
  <c r="O51" i="9" s="1"/>
  <c r="P51" i="9" s="1"/>
  <c r="L52" i="9" s="1"/>
  <c r="O50" i="10" l="1"/>
  <c r="L51" i="10" s="1"/>
  <c r="M50" i="10"/>
  <c r="P50" i="10" s="1"/>
  <c r="O51" i="6"/>
  <c r="L52" i="6" s="1"/>
  <c r="M51" i="6"/>
  <c r="P51" i="6" s="1"/>
  <c r="N52" i="9"/>
  <c r="O52" i="9" s="1"/>
  <c r="P52" i="9" s="1"/>
  <c r="L53" i="9" s="1"/>
  <c r="O51" i="10" l="1"/>
  <c r="L52" i="10" s="1"/>
  <c r="M51" i="10"/>
  <c r="P51" i="10" s="1"/>
  <c r="O52" i="6"/>
  <c r="L53" i="6" s="1"/>
  <c r="M52" i="6"/>
  <c r="P52" i="6" s="1"/>
  <c r="N53" i="9"/>
  <c r="O53" i="9" s="1"/>
  <c r="P53" i="9" s="1"/>
  <c r="L54" i="9" s="1"/>
  <c r="O52" i="10" l="1"/>
  <c r="L53" i="10" s="1"/>
  <c r="M52" i="10"/>
  <c r="P52" i="10" s="1"/>
  <c r="O53" i="6"/>
  <c r="L54" i="6" s="1"/>
  <c r="M53" i="6"/>
  <c r="P53" i="6" s="1"/>
  <c r="N54" i="9"/>
  <c r="O54" i="9" s="1"/>
  <c r="P54" i="9" s="1"/>
  <c r="L55" i="9" s="1"/>
  <c r="O53" i="10" l="1"/>
  <c r="L54" i="10" s="1"/>
  <c r="M53" i="10"/>
  <c r="P53" i="10" s="1"/>
  <c r="O54" i="6"/>
  <c r="L55" i="6" s="1"/>
  <c r="M54" i="6"/>
  <c r="P54" i="6" s="1"/>
  <c r="N55" i="9"/>
  <c r="O55" i="9" s="1"/>
  <c r="P55" i="9" s="1"/>
  <c r="L56" i="9" s="1"/>
  <c r="O54" i="10" l="1"/>
  <c r="L55" i="10" s="1"/>
  <c r="M54" i="10"/>
  <c r="P54" i="10" s="1"/>
  <c r="O55" i="6"/>
  <c r="L56" i="6" s="1"/>
  <c r="M55" i="6"/>
  <c r="P55" i="6" s="1"/>
  <c r="N56" i="9"/>
  <c r="O56" i="9" s="1"/>
  <c r="P56" i="9" s="1"/>
  <c r="L57" i="9" s="1"/>
  <c r="M55" i="10" l="1"/>
  <c r="P55" i="10" s="1"/>
  <c r="O55" i="10"/>
  <c r="L56" i="10" s="1"/>
  <c r="O56" i="6"/>
  <c r="L57" i="6" s="1"/>
  <c r="M56" i="6"/>
  <c r="P56" i="6" s="1"/>
  <c r="N57" i="9"/>
  <c r="O57" i="9" s="1"/>
  <c r="P57" i="9" s="1"/>
  <c r="L58" i="9" s="1"/>
  <c r="O56" i="10" l="1"/>
  <c r="L57" i="10" s="1"/>
  <c r="M56" i="10"/>
  <c r="P56" i="10" s="1"/>
  <c r="O57" i="6"/>
  <c r="L58" i="6" s="1"/>
  <c r="M57" i="6"/>
  <c r="P57" i="6" s="1"/>
  <c r="N58" i="9"/>
  <c r="O58" i="9" s="1"/>
  <c r="P58" i="9" s="1"/>
  <c r="L59" i="9" s="1"/>
  <c r="M57" i="10" l="1"/>
  <c r="P57" i="10" s="1"/>
  <c r="O57" i="10"/>
  <c r="L58" i="10" s="1"/>
  <c r="O58" i="6"/>
  <c r="L59" i="6" s="1"/>
  <c r="M58" i="6"/>
  <c r="P58" i="6" s="1"/>
  <c r="N59" i="9"/>
  <c r="O59" i="9" s="1"/>
  <c r="P59" i="9" s="1"/>
  <c r="L60" i="9" s="1"/>
  <c r="O58" i="10" l="1"/>
  <c r="L59" i="10" s="1"/>
  <c r="M58" i="10"/>
  <c r="P58" i="10" s="1"/>
  <c r="O59" i="6"/>
  <c r="L60" i="6" s="1"/>
  <c r="M59" i="6"/>
  <c r="P59" i="6" s="1"/>
  <c r="N60" i="9"/>
  <c r="O60" i="9" s="1"/>
  <c r="P60" i="9" s="1"/>
  <c r="L61" i="9" s="1"/>
  <c r="O59" i="10" l="1"/>
  <c r="L60" i="10" s="1"/>
  <c r="M59" i="10"/>
  <c r="P59" i="10" s="1"/>
  <c r="O60" i="6"/>
  <c r="L61" i="6" s="1"/>
  <c r="M60" i="6"/>
  <c r="P60" i="6" s="1"/>
  <c r="N61" i="9"/>
  <c r="O61" i="9" s="1"/>
  <c r="P61" i="9" s="1"/>
  <c r="L62" i="9" s="1"/>
  <c r="O60" i="10" l="1"/>
  <c r="L61" i="10" s="1"/>
  <c r="M60" i="10"/>
  <c r="P60" i="10" s="1"/>
  <c r="O61" i="6"/>
  <c r="L62" i="6" s="1"/>
  <c r="M61" i="6"/>
  <c r="P61" i="6" s="1"/>
  <c r="N62" i="9"/>
  <c r="O62" i="9" s="1"/>
  <c r="P62" i="9" s="1"/>
  <c r="L63" i="9" s="1"/>
  <c r="O61" i="10" l="1"/>
  <c r="L62" i="10" s="1"/>
  <c r="M61" i="10"/>
  <c r="P61" i="10" s="1"/>
  <c r="O62" i="6"/>
  <c r="L63" i="6" s="1"/>
  <c r="M62" i="6"/>
  <c r="P62" i="6" s="1"/>
  <c r="N63" i="9"/>
  <c r="O63" i="9" s="1"/>
  <c r="P63" i="9" s="1"/>
  <c r="L64" i="9" s="1"/>
  <c r="O62" i="10" l="1"/>
  <c r="L63" i="10" s="1"/>
  <c r="M62" i="10"/>
  <c r="P62" i="10" s="1"/>
  <c r="O63" i="6"/>
  <c r="L64" i="6" s="1"/>
  <c r="M63" i="6"/>
  <c r="P63" i="6" s="1"/>
  <c r="N64" i="9"/>
  <c r="O64" i="9" s="1"/>
  <c r="P64" i="9" s="1"/>
  <c r="L65" i="9" s="1"/>
  <c r="O63" i="10" l="1"/>
  <c r="L64" i="10" s="1"/>
  <c r="M63" i="10"/>
  <c r="P63" i="10" s="1"/>
  <c r="O64" i="6"/>
  <c r="L65" i="6" s="1"/>
  <c r="M64" i="6"/>
  <c r="P64" i="6" s="1"/>
  <c r="N65" i="9"/>
  <c r="O65" i="9" s="1"/>
  <c r="P65" i="9" s="1"/>
  <c r="L66" i="9" s="1"/>
  <c r="O64" i="10" l="1"/>
  <c r="L65" i="10" s="1"/>
  <c r="M64" i="10"/>
  <c r="P64" i="10" s="1"/>
  <c r="O65" i="6"/>
  <c r="L66" i="6" s="1"/>
  <c r="M65" i="6"/>
  <c r="P65" i="6" s="1"/>
  <c r="N66" i="9"/>
  <c r="O66" i="9" s="1"/>
  <c r="P66" i="9" s="1"/>
  <c r="L67" i="9" s="1"/>
  <c r="M65" i="10" l="1"/>
  <c r="P65" i="10" s="1"/>
  <c r="O65" i="10"/>
  <c r="L66" i="10" s="1"/>
  <c r="O66" i="6"/>
  <c r="L67" i="6" s="1"/>
  <c r="M66" i="6"/>
  <c r="P66" i="6" s="1"/>
  <c r="N67" i="9"/>
  <c r="O67" i="9" s="1"/>
  <c r="P67" i="9" s="1"/>
  <c r="L68" i="9" s="1"/>
  <c r="O66" i="10" l="1"/>
  <c r="L67" i="10" s="1"/>
  <c r="M66" i="10"/>
  <c r="P66" i="10" s="1"/>
  <c r="O67" i="6"/>
  <c r="L68" i="6" s="1"/>
  <c r="M67" i="6"/>
  <c r="P67" i="6" s="1"/>
  <c r="N68" i="9"/>
  <c r="O68" i="9" s="1"/>
  <c r="P68" i="9" s="1"/>
  <c r="L69" i="9" s="1"/>
  <c r="O67" i="10" l="1"/>
  <c r="L68" i="10" s="1"/>
  <c r="M67" i="10"/>
  <c r="P67" i="10" s="1"/>
  <c r="O68" i="6"/>
  <c r="L69" i="6" s="1"/>
  <c r="M68" i="6"/>
  <c r="P68" i="6" s="1"/>
  <c r="N69" i="9"/>
  <c r="O69" i="9" s="1"/>
  <c r="P69" i="9" s="1"/>
  <c r="L70" i="9" s="1"/>
  <c r="M68" i="10" l="1"/>
  <c r="P68" i="10" s="1"/>
  <c r="O68" i="10"/>
  <c r="L69" i="10" s="1"/>
  <c r="O69" i="6"/>
  <c r="L70" i="6" s="1"/>
  <c r="M69" i="6"/>
  <c r="P69" i="6" s="1"/>
  <c r="N70" i="9"/>
  <c r="O70" i="9" s="1"/>
  <c r="P70" i="9" s="1"/>
  <c r="L71" i="9" s="1"/>
  <c r="O69" i="10" l="1"/>
  <c r="L70" i="10" s="1"/>
  <c r="M69" i="10"/>
  <c r="P69" i="10" s="1"/>
  <c r="O70" i="6"/>
  <c r="L71" i="6" s="1"/>
  <c r="M70" i="6"/>
  <c r="P70" i="6" s="1"/>
  <c r="N71" i="9"/>
  <c r="O71" i="9" s="1"/>
  <c r="P71" i="9" s="1"/>
  <c r="L72" i="9" s="1"/>
  <c r="O70" i="10" l="1"/>
  <c r="L71" i="10" s="1"/>
  <c r="M70" i="10"/>
  <c r="P70" i="10" s="1"/>
  <c r="O71" i="6"/>
  <c r="L72" i="6" s="1"/>
  <c r="M71" i="6"/>
  <c r="P71" i="6" s="1"/>
  <c r="N72" i="9"/>
  <c r="O72" i="9" s="1"/>
  <c r="P72" i="9" s="1"/>
  <c r="L73" i="9" s="1"/>
  <c r="O71" i="10" l="1"/>
  <c r="L72" i="10" s="1"/>
  <c r="M71" i="10"/>
  <c r="P71" i="10" s="1"/>
  <c r="O72" i="6"/>
  <c r="L73" i="6" s="1"/>
  <c r="M72" i="6"/>
  <c r="P72" i="6" s="1"/>
  <c r="N73" i="9"/>
  <c r="O73" i="9" s="1"/>
  <c r="P73" i="9" s="1"/>
  <c r="L74" i="9" s="1"/>
  <c r="O72" i="10" l="1"/>
  <c r="L73" i="10" s="1"/>
  <c r="M72" i="10"/>
  <c r="P72" i="10" s="1"/>
  <c r="O73" i="6"/>
  <c r="L74" i="6" s="1"/>
  <c r="M73" i="6"/>
  <c r="P73" i="6" s="1"/>
  <c r="N74" i="9"/>
  <c r="O74" i="9" s="1"/>
  <c r="P74" i="9" s="1"/>
  <c r="L75" i="9" s="1"/>
  <c r="O73" i="10" l="1"/>
  <c r="L74" i="10" s="1"/>
  <c r="M73" i="10"/>
  <c r="P73" i="10" s="1"/>
  <c r="O74" i="6"/>
  <c r="L75" i="6" s="1"/>
  <c r="M74" i="6"/>
  <c r="P74" i="6" s="1"/>
  <c r="N75" i="9"/>
  <c r="O75" i="9" s="1"/>
  <c r="P75" i="9" s="1"/>
  <c r="L76" i="9" s="1"/>
  <c r="M74" i="10" l="1"/>
  <c r="P74" i="10" s="1"/>
  <c r="O74" i="10"/>
  <c r="O75" i="6"/>
  <c r="L76" i="6" s="1"/>
  <c r="M75" i="6"/>
  <c r="P75" i="6" s="1"/>
  <c r="N76" i="9"/>
  <c r="O76" i="9" s="1"/>
  <c r="P76" i="9" s="1"/>
  <c r="L77" i="9" s="1"/>
  <c r="L75" i="10" l="1"/>
  <c r="O75" i="10" s="1"/>
  <c r="O76" i="6"/>
  <c r="L77" i="6" s="1"/>
  <c r="M76" i="6"/>
  <c r="P76" i="6" s="1"/>
  <c r="N77" i="9"/>
  <c r="O77" i="9" s="1"/>
  <c r="P77" i="9" s="1"/>
  <c r="L78" i="9" s="1"/>
  <c r="L76" i="10" l="1"/>
  <c r="O76" i="10" s="1"/>
  <c r="M75" i="10"/>
  <c r="P75" i="10" s="1"/>
  <c r="O77" i="6"/>
  <c r="L78" i="6" s="1"/>
  <c r="M77" i="6"/>
  <c r="P77" i="6" s="1"/>
  <c r="N78" i="9"/>
  <c r="O78" i="9" s="1"/>
  <c r="P78" i="9" s="1"/>
  <c r="L79" i="9" s="1"/>
  <c r="M76" i="10" l="1"/>
  <c r="P76" i="10" s="1"/>
  <c r="L77" i="10"/>
  <c r="M77" i="10" s="1"/>
  <c r="P77" i="10" s="1"/>
  <c r="O78" i="6"/>
  <c r="L79" i="6" s="1"/>
  <c r="M78" i="6"/>
  <c r="P78" i="6" s="1"/>
  <c r="N79" i="9"/>
  <c r="O79" i="9" s="1"/>
  <c r="P79" i="9" s="1"/>
  <c r="L80" i="9" s="1"/>
  <c r="O77" i="10" l="1"/>
  <c r="L78" i="10" s="1"/>
  <c r="O79" i="6"/>
  <c r="L80" i="6" s="1"/>
  <c r="M79" i="6"/>
  <c r="P79" i="6" s="1"/>
  <c r="N80" i="9"/>
  <c r="O80" i="9" s="1"/>
  <c r="P80" i="9" s="1"/>
  <c r="L81" i="9" s="1"/>
  <c r="O78" i="10" l="1"/>
  <c r="L79" i="10" s="1"/>
  <c r="M78" i="10"/>
  <c r="P78" i="10" s="1"/>
  <c r="O80" i="6"/>
  <c r="L81" i="6" s="1"/>
  <c r="M80" i="6"/>
  <c r="P80" i="6" s="1"/>
  <c r="N81" i="9"/>
  <c r="O81" i="9" s="1"/>
  <c r="P81" i="9" s="1"/>
  <c r="L82" i="9" s="1"/>
  <c r="O79" i="10" l="1"/>
  <c r="L80" i="10" s="1"/>
  <c r="M79" i="10"/>
  <c r="P79" i="10" s="1"/>
  <c r="O81" i="6"/>
  <c r="L82" i="6" s="1"/>
  <c r="M81" i="6"/>
  <c r="P81" i="6" s="1"/>
  <c r="N82" i="9"/>
  <c r="O82" i="9" s="1"/>
  <c r="P82" i="9" s="1"/>
  <c r="L83" i="9" s="1"/>
  <c r="O80" i="10" l="1"/>
  <c r="L81" i="10" s="1"/>
  <c r="M80" i="10"/>
  <c r="P80" i="10" s="1"/>
  <c r="O82" i="6"/>
  <c r="L83" i="6" s="1"/>
  <c r="M82" i="6"/>
  <c r="P82" i="6" s="1"/>
  <c r="N83" i="9"/>
  <c r="O83" i="9" s="1"/>
  <c r="P83" i="9" s="1"/>
  <c r="L84" i="9" s="1"/>
  <c r="O81" i="10" l="1"/>
  <c r="L82" i="10" s="1"/>
  <c r="M81" i="10"/>
  <c r="P81" i="10" s="1"/>
  <c r="O83" i="6"/>
  <c r="L84" i="6" s="1"/>
  <c r="M83" i="6"/>
  <c r="P83" i="6" s="1"/>
  <c r="N84" i="9"/>
  <c r="O84" i="9" s="1"/>
  <c r="P84" i="9" s="1"/>
  <c r="L85" i="9" s="1"/>
  <c r="O82" i="10" l="1"/>
  <c r="L83" i="10" s="1"/>
  <c r="M82" i="10"/>
  <c r="P82" i="10" s="1"/>
  <c r="O84" i="6"/>
  <c r="L85" i="6" s="1"/>
  <c r="M84" i="6"/>
  <c r="P84" i="6" s="1"/>
  <c r="N85" i="9"/>
  <c r="O85" i="9" s="1"/>
  <c r="P85" i="9" s="1"/>
  <c r="L86" i="9" s="1"/>
  <c r="O83" i="10" l="1"/>
  <c r="L84" i="10" s="1"/>
  <c r="M83" i="10"/>
  <c r="P83" i="10" s="1"/>
  <c r="O85" i="6"/>
  <c r="L86" i="6" s="1"/>
  <c r="M85" i="6"/>
  <c r="P85" i="6" s="1"/>
  <c r="N86" i="9"/>
  <c r="O86" i="9" s="1"/>
  <c r="P86" i="9" s="1"/>
  <c r="L87" i="9" s="1"/>
  <c r="M84" i="10" l="1"/>
  <c r="P84" i="10" s="1"/>
  <c r="O84" i="10"/>
  <c r="L85" i="10" s="1"/>
  <c r="O86" i="6"/>
  <c r="L87" i="6" s="1"/>
  <c r="M86" i="6"/>
  <c r="P86" i="6" s="1"/>
  <c r="N87" i="9"/>
  <c r="O87" i="9" s="1"/>
  <c r="P87" i="9" s="1"/>
  <c r="L88" i="9" s="1"/>
  <c r="M85" i="10" l="1"/>
  <c r="P85" i="10" s="1"/>
  <c r="O85" i="10"/>
  <c r="L86" i="10" s="1"/>
  <c r="O87" i="6"/>
  <c r="L88" i="6" s="1"/>
  <c r="M87" i="6"/>
  <c r="P87" i="6" s="1"/>
  <c r="N88" i="9"/>
  <c r="O88" i="9" s="1"/>
  <c r="P88" i="9" s="1"/>
  <c r="L89" i="9" s="1"/>
  <c r="O86" i="10" l="1"/>
  <c r="L87" i="10" s="1"/>
  <c r="M86" i="10"/>
  <c r="P86" i="10" s="1"/>
  <c r="O88" i="6"/>
  <c r="L89" i="6" s="1"/>
  <c r="M88" i="6"/>
  <c r="P88" i="6" s="1"/>
  <c r="N89" i="9"/>
  <c r="O89" i="9" s="1"/>
  <c r="P89" i="9" s="1"/>
  <c r="L90" i="9" s="1"/>
  <c r="M87" i="10" l="1"/>
  <c r="P87" i="10" s="1"/>
  <c r="O87" i="10"/>
  <c r="L88" i="10" s="1"/>
  <c r="O89" i="6"/>
  <c r="L90" i="6" s="1"/>
  <c r="M89" i="6"/>
  <c r="P89" i="6" s="1"/>
  <c r="N90" i="9"/>
  <c r="O90" i="9" s="1"/>
  <c r="P90" i="9" s="1"/>
  <c r="L91" i="9" s="1"/>
  <c r="O88" i="10" l="1"/>
  <c r="L89" i="10" s="1"/>
  <c r="M88" i="10"/>
  <c r="P88" i="10" s="1"/>
  <c r="O90" i="6"/>
  <c r="L91" i="6" s="1"/>
  <c r="M90" i="6"/>
  <c r="P90" i="6" s="1"/>
  <c r="N91" i="9"/>
  <c r="O91" i="9" s="1"/>
  <c r="P91" i="9" s="1"/>
  <c r="L92" i="9" s="1"/>
  <c r="O89" i="10" l="1"/>
  <c r="L90" i="10" s="1"/>
  <c r="M89" i="10"/>
  <c r="P89" i="10" s="1"/>
  <c r="O91" i="6"/>
  <c r="L92" i="6" s="1"/>
  <c r="M91" i="6"/>
  <c r="P91" i="6" s="1"/>
  <c r="N92" i="9"/>
  <c r="O92" i="9" s="1"/>
  <c r="P92" i="9" s="1"/>
  <c r="L93" i="9" s="1"/>
  <c r="O90" i="10" l="1"/>
  <c r="L91" i="10" s="1"/>
  <c r="M90" i="10"/>
  <c r="P90" i="10" s="1"/>
  <c r="O92" i="6"/>
  <c r="L93" i="6" s="1"/>
  <c r="M92" i="6"/>
  <c r="P92" i="6" s="1"/>
  <c r="N93" i="9"/>
  <c r="O93" i="9" s="1"/>
  <c r="P93" i="9" s="1"/>
  <c r="L94" i="9" s="1"/>
  <c r="O91" i="10" l="1"/>
  <c r="L92" i="10" s="1"/>
  <c r="M91" i="10"/>
  <c r="P91" i="10" s="1"/>
  <c r="O93" i="6"/>
  <c r="L94" i="6" s="1"/>
  <c r="M93" i="6"/>
  <c r="P93" i="6" s="1"/>
  <c r="N94" i="9"/>
  <c r="O94" i="9" s="1"/>
  <c r="P94" i="9" s="1"/>
  <c r="L95" i="9" s="1"/>
  <c r="O92" i="10" l="1"/>
  <c r="L93" i="10" s="1"/>
  <c r="M92" i="10"/>
  <c r="P92" i="10" s="1"/>
  <c r="O94" i="6"/>
  <c r="L95" i="6" s="1"/>
  <c r="M94" i="6"/>
  <c r="P94" i="6" s="1"/>
  <c r="N95" i="9"/>
  <c r="O95" i="9" s="1"/>
  <c r="P95" i="9" s="1"/>
  <c r="L96" i="9" s="1"/>
  <c r="O93" i="10" l="1"/>
  <c r="L94" i="10" s="1"/>
  <c r="M93" i="10"/>
  <c r="P93" i="10" s="1"/>
  <c r="O95" i="6"/>
  <c r="L96" i="6" s="1"/>
  <c r="M95" i="6"/>
  <c r="P95" i="6" s="1"/>
  <c r="N96" i="9"/>
  <c r="O96" i="9" s="1"/>
  <c r="P96" i="9" s="1"/>
  <c r="L97" i="9" s="1"/>
  <c r="O94" i="10" l="1"/>
  <c r="L95" i="10" s="1"/>
  <c r="M94" i="10"/>
  <c r="P94" i="10" s="1"/>
  <c r="O96" i="6"/>
  <c r="L97" i="6" s="1"/>
  <c r="M96" i="6"/>
  <c r="P96" i="6" s="1"/>
  <c r="N97" i="9"/>
  <c r="O97" i="9" s="1"/>
  <c r="P97" i="9" s="1"/>
  <c r="L98" i="9" s="1"/>
  <c r="O95" i="10" l="1"/>
  <c r="L96" i="10" s="1"/>
  <c r="M95" i="10"/>
  <c r="P95" i="10" s="1"/>
  <c r="O97" i="6"/>
  <c r="L98" i="6" s="1"/>
  <c r="M97" i="6"/>
  <c r="P97" i="6" s="1"/>
  <c r="N98" i="9"/>
  <c r="O98" i="9" s="1"/>
  <c r="P98" i="9" s="1"/>
  <c r="L99" i="9" s="1"/>
  <c r="O96" i="10" l="1"/>
  <c r="L97" i="10" s="1"/>
  <c r="M96" i="10"/>
  <c r="P96" i="10" s="1"/>
  <c r="O98" i="6"/>
  <c r="L99" i="6" s="1"/>
  <c r="M98" i="6"/>
  <c r="P98" i="6" s="1"/>
  <c r="N99" i="9"/>
  <c r="O99" i="9" s="1"/>
  <c r="P99" i="9" s="1"/>
  <c r="L100" i="9" s="1"/>
  <c r="O97" i="10" l="1"/>
  <c r="M97" i="10"/>
  <c r="P97" i="10" s="1"/>
  <c r="O99" i="6"/>
  <c r="L100" i="6" s="1"/>
  <c r="M99" i="6"/>
  <c r="P99" i="6" s="1"/>
  <c r="N100" i="9"/>
  <c r="O100" i="9" s="1"/>
  <c r="P100" i="9" s="1"/>
  <c r="L101" i="9" s="1"/>
  <c r="O100" i="6" l="1"/>
  <c r="L101" i="6" s="1"/>
  <c r="M100" i="6"/>
  <c r="P100" i="6" s="1"/>
  <c r="N101" i="9"/>
  <c r="O101" i="9" s="1"/>
  <c r="P101" i="9" s="1"/>
  <c r="L102" i="9" s="1"/>
  <c r="O101" i="6" l="1"/>
  <c r="L102" i="6" s="1"/>
  <c r="M101" i="6"/>
  <c r="P101" i="6" s="1"/>
  <c r="N102" i="9"/>
  <c r="O102" i="9" s="1"/>
  <c r="P102" i="9" s="1"/>
  <c r="L103" i="9" s="1"/>
  <c r="O102" i="6" l="1"/>
  <c r="L103" i="6" s="1"/>
  <c r="M102" i="6"/>
  <c r="P102" i="6" s="1"/>
  <c r="N103" i="9"/>
  <c r="O103" i="9" s="1"/>
  <c r="P103" i="9" s="1"/>
  <c r="L104" i="9" s="1"/>
  <c r="O103" i="6" l="1"/>
  <c r="L104" i="6" s="1"/>
  <c r="M103" i="6"/>
  <c r="P103" i="6" s="1"/>
  <c r="N104" i="9"/>
  <c r="O104" i="9" s="1"/>
  <c r="P104" i="9" s="1"/>
  <c r="L105" i="9" s="1"/>
  <c r="O104" i="6" l="1"/>
  <c r="L105" i="6" s="1"/>
  <c r="M104" i="6"/>
  <c r="P104" i="6" s="1"/>
  <c r="N105" i="9"/>
  <c r="O105" i="9" s="1"/>
  <c r="P105" i="9" s="1"/>
  <c r="L106" i="9" s="1"/>
  <c r="O105" i="6" l="1"/>
  <c r="L106" i="6" s="1"/>
  <c r="M105" i="6"/>
  <c r="P105" i="6" s="1"/>
  <c r="N106" i="9"/>
  <c r="O106" i="9" s="1"/>
  <c r="P106" i="9" s="1"/>
  <c r="L107" i="9" s="1"/>
  <c r="O106" i="6" l="1"/>
  <c r="M106" i="6"/>
  <c r="P106" i="6" s="1"/>
  <c r="N107" i="9"/>
  <c r="O107" i="9" s="1"/>
  <c r="P107" i="9" s="1"/>
  <c r="L108" i="9" s="1"/>
  <c r="M3" i="5" l="1"/>
  <c r="P19" i="18" s="1"/>
  <c r="B29" i="1" s="1"/>
  <c r="L107" i="6"/>
  <c r="N108" i="9"/>
  <c r="O108" i="9" s="1"/>
  <c r="P108" i="9" s="1"/>
  <c r="L109" i="9" s="1"/>
  <c r="O107" i="6" l="1"/>
  <c r="L108" i="6" s="1"/>
  <c r="M107" i="6"/>
  <c r="P107" i="6" s="1"/>
  <c r="M9" i="1"/>
  <c r="P21" i="18"/>
  <c r="N109" i="9"/>
  <c r="O109" i="9" s="1"/>
  <c r="P109" i="9" s="1"/>
  <c r="L110" i="9" s="1"/>
  <c r="C29" i="1" l="1"/>
  <c r="L9" i="1" s="1"/>
  <c r="O108" i="6"/>
  <c r="L109" i="6" s="1"/>
  <c r="M108" i="6"/>
  <c r="P108" i="6" s="1"/>
  <c r="N110" i="9"/>
  <c r="O110" i="9" s="1"/>
  <c r="P110" i="9" s="1"/>
  <c r="L111" i="9" s="1"/>
  <c r="O17" i="1" l="1"/>
  <c r="Q17" i="1" s="1"/>
  <c r="O109" i="6"/>
  <c r="L110" i="6" s="1"/>
  <c r="M109" i="6"/>
  <c r="N111" i="9"/>
  <c r="O111" i="9" s="1"/>
  <c r="P111" i="9" s="1"/>
  <c r="L112" i="9" s="1"/>
  <c r="D30" i="16" l="1"/>
  <c r="P109" i="6"/>
  <c r="O110" i="6"/>
  <c r="L111" i="6" s="1"/>
  <c r="M110" i="6"/>
  <c r="P110" i="6" s="1"/>
  <c r="N112" i="9"/>
  <c r="O112" i="9" s="1"/>
  <c r="P112" i="9" s="1"/>
  <c r="L113" i="9" s="1"/>
  <c r="O111" i="6" l="1"/>
  <c r="L112" i="6" s="1"/>
  <c r="M111" i="6"/>
  <c r="P111" i="6" s="1"/>
  <c r="N113" i="9"/>
  <c r="O113" i="9" s="1"/>
  <c r="P113" i="9" s="1"/>
  <c r="L114" i="9" s="1"/>
  <c r="O112" i="6" l="1"/>
  <c r="L113" i="6" s="1"/>
  <c r="M112" i="6"/>
  <c r="P112" i="6" s="1"/>
  <c r="N114" i="9"/>
  <c r="O114" i="9" s="1"/>
  <c r="P114" i="9" s="1"/>
  <c r="L115" i="9" s="1"/>
  <c r="O113" i="6" l="1"/>
  <c r="L114" i="6" s="1"/>
  <c r="M113" i="6"/>
  <c r="P113" i="6" s="1"/>
  <c r="N115" i="9"/>
  <c r="O115" i="9" s="1"/>
  <c r="P115" i="9" s="1"/>
  <c r="L116" i="9" s="1"/>
  <c r="O114" i="6" l="1"/>
  <c r="L115" i="6" s="1"/>
  <c r="M114" i="6"/>
  <c r="P114" i="6" s="1"/>
  <c r="N116" i="9"/>
  <c r="O116" i="9" s="1"/>
  <c r="P116" i="9" s="1"/>
  <c r="L117" i="9" s="1"/>
  <c r="O115" i="6" l="1"/>
  <c r="L116" i="6" s="1"/>
  <c r="M115" i="6"/>
  <c r="P115" i="6" s="1"/>
  <c r="N117" i="9"/>
  <c r="O117" i="9" s="1"/>
  <c r="P117" i="9" s="1"/>
  <c r="L118" i="9" s="1"/>
  <c r="O116" i="6" l="1"/>
  <c r="L117" i="6" s="1"/>
  <c r="M116" i="6"/>
  <c r="P116" i="6" s="1"/>
  <c r="N118" i="9"/>
  <c r="O118" i="9" s="1"/>
  <c r="P118" i="9" s="1"/>
  <c r="L119" i="9" s="1"/>
  <c r="O117" i="6" l="1"/>
  <c r="L118" i="6" s="1"/>
  <c r="M117" i="6"/>
  <c r="P117" i="6" s="1"/>
  <c r="M98" i="10"/>
  <c r="N119" i="9"/>
  <c r="O119" i="9" s="1"/>
  <c r="P119" i="9" s="1"/>
  <c r="L120" i="9" s="1"/>
  <c r="O118" i="6" l="1"/>
  <c r="L119" i="6" s="1"/>
  <c r="M118" i="6"/>
  <c r="P118" i="6" s="1"/>
  <c r="N120" i="9"/>
  <c r="O120" i="9" s="1"/>
  <c r="P120" i="9" s="1"/>
  <c r="L121" i="9" s="1"/>
  <c r="O119" i="6" l="1"/>
  <c r="L120" i="6" s="1"/>
  <c r="M119" i="6"/>
  <c r="P119" i="6" s="1"/>
  <c r="N121" i="9"/>
  <c r="O121" i="9" s="1"/>
  <c r="P121" i="9" s="1"/>
  <c r="L122" i="9" s="1"/>
  <c r="O120" i="6" l="1"/>
  <c r="L121" i="6" s="1"/>
  <c r="M120" i="6"/>
  <c r="P120" i="6" s="1"/>
  <c r="N122" i="9"/>
  <c r="M122" i="6" l="1"/>
  <c r="O121" i="6"/>
  <c r="M121" i="6"/>
  <c r="P121" i="6" s="1"/>
  <c r="O122" i="9"/>
  <c r="P122" i="9" l="1"/>
  <c r="L123" i="9" l="1"/>
  <c r="N123" i="9" s="1"/>
  <c r="O123" i="9" s="1"/>
  <c r="P123" i="9" s="1"/>
  <c r="L124" i="9" l="1"/>
  <c r="N124" i="9" l="1"/>
  <c r="O124" i="9" s="1"/>
  <c r="P124" i="9" s="1"/>
  <c r="L125" i="9" l="1"/>
  <c r="N125" i="9" s="1"/>
  <c r="O125" i="9" s="1"/>
  <c r="P125" i="9" s="1"/>
  <c r="L126" i="9" l="1"/>
  <c r="N126" i="9" s="1"/>
  <c r="O126" i="9" s="1"/>
  <c r="P126" i="9" s="1"/>
  <c r="L127" i="9" l="1"/>
  <c r="N127" i="9" s="1"/>
  <c r="O127" i="9" s="1"/>
  <c r="P127" i="9" s="1"/>
  <c r="L128" i="9" l="1"/>
  <c r="N128" i="9" s="1"/>
  <c r="O128" i="9" s="1"/>
  <c r="P128" i="9" s="1"/>
  <c r="L129" i="9" l="1"/>
  <c r="N129" i="9" s="1"/>
  <c r="O129" i="9" s="1"/>
  <c r="P129" i="9" s="1"/>
  <c r="L130" i="9" s="1"/>
  <c r="N130" i="9" s="1"/>
  <c r="O130" i="9" s="1"/>
  <c r="P130" i="9" s="1"/>
  <c r="L131" i="9" l="1"/>
  <c r="N131" i="9" s="1"/>
  <c r="O131" i="9" s="1"/>
  <c r="M2" i="5"/>
  <c r="P13" i="18" s="1"/>
  <c r="B28" i="1" s="1"/>
  <c r="P131" i="9" l="1"/>
  <c r="B31" i="1"/>
  <c r="B25" i="1" s="1"/>
  <c r="M8" i="1"/>
  <c r="M11" i="1" l="1"/>
  <c r="L132" i="9"/>
  <c r="N132" i="9" s="1"/>
  <c r="O132" i="9" l="1"/>
  <c r="P132" i="9" l="1"/>
  <c r="L133" i="9" l="1"/>
  <c r="N133" i="9" s="1"/>
  <c r="O133" i="9" l="1"/>
  <c r="D29" i="16"/>
  <c r="B15" i="20" s="1"/>
  <c r="P133" i="9"/>
  <c r="L134" i="9" l="1"/>
  <c r="N134" i="9" s="1"/>
  <c r="O134" i="9" s="1"/>
  <c r="P134" i="9" s="1"/>
  <c r="P14" i="18"/>
  <c r="P15" i="18" s="1"/>
  <c r="C28" i="1" s="1"/>
  <c r="D36" i="16"/>
  <c r="D39" i="16" s="1"/>
  <c r="B17" i="20" s="1"/>
  <c r="B19" i="20" s="1"/>
  <c r="B21" i="20" s="1"/>
  <c r="L135" i="9" l="1"/>
  <c r="N135" i="9" s="1"/>
  <c r="O135" i="9" s="1"/>
  <c r="P135" i="9" s="1"/>
  <c r="L136" i="9" s="1"/>
  <c r="N136" i="9" s="1"/>
  <c r="O136" i="9" s="1"/>
  <c r="P136" i="9" s="1"/>
  <c r="L8" i="1"/>
  <c r="C31" i="1"/>
  <c r="L11" i="1" l="1"/>
  <c r="O15" i="1"/>
  <c r="Q15" i="1" s="1"/>
  <c r="L137" i="9"/>
  <c r="N137" i="9" s="1"/>
  <c r="O137" i="9" s="1"/>
  <c r="P137" i="9" s="1"/>
  <c r="L138" i="9" s="1"/>
  <c r="N138" i="9" s="1"/>
  <c r="O138" i="9" s="1"/>
  <c r="P138" i="9" s="1"/>
  <c r="L139" i="9" l="1"/>
  <c r="N139" i="9" s="1"/>
  <c r="O139" i="9" s="1"/>
  <c r="P139" i="9" s="1"/>
  <c r="L140" i="9" s="1"/>
  <c r="N140" i="9" s="1"/>
  <c r="O140" i="9" s="1"/>
  <c r="P140" i="9" s="1"/>
  <c r="L141" i="9" l="1"/>
  <c r="N141" i="9" s="1"/>
  <c r="O141" i="9" s="1"/>
  <c r="P141" i="9" s="1"/>
  <c r="L142" i="9" s="1"/>
  <c r="N142" i="9" s="1"/>
  <c r="O142" i="9" s="1"/>
  <c r="P142" i="9" s="1"/>
  <c r="L143" i="9" l="1"/>
  <c r="N143" i="9" s="1"/>
  <c r="O143" i="9" s="1"/>
  <c r="P143" i="9" s="1"/>
  <c r="L144" i="9" s="1"/>
  <c r="N144" i="9" s="1"/>
  <c r="O144" i="9" s="1"/>
  <c r="P144" i="9" s="1"/>
  <c r="L145" i="9" s="1"/>
  <c r="N145" i="9" s="1"/>
  <c r="O145" i="9" s="1"/>
  <c r="P145" i="9" s="1"/>
  <c r="L146" i="9" s="1"/>
  <c r="N146" i="9" l="1"/>
  <c r="O146" i="9" s="1"/>
  <c r="P146" i="9" s="1"/>
  <c r="L147" i="9" s="1"/>
  <c r="N147" i="9" l="1"/>
  <c r="O147" i="9" s="1"/>
  <c r="P147" i="9" s="1"/>
  <c r="L148" i="9" s="1"/>
  <c r="N148" i="9" l="1"/>
  <c r="O148" i="9" s="1"/>
  <c r="P148" i="9" s="1"/>
  <c r="L149" i="9" s="1"/>
  <c r="N149" i="9" l="1"/>
  <c r="O149" i="9" s="1"/>
  <c r="P149" i="9" s="1"/>
  <c r="L150" i="9" s="1"/>
  <c r="N150" i="9" l="1"/>
  <c r="O150" i="9" s="1"/>
  <c r="P150" i="9" s="1"/>
  <c r="L151" i="9" s="1"/>
  <c r="N151" i="9" l="1"/>
  <c r="O151" i="9" s="1"/>
  <c r="P151" i="9" s="1"/>
  <c r="L152" i="9" s="1"/>
  <c r="N152" i="9" l="1"/>
  <c r="O152" i="9" s="1"/>
  <c r="P152" i="9" s="1"/>
  <c r="L153" i="9" s="1"/>
  <c r="N153" i="9" l="1"/>
  <c r="O153" i="9" s="1"/>
  <c r="P153" i="9" s="1"/>
  <c r="L154" i="9" s="1"/>
  <c r="N154" i="9" l="1"/>
  <c r="O154" i="9" s="1"/>
  <c r="P154" i="9" s="1"/>
  <c r="L155" i="9" s="1"/>
  <c r="N155" i="9" l="1"/>
  <c r="O155" i="9" s="1"/>
  <c r="P155" i="9" s="1"/>
  <c r="L156" i="9" s="1"/>
  <c r="N156" i="9" l="1"/>
  <c r="O156" i="9" s="1"/>
  <c r="P156" i="9" s="1"/>
  <c r="L157" i="9" s="1"/>
  <c r="N157" i="9" l="1"/>
  <c r="O157" i="9" s="1"/>
  <c r="P157" i="9" s="1"/>
  <c r="L158" i="9" s="1"/>
  <c r="N158" i="9" l="1"/>
  <c r="O158" i="9" s="1"/>
  <c r="P158" i="9" s="1"/>
  <c r="L159" i="9" s="1"/>
  <c r="N159" i="9" l="1"/>
  <c r="O159" i="9" s="1"/>
  <c r="P159" i="9" s="1"/>
  <c r="L160" i="9" s="1"/>
  <c r="N160" i="9" l="1"/>
  <c r="O160" i="9" s="1"/>
  <c r="P160" i="9" s="1"/>
  <c r="L161" i="9" s="1"/>
  <c r="N161" i="9" l="1"/>
  <c r="O161" i="9" s="1"/>
  <c r="P161" i="9" s="1"/>
  <c r="L162" i="9" s="1"/>
  <c r="N162" i="9" l="1"/>
  <c r="O162" i="9" s="1"/>
  <c r="P162" i="9" s="1"/>
  <c r="L163" i="9" s="1"/>
  <c r="N163" i="9" l="1"/>
  <c r="O163" i="9" s="1"/>
  <c r="P163" i="9" s="1"/>
  <c r="L164" i="9" s="1"/>
  <c r="N164" i="9" l="1"/>
  <c r="O164" i="9" s="1"/>
  <c r="P164" i="9" s="1"/>
  <c r="L165" i="9" s="1"/>
  <c r="N165" i="9" l="1"/>
  <c r="O165" i="9" s="1"/>
  <c r="P165" i="9" s="1"/>
  <c r="L166" i="9" s="1"/>
  <c r="N166" i="9" l="1"/>
  <c r="O166" i="9" s="1"/>
  <c r="P166" i="9" s="1"/>
  <c r="L167" i="9" s="1"/>
  <c r="N167" i="9" l="1"/>
  <c r="O167" i="9" s="1"/>
  <c r="P167" i="9" s="1"/>
  <c r="L168" i="9" s="1"/>
  <c r="N168" i="9" l="1"/>
  <c r="O168" i="9" s="1"/>
  <c r="P168" i="9" s="1"/>
  <c r="L169" i="9" s="1"/>
  <c r="N169" i="9" l="1"/>
  <c r="O169" i="9" s="1"/>
  <c r="P169" i="9" s="1"/>
  <c r="L170" i="9" s="1"/>
  <c r="N170" i="9" l="1"/>
  <c r="O170" i="9" s="1"/>
  <c r="P170" i="9" s="1"/>
  <c r="L171" i="9" s="1"/>
  <c r="N171" i="9" l="1"/>
  <c r="O171" i="9" s="1"/>
  <c r="P171" i="9" s="1"/>
  <c r="L172" i="9" s="1"/>
  <c r="N172" i="9" l="1"/>
  <c r="O172" i="9" s="1"/>
  <c r="P172" i="9" s="1"/>
  <c r="L173" i="9" s="1"/>
  <c r="N173" i="9" l="1"/>
  <c r="O173" i="9" s="1"/>
  <c r="P173" i="9" s="1"/>
  <c r="L174" i="9" s="1"/>
  <c r="N174" i="9" l="1"/>
  <c r="O174" i="9" s="1"/>
  <c r="P174" i="9" s="1"/>
  <c r="L175" i="9" s="1"/>
  <c r="N175" i="9" l="1"/>
  <c r="O175" i="9" s="1"/>
  <c r="P175" i="9" s="1"/>
  <c r="L176" i="9" s="1"/>
  <c r="N176" i="9" l="1"/>
  <c r="O176" i="9" s="1"/>
  <c r="P176" i="9" s="1"/>
  <c r="L177" i="9" s="1"/>
  <c r="N177" i="9" l="1"/>
  <c r="O177" i="9" s="1"/>
  <c r="P177" i="9" s="1"/>
  <c r="L178" i="9" s="1"/>
  <c r="N178" i="9" l="1"/>
  <c r="O178" i="9" s="1"/>
  <c r="P178" i="9" s="1"/>
  <c r="L179" i="9" s="1"/>
  <c r="N179" i="9" l="1"/>
  <c r="O179" i="9" s="1"/>
  <c r="P179" i="9" s="1"/>
  <c r="L180" i="9" s="1"/>
  <c r="N180" i="9" l="1"/>
  <c r="O180" i="9" s="1"/>
  <c r="P180" i="9" s="1"/>
  <c r="L181" i="9" s="1"/>
  <c r="N181" i="9" l="1"/>
  <c r="O181" i="9" s="1"/>
  <c r="P181" i="9" s="1"/>
  <c r="L182" i="9" s="1"/>
  <c r="N182" i="9" l="1"/>
  <c r="O182" i="9" s="1"/>
  <c r="P182" i="9" s="1"/>
  <c r="L183" i="9" s="1"/>
  <c r="N183" i="9" l="1"/>
  <c r="O183" i="9" s="1"/>
  <c r="P183" i="9" s="1"/>
  <c r="L184" i="9" s="1"/>
  <c r="N184" i="9" l="1"/>
  <c r="O184" i="9" s="1"/>
  <c r="P184" i="9" s="1"/>
  <c r="L185" i="9" s="1"/>
  <c r="N185" i="9" l="1"/>
  <c r="O185" i="9" s="1"/>
  <c r="P185" i="9" s="1"/>
  <c r="L186" i="9" s="1"/>
  <c r="N186" i="9" l="1"/>
  <c r="O186" i="9" s="1"/>
  <c r="P186" i="9" s="1"/>
  <c r="L187" i="9" s="1"/>
  <c r="N187" i="9" l="1"/>
  <c r="O187" i="9" s="1"/>
  <c r="P187" i="9" s="1"/>
  <c r="L188" i="9" s="1"/>
  <c r="N188" i="9" l="1"/>
  <c r="O188" i="9" s="1"/>
  <c r="P188" i="9" s="1"/>
  <c r="L189" i="9" s="1"/>
  <c r="N189" i="9" l="1"/>
  <c r="O189" i="9" s="1"/>
  <c r="P189" i="9" s="1"/>
  <c r="L190" i="9" s="1"/>
  <c r="N190" i="9" l="1"/>
  <c r="O190" i="9" s="1"/>
  <c r="P190" i="9" s="1"/>
  <c r="L191" i="9" s="1"/>
  <c r="N191" i="9" l="1"/>
  <c r="O191" i="9" s="1"/>
  <c r="P191" i="9" s="1"/>
  <c r="L192" i="9" s="1"/>
  <c r="N192" i="9" l="1"/>
  <c r="O192" i="9" s="1"/>
  <c r="P192" i="9" s="1"/>
  <c r="L193" i="9" s="1"/>
  <c r="N193" i="9" l="1"/>
  <c r="O193" i="9" s="1"/>
  <c r="P193" i="9" s="1"/>
  <c r="L194" i="9" s="1"/>
  <c r="N194" i="9" l="1"/>
  <c r="O194" i="9" s="1"/>
  <c r="P194" i="9" s="1"/>
  <c r="L195" i="9" s="1"/>
  <c r="N195" i="9" l="1"/>
  <c r="O195" i="9" s="1"/>
  <c r="P195" i="9" s="1"/>
  <c r="L196" i="9" s="1"/>
  <c r="N196" i="9" l="1"/>
  <c r="O196" i="9" s="1"/>
  <c r="P196" i="9" s="1"/>
  <c r="L197" i="9" s="1"/>
  <c r="N197" i="9" l="1"/>
  <c r="O197" i="9" s="1"/>
  <c r="P197" i="9" s="1"/>
  <c r="L198" i="9" s="1"/>
  <c r="N198" i="9" l="1"/>
  <c r="O198" i="9" s="1"/>
  <c r="P198" i="9" s="1"/>
  <c r="L199" i="9" s="1"/>
  <c r="N199" i="9" l="1"/>
  <c r="O199" i="9" s="1"/>
  <c r="P199" i="9" s="1"/>
  <c r="L200" i="9" s="1"/>
  <c r="N200" i="9" l="1"/>
  <c r="O200" i="9" s="1"/>
  <c r="P200" i="9" s="1"/>
  <c r="L201" i="9" s="1"/>
  <c r="N201" i="9" l="1"/>
  <c r="O201" i="9" s="1"/>
  <c r="P201" i="9" s="1"/>
  <c r="L202" i="9" s="1"/>
  <c r="N202" i="9" l="1"/>
  <c r="O202" i="9" s="1"/>
  <c r="P202" i="9" s="1"/>
  <c r="L203" i="9" s="1"/>
  <c r="N203" i="9" l="1"/>
  <c r="O203" i="9" s="1"/>
  <c r="P203" i="9" s="1"/>
  <c r="L204" i="9" s="1"/>
  <c r="N204" i="9" l="1"/>
  <c r="O204" i="9" s="1"/>
  <c r="P204" i="9" s="1"/>
  <c r="L205" i="9" s="1"/>
  <c r="N205" i="9" l="1"/>
  <c r="O205" i="9" s="1"/>
  <c r="P205" i="9" s="1"/>
  <c r="L206" i="9" s="1"/>
  <c r="N206" i="9" l="1"/>
  <c r="O206" i="9" s="1"/>
  <c r="P206" i="9" s="1"/>
  <c r="L207" i="9" s="1"/>
  <c r="N207" i="9" l="1"/>
  <c r="O207" i="9" s="1"/>
  <c r="P207" i="9" s="1"/>
  <c r="L208" i="9" s="1"/>
  <c r="N208" i="9" l="1"/>
  <c r="O208" i="9" s="1"/>
  <c r="P208" i="9" s="1"/>
  <c r="L209" i="9" s="1"/>
  <c r="N209" i="9" l="1"/>
  <c r="O209" i="9" s="1"/>
  <c r="P209" i="9" s="1"/>
  <c r="L210" i="9" s="1"/>
  <c r="N210" i="9" l="1"/>
  <c r="O210" i="9" s="1"/>
  <c r="P210" i="9" s="1"/>
  <c r="L211" i="9" s="1"/>
  <c r="N211" i="9" l="1"/>
  <c r="O211" i="9" s="1"/>
  <c r="P211" i="9" s="1"/>
  <c r="L212" i="9" s="1"/>
  <c r="N212" i="9" l="1"/>
  <c r="O212" i="9" s="1"/>
  <c r="P212" i="9" s="1"/>
  <c r="L213" i="9" s="1"/>
  <c r="N213" i="9" l="1"/>
  <c r="O213" i="9" s="1"/>
  <c r="P213" i="9" s="1"/>
  <c r="L214" i="9" s="1"/>
  <c r="N214" i="9" l="1"/>
  <c r="O214" i="9" s="1"/>
  <c r="P214" i="9" s="1"/>
  <c r="L215" i="9" s="1"/>
  <c r="N215" i="9" l="1"/>
  <c r="O215" i="9" s="1"/>
  <c r="P215" i="9" s="1"/>
  <c r="L216" i="9" s="1"/>
  <c r="N216" i="9" l="1"/>
  <c r="O216" i="9" s="1"/>
  <c r="P216" i="9" s="1"/>
  <c r="L217" i="9" s="1"/>
  <c r="N217" i="9" l="1"/>
  <c r="O217" i="9" s="1"/>
  <c r="P217" i="9" s="1"/>
  <c r="L218" i="9" s="1"/>
  <c r="N218" i="9" l="1"/>
  <c r="O218" i="9" s="1"/>
  <c r="P218" i="9" s="1"/>
  <c r="L219" i="9" s="1"/>
  <c r="N219" i="9" l="1"/>
  <c r="O219" i="9" s="1"/>
  <c r="P219" i="9" s="1"/>
  <c r="L220" i="9" s="1"/>
  <c r="N220" i="9" l="1"/>
  <c r="O220" i="9" s="1"/>
  <c r="P220" i="9" s="1"/>
  <c r="L221" i="9" s="1"/>
  <c r="N221" i="9" l="1"/>
  <c r="O221" i="9" s="1"/>
  <c r="P221" i="9" s="1"/>
  <c r="L222" i="9" s="1"/>
  <c r="N222" i="9" l="1"/>
  <c r="O222" i="9" s="1"/>
  <c r="P222" i="9" s="1"/>
  <c r="L223" i="9" s="1"/>
  <c r="N223" i="9" l="1"/>
  <c r="O223" i="9" s="1"/>
  <c r="P223" i="9" s="1"/>
  <c r="L224" i="9" s="1"/>
  <c r="N224" i="9" l="1"/>
  <c r="O224" i="9" s="1"/>
  <c r="P224" i="9" s="1"/>
  <c r="L225" i="9" s="1"/>
  <c r="N225" i="9" l="1"/>
  <c r="O225" i="9" s="1"/>
  <c r="P225" i="9" s="1"/>
  <c r="L226" i="9" s="1"/>
  <c r="N226" i="9" l="1"/>
  <c r="O226" i="9" s="1"/>
  <c r="P226" i="9" s="1"/>
  <c r="L227" i="9" s="1"/>
  <c r="N227" i="9" l="1"/>
  <c r="O227" i="9" s="1"/>
  <c r="P227" i="9" s="1"/>
  <c r="L228" i="9" s="1"/>
  <c r="N228" i="9" l="1"/>
  <c r="O228" i="9" s="1"/>
  <c r="P228" i="9" s="1"/>
  <c r="L229" i="9" s="1"/>
  <c r="N229" i="9" l="1"/>
  <c r="O229" i="9" s="1"/>
  <c r="P229" i="9" s="1"/>
  <c r="L230" i="9" s="1"/>
  <c r="N230" i="9" l="1"/>
  <c r="O230" i="9" s="1"/>
  <c r="P230" i="9" s="1"/>
  <c r="L231" i="9" s="1"/>
  <c r="N231" i="9" l="1"/>
  <c r="O231" i="9" s="1"/>
  <c r="P231" i="9" s="1"/>
  <c r="L232" i="9" s="1"/>
  <c r="N232" i="9" l="1"/>
  <c r="O232" i="9" s="1"/>
  <c r="P232" i="9" s="1"/>
  <c r="L233" i="9" s="1"/>
  <c r="N233" i="9" l="1"/>
  <c r="O233" i="9" s="1"/>
  <c r="P233" i="9" s="1"/>
  <c r="L234" i="9" s="1"/>
  <c r="N234" i="9" l="1"/>
  <c r="O234" i="9" s="1"/>
  <c r="P234" i="9" s="1"/>
  <c r="L235" i="9" s="1"/>
  <c r="N235" i="9" l="1"/>
  <c r="O235" i="9" s="1"/>
  <c r="P235" i="9" s="1"/>
  <c r="L236" i="9" s="1"/>
  <c r="N236" i="9" l="1"/>
  <c r="O236" i="9" s="1"/>
  <c r="P236" i="9" s="1"/>
  <c r="L237" i="9" s="1"/>
  <c r="N237" i="9" l="1"/>
  <c r="O237" i="9" s="1"/>
  <c r="P237" i="9" s="1"/>
  <c r="L238" i="9" s="1"/>
  <c r="N238" i="9" l="1"/>
  <c r="O238" i="9" s="1"/>
  <c r="P238" i="9" s="1"/>
  <c r="L239" i="9" s="1"/>
  <c r="N239" i="9" l="1"/>
  <c r="O239" i="9" s="1"/>
  <c r="P239" i="9" s="1"/>
  <c r="L240" i="9" s="1"/>
  <c r="N240" i="9" l="1"/>
  <c r="O240" i="9" s="1"/>
  <c r="P240" i="9" s="1"/>
  <c r="L241" i="9" s="1"/>
  <c r="N241" i="9" l="1"/>
  <c r="O241" i="9" s="1"/>
  <c r="P241" i="9" s="1"/>
  <c r="L242" i="9" s="1"/>
  <c r="N242" i="9" l="1"/>
  <c r="O242" i="9" s="1"/>
  <c r="P242" i="9" s="1"/>
  <c r="L243" i="9" s="1"/>
  <c r="N243" i="9" l="1"/>
  <c r="O243" i="9" s="1"/>
  <c r="P243" i="9" s="1"/>
  <c r="L244" i="9" s="1"/>
  <c r="N244" i="9" l="1"/>
  <c r="O244" i="9" s="1"/>
  <c r="P244" i="9" s="1"/>
  <c r="L245" i="9" s="1"/>
  <c r="N245" i="9" l="1"/>
  <c r="O245" i="9" s="1"/>
  <c r="P245" i="9" s="1"/>
  <c r="L246" i="9" s="1"/>
  <c r="N246" i="9" l="1"/>
  <c r="O246" i="9" s="1"/>
  <c r="P246" i="9" s="1"/>
  <c r="L247" i="9" s="1"/>
  <c r="N247" i="9" l="1"/>
  <c r="O247" i="9" s="1"/>
  <c r="P247" i="9" s="1"/>
  <c r="L248" i="9" s="1"/>
  <c r="N248" i="9" l="1"/>
  <c r="O248" i="9" s="1"/>
  <c r="P248" i="9" s="1"/>
  <c r="L249" i="9" s="1"/>
  <c r="N249" i="9" l="1"/>
  <c r="O249" i="9" s="1"/>
  <c r="P249" i="9" s="1"/>
  <c r="L250" i="9" s="1"/>
  <c r="N250" i="9" l="1"/>
  <c r="O250" i="9" s="1"/>
  <c r="P250" i="9" s="1"/>
  <c r="L251" i="9" s="1"/>
  <c r="N251" i="9" l="1"/>
  <c r="O251" i="9" s="1"/>
  <c r="P251" i="9" s="1"/>
  <c r="L252" i="9" s="1"/>
  <c r="N252" i="9" l="1"/>
  <c r="O252" i="9" s="1"/>
  <c r="P252" i="9" s="1"/>
  <c r="L253" i="9" s="1"/>
  <c r="N253" i="9" l="1"/>
  <c r="O253" i="9" s="1"/>
  <c r="P253" i="9" s="1"/>
  <c r="L254" i="9" s="1"/>
  <c r="N254" i="9" l="1"/>
  <c r="O254" i="9" s="1"/>
  <c r="P254" i="9" s="1"/>
  <c r="L255" i="9" s="1"/>
  <c r="N255" i="9" l="1"/>
  <c r="O255" i="9" s="1"/>
  <c r="P255" i="9" s="1"/>
  <c r="L256" i="9" s="1"/>
  <c r="N256" i="9" l="1"/>
  <c r="O256" i="9" s="1"/>
  <c r="P256" i="9" s="1"/>
  <c r="L257" i="9" s="1"/>
  <c r="N257" i="9" l="1"/>
  <c r="O257" i="9" s="1"/>
  <c r="P257" i="9" s="1"/>
  <c r="L258" i="9" s="1"/>
  <c r="N258" i="9" l="1"/>
  <c r="O258" i="9" s="1"/>
  <c r="P258" i="9" s="1"/>
  <c r="L259" i="9" s="1"/>
  <c r="N259" i="9" l="1"/>
  <c r="O259" i="9" s="1"/>
  <c r="P259" i="9" s="1"/>
  <c r="L260" i="9" s="1"/>
  <c r="N260" i="9" l="1"/>
  <c r="O260" i="9" s="1"/>
  <c r="P260" i="9" s="1"/>
  <c r="L261" i="9" s="1"/>
  <c r="N261" i="9" l="1"/>
  <c r="O261" i="9" s="1"/>
  <c r="P261" i="9" s="1"/>
  <c r="L262" i="9" s="1"/>
  <c r="N262" i="9" l="1"/>
  <c r="O262" i="9" s="1"/>
  <c r="P262" i="9" s="1"/>
  <c r="L263" i="9" s="1"/>
  <c r="N263" i="9" l="1"/>
  <c r="O263" i="9" s="1"/>
  <c r="P263" i="9" s="1"/>
  <c r="L264" i="9" s="1"/>
  <c r="N264" i="9" l="1"/>
  <c r="O264" i="9" s="1"/>
  <c r="P264" i="9" s="1"/>
  <c r="L265" i="9" s="1"/>
  <c r="N265" i="9" l="1"/>
  <c r="O265" i="9" s="1"/>
  <c r="P265" i="9" s="1"/>
  <c r="L266" i="9" s="1"/>
  <c r="N266" i="9" l="1"/>
  <c r="O266" i="9" s="1"/>
  <c r="P266" i="9" s="1"/>
  <c r="L267" i="9" s="1"/>
  <c r="N267" i="9" l="1"/>
  <c r="O267" i="9" s="1"/>
  <c r="P267" i="9" s="1"/>
  <c r="L268" i="9" s="1"/>
  <c r="N268" i="9" l="1"/>
  <c r="O268" i="9" s="1"/>
  <c r="P268" i="9" s="1"/>
  <c r="L269" i="9" s="1"/>
  <c r="N269" i="9" l="1"/>
  <c r="O269" i="9" s="1"/>
  <c r="P269" i="9" s="1"/>
  <c r="L270" i="9" s="1"/>
  <c r="N270" i="9" l="1"/>
  <c r="O270" i="9" s="1"/>
  <c r="P270" i="9" s="1"/>
  <c r="L271" i="9" s="1"/>
  <c r="N271" i="9" l="1"/>
  <c r="O271" i="9" s="1"/>
  <c r="P271" i="9" s="1"/>
  <c r="L272" i="9" s="1"/>
  <c r="N272" i="9" l="1"/>
  <c r="O272" i="9" s="1"/>
  <c r="P272" i="9" s="1"/>
  <c r="L273" i="9" s="1"/>
  <c r="N273" i="9" l="1"/>
  <c r="O273" i="9" s="1"/>
  <c r="P273" i="9" s="1"/>
  <c r="L274" i="9" s="1"/>
  <c r="N274" i="9" l="1"/>
  <c r="O274" i="9" s="1"/>
  <c r="P274" i="9" s="1"/>
  <c r="L275" i="9" s="1"/>
  <c r="N275" i="9" l="1"/>
  <c r="O275" i="9" s="1"/>
  <c r="P275" i="9" s="1"/>
  <c r="L276" i="9" s="1"/>
  <c r="N276" i="9" l="1"/>
  <c r="O276" i="9" s="1"/>
  <c r="P276" i="9" s="1"/>
  <c r="L277" i="9" s="1"/>
  <c r="N277" i="9" l="1"/>
  <c r="O277" i="9" s="1"/>
  <c r="P277" i="9" s="1"/>
  <c r="L278" i="9" s="1"/>
  <c r="N278" i="9" l="1"/>
  <c r="O278" i="9" s="1"/>
  <c r="P278" i="9" s="1"/>
  <c r="L279" i="9" s="1"/>
  <c r="N279" i="9" l="1"/>
  <c r="O279" i="9" s="1"/>
  <c r="P279" i="9" s="1"/>
  <c r="L280" i="9" s="1"/>
  <c r="N280" i="9" l="1"/>
  <c r="O280" i="9" s="1"/>
  <c r="P280" i="9" s="1"/>
  <c r="L281" i="9" s="1"/>
  <c r="N281" i="9" l="1"/>
  <c r="O281" i="9" s="1"/>
  <c r="P281" i="9" s="1"/>
  <c r="L282" i="9" s="1"/>
  <c r="N282" i="9" l="1"/>
  <c r="O282" i="9" s="1"/>
  <c r="P282" i="9" s="1"/>
  <c r="L283" i="9" s="1"/>
  <c r="N283" i="9" l="1"/>
  <c r="O283" i="9" s="1"/>
  <c r="P283" i="9" s="1"/>
  <c r="L284" i="9" s="1"/>
  <c r="N284" i="9" l="1"/>
  <c r="O284" i="9" s="1"/>
  <c r="P284" i="9" s="1"/>
  <c r="L285" i="9" s="1"/>
  <c r="N285" i="9" l="1"/>
  <c r="O285" i="9" s="1"/>
  <c r="P285" i="9" s="1"/>
  <c r="L286" i="9" s="1"/>
  <c r="N286" i="9" l="1"/>
  <c r="O286" i="9" s="1"/>
  <c r="P286" i="9" s="1"/>
  <c r="L287" i="9" s="1"/>
  <c r="N287" i="9" l="1"/>
  <c r="O287" i="9" s="1"/>
  <c r="P287" i="9" s="1"/>
  <c r="L288" i="9" s="1"/>
  <c r="N288" i="9" l="1"/>
  <c r="O288" i="9" s="1"/>
  <c r="P288" i="9" s="1"/>
  <c r="L289" i="9" s="1"/>
  <c r="N289" i="9" l="1"/>
  <c r="O289" i="9" s="1"/>
  <c r="P289" i="9" s="1"/>
  <c r="L290" i="9" s="1"/>
  <c r="N290" i="9" l="1"/>
  <c r="O290" i="9" s="1"/>
  <c r="P290" i="9" s="1"/>
  <c r="L291" i="9" s="1"/>
  <c r="N291" i="9" l="1"/>
  <c r="O291" i="9" s="1"/>
  <c r="P291" i="9" s="1"/>
  <c r="L292" i="9" s="1"/>
  <c r="N292" i="9" l="1"/>
  <c r="O292" i="9" s="1"/>
  <c r="P292" i="9" s="1"/>
  <c r="L293" i="9" s="1"/>
  <c r="N293" i="9" l="1"/>
  <c r="O293" i="9" s="1"/>
  <c r="P293" i="9" s="1"/>
  <c r="L294" i="9" s="1"/>
  <c r="N294" i="9" l="1"/>
  <c r="O294" i="9" s="1"/>
  <c r="P294" i="9" s="1"/>
  <c r="L295" i="9" s="1"/>
  <c r="N295" i="9" l="1"/>
  <c r="O295" i="9" s="1"/>
  <c r="P295" i="9" s="1"/>
  <c r="L296" i="9" s="1"/>
  <c r="N296" i="9" l="1"/>
  <c r="O296" i="9" s="1"/>
  <c r="P296" i="9" s="1"/>
  <c r="L297" i="9" s="1"/>
  <c r="N297" i="9" l="1"/>
  <c r="O297" i="9" s="1"/>
  <c r="P297" i="9" s="1"/>
  <c r="L298" i="9" s="1"/>
  <c r="N298" i="9" l="1"/>
  <c r="O298" i="9" s="1"/>
  <c r="P298" i="9" s="1"/>
  <c r="L299" i="9" s="1"/>
  <c r="N299" i="9" l="1"/>
  <c r="O299" i="9" s="1"/>
  <c r="P299" i="9" s="1"/>
  <c r="L300" i="9" s="1"/>
  <c r="N300" i="9" l="1"/>
  <c r="O300" i="9" s="1"/>
  <c r="P300" i="9" s="1"/>
  <c r="L301" i="9" s="1"/>
  <c r="N301" i="9" l="1"/>
  <c r="O301" i="9" l="1"/>
  <c r="P301" i="9" s="1"/>
  <c r="N302" i="9"/>
  <c r="O302" i="9" l="1"/>
  <c r="P33" i="18"/>
  <c r="P35" i="18" s="1"/>
  <c r="C37" i="1" s="1"/>
  <c r="L17" i="1" s="1"/>
  <c r="B38" i="1"/>
  <c r="M4" i="1" l="1"/>
  <c r="M22" i="1" s="1"/>
  <c r="B45" i="1"/>
  <c r="B44" i="1"/>
  <c r="B46" i="1"/>
  <c r="P3" i="18" l="1"/>
  <c r="B40" i="1"/>
  <c r="B52" i="1" s="1"/>
  <c r="B42" i="1" l="1"/>
  <c r="B24" i="20" l="1"/>
  <c r="B26" i="20" l="1"/>
  <c r="B28" i="20" s="1"/>
  <c r="C34" i="1"/>
  <c r="L14" i="1" s="1"/>
  <c r="P56" i="18" l="1"/>
  <c r="P57" i="18" l="1"/>
  <c r="P59" i="18" s="1"/>
  <c r="C35" i="1" s="1"/>
  <c r="D32" i="16"/>
  <c r="D33" i="16" s="1"/>
  <c r="D58" i="16" s="1"/>
  <c r="B19" i="14" s="1"/>
  <c r="B20" i="14" s="1"/>
  <c r="C38" i="1" l="1"/>
  <c r="C44" i="1" s="1"/>
  <c r="L15" i="1"/>
  <c r="O10" i="1" s="1"/>
  <c r="D64" i="16"/>
  <c r="P4" i="18"/>
  <c r="P5" i="18" s="1"/>
  <c r="P7" i="18" s="1"/>
  <c r="P9" i="18" s="1"/>
  <c r="L18" i="1" l="1"/>
  <c r="O12" i="1"/>
  <c r="C25" i="1"/>
  <c r="C40" i="1" s="1"/>
  <c r="C45" i="1"/>
  <c r="C46" i="1"/>
  <c r="C48" i="1" l="1"/>
  <c r="B22" i="14" s="1"/>
  <c r="L4" i="1"/>
  <c r="O4" i="1" s="1"/>
  <c r="C52" i="1"/>
  <c r="C50" i="1"/>
  <c r="C42" i="1"/>
  <c r="L22" i="1" l="1"/>
  <c r="C49" i="1"/>
  <c r="B23" i="14" s="1"/>
  <c r="B24" i="14"/>
  <c r="E4" i="22"/>
  <c r="F4" i="22" s="1"/>
  <c r="D12" i="22"/>
  <c r="D25" i="22" s="1"/>
  <c r="F12" i="22" l="1"/>
  <c r="G4" i="22"/>
  <c r="E12" i="22"/>
  <c r="M4" i="22"/>
  <c r="M25" i="22" s="1"/>
  <c r="G12" i="22" l="1"/>
  <c r="H4" i="22"/>
  <c r="E25" i="22"/>
  <c r="N4" i="22"/>
  <c r="N25" i="22" s="1"/>
  <c r="O4" i="22"/>
  <c r="O25" i="22" s="1"/>
  <c r="F25" i="22"/>
  <c r="I4" i="22" l="1"/>
  <c r="H12" i="22"/>
  <c r="P4" i="22"/>
  <c r="P25" i="22" s="1"/>
  <c r="G25" i="22"/>
  <c r="H25" i="22" l="1"/>
  <c r="Q4" i="22"/>
  <c r="Q25" i="22" s="1"/>
  <c r="I12" i="22"/>
  <c r="J4" i="22"/>
  <c r="J12" i="22" s="1"/>
  <c r="I25" i="22" l="1"/>
  <c r="R4" i="22"/>
  <c r="R25" i="22" s="1"/>
  <c r="S4" i="22"/>
  <c r="S25" i="22" s="1"/>
  <c r="J25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tc={55868E1F-6301-4887-A252-B03D847793AB}</author>
    <author>tc={D656752E-577A-4A4A-9855-BE879AD3A750}</author>
  </authors>
  <commentList>
    <comment ref="H6" authorId="0" shapeId="0" xr:uid="{55868E1F-6301-4887-A252-B03D847793AB}">
      <text>
        <t>[Threaded comment]
Your version of Excel allows you to read this threaded comment; however, any edits to it will get removed if the file is opened in a newer version of Excel. Learn more: https://go.microsoft.com/fwlink/?linkid=870924
Comment:
    A result will only arise if the selling price and the book value at the time of sale deviate from each other.
Example: we sell a building with a book value of €100,000 for €110,000. Then we make a profit of €10,000 on that incidental transaction. The transaction is of an Incidental nature because we make and sell bicycles and not business premises. Bicycles are our core business. We then book a decrease (divestment) of the building of €100,000 and we set off a cash receipt of €110,000 in liquid assets. The difference of €10,000 is the result achieved and we place it as revenue in the PLA account.</t>
      </text>
    </comment>
    <comment ref="H16" authorId="1" shapeId="0" xr:uid="{D656752E-577A-4A4A-9855-BE879AD3A750}">
      <text>
        <t>[Threaded comment]
Your version of Excel allows you to read this threaded comment; however, any edits to it will get removed if the file is opened in a newer version of Excel. Learn more: https://go.microsoft.com/fwlink/?linkid=870924
Comment:
    A result will only arise if the selling price and the book value at the time of sale deviate from each other.
Example: we sell a building with a book value of €100,000 for €110,000. Then we make a profit of €10,000 on that incidental transaction. The transaction is of an Incidental nature because we make and sell bicycles and not business premises. Bicycles are our core business. We then book a decrease (divestment) of the building of €100,000 and we set off a cash receipt of €110,000 in liquid assets. The difference of €10,000 is the result achieved and we place it as revenue in the PLA account.</t>
      </text>
    </comment>
  </commentList>
</comments>
</file>

<file path=xl/sharedStrings.xml><?xml version="1.0" encoding="utf-8"?>
<sst xmlns="http://schemas.openxmlformats.org/spreadsheetml/2006/main" count="1507" uniqueCount="384">
  <si>
    <t>Balance date</t>
  </si>
  <si>
    <t>Debtors</t>
  </si>
  <si>
    <t>Opening balance</t>
  </si>
  <si>
    <t>Credit term debtors (months)</t>
  </si>
  <si>
    <t>Bank loan opening balance</t>
  </si>
  <si>
    <t>Creditors</t>
  </si>
  <si>
    <t>Percentage</t>
  </si>
  <si>
    <t>Value</t>
  </si>
  <si>
    <t>Frames, parts sets and packaging materials are purchased on account</t>
  </si>
  <si>
    <t>Credit period for creditors (months)</t>
  </si>
  <si>
    <t>Year</t>
  </si>
  <si>
    <t>Quarter</t>
  </si>
  <si>
    <t>IV</t>
  </si>
  <si>
    <t>I</t>
  </si>
  <si>
    <t>II</t>
  </si>
  <si>
    <t>III</t>
  </si>
  <si>
    <t>YearQuarter</t>
  </si>
  <si>
    <t>Production budget compared to normal</t>
  </si>
  <si>
    <t>Women bicycles</t>
  </si>
  <si>
    <t>Men bicycles</t>
  </si>
  <si>
    <t>Children bicycles</t>
  </si>
  <si>
    <t>Sales budget compared to normal</t>
  </si>
  <si>
    <t>Holliday Allowance</t>
  </si>
  <si>
    <t>Share of employer social security contributions</t>
  </si>
  <si>
    <t>Hours/day</t>
  </si>
  <si>
    <t>Days/week</t>
  </si>
  <si>
    <t>Hours/week</t>
  </si>
  <si>
    <t>Workweeks/year</t>
  </si>
  <si>
    <t>Max. workdays/year</t>
  </si>
  <si>
    <t>Mandatory free days</t>
  </si>
  <si>
    <t>Workdays/year</t>
  </si>
  <si>
    <t>Workhours/year (FTE)</t>
  </si>
  <si>
    <t>Workhours/Quarter (FTE)</t>
  </si>
  <si>
    <t>Labor productivity assembly workers</t>
  </si>
  <si>
    <t>Productive man hours per year</t>
  </si>
  <si>
    <t>Average bikes / man hour</t>
  </si>
  <si>
    <t>Average man hour / bicycles</t>
  </si>
  <si>
    <t>Average hourly assembling rate</t>
  </si>
  <si>
    <t>Number of assembly lines</t>
  </si>
  <si>
    <t>Assembly lines standstill</t>
  </si>
  <si>
    <t>Available machine hours</t>
  </si>
  <si>
    <t>Average machine time / bicycles</t>
  </si>
  <si>
    <t>Average bicycles/ machine hour</t>
  </si>
  <si>
    <t>Machine hourly rate</t>
  </si>
  <si>
    <t>Payment of holiday allowance</t>
  </si>
  <si>
    <t>June</t>
  </si>
  <si>
    <t>calendar month</t>
  </si>
  <si>
    <t>Payment of wages in the same month as wage costs</t>
  </si>
  <si>
    <t>Social security contributions are paid on the 5th of the month following the quarter, that is</t>
  </si>
  <si>
    <t>Average usage of seal rolls per day</t>
  </si>
  <si>
    <t>Average use of seal rolls per year</t>
  </si>
  <si>
    <t>Average use of seal rolls per quarter</t>
  </si>
  <si>
    <t>Interest rate Line of credit</t>
  </si>
  <si>
    <t>Interest Line of credit to be paid</t>
  </si>
  <si>
    <t>Total</t>
  </si>
  <si>
    <t>Normal production and sales</t>
  </si>
  <si>
    <t>Budgeted sales</t>
  </si>
  <si>
    <t>Budgeted production</t>
  </si>
  <si>
    <t>Budgeted turnover</t>
  </si>
  <si>
    <t>Budgeted frame costs</t>
  </si>
  <si>
    <t>Cost classification I.</t>
  </si>
  <si>
    <t>Cost classification II</t>
  </si>
  <si>
    <t>Budgeted stock mutation</t>
  </si>
  <si>
    <t>Frame Women bicycles</t>
  </si>
  <si>
    <t>Direct</t>
  </si>
  <si>
    <t>Variable</t>
  </si>
  <si>
    <t>Frame Men bicycles</t>
  </si>
  <si>
    <t>Frame Children bicycles</t>
  </si>
  <si>
    <t>Budgeted parts costs</t>
  </si>
  <si>
    <t>Budget stock mutation value</t>
  </si>
  <si>
    <t>Parts set Women bicycles</t>
  </si>
  <si>
    <t>Parts set Men bicycles</t>
  </si>
  <si>
    <t>Parts set Children bicycles</t>
  </si>
  <si>
    <t>Budgeted interest costs</t>
  </si>
  <si>
    <t>Budgeted packaging material costs</t>
  </si>
  <si>
    <t>Loan 1</t>
  </si>
  <si>
    <t>Indirect</t>
  </si>
  <si>
    <t>Fixed</t>
  </si>
  <si>
    <t>Carton boxes</t>
  </si>
  <si>
    <t>Loan 2</t>
  </si>
  <si>
    <t>Loan 3</t>
  </si>
  <si>
    <t>Budgeted advertising costs</t>
  </si>
  <si>
    <t>Line of credit</t>
  </si>
  <si>
    <t>Budgeted repayments</t>
  </si>
  <si>
    <t>Budgeted usage Seal rolls (pieces)</t>
  </si>
  <si>
    <t>Budgeted usage costs of Seal rolls</t>
  </si>
  <si>
    <t>Budgeted housing costs</t>
  </si>
  <si>
    <t>Canteen consumption</t>
  </si>
  <si>
    <t>Consume paper</t>
  </si>
  <si>
    <t>Budgeted energy costs</t>
  </si>
  <si>
    <t>Standing charge</t>
  </si>
  <si>
    <t>Production related</t>
  </si>
  <si>
    <t>Budgeted Direct Manufacturing Costs</t>
  </si>
  <si>
    <t>Material costs</t>
  </si>
  <si>
    <t>Depreciation costs for assembly lines</t>
  </si>
  <si>
    <t>Wage costs of assembly workers</t>
  </si>
  <si>
    <t>Budgeted Indirect Manufacturing Costs</t>
  </si>
  <si>
    <t>Interest costs on loans</t>
  </si>
  <si>
    <t>Budgeted energy costs, standing charge</t>
  </si>
  <si>
    <t>Budgeted energy costs, production related</t>
  </si>
  <si>
    <t>Other depreciation costs</t>
  </si>
  <si>
    <t>Other wage costs excl. Sales department</t>
  </si>
  <si>
    <t>Budgeted Direct Commercial Costs</t>
  </si>
  <si>
    <t>Budgeted Indirect Commercial costs</t>
  </si>
  <si>
    <t>Budgeted wage costs Sales department</t>
  </si>
  <si>
    <t>Balance Sheet Debit</t>
  </si>
  <si>
    <t>Debit</t>
  </si>
  <si>
    <t>Balance sheet</t>
  </si>
  <si>
    <t>Credit</t>
  </si>
  <si>
    <t>Fixed Assets</t>
  </si>
  <si>
    <t>Building</t>
  </si>
  <si>
    <t>Solar Panels</t>
  </si>
  <si>
    <t>Equity</t>
  </si>
  <si>
    <t>Warehouse racks</t>
  </si>
  <si>
    <t>Forklifts</t>
  </si>
  <si>
    <t>Assembly lines</t>
  </si>
  <si>
    <t>Long Term Liabilities</t>
  </si>
  <si>
    <t>Pump trucks</t>
  </si>
  <si>
    <t>Office inventory</t>
  </si>
  <si>
    <t>* money after paying all short term liabilities with sold assets</t>
  </si>
  <si>
    <t>Current Assets</t>
  </si>
  <si>
    <t>Short Term Liabilities</t>
  </si>
  <si>
    <t>Frames</t>
  </si>
  <si>
    <t>Parts sets</t>
  </si>
  <si>
    <t>Bank Loan</t>
  </si>
  <si>
    <t>Packing materials</t>
  </si>
  <si>
    <t xml:space="preserve">Interest Line of credit to be paid </t>
  </si>
  <si>
    <t>Social security contributions to be paid</t>
  </si>
  <si>
    <t>Holiday allowance to be paid</t>
  </si>
  <si>
    <t>Total Assets</t>
  </si>
  <si>
    <t>Total Capital (Equity &amp; Liabilities)</t>
  </si>
  <si>
    <t>Balance Sheet Credit</t>
  </si>
  <si>
    <t>2 methods to increase ROE: Increase debt or increase income or a combo.</t>
  </si>
  <si>
    <t>Check</t>
  </si>
  <si>
    <t>Net Working Capital</t>
  </si>
  <si>
    <t>Current Ratio</t>
  </si>
  <si>
    <t>Acid Test Ratio (Quick Ratio)</t>
  </si>
  <si>
    <t>Average Equity</t>
  </si>
  <si>
    <t>Average Liabilities</t>
  </si>
  <si>
    <t>Average Total Capital</t>
  </si>
  <si>
    <t>Debt ratio (Liabilities / Total Capital)</t>
  </si>
  <si>
    <t>Borrowed amount</t>
  </si>
  <si>
    <t>Month Year</t>
  </si>
  <si>
    <t>Payment period</t>
  </si>
  <si>
    <t>Payment date</t>
  </si>
  <si>
    <t xml:space="preserve">Maandnummer </t>
  </si>
  <si>
    <t>Maand</t>
  </si>
  <si>
    <t>Year Quarter</t>
  </si>
  <si>
    <t>Initial debt</t>
  </si>
  <si>
    <t>Interest amount</t>
  </si>
  <si>
    <t>Redemption amount</t>
  </si>
  <si>
    <t>Residual debt</t>
  </si>
  <si>
    <t>Princ + Interest</t>
  </si>
  <si>
    <t>Duration in years</t>
  </si>
  <si>
    <t>Duration in months</t>
  </si>
  <si>
    <t>Interest percentage per year</t>
  </si>
  <si>
    <t>Interest percentage per month</t>
  </si>
  <si>
    <t>Repayment per year</t>
  </si>
  <si>
    <t>Repayment per month</t>
  </si>
  <si>
    <t>debt</t>
  </si>
  <si>
    <t>2023IV</t>
  </si>
  <si>
    <t>2022I</t>
  </si>
  <si>
    <t>2022II</t>
  </si>
  <si>
    <t>2022 III</t>
  </si>
  <si>
    <t>2022IV</t>
  </si>
  <si>
    <t>2023I</t>
  </si>
  <si>
    <t>2023II</t>
  </si>
  <si>
    <t>2022III</t>
  </si>
  <si>
    <t>2023III</t>
  </si>
  <si>
    <t>Long term liabilites</t>
  </si>
  <si>
    <t>loan 1</t>
  </si>
  <si>
    <t>loan 2</t>
  </si>
  <si>
    <t>loan 3</t>
  </si>
  <si>
    <t>loan for bank loan</t>
  </si>
  <si>
    <t>* we pay only interest on this loan</t>
  </si>
  <si>
    <t>Total fixed assets</t>
  </si>
  <si>
    <t>Total Long term</t>
  </si>
  <si>
    <t>short term liabilities</t>
  </si>
  <si>
    <t>bank loan</t>
  </si>
  <si>
    <t>creditors</t>
  </si>
  <si>
    <t>Interest of credit line to be paid</t>
  </si>
  <si>
    <t>Social Security contributions</t>
  </si>
  <si>
    <t>Holiday allowence</t>
  </si>
  <si>
    <t>Total Current Assets</t>
  </si>
  <si>
    <t>Total short term liabilities</t>
  </si>
  <si>
    <t>Total liabilty + Equity</t>
  </si>
  <si>
    <t>quarter where all unnecessary fixed assets are sold</t>
  </si>
  <si>
    <t>* we estimate that either that the  frames or parts of children's bikes will be sold 1/2 per quarter or 1/4 per quarter</t>
  </si>
  <si>
    <t>* extra to implement if needed:</t>
  </si>
  <si>
    <t>encourage debitors to pay quicker by insighting extra fees</t>
  </si>
  <si>
    <t>change the amount to pay back to loans 1 - 3 per quarter</t>
  </si>
  <si>
    <t>a total of children's parts and frames sold is 270125 . This was calculated using the budget worksheet. 3,300 childrens bikes are produced in a 13100 volume. That is about 25% of the total.</t>
  </si>
  <si>
    <t>* depreciation is calculated based on Fixed assets worksheet</t>
  </si>
  <si>
    <t xml:space="preserve">(total frame cost * 0.75) * (total parts cost * 0.75) = </t>
  </si>
  <si>
    <t>Month number</t>
  </si>
  <si>
    <t>Month</t>
  </si>
  <si>
    <t>Annuity</t>
  </si>
  <si>
    <t>Purchase date</t>
  </si>
  <si>
    <t>Purchase value</t>
  </si>
  <si>
    <t>Residual value%</t>
  </si>
  <si>
    <t>Residual value amount</t>
  </si>
  <si>
    <t>Depreciation basis</t>
  </si>
  <si>
    <t>Amortization Period (yr.)</t>
  </si>
  <si>
    <t>Annual depreciation</t>
  </si>
  <si>
    <t>Elapsed periods</t>
  </si>
  <si>
    <t>Accumulated Depreciation</t>
  </si>
  <si>
    <t>Book value on the balance sheet date</t>
  </si>
  <si>
    <t>category</t>
  </si>
  <si>
    <t>building</t>
  </si>
  <si>
    <t>solar panels</t>
  </si>
  <si>
    <t>racks</t>
  </si>
  <si>
    <t>forklifts</t>
  </si>
  <si>
    <t>assembly lines</t>
  </si>
  <si>
    <t>pump trucks</t>
  </si>
  <si>
    <t>office</t>
  </si>
  <si>
    <t>Budgeted revenues</t>
  </si>
  <si>
    <t>Budgeted costs</t>
  </si>
  <si>
    <t>Labour costs</t>
  </si>
  <si>
    <t>Depreciation costs</t>
  </si>
  <si>
    <t>Housing costs</t>
  </si>
  <si>
    <t>Energy costs</t>
  </si>
  <si>
    <t>Advertising costs</t>
  </si>
  <si>
    <t>Packaging costs</t>
  </si>
  <si>
    <t>Budgeted operating result</t>
  </si>
  <si>
    <t>Budgeted period result</t>
  </si>
  <si>
    <t>ROE</t>
  </si>
  <si>
    <t>ACD</t>
  </si>
  <si>
    <t>ROA</t>
  </si>
  <si>
    <t>Materials</t>
  </si>
  <si>
    <t>Quantity</t>
  </si>
  <si>
    <t>Price per piece</t>
  </si>
  <si>
    <t>Direct material costs</t>
  </si>
  <si>
    <t>Direct labor costs (hourly rate)</t>
  </si>
  <si>
    <t>Direct machine costs (hourly rate)</t>
  </si>
  <si>
    <t>Direct manufacturing costs</t>
  </si>
  <si>
    <t>Surcharge for indirect manufacturing costs</t>
  </si>
  <si>
    <t>Manufacturing cost price</t>
  </si>
  <si>
    <t>Packaging material costs</t>
  </si>
  <si>
    <t>Direct commercial costs</t>
  </si>
  <si>
    <t>Surcharge for indirect commercial costs</t>
  </si>
  <si>
    <t>Commercial cost price</t>
  </si>
  <si>
    <t>Profit margin</t>
  </si>
  <si>
    <t>Standard sales price</t>
  </si>
  <si>
    <t>Sales price used</t>
  </si>
  <si>
    <t>Direct Variable costs per bicycle</t>
  </si>
  <si>
    <t>Direct packaging material costs</t>
  </si>
  <si>
    <t>Contribution margin per bicycle</t>
  </si>
  <si>
    <t>cost price:</t>
  </si>
  <si>
    <t>Budgeted Debtor receipts</t>
  </si>
  <si>
    <t>Capital contributions</t>
  </si>
  <si>
    <t>Budgeted receipts</t>
  </si>
  <si>
    <t>Budgeted Creditors Payments</t>
  </si>
  <si>
    <t>Budgeted wage payments</t>
  </si>
  <si>
    <t>Budgeted social security payments</t>
  </si>
  <si>
    <t>Budgeted Holiday Allowance Payments</t>
  </si>
  <si>
    <t>Budgeted interest payments STL</t>
  </si>
  <si>
    <t>Budgeted interest payments Line of credit</t>
  </si>
  <si>
    <t>Budgeted capital withdrawals</t>
  </si>
  <si>
    <t>Budgeted expenses</t>
  </si>
  <si>
    <t>Change Cash or cash eq.</t>
  </si>
  <si>
    <t>Cash or cash eq. start</t>
  </si>
  <si>
    <t>Cash or cash eq. end</t>
  </si>
  <si>
    <t>Average Cash or cash eq.</t>
  </si>
  <si>
    <t>Interest costs Line of credit</t>
  </si>
  <si>
    <t>Date</t>
  </si>
  <si>
    <t>Starting situation</t>
  </si>
  <si>
    <t>Financial Fact</t>
  </si>
  <si>
    <t>Amount</t>
  </si>
  <si>
    <t>Overview 1</t>
  </si>
  <si>
    <t>Overview 2</t>
  </si>
  <si>
    <t>Overview 3</t>
  </si>
  <si>
    <t>Start value</t>
  </si>
  <si>
    <t>Balance Sheet</t>
  </si>
  <si>
    <t>Investment</t>
  </si>
  <si>
    <t>Balance Sheet +</t>
  </si>
  <si>
    <t>Liquidity budget -</t>
  </si>
  <si>
    <t>Period result</t>
  </si>
  <si>
    <t>Balance Sheet +/-</t>
  </si>
  <si>
    <t>Divestment</t>
  </si>
  <si>
    <t>Balance Sheet -</t>
  </si>
  <si>
    <t>PLA-account +/-</t>
  </si>
  <si>
    <t>Liquidity budget +</t>
  </si>
  <si>
    <t>Capital contribution</t>
  </si>
  <si>
    <t>Depreciation</t>
  </si>
  <si>
    <t>PLA-account +</t>
  </si>
  <si>
    <t>Capital withdrawals</t>
  </si>
  <si>
    <t>Balans</t>
  </si>
  <si>
    <t>Repayment Loan 1</t>
  </si>
  <si>
    <t>Repayment Loan 2</t>
  </si>
  <si>
    <t>Repayment Loan 3</t>
  </si>
  <si>
    <t>Holiday allowance I</t>
  </si>
  <si>
    <t>Payment Holiday allowance</t>
  </si>
  <si>
    <t>Social security contributions I</t>
  </si>
  <si>
    <t>Social security contributions payment</t>
  </si>
  <si>
    <t>Inkopen op rekening</t>
  </si>
  <si>
    <t>Crediteurenbetalingen</t>
  </si>
  <si>
    <t>Interestkosten RC</t>
  </si>
  <si>
    <t>Betaalde interestkosten RC</t>
  </si>
  <si>
    <t>Debiteuren</t>
  </si>
  <si>
    <t>Turnover on account</t>
  </si>
  <si>
    <t>Debtors receipts</t>
  </si>
  <si>
    <t>Purchase on account</t>
  </si>
  <si>
    <t>Usage in manufacturing</t>
  </si>
  <si>
    <t>Seal rolls</t>
  </si>
  <si>
    <t>Manufacturing</t>
  </si>
  <si>
    <t>Cost price goods sold</t>
  </si>
  <si>
    <t>Stock</t>
  </si>
  <si>
    <t>Available stock</t>
  </si>
  <si>
    <t>Purchase price per piece</t>
  </si>
  <si>
    <t>Value of stock</t>
  </si>
  <si>
    <t>Packing material</t>
  </si>
  <si>
    <t>Bicycles</t>
  </si>
  <si>
    <t>Frame type</t>
  </si>
  <si>
    <t xml:space="preserve">Purchase quantities </t>
  </si>
  <si>
    <t>Purchase price</t>
  </si>
  <si>
    <t xml:space="preserve">Purchase amount </t>
  </si>
  <si>
    <t>Production usage</t>
  </si>
  <si>
    <t>Production value</t>
  </si>
  <si>
    <t>Type Parts sets</t>
  </si>
  <si>
    <t>Type Packing material</t>
  </si>
  <si>
    <t>October</t>
  </si>
  <si>
    <t>November</t>
  </si>
  <si>
    <t>December</t>
  </si>
  <si>
    <t>Purchase value Stock</t>
  </si>
  <si>
    <t>Production value Stock</t>
  </si>
  <si>
    <t>Year quarter</t>
  </si>
  <si>
    <t>FTE</t>
  </si>
  <si>
    <t>Managing board</t>
  </si>
  <si>
    <t>Administration</t>
  </si>
  <si>
    <t>Purchase</t>
  </si>
  <si>
    <t>Assembly</t>
  </si>
  <si>
    <t>Sale</t>
  </si>
  <si>
    <t>Man-hours/quarter</t>
  </si>
  <si>
    <t>Avg. gross salary/FTE/quarter (excluding holiday allowance)</t>
  </si>
  <si>
    <t>Avg. holiday allowance/FTE/quarter</t>
  </si>
  <si>
    <t>Avg. gross salary/FTE/quarter (incl. holiday allowance)</t>
  </si>
  <si>
    <t>Avg. social charges/FTE/quarter</t>
  </si>
  <si>
    <t>Avg. labor costs/FTE/quarter</t>
  </si>
  <si>
    <t>Gross salary/quarter</t>
  </si>
  <si>
    <t>Holiday allowance/quarter</t>
  </si>
  <si>
    <t>Social charges/quarter</t>
  </si>
  <si>
    <t>Labor costs/quarter</t>
  </si>
  <si>
    <t>&lt;- money we get after letting go 40% of our assembly staff</t>
  </si>
  <si>
    <t>&lt;- subtract 960530.4 from current assembly cost of 1,600,884</t>
  </si>
  <si>
    <t>Long-term debt</t>
  </si>
  <si>
    <t>Type of loan</t>
  </si>
  <si>
    <t>Lender</t>
  </si>
  <si>
    <t>Loan form</t>
  </si>
  <si>
    <t>Collateral</t>
  </si>
  <si>
    <t>Closing date</t>
  </si>
  <si>
    <t>Interest% per year</t>
  </si>
  <si>
    <t>Loan</t>
  </si>
  <si>
    <t>Remaining debt on the balance sheet date</t>
  </si>
  <si>
    <t>Mortgage loan</t>
  </si>
  <si>
    <t>Banque de Sheikchote</t>
  </si>
  <si>
    <t>Business loan</t>
  </si>
  <si>
    <t>BEUN-bank</t>
  </si>
  <si>
    <t>Linear</t>
  </si>
  <si>
    <t>Month Number</t>
  </si>
  <si>
    <t>January</t>
  </si>
  <si>
    <t>February</t>
  </si>
  <si>
    <t>March</t>
  </si>
  <si>
    <t>April</t>
  </si>
  <si>
    <t>May</t>
  </si>
  <si>
    <t>July</t>
  </si>
  <si>
    <t>August</t>
  </si>
  <si>
    <t>September</t>
  </si>
  <si>
    <t>Bicycle</t>
  </si>
  <si>
    <t>Sales Price</t>
  </si>
  <si>
    <t>Percentage gain</t>
  </si>
  <si>
    <t>They make more men and women bikes instead of kids bikes where they have bigger margin</t>
  </si>
  <si>
    <t>A) Decrease women and men bikes number and make more kids bikes.</t>
  </si>
  <si>
    <t>B) Increase the commercial price of kids bikes but keep lower than sales price</t>
  </si>
  <si>
    <t>https://www.amazon.com/dp/B002V23818/?tag=bikeride00-20</t>
  </si>
  <si>
    <t>* 2022II: we purchase the following:</t>
  </si>
  <si>
    <t>* 6 of welding machine https://www.kippersrijssen.nl/lasapparatuur/tig-lasapparatuur/tig-lasinverter-jasic-tig180-?gclid=CjwKCAiAlfqOBhAeEiwAYi43F7G1gDLMYHbHz5JTGSA1zNVF8RKcGX9S4s_wXEnh85PraCzfyjLtExoCsIoQAvD_BwE</t>
  </si>
  <si>
    <t>* 6 of clamping machine https://www.sotel.de/en/Werkzeug-Garten/Werkstatt-Ausstattung/Bessey-Vario-Korpuszwinge-REVO-KREV-KREV100-2K-Ausladungs-Masse-95mm.html?cur=0</t>
  </si>
  <si>
    <t>* 6 wheel turling stand https://www.bikester.nl/red-cycling-products-master-wheel-truing-stand-centreerstandaard-M739091.html?&amp;&amp;utm_source=google&amp;utm_medium=organic&amp;utm_campaign=shopping&amp;utm_content=surfaces_across_google</t>
  </si>
  <si>
    <t>* 60% of the building will be sold. We will be building a wall first and then selling it by 2022III</t>
  </si>
  <si>
    <t>alibaba.com/pla/T-Slot-Aluminum-Profiles-CNC-engraving_62105664399.html?mark=google_shopping&amp;biz=pla&amp;pcy=NL&amp;searchText=Other+Machinery+&amp;+Industry+Equipment&amp;product_id=62105664399&amp;src=sem_ggl&amp;from=sem_ggl&amp;cmpgn=13268145312&amp;adgrp=124477985242&amp;fditm=&amp;tgt=pla-310495029572&amp;locintrst=&amp;locphyscl=9065248&amp;mtchtyp=&amp;ntwrk=u&amp;device=c&amp;dvcmdl=&amp;creative=524220213580&amp;plcmnt=&amp;plcmntcat=&amp;p1=&amp;p2=&amp;aceid=&amp;position=&amp;localKeyword=&amp;pla_prdid=62105664399&amp;pla_country=NL&amp;pla_lang=en&amp;gclid=CjwKCAiAlfqOBhAeEiwAYi43F_3Y5ynZcEAVBnOkehKS-t0bkggHV_FIpJD4udH_9xrYKZL3wB8LlhoCAjgQAvD_BwE</t>
  </si>
  <si>
    <t>Wall will cost 53 eur per 4800 mm.</t>
  </si>
  <si>
    <t>area of building to fill is about 60*10 = 600 m</t>
  </si>
  <si>
    <t>600 / 4.8 m =  32,000 eur</t>
  </si>
  <si>
    <t>2023Total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</si>
</sst>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&quot;€&quot;\ #,##0.00;[Red]&quot;€&quot;\ \-#,##0.00"/>
    <numFmt numFmtId="165" formatCode="&quot;€&quot;\ #,##0"/>
    <numFmt numFmtId="166" formatCode="0.0%"/>
    <numFmt numFmtId="167" formatCode="&quot;€&quot;\ #,##0.00"/>
    <numFmt numFmtId="168" formatCode="0.0"/>
    <numFmt numFmtId="169" formatCode="0.000%"/>
    <numFmt numFmtId="170" formatCode="_([$€-2]\ * #,##0.00_);_([$€-2]\ * \(#,##0.00\);_([$€-2]\ * &quot;-&quot;??_);_(@_)"/>
    <numFmt numFmtId="171" formatCode="#,##0.000000000"/>
    <numFmt numFmtId="172" formatCode="#,##0.00000000"/>
    <numFmt numFmtId="173" formatCode="#,##0.00000000000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4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48">
    <xf numFmtId="0" fontId="0" fillId="0" borderId="0" xfId="0"/>
    <xf numFmtId="3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0" applyFont="1" applyAlignment="1">
      <alignment vertical="top"/>
    </xf>
    <xf numFmtId="167" fontId="0" fillId="0" borderId="0" xfId="0" applyNumberFormat="1"/>
    <xf numFmtId="0" fontId="2" fillId="0" borderId="0" xfId="0" applyFont="1"/>
    <xf numFmtId="167" fontId="2" fillId="0" borderId="0" xfId="0" applyNumberFormat="1" applyFont="1"/>
    <xf numFmtId="167" fontId="0" fillId="0" borderId="4" xfId="0" applyNumberFormat="1" applyBorder="1"/>
    <xf numFmtId="9" fontId="0" fillId="0" borderId="0" xfId="1" applyFont="1"/>
    <xf numFmtId="10" fontId="0" fillId="0" borderId="0" xfId="0" applyNumberFormat="1"/>
    <xf numFmtId="166" fontId="0" fillId="0" borderId="0" xfId="1" applyNumberFormat="1" applyFont="1"/>
    <xf numFmtId="10" fontId="0" fillId="0" borderId="0" xfId="1" applyNumberFormat="1" applyFont="1"/>
    <xf numFmtId="164" fontId="0" fillId="0" borderId="0" xfId="0" applyNumberFormat="1"/>
    <xf numFmtId="14" fontId="3" fillId="0" borderId="0" xfId="0" applyNumberFormat="1" applyFont="1" applyAlignment="1">
      <alignment vertical="top"/>
    </xf>
    <xf numFmtId="166" fontId="2" fillId="0" borderId="0" xfId="0" applyNumberFormat="1" applyFont="1"/>
    <xf numFmtId="166" fontId="1" fillId="0" borderId="0" xfId="1" applyNumberFormat="1" applyFont="1"/>
    <xf numFmtId="9" fontId="0" fillId="0" borderId="0" xfId="0" applyNumberFormat="1"/>
    <xf numFmtId="3" fontId="2" fillId="0" borderId="0" xfId="0" applyNumberFormat="1" applyFont="1"/>
    <xf numFmtId="2" fontId="0" fillId="0" borderId="0" xfId="0" applyNumberFormat="1"/>
    <xf numFmtId="4" fontId="0" fillId="0" borderId="0" xfId="0" applyNumberFormat="1"/>
    <xf numFmtId="165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left"/>
    </xf>
    <xf numFmtId="166" fontId="0" fillId="0" borderId="0" xfId="1" applyNumberFormat="1" applyFont="1" applyAlignment="1">
      <alignment horizontal="left"/>
    </xf>
    <xf numFmtId="166" fontId="0" fillId="0" borderId="0" xfId="0" applyNumberFormat="1" applyAlignment="1">
      <alignment horizontal="left"/>
    </xf>
    <xf numFmtId="3" fontId="0" fillId="0" borderId="0" xfId="1" applyNumberFormat="1" applyFon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2" fillId="0" borderId="2" xfId="0" applyFont="1" applyBorder="1" applyAlignment="1">
      <alignment vertical="top"/>
    </xf>
    <xf numFmtId="165" fontId="2" fillId="0" borderId="2" xfId="0" applyNumberFormat="1" applyFont="1" applyBorder="1" applyAlignment="1">
      <alignment vertical="top"/>
    </xf>
    <xf numFmtId="14" fontId="2" fillId="0" borderId="2" xfId="0" applyNumberFormat="1" applyFont="1" applyBorder="1" applyAlignment="1">
      <alignment horizontal="left" vertical="top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165" fontId="0" fillId="0" borderId="0" xfId="0" applyNumberFormat="1" applyAlignment="1">
      <alignment vertical="top"/>
    </xf>
    <xf numFmtId="0" fontId="0" fillId="0" borderId="3" xfId="0" applyBorder="1" applyAlignment="1">
      <alignment vertical="top"/>
    </xf>
    <xf numFmtId="0" fontId="2" fillId="0" borderId="3" xfId="0" applyFont="1" applyBorder="1" applyAlignment="1">
      <alignment vertical="top"/>
    </xf>
    <xf numFmtId="165" fontId="0" fillId="0" borderId="4" xfId="0" applyNumberFormat="1" applyBorder="1" applyAlignment="1">
      <alignment vertical="top"/>
    </xf>
    <xf numFmtId="165" fontId="2" fillId="0" borderId="1" xfId="0" applyNumberFormat="1" applyFont="1" applyBorder="1" applyAlignment="1">
      <alignment vertical="top"/>
    </xf>
    <xf numFmtId="165" fontId="0" fillId="0" borderId="4" xfId="0" applyNumberFormat="1" applyBorder="1"/>
    <xf numFmtId="0" fontId="2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4" xfId="0" applyNumberFormat="1" applyBorder="1" applyAlignment="1">
      <alignment horizontal="right"/>
    </xf>
    <xf numFmtId="165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0" fontId="0" fillId="0" borderId="0" xfId="1" applyNumberFormat="1" applyFont="1" applyAlignment="1">
      <alignment horizontal="right"/>
    </xf>
    <xf numFmtId="0" fontId="0" fillId="0" borderId="4" xfId="0" applyBorder="1"/>
    <xf numFmtId="2" fontId="0" fillId="0" borderId="0" xfId="0" applyNumberFormat="1" applyAlignment="1">
      <alignment vertical="top"/>
    </xf>
    <xf numFmtId="14" fontId="2" fillId="0" borderId="0" xfId="0" applyNumberFormat="1" applyFont="1"/>
    <xf numFmtId="14" fontId="2" fillId="0" borderId="5" xfId="0" applyNumberFormat="1" applyFont="1" applyBorder="1"/>
    <xf numFmtId="0" fontId="2" fillId="0" borderId="5" xfId="0" applyFont="1" applyBorder="1"/>
    <xf numFmtId="165" fontId="2" fillId="0" borderId="5" xfId="0" applyNumberFormat="1" applyFont="1" applyBorder="1"/>
    <xf numFmtId="165" fontId="2" fillId="0" borderId="6" xfId="0" applyNumberFormat="1" applyFont="1" applyBorder="1"/>
    <xf numFmtId="14" fontId="0" fillId="0" borderId="4" xfId="0" applyNumberFormat="1" applyBorder="1"/>
    <xf numFmtId="166" fontId="2" fillId="2" borderId="0" xfId="1" applyNumberFormat="1" applyFont="1" applyFill="1" applyAlignment="1">
      <alignment horizontal="left"/>
    </xf>
    <xf numFmtId="9" fontId="0" fillId="2" borderId="0" xfId="1" applyFont="1" applyFill="1" applyAlignment="1">
      <alignment horizontal="left"/>
    </xf>
    <xf numFmtId="166" fontId="2" fillId="0" borderId="0" xfId="1" applyNumberFormat="1" applyFont="1" applyFill="1" applyAlignment="1">
      <alignment horizontal="left"/>
    </xf>
    <xf numFmtId="165" fontId="2" fillId="0" borderId="4" xfId="0" applyNumberFormat="1" applyFont="1" applyBorder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3" fontId="6" fillId="0" borderId="0" xfId="0" applyNumberFormat="1" applyFont="1"/>
    <xf numFmtId="167" fontId="6" fillId="0" borderId="0" xfId="0" applyNumberFormat="1" applyFont="1"/>
    <xf numFmtId="165" fontId="6" fillId="0" borderId="0" xfId="0" applyNumberFormat="1" applyFont="1"/>
    <xf numFmtId="14" fontId="2" fillId="0" borderId="0" xfId="0" applyNumberFormat="1" applyFont="1" applyAlignment="1">
      <alignment vertical="top"/>
    </xf>
    <xf numFmtId="14" fontId="2" fillId="0" borderId="2" xfId="0" applyNumberFormat="1" applyFont="1" applyBorder="1" applyAlignment="1">
      <alignment vertical="top"/>
    </xf>
    <xf numFmtId="0" fontId="2" fillId="0" borderId="7" xfId="0" applyFont="1" applyBorder="1"/>
    <xf numFmtId="0" fontId="2" fillId="0" borderId="7" xfId="0" applyFont="1" applyBorder="1" applyAlignment="1">
      <alignment horizontal="right"/>
    </xf>
    <xf numFmtId="165" fontId="2" fillId="0" borderId="7" xfId="0" applyNumberFormat="1" applyFont="1" applyBorder="1" applyAlignment="1">
      <alignment horizontal="right"/>
    </xf>
    <xf numFmtId="0" fontId="0" fillId="0" borderId="7" xfId="0" applyBorder="1"/>
    <xf numFmtId="165" fontId="2" fillId="0" borderId="7" xfId="0" applyNumberFormat="1" applyFont="1" applyBorder="1"/>
    <xf numFmtId="3" fontId="2" fillId="0" borderId="7" xfId="0" applyNumberFormat="1" applyFont="1" applyBorder="1" applyAlignment="1">
      <alignment horizontal="right"/>
    </xf>
    <xf numFmtId="3" fontId="2" fillId="0" borderId="7" xfId="0" applyNumberFormat="1" applyFont="1" applyBorder="1"/>
    <xf numFmtId="168" fontId="0" fillId="0" borderId="0" xfId="0" applyNumberFormat="1"/>
    <xf numFmtId="168" fontId="2" fillId="0" borderId="0" xfId="0" applyNumberFormat="1" applyFont="1"/>
    <xf numFmtId="168" fontId="0" fillId="0" borderId="4" xfId="0" applyNumberFormat="1" applyBorder="1"/>
    <xf numFmtId="3" fontId="0" fillId="0" borderId="4" xfId="0" applyNumberFormat="1" applyBorder="1"/>
    <xf numFmtId="9" fontId="0" fillId="2" borderId="0" xfId="0" applyNumberFormat="1" applyFill="1" applyAlignment="1">
      <alignment horizontal="left"/>
    </xf>
    <xf numFmtId="0" fontId="2" fillId="0" borderId="4" xfId="0" applyFont="1" applyBorder="1"/>
    <xf numFmtId="14" fontId="2" fillId="0" borderId="5" xfId="0" applyNumberFormat="1" applyFont="1" applyBorder="1" applyAlignment="1">
      <alignment horizontal="left" vertical="top"/>
    </xf>
    <xf numFmtId="165" fontId="0" fillId="0" borderId="3" xfId="0" applyNumberFormat="1" applyBorder="1" applyAlignment="1">
      <alignment vertical="top"/>
    </xf>
    <xf numFmtId="14" fontId="2" fillId="0" borderId="5" xfId="0" applyNumberFormat="1" applyFont="1" applyBorder="1" applyAlignment="1">
      <alignment horizontal="right" vertical="top"/>
    </xf>
    <xf numFmtId="9" fontId="0" fillId="0" borderId="0" xfId="0" applyNumberFormat="1" applyAlignment="1">
      <alignment horizontal="left"/>
    </xf>
    <xf numFmtId="9" fontId="2" fillId="2" borderId="0" xfId="1" applyFont="1" applyFill="1"/>
    <xf numFmtId="14" fontId="2" fillId="0" borderId="0" xfId="0" applyNumberFormat="1" applyFont="1" applyAlignment="1">
      <alignment horizontal="right" vertical="top"/>
    </xf>
    <xf numFmtId="165" fontId="2" fillId="0" borderId="3" xfId="0" applyNumberFormat="1" applyFont="1" applyBorder="1" applyAlignment="1">
      <alignment vertical="top"/>
    </xf>
    <xf numFmtId="165" fontId="0" fillId="0" borderId="9" xfId="0" applyNumberFormat="1" applyBorder="1" applyAlignment="1">
      <alignment vertical="top"/>
    </xf>
    <xf numFmtId="14" fontId="2" fillId="0" borderId="8" xfId="0" applyNumberFormat="1" applyFont="1" applyBorder="1" applyAlignment="1">
      <alignment horizontal="right" vertical="top"/>
    </xf>
    <xf numFmtId="0" fontId="2" fillId="3" borderId="7" xfId="0" applyFont="1" applyFill="1" applyBorder="1"/>
    <xf numFmtId="0" fontId="7" fillId="0" borderId="0" xfId="0" applyFont="1"/>
    <xf numFmtId="0" fontId="8" fillId="0" borderId="0" xfId="0" applyFont="1"/>
    <xf numFmtId="169" fontId="7" fillId="0" borderId="0" xfId="1" applyNumberFormat="1" applyFont="1"/>
    <xf numFmtId="165" fontId="5" fillId="4" borderId="0" xfId="0" applyNumberFormat="1" applyFont="1" applyFill="1" applyAlignment="1">
      <alignment vertical="top"/>
    </xf>
    <xf numFmtId="0" fontId="0" fillId="4" borderId="0" xfId="0" applyFill="1"/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left"/>
    </xf>
    <xf numFmtId="167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left"/>
    </xf>
    <xf numFmtId="164" fontId="0" fillId="5" borderId="10" xfId="0" applyNumberFormat="1" applyFill="1" applyBorder="1" applyAlignment="1">
      <alignment horizontal="left"/>
    </xf>
    <xf numFmtId="164" fontId="0" fillId="5" borderId="11" xfId="0" applyNumberFormat="1" applyFill="1" applyBorder="1" applyAlignment="1">
      <alignment horizontal="left"/>
    </xf>
    <xf numFmtId="164" fontId="0" fillId="5" borderId="12" xfId="0" applyNumberFormat="1" applyFill="1" applyBorder="1" applyAlignment="1">
      <alignment horizontal="left"/>
    </xf>
    <xf numFmtId="167" fontId="0" fillId="5" borderId="0" xfId="0" applyNumberFormat="1" applyFill="1" applyAlignment="1">
      <alignment horizontal="left"/>
    </xf>
    <xf numFmtId="167" fontId="0" fillId="2" borderId="0" xfId="0" applyNumberFormat="1" applyFill="1" applyAlignment="1">
      <alignment horizontal="left"/>
    </xf>
    <xf numFmtId="165" fontId="0" fillId="6" borderId="0" xfId="0" applyNumberFormat="1" applyFill="1" applyAlignment="1">
      <alignment horizontal="right"/>
    </xf>
    <xf numFmtId="165" fontId="0" fillId="7" borderId="4" xfId="0" applyNumberFormat="1" applyFill="1" applyBorder="1" applyAlignment="1">
      <alignment horizontal="right"/>
    </xf>
    <xf numFmtId="165" fontId="0" fillId="7" borderId="0" xfId="0" applyNumberFormat="1" applyFill="1"/>
    <xf numFmtId="165" fontId="0" fillId="7" borderId="0" xfId="0" applyNumberFormat="1" applyFill="1" applyAlignment="1">
      <alignment vertical="top"/>
    </xf>
    <xf numFmtId="165" fontId="0" fillId="6" borderId="0" xfId="0" applyNumberFormat="1" applyFill="1" applyAlignment="1">
      <alignment vertical="top"/>
    </xf>
    <xf numFmtId="165" fontId="0" fillId="6" borderId="4" xfId="0" applyNumberFormat="1" applyFill="1" applyBorder="1" applyAlignment="1">
      <alignment vertical="top"/>
    </xf>
    <xf numFmtId="165" fontId="0" fillId="8" borderId="0" xfId="0" applyNumberFormat="1" applyFill="1" applyAlignment="1">
      <alignment horizontal="right"/>
    </xf>
    <xf numFmtId="170" fontId="0" fillId="0" borderId="0" xfId="0" applyNumberFormat="1"/>
    <xf numFmtId="0" fontId="0" fillId="0" borderId="13" xfId="0" applyBorder="1"/>
    <xf numFmtId="0" fontId="0" fillId="0" borderId="14" xfId="0" applyBorder="1"/>
    <xf numFmtId="171" fontId="0" fillId="0" borderId="0" xfId="0" applyNumberFormat="1" applyAlignment="1">
      <alignment vertical="top"/>
    </xf>
    <xf numFmtId="172" fontId="0" fillId="0" borderId="0" xfId="0" applyNumberFormat="1" applyAlignment="1">
      <alignment vertical="top"/>
    </xf>
    <xf numFmtId="170" fontId="0" fillId="0" borderId="0" xfId="0" applyNumberFormat="1" applyAlignment="1">
      <alignment vertical="top"/>
    </xf>
    <xf numFmtId="170" fontId="0" fillId="0" borderId="14" xfId="0" applyNumberFormat="1" applyBorder="1"/>
    <xf numFmtId="170" fontId="7" fillId="0" borderId="0" xfId="0" applyNumberFormat="1" applyFont="1" applyAlignment="1">
      <alignment vertical="top"/>
    </xf>
    <xf numFmtId="170" fontId="7" fillId="0" borderId="0" xfId="0" applyNumberFormat="1" applyFont="1"/>
    <xf numFmtId="0" fontId="0" fillId="2" borderId="0" xfId="0" applyFill="1" applyAlignment="1">
      <alignment vertical="top"/>
    </xf>
    <xf numFmtId="170" fontId="7" fillId="0" borderId="14" xfId="0" applyNumberFormat="1" applyFont="1" applyBorder="1" applyAlignment="1">
      <alignment vertical="top"/>
    </xf>
    <xf numFmtId="170" fontId="7" fillId="0" borderId="14" xfId="0" applyNumberFormat="1" applyFont="1" applyBorder="1"/>
    <xf numFmtId="170" fontId="2" fillId="0" borderId="0" xfId="0" applyNumberFormat="1" applyFont="1"/>
    <xf numFmtId="173" fontId="0" fillId="0" borderId="0" xfId="0" applyNumberFormat="1"/>
    <xf numFmtId="167" fontId="9" fillId="0" borderId="0" xfId="0" applyNumberFormat="1" applyFont="1"/>
    <xf numFmtId="0" fontId="10" fillId="0" borderId="0" xfId="2"/>
    <xf numFmtId="170" fontId="0" fillId="0" borderId="0" xfId="0" applyNumberFormat="1" applyAlignment="1">
      <alignment horizontal="right"/>
    </xf>
    <xf numFmtId="170" fontId="3" fillId="0" borderId="0" xfId="0" applyNumberFormat="1" applyFont="1" applyAlignment="1">
      <alignment horizontal="right"/>
    </xf>
    <xf numFmtId="170" fontId="0" fillId="0" borderId="4" xfId="0" applyNumberFormat="1" applyBorder="1" applyAlignment="1">
      <alignment horizontal="right"/>
    </xf>
    <xf numFmtId="170" fontId="3" fillId="0" borderId="4" xfId="0" applyNumberFormat="1" applyFont="1" applyBorder="1" applyAlignment="1">
      <alignment horizontal="right"/>
    </xf>
    <xf numFmtId="170" fontId="2" fillId="0" borderId="0" xfId="0" applyNumberFormat="1" applyFont="1" applyAlignment="1">
      <alignment horizontal="right"/>
    </xf>
    <xf numFmtId="170" fontId="3" fillId="0" borderId="0" xfId="0" applyNumberFormat="1" applyFont="1"/>
    <xf numFmtId="170" fontId="1" fillId="0" borderId="0" xfId="0" applyNumberFormat="1" applyFont="1" applyAlignment="1">
      <alignment horizontal="right"/>
    </xf>
    <xf numFmtId="170" fontId="11" fillId="0" borderId="0" xfId="0" applyNumberFormat="1" applyFont="1"/>
    <xf numFmtId="170" fontId="12" fillId="0" borderId="0" xfId="0" applyNumberFormat="1" applyFont="1"/>
    <xf numFmtId="0" fontId="2" fillId="0" borderId="0" xfId="0" applyFont="1" applyAlignment="1">
      <alignment horizontal="right"/>
    </xf>
    <xf numFmtId="170" fontId="11" fillId="0" borderId="0" xfId="0" applyNumberFormat="1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144">
    <dxf>
      <numFmt numFmtId="0" formatCode="General"/>
    </dxf>
    <dxf>
      <numFmt numFmtId="0" formatCode="General"/>
    </dxf>
    <dxf>
      <numFmt numFmtId="14" formatCode="0.00%"/>
    </dxf>
    <dxf>
      <numFmt numFmtId="165" formatCode="&quot;€&quot;\ #,##0"/>
    </dxf>
    <dxf>
      <numFmt numFmtId="165" formatCode="&quot;€&quot;\ #,##0"/>
    </dxf>
    <dxf>
      <numFmt numFmtId="165" formatCode="&quot;€&quot;\ #,##0"/>
    </dxf>
    <dxf>
      <numFmt numFmtId="167" formatCode="&quot;€&quot;\ #,##0.00"/>
    </dxf>
    <dxf>
      <numFmt numFmtId="167" formatCode="&quot;€&quot;\ #,##0.00"/>
    </dxf>
    <dxf>
      <numFmt numFmtId="3" formatCode="#,##0"/>
    </dxf>
    <dxf>
      <numFmt numFmtId="3" formatCode="#,##0"/>
    </dxf>
    <dxf>
      <numFmt numFmtId="174" formatCode="dd/mm/yyyy"/>
    </dxf>
    <dxf>
      <numFmt numFmtId="17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165" formatCode="&quot;€&quot;\ #,##0"/>
    </dxf>
    <dxf>
      <numFmt numFmtId="165" formatCode="&quot;€&quot;\ #,##0"/>
    </dxf>
    <dxf>
      <numFmt numFmtId="167" formatCode="&quot;€&quot;\ #,##0.00"/>
    </dxf>
    <dxf>
      <numFmt numFmtId="167" formatCode="&quot;€&quot;\ #,##0.00"/>
    </dxf>
    <dxf>
      <numFmt numFmtId="3" formatCode="#,##0"/>
    </dxf>
    <dxf>
      <numFmt numFmtId="3" formatCode="#,##0"/>
    </dxf>
    <dxf>
      <numFmt numFmtId="174" formatCode="dd/mm/yyyy"/>
    </dxf>
    <dxf>
      <numFmt numFmtId="17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165" formatCode="&quot;€&quot;\ #,##0"/>
    </dxf>
    <dxf>
      <numFmt numFmtId="165" formatCode="&quot;€&quot;\ #,##0"/>
    </dxf>
    <dxf>
      <numFmt numFmtId="167" formatCode="&quot;€&quot;\ #,##0.00"/>
    </dxf>
    <dxf>
      <numFmt numFmtId="167" formatCode="&quot;€&quot;\ #,##0.00"/>
    </dxf>
    <dxf>
      <numFmt numFmtId="3" formatCode="#,##0"/>
    </dxf>
    <dxf>
      <numFmt numFmtId="3" formatCode="#,##0"/>
    </dxf>
    <dxf>
      <numFmt numFmtId="174" formatCode="dd/mm/yyyy"/>
    </dxf>
    <dxf>
      <numFmt numFmtId="17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165" formatCode="&quot;€&quot;\ #,##0"/>
    </dxf>
    <dxf>
      <numFmt numFmtId="165" formatCode="&quot;€&quot;\ #,##0"/>
    </dxf>
    <dxf>
      <numFmt numFmtId="167" formatCode="&quot;€&quot;\ #,##0.00"/>
    </dxf>
    <dxf>
      <numFmt numFmtId="167" formatCode="&quot;€&quot;\ #,##0.0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&quot;€&quot;\ #,##0"/>
    </dxf>
    <dxf>
      <numFmt numFmtId="165" formatCode="&quot;€&quot;\ #,##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&quot;€&quot;\ #,##0"/>
    </dxf>
    <dxf>
      <numFmt numFmtId="165" formatCode="&quot;€&quot;\ #,##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&quot;€&quot;\ #,##0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numFmt numFmtId="165" formatCode="&quot;€&quot;\ #,##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&quot;€&quot;\ #,##0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numFmt numFmtId="165" formatCode="&quot;€&quot;\ #,##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&quot;€&quot;\ #,##0"/>
    </dxf>
    <dxf>
      <numFmt numFmtId="165" formatCode="&quot;€&quot;\ #,##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&quot;€&quot;\ #,##0"/>
    </dxf>
    <dxf>
      <numFmt numFmtId="166" formatCode="0.0%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0.0%"/>
    </dxf>
    <dxf>
      <numFmt numFmtId="165" formatCode="&quot;€&quot;\ #,##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&quot;€&quot;\ #,##0"/>
    </dxf>
    <dxf>
      <numFmt numFmtId="19" formatCode="m/d/yyyy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5" formatCode="d/m/yyyy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4" formatCode="&quot;€&quot;\ #,##0.00;[Red]&quot;€&quot;\ \-#,##0.00"/>
      <alignment horizontal="left" vertical="bottom" textRotation="0" wrapText="0" indent="0" justifyLastLine="0" shrinkToFit="0" readingOrder="0"/>
    </dxf>
    <dxf>
      <numFmt numFmtId="164" formatCode="&quot;€&quot;\ #,##0.00;[Red]&quot;€&quot;\ \-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numFmt numFmtId="167" formatCode="&quot;€&quot;\ #,##0.00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1" defaultTableStyle="TableStyleMedium2" defaultPivotStyle="PivotStyleLight16">
    <tableStyle name="Invisible" pivot="0" table="0" count="0" xr9:uid="{683F3793-5A7D-4EC1-96A1-85B027B0054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eikchote,Latief M.L." id="{06EACDB0-2676-4137-957E-5BA2CA4C54DF}" userId="S::879929@fontys.nl::8f8d7b2c-138f-430a-a230-35fca5549958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3EB8B1-3DB0-4E5B-A2E8-21F1D5411B1C}" name="Tbl_Loan2" displayName="Tbl_Loan2" ref="D1:P122" totalsRowCount="1">
  <autoFilter ref="D1:P121" xr:uid="{B7F27034-F96E-4479-BC4A-E9139FEEC44F}"/>
  <tableColumns count="13">
    <tableColumn id="12" xr3:uid="{BE779B18-53A0-4484-9B4A-7EF098CA3297}" name="Month Year" dataDxfId="143">
      <calculatedColumnFormula>_xlfn.CONCAT(Tbl_Loan2[[#This Row],[Maandnummer ]],Tbl_Loan2[[#This Row],[Year]])</calculatedColumnFormula>
    </tableColumn>
    <tableColumn id="1" xr3:uid="{C3A7C3A7-23EC-467C-8243-86333720D7C7}" name="Payment period" dataDxfId="142" totalsRowDxfId="141"/>
    <tableColumn id="10" xr3:uid="{5B05153A-915C-4C52-9337-0CB4DB2EBC59}" name="Payment date" dataDxfId="140" totalsRowDxfId="139"/>
    <tableColumn id="2" xr3:uid="{C30EB061-A07F-4743-A116-4A470B3F9A76}" name="Maandnummer " dataDxfId="138" totalsRowDxfId="137">
      <calculatedColumnFormula>MONTH(Tbl_Loan2[[#This Row],[Payment date]])</calculatedColumnFormula>
    </tableColumn>
    <tableColumn id="11" xr3:uid="{C0BC050A-E96F-4E5D-84D2-DD5A0BFB7A8A}" name="Maand" dataDxfId="136" totalsRowDxfId="135">
      <calculatedColumnFormula>VLOOKUP(Tbl_Loan2[[#This Row],[Maandnummer ]],Tbl_Months[],2,FALSE)</calculatedColumnFormula>
    </tableColumn>
    <tableColumn id="3" xr3:uid="{72D8745A-BAB2-4AFA-8683-A94174BE1FCD}" name="Quarter" dataDxfId="134" totalsRowDxfId="133">
      <calculatedColumnFormula>VLOOKUP(Tbl_Loan2[[#This Row],[Maandnummer ]],Tbl_Months[],3,FALSE)</calculatedColumnFormula>
    </tableColumn>
    <tableColumn id="4" xr3:uid="{CC49AA29-3557-4152-BC47-1BF0252CEC3D}" name="Year" dataDxfId="132" totalsRowDxfId="131">
      <calculatedColumnFormula>YEAR(Tbl_Loan2[[#This Row],[Payment date]])</calculatedColumnFormula>
    </tableColumn>
    <tableColumn id="8" xr3:uid="{17526138-1A00-47F5-B3AF-B6899D337861}" name="Year Quarter" dataDxfId="130" totalsRowDxfId="129">
      <calculatedColumnFormula>_xlfn.CONCAT(Tbl_Loan2[[#This Row],[Year]],Tbl_Loan2[[#This Row],[Quarter]])</calculatedColumnFormula>
    </tableColumn>
    <tableColumn id="5" xr3:uid="{8CB044A4-A09B-4979-BD33-FAEDAB4C0E73}" name="Initial debt" dataDxfId="128" totalsRowDxfId="127">
      <calculatedColumnFormula>IF(O1="Residual debt",B$1,O1)</calculatedColumnFormula>
    </tableColumn>
    <tableColumn id="6" xr3:uid="{CE4FA9A3-315B-430E-9534-9A1FEA841607}" name="Interest amount" totalsRowFunction="sum" dataDxfId="126" totalsRowDxfId="125">
      <calculatedColumnFormula>B$5*Tbl_Loan2[[#This Row],[Initial debt]]</calculatedColumnFormula>
    </tableColumn>
    <tableColumn id="7" xr3:uid="{98A4C527-8962-4066-838E-162A4230A7AB}" name="Redemption amount" totalsRowFunction="sum" dataDxfId="124" totalsRowDxfId="123">
      <calculatedColumnFormula>B$8</calculatedColumnFormula>
    </tableColumn>
    <tableColumn id="13" xr3:uid="{E4BA8CB9-160B-4518-98C0-D516C226EC45}" name="Residual debt" dataDxfId="122" totalsRowDxfId="121">
      <calculatedColumnFormula>MAX(0,Tbl_Loan2[[#This Row],[Initial debt]]-Tbl_Loan2[[#This Row],[Redemption amount]])</calculatedColumnFormula>
    </tableColumn>
    <tableColumn id="9" xr3:uid="{85F6BB51-67C0-4C50-9406-3F0873F041E1}" name="Princ + Interest" dataDxfId="120" totalsRowDxfId="119">
      <calculatedColumnFormula>Tbl_Loan2[[#This Row],[Interest amount]]+Tbl_Loan2[[#This Row],[Redemption amount]]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A8141FE-AD3A-48F4-97E5-FF54B87B40F4}" name="Tbl_Months" displayName="Tbl_Months" ref="A1:C13" totalsRowShown="0">
  <autoFilter ref="A1:C13" xr:uid="{6897576A-5E78-4349-93F7-D0C26F806E96}"/>
  <tableColumns count="3">
    <tableColumn id="1" xr3:uid="{2410E9A6-B8EE-44E5-958F-95774F7ACEAC}" name="Month Number"/>
    <tableColumn id="2" xr3:uid="{41EBDEB6-100B-4AB7-9828-4391D21D7D10}" name="Month"/>
    <tableColumn id="3" xr3:uid="{F1CDB81E-4F14-43F6-8BE6-836BF88D3832}" name="Quart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5478542-805A-4739-9F22-3539858D46D3}" name="Tbl_Loan3" displayName="Tbl_Loan3" ref="D1:P98" totalsRowCount="1">
  <autoFilter ref="D1:P97" xr:uid="{B7F27034-F96E-4479-BC4A-E9139FEEC44F}"/>
  <tableColumns count="13">
    <tableColumn id="12" xr3:uid="{29E61D57-0974-48C7-8750-26DA008DE5E4}" name="Month Year" dataDxfId="118">
      <calculatedColumnFormula>_xlfn.CONCAT(Tbl_Loan3[[#This Row],[Month number]],Tbl_Loan3[[#This Row],[Year]])</calculatedColumnFormula>
    </tableColumn>
    <tableColumn id="1" xr3:uid="{9C2A8549-0F7E-4055-9A64-ADB2A879FA7A}" name="Payment period" dataDxfId="117" totalsRowDxfId="116"/>
    <tableColumn id="10" xr3:uid="{75893F0A-6966-4B1F-8308-18BFE0B1A42D}" name="Payment date" dataDxfId="115" totalsRowDxfId="114"/>
    <tableColumn id="2" xr3:uid="{3EE3A320-A3E8-43C3-BEB6-AD8C0F835A4B}" name="Month number" dataDxfId="113" totalsRowDxfId="112">
      <calculatedColumnFormula>MONTH(Tbl_Loan3[[#This Row],[Payment date]])</calculatedColumnFormula>
    </tableColumn>
    <tableColumn id="11" xr3:uid="{08045EAE-A1EF-4C05-9BB3-A490A39EACD5}" name="Month" dataDxfId="111" totalsRowDxfId="110">
      <calculatedColumnFormula>VLOOKUP(Tbl_Loan3[[#This Row],[Month number]],Tbl_Months[],2,FALSE)</calculatedColumnFormula>
    </tableColumn>
    <tableColumn id="3" xr3:uid="{03E2A6AD-FF23-49B6-981D-F57723A7EFDA}" name="Quarter" dataDxfId="109" totalsRowDxfId="108">
      <calculatedColumnFormula>VLOOKUP(Tbl_Loan3[[#This Row],[Month number]],Tbl_Months[],3,FALSE)</calculatedColumnFormula>
    </tableColumn>
    <tableColumn id="4" xr3:uid="{0579205D-ED02-4C41-A817-FBCE8ACEA446}" name="Year" dataDxfId="107" totalsRowDxfId="106">
      <calculatedColumnFormula>YEAR(Tbl_Loan3[[#This Row],[Payment date]])</calculatedColumnFormula>
    </tableColumn>
    <tableColumn id="8" xr3:uid="{B83E1539-BBFF-4512-A051-98FA67BB46EA}" name="Year Quarter" dataDxfId="105" totalsRowDxfId="104">
      <calculatedColumnFormula>_xlfn.CONCAT(Tbl_Loan3[[#This Row],[Year]],Tbl_Loan3[[#This Row],[Quarter]])</calculatedColumnFormula>
    </tableColumn>
    <tableColumn id="5" xr3:uid="{0BCFEC9C-9D41-472D-BB91-4914E0855F53}" name="Initial debt" dataDxfId="103" totalsRowDxfId="102">
      <calculatedColumnFormula>IF(O1="Residual debt",B$1,O1)</calculatedColumnFormula>
    </tableColumn>
    <tableColumn id="6" xr3:uid="{BF4148DB-4E1C-4CB5-8E2B-7BBF550DF093}" name="Interest amount" totalsRowFunction="sum" dataDxfId="101" totalsRowDxfId="100">
      <calculatedColumnFormula>B$5*Tbl_Loan3[[#This Row],[Initial debt]]</calculatedColumnFormula>
    </tableColumn>
    <tableColumn id="7" xr3:uid="{59D5819A-C285-41CA-9025-0B8C50083D45}" name="Redemption amount" totalsRowFunction="sum" dataDxfId="99" totalsRowDxfId="98">
      <calculatedColumnFormula>B$8</calculatedColumnFormula>
    </tableColumn>
    <tableColumn id="13" xr3:uid="{0C531589-8432-4FC5-8F5F-4176FEC677ED}" name="Residual debt" dataDxfId="97" totalsRowDxfId="96">
      <calculatedColumnFormula>MAX(0,Tbl_Loan3[[#This Row],[Initial debt]]-Tbl_Loan3[[#This Row],[Redemption amount]])</calculatedColumnFormula>
    </tableColumn>
    <tableColumn id="9" xr3:uid="{ED58A6F0-C722-47FD-98E6-FE6A4E9A44CE}" name="Princ + Interest" dataDxfId="95" totalsRowDxfId="94">
      <calculatedColumnFormula>Tbl_Loan3[[#This Row],[Interest amount]]+Tbl_Loan3[[#This Row],[Redemption amount]]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AA8C0D-4D0B-41FA-AB6B-8446ADA020BF}" name="Tbl_Loan1" displayName="Tbl_Loan1" ref="D1:P302" totalsRowCount="1">
  <autoFilter ref="D1:P301" xr:uid="{B7F27034-F96E-4479-BC4A-E9139FEEC44F}"/>
  <tableColumns count="13">
    <tableColumn id="12" xr3:uid="{89C889A3-C7D6-4487-9D09-9F898822A306}" name="Month Year" dataDxfId="93" totalsRowDxfId="92">
      <calculatedColumnFormula>_xlfn.CONCAT(Tbl_Loan1[[#This Row],[Maandnummer ]],Tbl_Loan1[[#This Row],[Year]])</calculatedColumnFormula>
    </tableColumn>
    <tableColumn id="1" xr3:uid="{2AA22F6B-D9A2-4E2B-8947-AD22567914D2}" name="Payment period" dataDxfId="91" totalsRowDxfId="90"/>
    <tableColumn id="10" xr3:uid="{3CF39730-8677-4D83-B763-B421060291F4}" name="Payment date" dataDxfId="89" totalsRowDxfId="88"/>
    <tableColumn id="2" xr3:uid="{98743008-0A43-4070-9775-3CA96D7EAC3B}" name="Maandnummer " dataDxfId="87" totalsRowDxfId="86">
      <calculatedColumnFormula>MONTH(Tbl_Loan1[[#This Row],[Payment date]])</calculatedColumnFormula>
    </tableColumn>
    <tableColumn id="11" xr3:uid="{91CC3118-A86A-4465-8EF0-27A351D940C7}" name="Month" dataDxfId="85" totalsRowDxfId="84">
      <calculatedColumnFormula>VLOOKUP(Tbl_Loan1[[#This Row],[Maandnummer ]],Tbl_Months[],2,FALSE)</calculatedColumnFormula>
    </tableColumn>
    <tableColumn id="3" xr3:uid="{743ED1E6-B541-4010-BF23-7D33A8C6B5AB}" name="Quarter" dataDxfId="83" totalsRowDxfId="82">
      <calculatedColumnFormula>VLOOKUP(Tbl_Loan1[[#This Row],[Maandnummer ]],Tbl_Months[],3,FALSE)</calculatedColumnFormula>
    </tableColumn>
    <tableColumn id="4" xr3:uid="{70AA143A-B5D7-47D2-8089-259D68B2EBE7}" name="Year" dataDxfId="81" totalsRowDxfId="80">
      <calculatedColumnFormula>YEAR(Tbl_Loan1[[#This Row],[Payment date]])</calculatedColumnFormula>
    </tableColumn>
    <tableColumn id="9" xr3:uid="{74BA11A4-E3ED-45D0-871C-8C12749B50E5}" name="Year Quarter" dataDxfId="79" totalsRowDxfId="78">
      <calculatedColumnFormula>_xlfn.CONCAT(Tbl_Loan1[[#This Row],[Year]],Tbl_Loan1[[#This Row],[Quarter]])</calculatedColumnFormula>
    </tableColumn>
    <tableColumn id="5" xr3:uid="{785487CD-C0F0-4F11-8B3C-942ACC995174}" name="Initial debt" dataDxfId="77" totalsRowDxfId="76">
      <calculatedColumnFormula>IF(P1="Residual debt",B$1,P1)</calculatedColumnFormula>
    </tableColumn>
    <tableColumn id="8" xr3:uid="{5178B3B3-21B6-4C7B-998A-984EF36F89E2}" name="Annuity" totalsRowFunction="sum" dataDxfId="75" totalsRowDxfId="74">
      <calculatedColumnFormula>B$6</calculatedColumnFormula>
    </tableColumn>
    <tableColumn id="6" xr3:uid="{A9B5D526-3D87-4FBD-AF3B-6BC680C2B5B7}" name="Interest amount" totalsRowFunction="sum" dataDxfId="73" totalsRowDxfId="72">
      <calculatedColumnFormula>B$5*Tbl_Loan1[[#This Row],[Initial debt]]</calculatedColumnFormula>
    </tableColumn>
    <tableColumn id="7" xr3:uid="{5801E047-A2E0-42C0-832E-2095F1D87089}" name="Redemption amount" totalsRowFunction="sum" dataDxfId="71" totalsRowDxfId="70">
      <calculatedColumnFormula>Tbl_Loan1[[#This Row],[Annuity]]-Tbl_Loan1[[#This Row],[Interest amount]]</calculatedColumnFormula>
    </tableColumn>
    <tableColumn id="13" xr3:uid="{8E226007-5C2C-4CC1-BBD8-648E8E4693B8}" name="Residual debt" dataDxfId="69" totalsRowDxfId="68">
      <calculatedColumnFormula>Tbl_Loan1[[#This Row],[Initial debt]]-Tbl_Loan1[[#This Row],[Redemption amount]]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B40C4-0044-4244-B520-8A24A780740E}" name="Tbl_FixedAssets" displayName="Tbl_FixedAssets" ref="A1:L9" totalsRowCount="1" headerRowDxfId="67" dataDxfId="66" totalsRowDxfId="65">
  <autoFilter ref="A1:L8" xr:uid="{90C38349-B6AC-43C7-9340-97DC732C70F9}"/>
  <sortState xmlns:xlrd2="http://schemas.microsoft.com/office/spreadsheetml/2017/richdata2" ref="A2:K8">
    <sortCondition ref="B1:B8"/>
  </sortState>
  <tableColumns count="12">
    <tableColumn id="1" xr3:uid="{219126F8-9DBE-413A-8B9B-C68FABF668D8}" name="Fixed Assets" dataDxfId="64"/>
    <tableColumn id="6" xr3:uid="{8314DB57-00AC-46CB-8C95-0A7659C07954}" name="Purchase date" dataDxfId="63" totalsRowDxfId="62"/>
    <tableColumn id="2" xr3:uid="{DA403FD3-6FE7-4C99-AA29-831521DF5AF2}" name="Purchase value" dataDxfId="61" totalsRowDxfId="60"/>
    <tableColumn id="3" xr3:uid="{7A8CA7AC-2FD5-43FF-804B-C45F6EAF652E}" name="Residual value%" dataDxfId="59" totalsRowDxfId="58"/>
    <tableColumn id="4" xr3:uid="{ED730D42-A779-4650-9BC9-0E0B1E99FA24}" name="Residual value amount" dataDxfId="57" totalsRowDxfId="56">
      <calculatedColumnFormula>Tbl_FixedAssets[[#This Row],[Purchase value]]*Tbl_FixedAssets[[#This Row],[Residual value%]]</calculatedColumnFormula>
    </tableColumn>
    <tableColumn id="5" xr3:uid="{70AF5BCF-8BBD-495F-A0B0-15F27BD0EBF2}" name="Depreciation basis" dataDxfId="55" totalsRowDxfId="54">
      <calculatedColumnFormula>Tbl_FixedAssets[[#This Row],[Purchase value]]-Tbl_FixedAssets[[#This Row],[Residual value amount]]</calculatedColumnFormula>
    </tableColumn>
    <tableColumn id="7" xr3:uid="{7747C4CD-1710-4211-AB12-58688333A11A}" name="Amortization Period (yr.)" dataDxfId="53" totalsRowDxfId="52"/>
    <tableColumn id="8" xr3:uid="{6C4D4F20-B38C-4638-9522-791CCDC5CDF2}" name="Annual depreciation" totalsRowFunction="sum" dataDxfId="51" totalsRowDxfId="50">
      <calculatedColumnFormula>Tbl_FixedAssets[[#This Row],[Depreciation basis]]/Tbl_FixedAssets[[#This Row],[Amortization Period (yr.)]]</calculatedColumnFormula>
    </tableColumn>
    <tableColumn id="9" xr3:uid="{B3A6F1D8-9B19-4400-849F-1C9604076B5D}" name="Elapsed periods" dataDxfId="49" totalsRowDxfId="48">
      <calculatedColumnFormula>DATEDIF(Tbl_FixedAssets[[#This Row],[Purchase date]],'Balance Sheet'!B$1,"y")</calculatedColumnFormula>
    </tableColumn>
    <tableColumn id="10" xr3:uid="{B892BB84-3717-41A7-8CA8-020913F36663}" name="Accumulated Depreciation" dataDxfId="47" totalsRowDxfId="46">
      <calculatedColumnFormula>Tbl_FixedAssets[[#This Row],[Elapsed periods]]*Tbl_FixedAssets[[#This Row],[Annual depreciation]]</calculatedColumnFormula>
    </tableColumn>
    <tableColumn id="11" xr3:uid="{FE551094-7ED0-4BB9-896B-3C162DD0219D}" name="Book value on the balance sheet date" dataDxfId="45" totalsRowDxfId="44">
      <calculatedColumnFormula>Tbl_FixedAssets[[#This Row],[Purchase value]]-Tbl_FixedAssets[[#This Row],[Accumulated Depreciation]]</calculatedColumnFormula>
    </tableColumn>
    <tableColumn id="12" xr3:uid="{EA4F6642-627E-4DC0-B03A-6CAACB1F3A29}" name="category" dataDxfId="43" totalsRowDxfId="4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6B4440-27B4-475D-B006-68A08E2F6F07}" name="Tbl_Frames" displayName="Tbl_Frames" ref="A1:E5" totalsRowCount="1">
  <autoFilter ref="A1:E4" xr:uid="{A6812EEE-FE37-462F-AFA4-1B0E5BB7C9DB}"/>
  <tableColumns count="5">
    <tableColumn id="1" xr3:uid="{C3DE759C-CCA1-431D-829F-39B01D783A9C}" name="Stock" totalsRowLabel="Frames" dataDxfId="41" totalsRowDxfId="40"/>
    <tableColumn id="2" xr3:uid="{8E9C978A-6D16-472F-B17C-73D8091CCFCC}" name="Date">
      <calculatedColumnFormula>'Balance Sheet'!B$1</calculatedColumnFormula>
    </tableColumn>
    <tableColumn id="3" xr3:uid="{55E73622-C98B-4239-98D4-8233472F4188}" name="Available stock" totalsRowFunction="sum" dataDxfId="39" totalsRowDxfId="38"/>
    <tableColumn id="4" xr3:uid="{643AAE2A-9E9E-4844-847E-B692CCCA4AEF}" name="Purchase price per piece" dataDxfId="37" totalsRowDxfId="36"/>
    <tableColumn id="5" xr3:uid="{0F8CD99E-A75C-4406-B76C-23CEB6926CBC}" name="Value of stock" totalsRowFunction="sum" dataDxfId="35" totalsRowDxfId="34">
      <calculatedColumnFormula>Tbl_Frames[[#This Row],[Available stock]]*Tbl_Frames[[#This Row],[Purchase price per piece]]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DB8EA5-8D17-43C7-B807-E7B2DBF82389}" name="Tbl_PartsSets" displayName="Tbl_PartsSets" ref="A7:E11" totalsRowCount="1">
  <autoFilter ref="A7:E10" xr:uid="{B39AE5DA-DED5-46F7-9E78-754134E2FD8D}"/>
  <tableColumns count="5">
    <tableColumn id="1" xr3:uid="{1ED98A63-94AE-40F0-ACC3-30CA769F5972}" name="Stock" totalsRowLabel="Parts sets" dataDxfId="33" totalsRowDxfId="32"/>
    <tableColumn id="2" xr3:uid="{2CF2B3AA-7CEF-47FF-AD6D-0042B470CB4D}" name="Date" dataDxfId="31" totalsRowDxfId="30">
      <calculatedColumnFormula>'Balance Sheet'!B$1</calculatedColumnFormula>
    </tableColumn>
    <tableColumn id="3" xr3:uid="{8C5A818B-A9CC-489E-8AE0-B4D50DB32F49}" name="Available stock" totalsRowFunction="sum" dataDxfId="29" totalsRowDxfId="28"/>
    <tableColumn id="4" xr3:uid="{A8F8E3D6-7ABD-4DD3-B867-356B6145E52A}" name="Purchase price per piece" dataDxfId="27" totalsRowDxfId="26"/>
    <tableColumn id="5" xr3:uid="{317F0B69-DF2F-44AC-A875-314FEBD30FC6}" name="Value of stock" totalsRowFunction="sum" dataDxfId="25" totalsRowDxfId="24">
      <calculatedColumnFormula>Tbl_PartsSets[[#This Row],[Available stock]]*Tbl_PartsSets[[#This Row],[Purchase price per piece]]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A82D32-3D28-40B1-B7BA-28DD750DA824}" name="Tbl_PackagingMaterials" displayName="Tbl_PackagingMaterials" ref="A13:E16" totalsRowCount="1">
  <autoFilter ref="A13:E15" xr:uid="{2EAC7A5E-8E11-4965-A8D9-A0B9F1BDC872}"/>
  <tableColumns count="5">
    <tableColumn id="1" xr3:uid="{7FFA878E-DAFC-4123-8137-DBA4360C0F1F}" name="Stock" totalsRowLabel="Packing material" dataDxfId="23" totalsRowDxfId="22"/>
    <tableColumn id="2" xr3:uid="{8BAB2A94-A547-4F30-97BC-674B6E22AD48}" name="Date" dataDxfId="21" totalsRowDxfId="20">
      <calculatedColumnFormula>'Balance Sheet'!B$1</calculatedColumnFormula>
    </tableColumn>
    <tableColumn id="3" xr3:uid="{EA325748-34A4-4996-85BB-4AA4AA2A54CC}" name="Available stock" totalsRowFunction="sum" dataDxfId="19" totalsRowDxfId="18"/>
    <tableColumn id="4" xr3:uid="{5179E62B-2FA2-4B50-9034-F0794151C693}" name="Purchase price per piece" dataDxfId="17" totalsRowDxfId="16"/>
    <tableColumn id="5" xr3:uid="{2FAA3A5F-26C9-4E07-BDA3-7E63741E4AF2}" name="Value of stock" totalsRowFunction="sum" dataDxfId="15" totalsRowDxfId="14">
      <calculatedColumnFormula>Tbl_PackagingMaterials[[#This Row],[Available stock]]*Tbl_PackagingMaterials[[#This Row],[Purchase price per piece]]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36AE5E-E807-49AA-9046-7903A7C78B24}" name="Tbl_Bicycles" displayName="Tbl_Bicycles" ref="A18:E22" totalsRowCount="1">
  <autoFilter ref="A18:E21" xr:uid="{0977525E-3870-4010-8F69-56261F895B07}"/>
  <tableColumns count="5">
    <tableColumn id="1" xr3:uid="{F2E9B519-7D88-4F51-856C-410574706218}" name="Stock" totalsRowLabel="Bicycles" dataDxfId="13" totalsRowDxfId="12"/>
    <tableColumn id="2" xr3:uid="{DE8D0C73-24E7-4479-87FB-5242436AE9A6}" name="Date" dataDxfId="11" totalsRowDxfId="10">
      <calculatedColumnFormula>'Balance Sheet'!B$1</calculatedColumnFormula>
    </tableColumn>
    <tableColumn id="3" xr3:uid="{F6F71B38-941A-4418-A12C-F54D8EAFFB20}" name="Available stock" totalsRowFunction="sum" dataDxfId="9" totalsRowDxfId="8"/>
    <tableColumn id="4" xr3:uid="{DAD30B70-7ECB-463A-B8A3-43CBF749D2BE}" name="Manufacturing cost price" dataDxfId="7" totalsRowDxfId="6">
      <calculatedColumnFormula>VLOOKUP(Tbl_Bicycles[[#This Row],[Stock]],CostPrices,2,FALSE)</calculatedColumnFormula>
    </tableColumn>
    <tableColumn id="5" xr3:uid="{E90DB6FD-868F-4F60-BDEA-E35A0497E509}" name="Value of stock" totalsRowFunction="sum" dataDxfId="5" totalsRowDxfId="4">
      <calculatedColumnFormula>Tbl_Bicycles[[#This Row],[Available stock]]*Tbl_Bicycles[[#This Row],[Manufacturing cost price]]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CBF5649-DB68-46E1-8614-3917AB3A0F41}" name="Tbl_LTL" displayName="Tbl_LTL" ref="A1:J4" totalsRowShown="0">
  <autoFilter ref="A1:J4" xr:uid="{ACD052B7-0A71-4AC0-B30A-0C52758FD350}"/>
  <tableColumns count="10">
    <tableColumn id="1" xr3:uid="{8364A3BF-0E37-4DE5-B3D6-AC10171184C4}" name="Long-term debt"/>
    <tableColumn id="7" xr3:uid="{B5D61F91-F3F9-4ACF-B2E0-60DC93DF35ED}" name="Type of loan"/>
    <tableColumn id="9" xr3:uid="{F4D22B13-9779-413F-9F13-CDBCA7FE2F1F}" name="Lender"/>
    <tableColumn id="8" xr3:uid="{B90C0501-63E3-4246-8DB9-17B35DBCBD0D}" name="Loan form"/>
    <tableColumn id="10" xr3:uid="{85040D70-CF7F-4887-BAC7-0C8FFA791B38}" name="Collateral"/>
    <tableColumn id="2" xr3:uid="{AA1BB6A8-F9EC-4B67-AC5C-669C69EA1FD8}" name="Closing date">
      <calculatedColumnFormula>VLOOKUP(Tbl_LTL[[#This Row],[Collateral]],Tbl_FixedAssets[],2,FALSE)</calculatedColumnFormula>
    </tableColumn>
    <tableColumn id="3" xr3:uid="{F754217E-E04B-4927-8ACC-EAC3B784BB98}" name="Borrowed amount" dataDxfId="3">
      <calculatedColumnFormula>VLOOKUP(Tbl_LTL[[#This Row],[Collateral]],Tbl_FixedAssets[],3,FALSE)</calculatedColumnFormula>
    </tableColumn>
    <tableColumn id="4" xr3:uid="{7BD8A8A8-6A9E-4C0F-8165-C2FCD7B62BC4}" name="Interest% per year" dataDxfId="2"/>
    <tableColumn id="5" xr3:uid="{BFFB916D-EADD-4AA0-ADDA-3375CD27F622}" name="Duration in years" dataDxfId="1">
      <calculatedColumnFormula>VLOOKUP(Tbl_LTL[[#This Row],[Collateral]],Tbl_FixedAssets[],7,FALSE)</calculatedColumnFormula>
    </tableColumn>
    <tableColumn id="6" xr3:uid="{FE536402-1CB8-49CA-8A6F-BD6E82848A69}" name="Duration in months" dataDxfId="0">
      <calculatedColumnFormula>Tbl_LTL[[#This Row],[Duration in years]]*12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6" dT="2021-11-13T22:03:06.25" personId="{06EACDB0-2676-4137-957E-5BA2CA4C54DF}" id="{55868E1F-6301-4887-A252-B03D847793AB}">
    <text>A result will only arise if the selling price and the book value at the time of sale deviate from each other.
Example: we sell a building with a book value of €100,000 for €110,000. Then we make a profit of €10,000 on that incidental transaction. The transaction is of an Incidental nature because we make and sell bicycles and not business premises. Bicycles are our core business. We then book a decrease (divestment) of the building of €100,000 and we set off a cash receipt of €110,000 in liquid assets. The difference of €10,000 is the result achieved and we place it as revenue in the PLA account.</text>
  </threadedComment>
  <threadedComment ref="H16" dT="2021-11-13T22:03:45.02" personId="{06EACDB0-2676-4137-957E-5BA2CA4C54DF}" id="{D656752E-577A-4A4A-9855-BE879AD3A750}">
    <text>A result will only arise if the selling price and the book value at the time of sale deviate from each other.
Example: we sell a building with a book value of €100,000 for €110,000. Then we make a profit of €10,000 on that incidental transaction. The transaction is of an Incidental nature because we make and sell bicycles and not business premises. Bicycles are our core business. We then book a decrease (divestment) of the building of €100,000 and we set off a cash receipt of €110,000 in liquid assets. The difference of €10,000 is the result achieved and we place it as revenue in the PLA account.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mazon.com/dp/B002V23818/?tag=bikeride00-2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E2AF-A174-4501-9034-B178182DB634}">
  <sheetPr>
    <tabColor rgb="FF92D050"/>
  </sheetPr>
  <dimension ref="A1:F70"/>
  <sheetViews>
    <sheetView topLeftCell="A2" workbookViewId="0">
      <selection activeCell="A76" sqref="A76:A77"/>
    </sheetView>
  </sheetViews>
  <sheetFormatPr defaultColWidth="27.33203125" defaultRowHeight="13.2" x14ac:dyDescent="0.25"/>
  <cols>
    <col min="1" max="1" width="69.44140625" bestFit="1" customWidth="1"/>
    <col min="2" max="2" width="11.44140625" style="24" bestFit="1" customWidth="1"/>
    <col min="3" max="3" width="10.6640625" bestFit="1" customWidth="1"/>
    <col min="4" max="4" width="6.109375" bestFit="1" customWidth="1"/>
    <col min="5" max="6" width="6.6640625" bestFit="1" customWidth="1"/>
  </cols>
  <sheetData>
    <row r="1" spans="1:6" x14ac:dyDescent="0.25">
      <c r="A1" s="7" t="s">
        <v>0</v>
      </c>
      <c r="B1" s="28">
        <v>44469</v>
      </c>
    </row>
    <row r="3" spans="1:6" x14ac:dyDescent="0.25">
      <c r="A3" s="7" t="s">
        <v>1</v>
      </c>
    </row>
    <row r="4" spans="1:6" x14ac:dyDescent="0.25">
      <c r="A4" t="s">
        <v>2</v>
      </c>
      <c r="B4" s="31">
        <v>350000</v>
      </c>
    </row>
    <row r="5" spans="1:6" x14ac:dyDescent="0.25">
      <c r="A5" t="s">
        <v>3</v>
      </c>
      <c r="B5" s="24">
        <v>0.5</v>
      </c>
      <c r="C5" s="3"/>
    </row>
    <row r="6" spans="1:6" x14ac:dyDescent="0.25">
      <c r="C6" s="3"/>
    </row>
    <row r="7" spans="1:6" x14ac:dyDescent="0.25">
      <c r="A7" s="7" t="s">
        <v>4</v>
      </c>
      <c r="B7" s="31">
        <v>800000</v>
      </c>
    </row>
    <row r="9" spans="1:6" x14ac:dyDescent="0.25">
      <c r="A9" s="7" t="s">
        <v>5</v>
      </c>
      <c r="B9" s="29" t="s">
        <v>6</v>
      </c>
      <c r="C9" s="29" t="s">
        <v>7</v>
      </c>
    </row>
    <row r="10" spans="1:6" x14ac:dyDescent="0.25">
      <c r="A10" t="s">
        <v>2</v>
      </c>
      <c r="B10" s="88">
        <v>0.9</v>
      </c>
      <c r="C10" s="31">
        <f>B10*(Tbl_Frames[[#Totals],[Value of stock]]+Tbl_PartsSets[[#Totals],[Value of stock]]+Tbl_PackagingMaterials[[#Totals],[Value of stock]])</f>
        <v>1026450</v>
      </c>
    </row>
    <row r="12" spans="1:6" x14ac:dyDescent="0.25">
      <c r="A12" t="s">
        <v>8</v>
      </c>
    </row>
    <row r="13" spans="1:6" x14ac:dyDescent="0.25">
      <c r="A13" t="s">
        <v>9</v>
      </c>
      <c r="B13" s="24">
        <v>0.25</v>
      </c>
    </row>
    <row r="15" spans="1:6" x14ac:dyDescent="0.25">
      <c r="A15" s="7" t="s">
        <v>10</v>
      </c>
      <c r="B15" s="49">
        <v>2021</v>
      </c>
      <c r="C15" s="49">
        <v>2022</v>
      </c>
      <c r="D15" s="49">
        <v>2022</v>
      </c>
      <c r="E15" s="49">
        <v>2022</v>
      </c>
      <c r="F15" s="49">
        <v>2022</v>
      </c>
    </row>
    <row r="16" spans="1:6" x14ac:dyDescent="0.25">
      <c r="A16" s="7" t="s">
        <v>11</v>
      </c>
      <c r="B16" s="49" t="s">
        <v>12</v>
      </c>
      <c r="C16" s="49" t="s">
        <v>13</v>
      </c>
      <c r="D16" s="49" t="s">
        <v>14</v>
      </c>
      <c r="E16" s="49" t="s">
        <v>15</v>
      </c>
      <c r="F16" s="49" t="s">
        <v>12</v>
      </c>
    </row>
    <row r="17" spans="1:6" x14ac:dyDescent="0.25">
      <c r="A17" s="7" t="s">
        <v>16</v>
      </c>
      <c r="B17" s="49" t="str">
        <f>_xlfn.CONCAT(B15,B16)</f>
        <v>2021IV</v>
      </c>
      <c r="C17" s="49" t="str">
        <f>_xlfn.CONCAT(C15,C16)</f>
        <v>2022I</v>
      </c>
      <c r="D17" s="49" t="str">
        <f>_xlfn.CONCAT(D15,D16)</f>
        <v>2022II</v>
      </c>
      <c r="E17" s="49" t="str">
        <f>_xlfn.CONCAT(E15,E16)</f>
        <v>2022III</v>
      </c>
      <c r="F17" s="49" t="str">
        <f>_xlfn.CONCAT(F15,F16)</f>
        <v>2022IV</v>
      </c>
    </row>
    <row r="18" spans="1:6" x14ac:dyDescent="0.25">
      <c r="A18" s="7" t="s">
        <v>17</v>
      </c>
      <c r="B18" s="67"/>
      <c r="C18" s="67"/>
      <c r="D18" s="67"/>
      <c r="E18" s="67"/>
      <c r="F18" s="67"/>
    </row>
    <row r="19" spans="1:6" x14ac:dyDescent="0.25">
      <c r="A19" s="69" t="s">
        <v>18</v>
      </c>
      <c r="B19" s="65">
        <v>0.7</v>
      </c>
      <c r="C19" s="65">
        <v>0.7</v>
      </c>
      <c r="D19" s="65">
        <v>0.7</v>
      </c>
      <c r="E19" s="65">
        <v>0.7</v>
      </c>
      <c r="F19" s="65">
        <v>0.65</v>
      </c>
    </row>
    <row r="20" spans="1:6" x14ac:dyDescent="0.25">
      <c r="A20" t="s">
        <v>19</v>
      </c>
      <c r="B20" s="65">
        <v>0.6</v>
      </c>
      <c r="C20" s="65">
        <v>0.6</v>
      </c>
      <c r="D20" s="65">
        <v>0.6</v>
      </c>
      <c r="E20" s="65">
        <v>0.6</v>
      </c>
      <c r="F20" s="65">
        <v>0.6</v>
      </c>
    </row>
    <row r="21" spans="1:6" x14ac:dyDescent="0.25">
      <c r="A21" t="s">
        <v>20</v>
      </c>
      <c r="B21" s="65">
        <v>0.55000000000000004</v>
      </c>
      <c r="C21" s="65">
        <v>0.55000000000000004</v>
      </c>
      <c r="D21" s="65">
        <v>0.55000000000000004</v>
      </c>
      <c r="E21" s="65">
        <v>0.55000000000000004</v>
      </c>
      <c r="F21" s="65">
        <v>0.5</v>
      </c>
    </row>
    <row r="22" spans="1:6" x14ac:dyDescent="0.25">
      <c r="A22" s="7" t="s">
        <v>21</v>
      </c>
      <c r="B22" s="67"/>
      <c r="C22" s="67"/>
      <c r="D22" s="67"/>
      <c r="E22" s="67"/>
      <c r="F22" s="67"/>
    </row>
    <row r="23" spans="1:6" x14ac:dyDescent="0.25">
      <c r="A23" s="69" t="s">
        <v>18</v>
      </c>
      <c r="B23" s="65">
        <v>0.7</v>
      </c>
      <c r="C23" s="65">
        <v>0.7</v>
      </c>
      <c r="D23" s="65">
        <v>0.7</v>
      </c>
      <c r="E23" s="65">
        <v>0.7</v>
      </c>
      <c r="F23" s="65">
        <v>0.65</v>
      </c>
    </row>
    <row r="24" spans="1:6" x14ac:dyDescent="0.25">
      <c r="A24" t="s">
        <v>19</v>
      </c>
      <c r="B24" s="65">
        <v>0.6</v>
      </c>
      <c r="C24" s="65">
        <v>0.6</v>
      </c>
      <c r="D24" s="65">
        <v>0.6</v>
      </c>
      <c r="E24" s="65">
        <v>0.6</v>
      </c>
      <c r="F24" s="65">
        <v>0.6</v>
      </c>
    </row>
    <row r="25" spans="1:6" x14ac:dyDescent="0.25">
      <c r="A25" t="s">
        <v>20</v>
      </c>
      <c r="B25" s="65">
        <v>0.55000000000000004</v>
      </c>
      <c r="C25" s="65">
        <v>0.55000000000000004</v>
      </c>
      <c r="D25" s="65">
        <v>0.55000000000000004</v>
      </c>
      <c r="E25" s="65">
        <v>0.55000000000000004</v>
      </c>
      <c r="F25" s="65">
        <v>0.5</v>
      </c>
    </row>
    <row r="26" spans="1:6" x14ac:dyDescent="0.25">
      <c r="B26" s="32"/>
      <c r="C26" s="19"/>
      <c r="D26" s="22"/>
    </row>
    <row r="27" spans="1:6" x14ac:dyDescent="0.25">
      <c r="A27" t="s">
        <v>22</v>
      </c>
      <c r="B27" s="33">
        <v>0.08</v>
      </c>
    </row>
    <row r="28" spans="1:6" x14ac:dyDescent="0.25">
      <c r="A28" t="s">
        <v>23</v>
      </c>
      <c r="B28" s="34">
        <v>0.22</v>
      </c>
    </row>
    <row r="30" spans="1:6" x14ac:dyDescent="0.25">
      <c r="A30" t="s">
        <v>24</v>
      </c>
      <c r="B30" s="24">
        <v>8</v>
      </c>
    </row>
    <row r="31" spans="1:6" x14ac:dyDescent="0.25">
      <c r="A31" t="s">
        <v>25</v>
      </c>
      <c r="B31" s="24">
        <v>5</v>
      </c>
    </row>
    <row r="32" spans="1:6" x14ac:dyDescent="0.25">
      <c r="A32" t="s">
        <v>26</v>
      </c>
      <c r="B32" s="24">
        <f>B30*B31</f>
        <v>40</v>
      </c>
    </row>
    <row r="34" spans="1:6" x14ac:dyDescent="0.25">
      <c r="A34" t="s">
        <v>27</v>
      </c>
      <c r="B34" s="30">
        <v>46</v>
      </c>
    </row>
    <row r="35" spans="1:6" x14ac:dyDescent="0.25">
      <c r="A35" t="s">
        <v>28</v>
      </c>
      <c r="B35" s="30">
        <f>B34*B31</f>
        <v>230</v>
      </c>
    </row>
    <row r="36" spans="1:6" x14ac:dyDescent="0.25">
      <c r="A36" t="s">
        <v>29</v>
      </c>
      <c r="B36" s="30">
        <v>5</v>
      </c>
    </row>
    <row r="37" spans="1:6" x14ac:dyDescent="0.25">
      <c r="A37" t="s">
        <v>30</v>
      </c>
      <c r="B37" s="30">
        <f>B35-B36</f>
        <v>225</v>
      </c>
    </row>
    <row r="38" spans="1:6" x14ac:dyDescent="0.25">
      <c r="A38" t="s">
        <v>31</v>
      </c>
      <c r="B38" s="30">
        <f>B37*B30</f>
        <v>1800</v>
      </c>
    </row>
    <row r="39" spans="1:6" x14ac:dyDescent="0.25">
      <c r="A39" t="s">
        <v>32</v>
      </c>
      <c r="B39" s="30">
        <f>B38/4</f>
        <v>450</v>
      </c>
    </row>
    <row r="40" spans="1:6" x14ac:dyDescent="0.25">
      <c r="B40" s="30"/>
    </row>
    <row r="41" spans="1:6" x14ac:dyDescent="0.25">
      <c r="A41" s="7" t="s">
        <v>10</v>
      </c>
      <c r="B41" s="49">
        <v>2021</v>
      </c>
      <c r="C41" s="49">
        <v>2022</v>
      </c>
      <c r="D41" s="49">
        <v>2022</v>
      </c>
      <c r="E41" s="49">
        <v>2022</v>
      </c>
      <c r="F41" s="49">
        <v>2022</v>
      </c>
    </row>
    <row r="42" spans="1:6" x14ac:dyDescent="0.25">
      <c r="A42" s="7" t="s">
        <v>11</v>
      </c>
      <c r="B42" s="49" t="s">
        <v>12</v>
      </c>
      <c r="C42" s="49" t="s">
        <v>13</v>
      </c>
      <c r="D42" s="49" t="s">
        <v>14</v>
      </c>
      <c r="E42" s="49" t="s">
        <v>15</v>
      </c>
      <c r="F42" s="49" t="s">
        <v>12</v>
      </c>
    </row>
    <row r="43" spans="1:6" x14ac:dyDescent="0.25">
      <c r="A43" s="7" t="s">
        <v>16</v>
      </c>
      <c r="B43" s="49" t="str">
        <f>_xlfn.CONCAT(B41,B42)</f>
        <v>2021IV</v>
      </c>
      <c r="C43" s="49" t="str">
        <f t="shared" ref="C43" si="0">_xlfn.CONCAT(C41,C42)</f>
        <v>2022I</v>
      </c>
      <c r="D43" s="49" t="str">
        <f t="shared" ref="D43" si="1">_xlfn.CONCAT(D41,D42)</f>
        <v>2022II</v>
      </c>
      <c r="E43" s="49" t="str">
        <f t="shared" ref="E43" si="2">_xlfn.CONCAT(E41,E42)</f>
        <v>2022III</v>
      </c>
      <c r="F43" s="49" t="str">
        <f t="shared" ref="F43" si="3">_xlfn.CONCAT(F41,F42)</f>
        <v>2022IV</v>
      </c>
    </row>
    <row r="44" spans="1:6" x14ac:dyDescent="0.25">
      <c r="A44" t="s">
        <v>33</v>
      </c>
      <c r="B44" s="66">
        <v>0.75</v>
      </c>
      <c r="C44" s="66">
        <v>0.75</v>
      </c>
      <c r="D44" s="66">
        <v>0.75</v>
      </c>
      <c r="E44" s="66">
        <v>0.75</v>
      </c>
      <c r="F44" s="66">
        <v>0.75</v>
      </c>
    </row>
    <row r="45" spans="1:6" x14ac:dyDescent="0.25">
      <c r="A45" t="s">
        <v>34</v>
      </c>
      <c r="B45" s="35">
        <f>B44*'Departments and FTE'!H15</f>
        <v>182250</v>
      </c>
    </row>
    <row r="47" spans="1:6" x14ac:dyDescent="0.25">
      <c r="A47" s="69" t="s">
        <v>35</v>
      </c>
      <c r="B47" s="36">
        <f>Budget!I14/B45</f>
        <v>0.28367626886145403</v>
      </c>
    </row>
    <row r="48" spans="1:6" x14ac:dyDescent="0.25">
      <c r="A48" t="s">
        <v>36</v>
      </c>
      <c r="B48" s="36">
        <f>B45/Budget!I14</f>
        <v>3.5251450676982592</v>
      </c>
    </row>
    <row r="49" spans="1:2" x14ac:dyDescent="0.25">
      <c r="A49" t="s">
        <v>37</v>
      </c>
      <c r="B49" s="25">
        <f>'Departments and FTE'!H78/Given!B45</f>
        <v>35.136000000000003</v>
      </c>
    </row>
    <row r="51" spans="1:2" x14ac:dyDescent="0.25">
      <c r="A51" t="s">
        <v>38</v>
      </c>
      <c r="B51" s="24">
        <v>5</v>
      </c>
    </row>
    <row r="52" spans="1:2" x14ac:dyDescent="0.25">
      <c r="A52" t="s">
        <v>39</v>
      </c>
      <c r="B52" s="34">
        <v>0.2</v>
      </c>
    </row>
    <row r="53" spans="1:2" x14ac:dyDescent="0.25">
      <c r="A53" t="s">
        <v>40</v>
      </c>
      <c r="B53" s="30">
        <f>B51*B37*B30*(1-B52)</f>
        <v>7200</v>
      </c>
    </row>
    <row r="54" spans="1:2" x14ac:dyDescent="0.25">
      <c r="A54" t="s">
        <v>41</v>
      </c>
      <c r="B54" s="27">
        <f>B53/Budget!I14</f>
        <v>0.13926499032882012</v>
      </c>
    </row>
    <row r="55" spans="1:2" x14ac:dyDescent="0.25">
      <c r="A55" t="s">
        <v>42</v>
      </c>
      <c r="B55" s="36">
        <f>Budget!I14/B53</f>
        <v>7.1805555555555554</v>
      </c>
    </row>
    <row r="56" spans="1:2" x14ac:dyDescent="0.25">
      <c r="A56" t="s">
        <v>43</v>
      </c>
      <c r="B56" s="25">
        <f>'Fixed Assets'!H6/B53</f>
        <v>7.03125</v>
      </c>
    </row>
    <row r="58" spans="1:2" x14ac:dyDescent="0.25">
      <c r="A58" t="s">
        <v>44</v>
      </c>
      <c r="B58" s="24" t="s">
        <v>45</v>
      </c>
    </row>
    <row r="59" spans="1:2" x14ac:dyDescent="0.25">
      <c r="A59" t="s">
        <v>46</v>
      </c>
      <c r="B59" s="24">
        <v>6</v>
      </c>
    </row>
    <row r="61" spans="1:2" x14ac:dyDescent="0.25">
      <c r="A61" t="s">
        <v>47</v>
      </c>
    </row>
    <row r="62" spans="1:2" x14ac:dyDescent="0.25">
      <c r="A62" t="s">
        <v>48</v>
      </c>
      <c r="B62" s="24">
        <v>1</v>
      </c>
    </row>
    <row r="64" spans="1:2" x14ac:dyDescent="0.25">
      <c r="A64" t="s">
        <v>49</v>
      </c>
      <c r="B64" s="24">
        <v>6</v>
      </c>
    </row>
    <row r="65" spans="1:2" x14ac:dyDescent="0.25">
      <c r="A65" t="s">
        <v>50</v>
      </c>
      <c r="B65" s="24">
        <f>B64*B37</f>
        <v>1350</v>
      </c>
    </row>
    <row r="66" spans="1:2" x14ac:dyDescent="0.25">
      <c r="A66" t="s">
        <v>51</v>
      </c>
      <c r="B66" s="30">
        <f>B65/4</f>
        <v>337.5</v>
      </c>
    </row>
    <row r="68" spans="1:2" x14ac:dyDescent="0.25">
      <c r="A68" t="s">
        <v>52</v>
      </c>
      <c r="B68" s="93">
        <v>0.1</v>
      </c>
    </row>
    <row r="70" spans="1:2" x14ac:dyDescent="0.25">
      <c r="A70" t="s">
        <v>53</v>
      </c>
      <c r="B70" s="31">
        <f>B68*B7/4</f>
        <v>20000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3F97E6-EF19-4069-817D-27ADB2FCE295}">
          <x14:formula1>
            <xm:f>Lists!$M$2:$M$12</xm:f>
          </x14:formula1>
          <xm:sqref>B10 B19:F21 B23:F25 B44:F44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629EA-AB12-4573-B21B-EB5A6E4586E2}">
  <sheetPr>
    <tabColor rgb="FF92D050"/>
  </sheetPr>
  <dimension ref="A1:N30"/>
  <sheetViews>
    <sheetView workbookViewId="0">
      <selection activeCell="A33" sqref="A33"/>
    </sheetView>
  </sheetViews>
  <sheetFormatPr defaultColWidth="8.6640625" defaultRowHeight="13.2" x14ac:dyDescent="0.25"/>
  <cols>
    <col min="1" max="1" width="34.33203125" bestFit="1" customWidth="1"/>
    <col min="2" max="2" width="8.109375" bestFit="1" customWidth="1"/>
    <col min="3" max="3" width="12.6640625" style="6" bestFit="1" customWidth="1"/>
    <col min="4" max="4" width="11.6640625" style="6" bestFit="1" customWidth="1"/>
    <col min="6" max="6" width="34.33203125" bestFit="1" customWidth="1"/>
    <col min="7" max="7" width="6.6640625" bestFit="1" customWidth="1"/>
    <col min="8" max="8" width="12.6640625" bestFit="1" customWidth="1"/>
    <col min="9" max="9" width="17.33203125" bestFit="1" customWidth="1"/>
    <col min="10" max="10" width="9.33203125" customWidth="1"/>
    <col min="11" max="11" width="34.33203125" bestFit="1" customWidth="1"/>
    <col min="12" max="12" width="6.6640625" bestFit="1" customWidth="1"/>
    <col min="13" max="13" width="12.6640625" bestFit="1" customWidth="1"/>
    <col min="14" max="14" width="9.6640625" bestFit="1" customWidth="1"/>
  </cols>
  <sheetData>
    <row r="1" spans="1:14" s="7" customFormat="1" x14ac:dyDescent="0.25">
      <c r="A1" s="7" t="s">
        <v>18</v>
      </c>
      <c r="C1" s="8"/>
      <c r="D1" s="8"/>
      <c r="F1" s="7" t="s">
        <v>19</v>
      </c>
      <c r="K1" s="7" t="s">
        <v>20</v>
      </c>
    </row>
    <row r="2" spans="1:14" s="7" customFormat="1" x14ac:dyDescent="0.25">
      <c r="A2" s="7" t="s">
        <v>228</v>
      </c>
      <c r="B2" s="7" t="s">
        <v>229</v>
      </c>
      <c r="C2" s="8" t="s">
        <v>230</v>
      </c>
      <c r="D2" s="8" t="s">
        <v>7</v>
      </c>
      <c r="F2" s="7" t="s">
        <v>228</v>
      </c>
      <c r="G2" s="7" t="s">
        <v>229</v>
      </c>
      <c r="H2" s="8" t="s">
        <v>230</v>
      </c>
      <c r="I2" s="8" t="s">
        <v>7</v>
      </c>
      <c r="K2" s="7" t="s">
        <v>228</v>
      </c>
      <c r="L2" s="7" t="s">
        <v>229</v>
      </c>
      <c r="M2" s="8" t="s">
        <v>230</v>
      </c>
      <c r="N2" s="8" t="s">
        <v>7</v>
      </c>
    </row>
    <row r="3" spans="1:14" x14ac:dyDescent="0.25">
      <c r="A3" t="s">
        <v>63</v>
      </c>
      <c r="B3">
        <v>1</v>
      </c>
      <c r="C3" s="6">
        <f>VLOOKUP(A3,Tbl_Frames[],4,FALSE)</f>
        <v>125</v>
      </c>
      <c r="D3" s="6">
        <f>B3*C3</f>
        <v>125</v>
      </c>
      <c r="F3" t="s">
        <v>66</v>
      </c>
      <c r="G3">
        <v>1</v>
      </c>
      <c r="H3" s="6">
        <f>VLOOKUP(F3,Tbl_Frames[],4,FALSE)</f>
        <v>135</v>
      </c>
      <c r="I3" s="6">
        <f>G3*H3</f>
        <v>135</v>
      </c>
      <c r="K3" t="s">
        <v>67</v>
      </c>
      <c r="L3">
        <v>1</v>
      </c>
      <c r="M3" s="6">
        <f>VLOOKUP(K3,Tbl_Frames[],4,FALSE)</f>
        <v>90</v>
      </c>
      <c r="N3" s="6">
        <f>L3*M3</f>
        <v>90</v>
      </c>
    </row>
    <row r="4" spans="1:14" x14ac:dyDescent="0.25">
      <c r="A4" t="s">
        <v>70</v>
      </c>
      <c r="B4">
        <v>1</v>
      </c>
      <c r="C4" s="6">
        <f>VLOOKUP(A4,Tbl_PartsSets[],4,FALSE)</f>
        <v>130</v>
      </c>
      <c r="D4" s="9">
        <f>B4*C4</f>
        <v>130</v>
      </c>
      <c r="F4" t="s">
        <v>71</v>
      </c>
      <c r="G4">
        <v>1</v>
      </c>
      <c r="H4" s="6">
        <f>VLOOKUP(F4,Tbl_PartsSets[],4,FALSE)</f>
        <v>130</v>
      </c>
      <c r="I4" s="9">
        <f>G4*H4</f>
        <v>130</v>
      </c>
      <c r="K4" t="s">
        <v>72</v>
      </c>
      <c r="L4">
        <v>1</v>
      </c>
      <c r="M4" s="6">
        <f>VLOOKUP(K4,Tbl_PartsSets[],4,FALSE)</f>
        <v>65</v>
      </c>
      <c r="N4" s="9">
        <f>L4*M4</f>
        <v>65</v>
      </c>
    </row>
    <row r="5" spans="1:14" s="7" customFormat="1" x14ac:dyDescent="0.25">
      <c r="A5" s="7" t="s">
        <v>231</v>
      </c>
      <c r="C5" s="8"/>
      <c r="D5" s="8">
        <f>SUM(D3:D4)</f>
        <v>255</v>
      </c>
      <c r="F5" s="7" t="s">
        <v>231</v>
      </c>
      <c r="H5" s="8"/>
      <c r="I5" s="8">
        <f>SUM(I3:I4)</f>
        <v>265</v>
      </c>
      <c r="K5" s="7" t="s">
        <v>231</v>
      </c>
      <c r="M5" s="8"/>
      <c r="N5" s="8">
        <f>SUM(N3:N4)</f>
        <v>155</v>
      </c>
    </row>
    <row r="6" spans="1:14" s="7" customFormat="1" x14ac:dyDescent="0.25">
      <c r="A6" t="s">
        <v>232</v>
      </c>
      <c r="B6" s="20">
        <f>ROUND(Given!B48,1)</f>
        <v>3.5</v>
      </c>
      <c r="C6" s="6">
        <f>Given!B49</f>
        <v>35.136000000000003</v>
      </c>
      <c r="D6" s="6">
        <f>B6*C6</f>
        <v>122.97600000000001</v>
      </c>
      <c r="F6" t="s">
        <v>232</v>
      </c>
      <c r="G6" s="20">
        <f>B6</f>
        <v>3.5</v>
      </c>
      <c r="H6" s="6">
        <f>C6</f>
        <v>35.136000000000003</v>
      </c>
      <c r="I6" s="6">
        <f>G6*H6</f>
        <v>122.97600000000001</v>
      </c>
      <c r="K6" t="s">
        <v>232</v>
      </c>
      <c r="L6" s="20">
        <f>G6</f>
        <v>3.5</v>
      </c>
      <c r="M6" s="6">
        <f>H6</f>
        <v>35.136000000000003</v>
      </c>
      <c r="N6" s="6">
        <f>L6*M6</f>
        <v>122.97600000000001</v>
      </c>
    </row>
    <row r="7" spans="1:14" s="7" customFormat="1" x14ac:dyDescent="0.25">
      <c r="A7" t="s">
        <v>233</v>
      </c>
      <c r="B7" s="21">
        <f>ROUND(Given!B54,1)</f>
        <v>0.1</v>
      </c>
      <c r="C7" s="6">
        <f>Given!B56</f>
        <v>7.03125</v>
      </c>
      <c r="D7" s="9">
        <f>B7*C7</f>
        <v>0.703125</v>
      </c>
      <c r="F7" t="s">
        <v>233</v>
      </c>
      <c r="G7" s="21">
        <f>B7</f>
        <v>0.1</v>
      </c>
      <c r="H7" s="6">
        <f>C7</f>
        <v>7.03125</v>
      </c>
      <c r="I7" s="9">
        <f>G7*H7</f>
        <v>0.703125</v>
      </c>
      <c r="K7" t="s">
        <v>233</v>
      </c>
      <c r="L7" s="21">
        <f>G7</f>
        <v>0.1</v>
      </c>
      <c r="M7" s="6">
        <f>H7</f>
        <v>7.03125</v>
      </c>
      <c r="N7" s="9">
        <f>L7*M7</f>
        <v>0.703125</v>
      </c>
    </row>
    <row r="8" spans="1:14" s="7" customFormat="1" x14ac:dyDescent="0.25">
      <c r="A8" s="7" t="s">
        <v>234</v>
      </c>
      <c r="C8" s="8"/>
      <c r="D8" s="8">
        <f>D5+D6+D7</f>
        <v>378.679125</v>
      </c>
      <c r="F8" s="7" t="s">
        <v>234</v>
      </c>
      <c r="H8" s="8"/>
      <c r="I8" s="8">
        <f>I5+I6+I7</f>
        <v>388.679125</v>
      </c>
      <c r="K8" s="7" t="s">
        <v>234</v>
      </c>
      <c r="M8" s="8"/>
      <c r="N8" s="8">
        <f>N5+N6+N7</f>
        <v>278.679125</v>
      </c>
    </row>
    <row r="9" spans="1:14" x14ac:dyDescent="0.25">
      <c r="A9" t="s">
        <v>235</v>
      </c>
      <c r="C9" s="12">
        <v>0.1</v>
      </c>
      <c r="D9" s="9">
        <f>C9*D8</f>
        <v>37.867912500000003</v>
      </c>
      <c r="F9" t="s">
        <v>235</v>
      </c>
      <c r="H9" s="10">
        <v>0.1</v>
      </c>
      <c r="I9" s="9">
        <f>H9*I8</f>
        <v>38.867912500000003</v>
      </c>
      <c r="K9" t="s">
        <v>235</v>
      </c>
      <c r="M9" s="10">
        <v>0.1</v>
      </c>
      <c r="N9" s="9">
        <f>M9*N8</f>
        <v>27.867912500000003</v>
      </c>
    </row>
    <row r="10" spans="1:14" s="7" customFormat="1" x14ac:dyDescent="0.25">
      <c r="A10" s="7" t="s">
        <v>236</v>
      </c>
      <c r="C10" s="16"/>
      <c r="D10" s="8">
        <f>D8+D9</f>
        <v>416.54703749999999</v>
      </c>
      <c r="F10" s="7" t="s">
        <v>236</v>
      </c>
      <c r="H10" s="8"/>
      <c r="I10" s="8">
        <f>I8+I9</f>
        <v>427.54703749999999</v>
      </c>
      <c r="K10" s="7" t="s">
        <v>236</v>
      </c>
      <c r="M10" s="8"/>
      <c r="N10" s="8">
        <f>N8+N9</f>
        <v>306.54703749999999</v>
      </c>
    </row>
    <row r="11" spans="1:14" s="7" customFormat="1" x14ac:dyDescent="0.25">
      <c r="A11" t="s">
        <v>237</v>
      </c>
      <c r="C11" s="16"/>
      <c r="D11" s="6">
        <f>Stock!$D$14</f>
        <v>5</v>
      </c>
      <c r="F11" t="s">
        <v>237</v>
      </c>
      <c r="H11" s="16"/>
      <c r="I11" s="6">
        <f>Stock!$D$14</f>
        <v>5</v>
      </c>
      <c r="K11" t="s">
        <v>237</v>
      </c>
      <c r="M11" s="16"/>
      <c r="N11" s="6">
        <f>Stock!$D$14</f>
        <v>5</v>
      </c>
    </row>
    <row r="12" spans="1:14" x14ac:dyDescent="0.25">
      <c r="A12" t="s">
        <v>221</v>
      </c>
      <c r="C12" s="4"/>
      <c r="D12" s="9">
        <f>VLOOKUP(A1,Budget!$K32:$S34,6,FALSE)/VLOOKUP(A1,Budget!$A5:$I7,7,FALSE)</f>
        <v>6.25</v>
      </c>
      <c r="F12" t="s">
        <v>221</v>
      </c>
      <c r="H12" s="4"/>
      <c r="I12" s="9">
        <f>VLOOKUP(F1,Budget!$K32:$S34,6,FALSE)/VLOOKUP(F1,Budget!$A5:$I7,7,FALSE)</f>
        <v>7.1428571428571432</v>
      </c>
      <c r="K12" t="s">
        <v>221</v>
      </c>
      <c r="M12" s="4"/>
      <c r="N12" s="9">
        <f>VLOOKUP(K1,Budget!$K32:$S34,6,FALSE)/VLOOKUP(K1,Budget!$A5:$I7,7,FALSE)</f>
        <v>8.3333333333333339</v>
      </c>
    </row>
    <row r="13" spans="1:14" x14ac:dyDescent="0.25">
      <c r="A13" s="7" t="s">
        <v>238</v>
      </c>
      <c r="C13" s="4"/>
      <c r="D13" s="8">
        <f>D10+D11+D12</f>
        <v>427.79703749999999</v>
      </c>
      <c r="F13" s="7" t="s">
        <v>238</v>
      </c>
      <c r="H13" s="4"/>
      <c r="I13" s="8">
        <f>I10+I11+I12</f>
        <v>439.68989464285715</v>
      </c>
      <c r="K13" s="7" t="s">
        <v>238</v>
      </c>
      <c r="M13" s="4"/>
      <c r="N13" s="8">
        <f>N10+N11+N12</f>
        <v>319.8803708333333</v>
      </c>
    </row>
    <row r="14" spans="1:14" x14ac:dyDescent="0.25">
      <c r="A14" t="s">
        <v>239</v>
      </c>
      <c r="C14" s="12">
        <v>0.1</v>
      </c>
      <c r="D14" s="9">
        <f>C14*D13</f>
        <v>42.779703750000003</v>
      </c>
      <c r="F14" t="s">
        <v>239</v>
      </c>
      <c r="H14" s="10">
        <v>0.1</v>
      </c>
      <c r="I14" s="9">
        <f>H14*I13</f>
        <v>43.96898946428572</v>
      </c>
      <c r="K14" t="s">
        <v>239</v>
      </c>
      <c r="M14" s="10">
        <v>0.1</v>
      </c>
      <c r="N14" s="9">
        <f>M14*N13</f>
        <v>31.988037083333332</v>
      </c>
    </row>
    <row r="15" spans="1:14" s="7" customFormat="1" x14ac:dyDescent="0.25">
      <c r="A15" s="7" t="s">
        <v>240</v>
      </c>
      <c r="C15" s="16"/>
      <c r="D15" s="135">
        <f>D13+D14</f>
        <v>470.57674125</v>
      </c>
      <c r="F15" s="7" t="s">
        <v>240</v>
      </c>
      <c r="H15" s="8"/>
      <c r="I15" s="135">
        <f>I13+I14</f>
        <v>483.65888410714285</v>
      </c>
      <c r="K15" s="7" t="s">
        <v>240</v>
      </c>
      <c r="M15" s="8"/>
      <c r="N15" s="135">
        <f>N13+N14</f>
        <v>351.86840791666663</v>
      </c>
    </row>
    <row r="16" spans="1:14" x14ac:dyDescent="0.25">
      <c r="A16" t="s">
        <v>241</v>
      </c>
      <c r="C16" s="17">
        <v>0.1</v>
      </c>
      <c r="D16" s="9">
        <f>C16*D15</f>
        <v>47.057674125000005</v>
      </c>
      <c r="F16" t="s">
        <v>241</v>
      </c>
      <c r="H16" s="18">
        <v>0.1</v>
      </c>
      <c r="I16" s="9">
        <f>H16*I15</f>
        <v>48.365888410714291</v>
      </c>
      <c r="K16" t="s">
        <v>241</v>
      </c>
      <c r="M16" s="18">
        <v>0.1</v>
      </c>
      <c r="N16" s="9">
        <f>N15*M16</f>
        <v>35.186840791666661</v>
      </c>
    </row>
    <row r="17" spans="1:14" s="7" customFormat="1" x14ac:dyDescent="0.25">
      <c r="A17" s="7" t="s">
        <v>242</v>
      </c>
      <c r="C17" s="8"/>
      <c r="D17" s="8">
        <f>D15+D16</f>
        <v>517.634415375</v>
      </c>
      <c r="F17" s="7" t="s">
        <v>242</v>
      </c>
      <c r="G17"/>
      <c r="I17" s="8">
        <f>I15+I16</f>
        <v>532.02477251785717</v>
      </c>
      <c r="K17" s="7" t="s">
        <v>242</v>
      </c>
      <c r="N17" s="8">
        <f>N15+N16</f>
        <v>387.05524870833329</v>
      </c>
    </row>
    <row r="18" spans="1:14" s="7" customFormat="1" x14ac:dyDescent="0.25">
      <c r="C18" s="8"/>
      <c r="D18" s="8"/>
      <c r="G18"/>
      <c r="I18" s="8"/>
      <c r="N18" s="8"/>
    </row>
    <row r="19" spans="1:14" s="7" customFormat="1" x14ac:dyDescent="0.25">
      <c r="A19" s="7" t="s">
        <v>243</v>
      </c>
      <c r="C19" s="94">
        <v>0.8</v>
      </c>
      <c r="D19" s="8">
        <f>D17*C19</f>
        <v>414.1075323</v>
      </c>
      <c r="F19" s="7" t="s">
        <v>243</v>
      </c>
      <c r="H19" s="94">
        <v>0.8</v>
      </c>
      <c r="I19" s="8">
        <f>I17*H19</f>
        <v>425.61981801428578</v>
      </c>
      <c r="K19" s="7" t="s">
        <v>243</v>
      </c>
      <c r="M19" s="94">
        <v>0.8</v>
      </c>
      <c r="N19" s="8">
        <f>N17*M19</f>
        <v>309.64419896666664</v>
      </c>
    </row>
    <row r="21" spans="1:14" x14ac:dyDescent="0.25">
      <c r="A21" s="7" t="s">
        <v>244</v>
      </c>
      <c r="F21" s="7" t="s">
        <v>244</v>
      </c>
      <c r="K21" s="7" t="s">
        <v>244</v>
      </c>
    </row>
    <row r="22" spans="1:14" x14ac:dyDescent="0.25">
      <c r="A22" s="7" t="s">
        <v>231</v>
      </c>
      <c r="D22" s="6">
        <f>D5</f>
        <v>255</v>
      </c>
      <c r="F22" s="7" t="s">
        <v>231</v>
      </c>
      <c r="H22" s="6"/>
      <c r="I22" s="6">
        <f>I5</f>
        <v>265</v>
      </c>
      <c r="K22" s="7" t="s">
        <v>231</v>
      </c>
      <c r="M22" s="6"/>
      <c r="N22" s="6">
        <f>N5</f>
        <v>155</v>
      </c>
    </row>
    <row r="23" spans="1:14" x14ac:dyDescent="0.25">
      <c r="A23" s="7" t="s">
        <v>245</v>
      </c>
      <c r="D23" s="6">
        <f>D11</f>
        <v>5</v>
      </c>
      <c r="F23" s="7" t="s">
        <v>245</v>
      </c>
      <c r="H23" s="6"/>
      <c r="I23" s="6">
        <f>I11</f>
        <v>5</v>
      </c>
      <c r="K23" s="7" t="s">
        <v>245</v>
      </c>
      <c r="M23" s="6"/>
      <c r="N23" s="6">
        <f>N11</f>
        <v>5</v>
      </c>
    </row>
    <row r="24" spans="1:14" x14ac:dyDescent="0.25">
      <c r="A24" s="7"/>
      <c r="F24" s="7"/>
      <c r="I24" s="6"/>
      <c r="K24" s="7"/>
      <c r="N24" s="6"/>
    </row>
    <row r="25" spans="1:14" s="7" customFormat="1" x14ac:dyDescent="0.25">
      <c r="A25" s="7" t="s">
        <v>246</v>
      </c>
      <c r="C25" s="8"/>
      <c r="D25" s="8">
        <f>D19-D22-D23</f>
        <v>154.1075323</v>
      </c>
      <c r="F25" s="7" t="s">
        <v>246</v>
      </c>
      <c r="H25" s="8"/>
      <c r="I25" s="8">
        <f>I19-I22-I23</f>
        <v>155.61981801428578</v>
      </c>
      <c r="K25" s="7" t="s">
        <v>246</v>
      </c>
      <c r="M25" s="8"/>
      <c r="N25" s="8">
        <f>N19-N22-N23</f>
        <v>149.64419896666664</v>
      </c>
    </row>
    <row r="29" spans="1:14" x14ac:dyDescent="0.25">
      <c r="I29" t="s">
        <v>247</v>
      </c>
      <c r="N29" t="s">
        <v>247</v>
      </c>
    </row>
    <row r="30" spans="1:14" x14ac:dyDescent="0.25">
      <c r="D30" s="6" t="s">
        <v>247</v>
      </c>
      <c r="I30" s="134"/>
    </row>
  </sheetData>
  <pageMargins left="0.7" right="0.7" top="0.75" bottom="0.75" header="0.3" footer="0.3"/>
  <pageSetup paperSize="9" orientation="portrait" verticalDpi="0" r:id="rId1"/>
  <ignoredErrors>
    <ignoredError sqref="D5" 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4411DA4-D17A-4AEC-B1D4-F289352327EF}">
          <x14:formula1>
            <xm:f>Lists!$M$2:$M$12</xm:f>
          </x14:formula1>
          <xm:sqref>C19 H19 M19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4212F-BDE6-4BE4-9001-D88EACFC6792}">
  <sheetPr>
    <tabColor rgb="FF92D050"/>
  </sheetPr>
  <dimension ref="A1:M350"/>
  <sheetViews>
    <sheetView tabSelected="1" workbookViewId="0">
      <selection activeCell="E6" sqref="E6"/>
    </sheetView>
  </sheetViews>
  <sheetFormatPr defaultColWidth="8.6640625" defaultRowHeight="13.2" x14ac:dyDescent="0.25"/>
  <cols>
    <col min="1" max="1" width="36.44140625" bestFit="1" customWidth="1"/>
    <col min="2" max="2" width="11.33203125" style="51" bestFit="1" customWidth="1"/>
    <col min="3" max="5" width="15.33203125" style="51" bestFit="1" customWidth="1"/>
    <col min="6" max="6" width="14.6640625" style="51" bestFit="1" customWidth="1"/>
    <col min="7" max="7" width="15.6640625" style="51" bestFit="1" customWidth="1"/>
    <col min="9" max="12" width="14.6640625" bestFit="1" customWidth="1"/>
    <col min="13" max="13" width="15.6640625" bestFit="1" customWidth="1"/>
  </cols>
  <sheetData>
    <row r="1" spans="1:13" x14ac:dyDescent="0.25">
      <c r="A1" s="7" t="s">
        <v>10</v>
      </c>
      <c r="B1" s="49">
        <v>2021</v>
      </c>
      <c r="C1" s="49">
        <v>2022</v>
      </c>
      <c r="D1" s="49">
        <v>2022</v>
      </c>
      <c r="E1" s="49">
        <v>2022</v>
      </c>
      <c r="F1" s="49">
        <v>2022</v>
      </c>
      <c r="G1" s="49">
        <v>2022</v>
      </c>
      <c r="I1" s="146">
        <v>2023</v>
      </c>
      <c r="J1" s="146">
        <v>2023</v>
      </c>
      <c r="K1" s="146">
        <v>2023</v>
      </c>
      <c r="L1" s="146">
        <v>2023</v>
      </c>
      <c r="M1" s="146">
        <v>2023</v>
      </c>
    </row>
    <row r="2" spans="1:13" x14ac:dyDescent="0.25">
      <c r="A2" s="7" t="s">
        <v>11</v>
      </c>
      <c r="B2" s="49" t="s">
        <v>12</v>
      </c>
      <c r="C2" s="49" t="s">
        <v>13</v>
      </c>
      <c r="D2" s="49" t="s">
        <v>14</v>
      </c>
      <c r="E2" s="49" t="s">
        <v>15</v>
      </c>
      <c r="F2" s="49" t="s">
        <v>12</v>
      </c>
      <c r="G2" s="49" t="s">
        <v>54</v>
      </c>
      <c r="I2" s="146" t="s">
        <v>13</v>
      </c>
      <c r="J2" s="146" t="s">
        <v>14</v>
      </c>
      <c r="K2" s="146" t="s">
        <v>15</v>
      </c>
      <c r="L2" s="146" t="s">
        <v>12</v>
      </c>
      <c r="M2" t="s">
        <v>54</v>
      </c>
    </row>
    <row r="3" spans="1:13" x14ac:dyDescent="0.25">
      <c r="A3" s="7" t="s">
        <v>147</v>
      </c>
      <c r="B3" s="49" t="str">
        <f>_xlfn.CONCAT(B1,B2)</f>
        <v>2021IV</v>
      </c>
      <c r="C3" s="49" t="str">
        <f t="shared" ref="C3:G3" si="0">_xlfn.CONCAT(C1,C2)</f>
        <v>2022I</v>
      </c>
      <c r="D3" s="49" t="str">
        <f t="shared" si="0"/>
        <v>2022II</v>
      </c>
      <c r="E3" s="49" t="str">
        <f t="shared" si="0"/>
        <v>2022III</v>
      </c>
      <c r="F3" s="49" t="str">
        <f t="shared" si="0"/>
        <v>2022IV</v>
      </c>
      <c r="G3" s="49" t="str">
        <f t="shared" si="0"/>
        <v>2022Total</v>
      </c>
      <c r="I3" t="s">
        <v>165</v>
      </c>
      <c r="J3" t="s">
        <v>166</v>
      </c>
      <c r="K3" t="s">
        <v>168</v>
      </c>
      <c r="L3" t="s">
        <v>160</v>
      </c>
      <c r="M3" t="s">
        <v>383</v>
      </c>
    </row>
    <row r="4" spans="1:13" x14ac:dyDescent="0.25">
      <c r="A4" t="s">
        <v>248</v>
      </c>
      <c r="B4" s="52">
        <f>Ledgers!F76</f>
        <v>4623692.7276083333</v>
      </c>
      <c r="C4" s="121">
        <v>3352083</v>
      </c>
      <c r="D4" s="121">
        <v>3652292</v>
      </c>
      <c r="E4" s="121">
        <v>3982521</v>
      </c>
      <c r="F4" s="121">
        <v>4345773</v>
      </c>
      <c r="G4" s="141">
        <v>15332669</v>
      </c>
      <c r="H4" s="121"/>
      <c r="I4" s="121">
        <v>3352083</v>
      </c>
      <c r="J4" s="121">
        <v>3652292</v>
      </c>
      <c r="K4" s="121">
        <v>3982521</v>
      </c>
      <c r="L4" s="121">
        <v>4345773</v>
      </c>
      <c r="M4" s="141">
        <v>15332669</v>
      </c>
    </row>
    <row r="5" spans="1:13" x14ac:dyDescent="0.25">
      <c r="A5" s="57" t="s">
        <v>249</v>
      </c>
      <c r="B5" s="53">
        <f>Ledgers!P6</f>
        <v>0</v>
      </c>
      <c r="C5" s="141"/>
      <c r="D5" s="139"/>
      <c r="E5" s="139"/>
      <c r="F5" s="139"/>
      <c r="G5" s="139"/>
      <c r="H5" s="121"/>
      <c r="I5" s="121"/>
      <c r="J5" s="121"/>
      <c r="K5" s="121"/>
      <c r="L5" s="121"/>
      <c r="M5" s="121"/>
    </row>
    <row r="6" spans="1:13" s="7" customFormat="1" x14ac:dyDescent="0.25">
      <c r="A6" s="7" t="s">
        <v>250</v>
      </c>
      <c r="B6" s="54">
        <f>SUM(B4:B5)</f>
        <v>4623692.7276083333</v>
      </c>
      <c r="C6" s="121">
        <v>3352083</v>
      </c>
      <c r="D6" s="121">
        <v>3652292</v>
      </c>
      <c r="E6" s="121">
        <v>3982521</v>
      </c>
      <c r="F6" s="121">
        <v>4345773</v>
      </c>
      <c r="G6" s="141">
        <v>15332669</v>
      </c>
      <c r="H6" s="133"/>
      <c r="I6" s="133">
        <v>4545562</v>
      </c>
      <c r="J6" s="133">
        <v>4713384</v>
      </c>
      <c r="K6" s="133">
        <v>4844286</v>
      </c>
      <c r="L6" s="133">
        <v>4934172</v>
      </c>
      <c r="M6" s="133">
        <v>19037404</v>
      </c>
    </row>
    <row r="7" spans="1:13" x14ac:dyDescent="0.25">
      <c r="B7" s="52"/>
      <c r="C7" s="137"/>
      <c r="D7" s="137"/>
      <c r="E7" s="137"/>
      <c r="F7" s="137"/>
      <c r="G7" s="137"/>
      <c r="H7" s="121"/>
      <c r="I7" s="121"/>
      <c r="J7" s="121"/>
      <c r="K7" s="121"/>
      <c r="L7" s="121"/>
      <c r="M7" s="121"/>
    </row>
    <row r="8" spans="1:13" x14ac:dyDescent="0.25">
      <c r="A8" t="s">
        <v>251</v>
      </c>
      <c r="B8" s="52">
        <f>Ledgers!P50</f>
        <v>3892351.0416666665</v>
      </c>
      <c r="C8" s="137">
        <v>3877845</v>
      </c>
      <c r="D8" s="145">
        <v>3877845</v>
      </c>
      <c r="E8" s="145">
        <v>3877845</v>
      </c>
      <c r="F8" s="145">
        <v>3877845</v>
      </c>
      <c r="G8" s="137">
        <v>15511380</v>
      </c>
      <c r="H8" s="121"/>
      <c r="I8" s="145">
        <v>3877845</v>
      </c>
      <c r="J8" s="145">
        <v>3877845</v>
      </c>
      <c r="K8" s="145">
        <v>3877845</v>
      </c>
      <c r="L8" s="145">
        <v>3877845</v>
      </c>
      <c r="M8" s="121">
        <v>15511380</v>
      </c>
    </row>
    <row r="9" spans="1:13" x14ac:dyDescent="0.25">
      <c r="A9" t="s">
        <v>252</v>
      </c>
      <c r="B9" s="52">
        <f>'Departments and FTE'!C59</f>
        <v>1435500</v>
      </c>
      <c r="C9" s="137">
        <v>949500</v>
      </c>
      <c r="D9" s="144">
        <v>949500</v>
      </c>
      <c r="E9" s="144">
        <v>949500</v>
      </c>
      <c r="F9" s="144">
        <v>949500</v>
      </c>
      <c r="G9" s="137">
        <v>3798000</v>
      </c>
      <c r="H9" s="121"/>
      <c r="I9" s="144">
        <v>949500</v>
      </c>
      <c r="J9" s="144">
        <v>949500</v>
      </c>
      <c r="K9" s="144">
        <v>949500</v>
      </c>
      <c r="L9" s="137">
        <v>2848500</v>
      </c>
      <c r="M9" s="121">
        <v>3798000</v>
      </c>
    </row>
    <row r="10" spans="1:13" x14ac:dyDescent="0.25">
      <c r="A10" t="s">
        <v>253</v>
      </c>
      <c r="B10" s="52">
        <f>Ledgers!P42</f>
        <v>341074.8</v>
      </c>
      <c r="C10" s="137">
        <v>225601.4</v>
      </c>
      <c r="D10" s="144">
        <v>225601.4</v>
      </c>
      <c r="E10" s="144">
        <v>225601.4</v>
      </c>
      <c r="F10" s="144">
        <v>225601.4</v>
      </c>
      <c r="G10" s="137">
        <v>902405.6</v>
      </c>
      <c r="H10" s="121"/>
      <c r="I10" s="137">
        <v>225601.4</v>
      </c>
      <c r="J10" s="144">
        <v>225601.4</v>
      </c>
      <c r="K10" s="144">
        <v>225601.4</v>
      </c>
      <c r="L10" s="144">
        <v>225601.4</v>
      </c>
      <c r="M10" s="121">
        <v>902405.6</v>
      </c>
    </row>
    <row r="11" spans="1:13" x14ac:dyDescent="0.25">
      <c r="A11" t="s">
        <v>254</v>
      </c>
      <c r="B11" s="52">
        <f>Ledgers!P34</f>
        <v>0</v>
      </c>
      <c r="C11" s="137">
        <v>0</v>
      </c>
      <c r="D11" s="137">
        <v>0</v>
      </c>
      <c r="E11" s="137">
        <v>0</v>
      </c>
      <c r="F11" s="137">
        <v>0</v>
      </c>
      <c r="G11" s="137">
        <v>0</v>
      </c>
      <c r="H11" s="121"/>
      <c r="I11" s="121">
        <v>0</v>
      </c>
      <c r="J11" s="121">
        <v>0</v>
      </c>
      <c r="K11" s="121">
        <v>0</v>
      </c>
      <c r="L11" s="121">
        <v>0</v>
      </c>
      <c r="M11" s="121">
        <v>0</v>
      </c>
    </row>
    <row r="12" spans="1:13" x14ac:dyDescent="0.25">
      <c r="A12" t="s">
        <v>86</v>
      </c>
      <c r="B12" s="52">
        <f>Budget!D44</f>
        <v>10000</v>
      </c>
      <c r="C12" s="137">
        <v>10000</v>
      </c>
      <c r="D12" s="137">
        <v>10000</v>
      </c>
      <c r="E12" s="137">
        <v>10000</v>
      </c>
      <c r="F12" s="137">
        <v>10000</v>
      </c>
      <c r="G12" s="137">
        <v>40000</v>
      </c>
      <c r="H12" s="121"/>
      <c r="I12" s="137">
        <v>10000</v>
      </c>
      <c r="J12" s="137">
        <v>10000</v>
      </c>
      <c r="K12" s="137">
        <v>10000</v>
      </c>
      <c r="L12" s="137">
        <v>10000</v>
      </c>
      <c r="M12" s="121">
        <v>40000</v>
      </c>
    </row>
    <row r="13" spans="1:13" x14ac:dyDescent="0.25">
      <c r="A13" t="s">
        <v>89</v>
      </c>
      <c r="B13" s="52">
        <f>Budget!D49</f>
        <v>1500</v>
      </c>
      <c r="C13" s="137">
        <v>900</v>
      </c>
      <c r="D13" s="137">
        <v>900</v>
      </c>
      <c r="E13" s="137">
        <v>900</v>
      </c>
      <c r="F13" s="137">
        <v>900</v>
      </c>
      <c r="G13" s="137">
        <v>3600</v>
      </c>
      <c r="H13" s="121"/>
      <c r="I13" s="137">
        <v>900</v>
      </c>
      <c r="J13" s="137">
        <v>900</v>
      </c>
      <c r="K13" s="137">
        <v>900</v>
      </c>
      <c r="L13" s="137">
        <v>900</v>
      </c>
      <c r="M13" s="121">
        <v>3600</v>
      </c>
    </row>
    <row r="14" spans="1:13" x14ac:dyDescent="0.25">
      <c r="A14" t="s">
        <v>81</v>
      </c>
      <c r="B14" s="52">
        <f>Budget!D68</f>
        <v>150000</v>
      </c>
      <c r="C14" s="137">
        <v>75000</v>
      </c>
      <c r="D14" s="137">
        <v>82500</v>
      </c>
      <c r="E14" s="144">
        <v>90750</v>
      </c>
      <c r="F14" s="144">
        <v>99825</v>
      </c>
      <c r="G14" s="137">
        <v>348075</v>
      </c>
      <c r="H14" s="121"/>
      <c r="I14" s="121">
        <v>109808</v>
      </c>
      <c r="J14" s="121">
        <v>120788</v>
      </c>
      <c r="K14" s="121">
        <v>132867</v>
      </c>
      <c r="L14" s="121">
        <v>146154</v>
      </c>
      <c r="M14" s="121">
        <v>509617</v>
      </c>
    </row>
    <row r="15" spans="1:13" x14ac:dyDescent="0.25">
      <c r="A15" t="s">
        <v>255</v>
      </c>
      <c r="B15" s="52">
        <f>SUM(Budget!D29:D31)</f>
        <v>9128.716101349668</v>
      </c>
      <c r="C15" s="137">
        <v>0</v>
      </c>
      <c r="D15" s="137">
        <v>0</v>
      </c>
      <c r="E15" s="137"/>
      <c r="F15" s="137">
        <v>0</v>
      </c>
      <c r="G15" s="137">
        <v>0</v>
      </c>
      <c r="H15" s="121"/>
      <c r="I15" s="121">
        <v>0</v>
      </c>
      <c r="J15" s="121">
        <v>0</v>
      </c>
      <c r="K15" s="121">
        <v>0</v>
      </c>
      <c r="L15" s="121">
        <v>0</v>
      </c>
      <c r="M15" s="121">
        <v>0</v>
      </c>
    </row>
    <row r="16" spans="1:13" x14ac:dyDescent="0.25">
      <c r="A16" t="s">
        <v>256</v>
      </c>
      <c r="B16" s="52">
        <f>Ledgers!P58</f>
        <v>20000</v>
      </c>
      <c r="C16" s="137">
        <v>17678</v>
      </c>
      <c r="D16" s="145">
        <v>17678</v>
      </c>
      <c r="E16" s="145">
        <v>17678</v>
      </c>
      <c r="F16" s="145">
        <v>17678</v>
      </c>
      <c r="G16" s="137">
        <v>70712</v>
      </c>
      <c r="H16" s="121"/>
      <c r="I16" s="145">
        <v>17678</v>
      </c>
      <c r="J16" s="145">
        <v>17678</v>
      </c>
      <c r="K16" s="145">
        <v>17678</v>
      </c>
      <c r="L16" s="145">
        <v>17678</v>
      </c>
      <c r="M16" s="121">
        <v>70712</v>
      </c>
    </row>
    <row r="17" spans="1:13" x14ac:dyDescent="0.25">
      <c r="A17" t="s">
        <v>83</v>
      </c>
      <c r="B17" s="52">
        <f>Budget!D39</f>
        <v>37133.512386573675</v>
      </c>
      <c r="C17" s="137">
        <v>0</v>
      </c>
      <c r="D17" s="137">
        <v>0</v>
      </c>
      <c r="E17" s="137">
        <v>0</v>
      </c>
      <c r="F17" s="137">
        <v>0</v>
      </c>
      <c r="G17" s="137">
        <v>0</v>
      </c>
      <c r="H17" s="121"/>
      <c r="I17" s="121">
        <v>0</v>
      </c>
      <c r="J17" s="121">
        <v>0</v>
      </c>
      <c r="K17" s="121">
        <v>0</v>
      </c>
      <c r="L17" s="121">
        <v>0</v>
      </c>
      <c r="M17" s="121">
        <v>0</v>
      </c>
    </row>
    <row r="18" spans="1:13" x14ac:dyDescent="0.25">
      <c r="A18" s="57" t="s">
        <v>257</v>
      </c>
      <c r="B18" s="53">
        <f>Ledgers!P8</f>
        <v>0</v>
      </c>
      <c r="C18" s="139">
        <v>0</v>
      </c>
      <c r="D18" s="139">
        <v>0</v>
      </c>
      <c r="E18" s="139">
        <v>0</v>
      </c>
      <c r="F18" s="139">
        <v>0</v>
      </c>
      <c r="G18" s="139">
        <v>0</v>
      </c>
      <c r="H18" s="121"/>
      <c r="I18" s="121">
        <v>0</v>
      </c>
      <c r="J18" s="121">
        <v>0</v>
      </c>
      <c r="K18" s="121">
        <v>0</v>
      </c>
      <c r="L18" s="121">
        <v>0</v>
      </c>
      <c r="M18" s="121">
        <v>0</v>
      </c>
    </row>
    <row r="19" spans="1:13" s="7" customFormat="1" x14ac:dyDescent="0.25">
      <c r="A19" s="7" t="s">
        <v>258</v>
      </c>
      <c r="B19" s="54">
        <f>SUM(B8:B18)</f>
        <v>5896688.0701545887</v>
      </c>
      <c r="C19" s="141">
        <v>5156524.4000000004</v>
      </c>
      <c r="D19" s="141">
        <v>5164024.4000000004</v>
      </c>
      <c r="E19" s="141">
        <v>5172274.4000000004</v>
      </c>
      <c r="F19" s="141">
        <v>5181349.4000000004</v>
      </c>
      <c r="G19" s="141">
        <v>20674172.600000001</v>
      </c>
      <c r="H19" s="133"/>
      <c r="I19" s="133"/>
      <c r="J19" s="133"/>
      <c r="K19" s="133"/>
      <c r="L19" s="133"/>
      <c r="M19" s="133"/>
    </row>
    <row r="20" spans="1:13" x14ac:dyDescent="0.25">
      <c r="B20" s="52"/>
      <c r="C20" s="137"/>
      <c r="D20" s="137"/>
      <c r="E20" s="137"/>
      <c r="F20" s="137"/>
      <c r="G20" s="137"/>
      <c r="H20" s="121"/>
      <c r="I20" s="121"/>
      <c r="J20" s="121"/>
      <c r="K20" s="121"/>
      <c r="L20" s="121"/>
      <c r="M20" s="121"/>
    </row>
    <row r="21" spans="1:13" x14ac:dyDescent="0.25">
      <c r="A21" t="s">
        <v>259</v>
      </c>
      <c r="B21" s="52">
        <f>B6-B19</f>
        <v>-1272995.3425462553</v>
      </c>
      <c r="C21" s="137">
        <v>-1804441.4000000004</v>
      </c>
      <c r="D21" s="137">
        <v>-1511732.4000000004</v>
      </c>
      <c r="E21" s="137">
        <v>-1189753.4000000004</v>
      </c>
      <c r="F21" s="137">
        <v>-835576.40000000037</v>
      </c>
      <c r="G21" s="137">
        <v>-5341503.6000000015</v>
      </c>
      <c r="H21" s="137"/>
      <c r="I21" s="137">
        <v>4545562</v>
      </c>
      <c r="J21" s="137">
        <v>4713384</v>
      </c>
      <c r="K21" s="137">
        <v>4844286</v>
      </c>
      <c r="L21" s="137">
        <v>4934172</v>
      </c>
      <c r="M21" s="137">
        <v>19037404</v>
      </c>
    </row>
    <row r="22" spans="1:13" x14ac:dyDescent="0.25">
      <c r="B22" s="52"/>
      <c r="C22" s="137"/>
      <c r="D22" s="137"/>
      <c r="E22" s="137"/>
      <c r="F22" s="137"/>
      <c r="G22" s="137"/>
      <c r="H22" s="121"/>
      <c r="I22" s="121"/>
      <c r="J22" s="121"/>
      <c r="K22" s="121"/>
      <c r="L22" s="121"/>
      <c r="M22" s="121"/>
    </row>
    <row r="23" spans="1:13" x14ac:dyDescent="0.25">
      <c r="A23" t="s">
        <v>260</v>
      </c>
      <c r="B23" s="52">
        <f>-'Balance Sheet'!B34</f>
        <v>-800000</v>
      </c>
      <c r="C23" s="147">
        <v>854739</v>
      </c>
      <c r="D23" s="137">
        <v>1107108.5</v>
      </c>
      <c r="E23" s="137">
        <v>1359478</v>
      </c>
      <c r="F23" s="137">
        <v>1611847.5</v>
      </c>
      <c r="G23" s="137">
        <v>4933173</v>
      </c>
      <c r="H23" s="121"/>
      <c r="I23" s="121">
        <v>1864217</v>
      </c>
      <c r="J23" s="121">
        <v>2116586.5</v>
      </c>
      <c r="K23" s="121">
        <v>2368956</v>
      </c>
      <c r="L23" s="121">
        <v>2621325.5</v>
      </c>
      <c r="M23" s="121">
        <v>8971085</v>
      </c>
    </row>
    <row r="24" spans="1:13" x14ac:dyDescent="0.25">
      <c r="A24" t="s">
        <v>261</v>
      </c>
      <c r="B24" s="52">
        <f>B21+B23</f>
        <v>-2072995.3425462553</v>
      </c>
      <c r="C24" s="137">
        <v>-949702.40000000037</v>
      </c>
      <c r="D24" s="137">
        <v>-404623.90000000037</v>
      </c>
      <c r="E24" s="137">
        <v>169724.59999999963</v>
      </c>
      <c r="F24" s="137">
        <v>776271.09999999963</v>
      </c>
      <c r="G24" s="137">
        <v>-408330.60000000149</v>
      </c>
      <c r="H24" s="137"/>
      <c r="I24" s="137">
        <v>6409779</v>
      </c>
      <c r="J24" s="137">
        <v>6829970.5</v>
      </c>
      <c r="K24" s="137">
        <v>7213242</v>
      </c>
      <c r="L24" s="137">
        <v>7555497.5</v>
      </c>
      <c r="M24" s="137">
        <v>28008489</v>
      </c>
    </row>
    <row r="25" spans="1:13" x14ac:dyDescent="0.25">
      <c r="B25" s="52"/>
      <c r="C25" s="137"/>
      <c r="D25" s="137"/>
      <c r="E25" s="137"/>
      <c r="F25" s="137"/>
      <c r="G25" s="137"/>
      <c r="H25" s="121"/>
      <c r="I25" s="121"/>
      <c r="J25" s="121"/>
      <c r="K25" s="121"/>
      <c r="L25" s="121"/>
      <c r="M25" s="121"/>
    </row>
    <row r="26" spans="1:13" x14ac:dyDescent="0.25">
      <c r="A26" t="s">
        <v>262</v>
      </c>
      <c r="B26" s="52">
        <f>AVERAGE(B23:B24)</f>
        <v>-1436497.6712731277</v>
      </c>
      <c r="C26" s="137">
        <v>-47481.700000000186</v>
      </c>
      <c r="D26" s="137">
        <v>351242.29999999981</v>
      </c>
      <c r="E26" s="137">
        <v>764601.29999999981</v>
      </c>
      <c r="F26" s="137">
        <v>1194059.2999999998</v>
      </c>
      <c r="G26" s="137">
        <v>2262421.1999999993</v>
      </c>
      <c r="H26" s="137"/>
      <c r="I26" s="137">
        <v>4136998</v>
      </c>
      <c r="J26" s="137">
        <v>4473278.5</v>
      </c>
      <c r="K26" s="137">
        <v>4791099</v>
      </c>
      <c r="L26" s="137">
        <v>5088411.5</v>
      </c>
      <c r="M26" s="137">
        <v>18489787</v>
      </c>
    </row>
    <row r="27" spans="1:13" x14ac:dyDescent="0.25">
      <c r="B27" s="52"/>
      <c r="C27" s="52"/>
      <c r="D27" s="52"/>
      <c r="E27" s="52"/>
      <c r="F27" s="52"/>
      <c r="G27" s="52"/>
    </row>
    <row r="28" spans="1:13" x14ac:dyDescent="0.25">
      <c r="A28" t="s">
        <v>263</v>
      </c>
      <c r="B28" s="52">
        <f>-B26*Given!$B$68/4</f>
        <v>35912.441781828195</v>
      </c>
      <c r="C28" s="52"/>
      <c r="D28" s="52"/>
      <c r="E28" s="52"/>
      <c r="F28" s="52"/>
      <c r="G28" s="52"/>
    </row>
    <row r="29" spans="1:13" x14ac:dyDescent="0.25">
      <c r="B29" s="52"/>
      <c r="C29" s="52"/>
      <c r="D29" s="52"/>
      <c r="E29" s="52"/>
      <c r="F29" s="52"/>
      <c r="G29" s="52"/>
    </row>
    <row r="30" spans="1:13" x14ac:dyDescent="0.25">
      <c r="B30" s="52"/>
      <c r="C30" s="52"/>
      <c r="D30" s="52"/>
      <c r="E30" s="52"/>
      <c r="F30" s="52"/>
      <c r="G30" s="52"/>
    </row>
    <row r="31" spans="1:13" x14ac:dyDescent="0.25">
      <c r="B31" s="52"/>
      <c r="C31" s="52"/>
      <c r="D31" s="52"/>
      <c r="E31" s="52"/>
      <c r="F31" s="52"/>
      <c r="G31" s="52"/>
    </row>
    <row r="32" spans="1:13" x14ac:dyDescent="0.25">
      <c r="B32" s="52"/>
      <c r="C32" s="52"/>
      <c r="D32" s="52"/>
      <c r="E32" s="52"/>
      <c r="F32" s="52"/>
      <c r="G32" s="52"/>
    </row>
    <row r="33" spans="2:7" x14ac:dyDescent="0.25">
      <c r="B33" s="52"/>
      <c r="C33" s="52"/>
      <c r="D33" s="52"/>
      <c r="E33" s="52"/>
      <c r="F33" s="52"/>
      <c r="G33" s="52"/>
    </row>
    <row r="34" spans="2:7" x14ac:dyDescent="0.25">
      <c r="B34" s="52"/>
      <c r="C34" s="52"/>
      <c r="D34" s="52"/>
      <c r="E34" s="52"/>
      <c r="F34" s="52"/>
      <c r="G34" s="52"/>
    </row>
    <row r="35" spans="2:7" x14ac:dyDescent="0.25">
      <c r="B35" s="52"/>
      <c r="C35" s="52"/>
      <c r="D35" s="52"/>
      <c r="E35" s="52"/>
      <c r="F35" s="52"/>
      <c r="G35" s="52"/>
    </row>
    <row r="36" spans="2:7" x14ac:dyDescent="0.25">
      <c r="B36" s="52"/>
      <c r="C36" s="52"/>
      <c r="D36" s="52"/>
      <c r="E36" s="52"/>
      <c r="F36" s="52"/>
      <c r="G36" s="52"/>
    </row>
    <row r="37" spans="2:7" x14ac:dyDescent="0.25">
      <c r="B37" s="52"/>
      <c r="C37" s="52"/>
      <c r="D37" s="52"/>
      <c r="E37" s="52"/>
      <c r="F37" s="52"/>
      <c r="G37" s="52"/>
    </row>
    <row r="38" spans="2:7" x14ac:dyDescent="0.25">
      <c r="B38" s="52"/>
      <c r="C38" s="52"/>
      <c r="D38" s="52"/>
      <c r="E38" s="52"/>
      <c r="F38" s="52"/>
      <c r="G38" s="52"/>
    </row>
    <row r="39" spans="2:7" x14ac:dyDescent="0.25">
      <c r="B39" s="52"/>
      <c r="C39" s="52"/>
      <c r="D39" s="52"/>
      <c r="E39" s="52"/>
      <c r="F39" s="52"/>
      <c r="G39" s="52"/>
    </row>
    <row r="40" spans="2:7" x14ac:dyDescent="0.25">
      <c r="B40" s="52"/>
      <c r="C40" s="52"/>
      <c r="D40" s="52"/>
      <c r="E40" s="52"/>
      <c r="F40" s="52"/>
      <c r="G40" s="52"/>
    </row>
    <row r="41" spans="2:7" x14ac:dyDescent="0.25">
      <c r="B41" s="52"/>
      <c r="C41" s="52"/>
      <c r="D41" s="52"/>
      <c r="E41" s="52"/>
      <c r="F41" s="52"/>
      <c r="G41" s="52"/>
    </row>
    <row r="42" spans="2:7" x14ac:dyDescent="0.25">
      <c r="B42" s="52"/>
      <c r="C42" s="52"/>
      <c r="D42" s="52"/>
      <c r="E42" s="52"/>
      <c r="F42" s="52"/>
      <c r="G42" s="52"/>
    </row>
    <row r="43" spans="2:7" x14ac:dyDescent="0.25">
      <c r="B43" s="52"/>
      <c r="C43" s="52"/>
      <c r="D43" s="52"/>
      <c r="E43" s="52"/>
      <c r="F43" s="52"/>
      <c r="G43" s="52"/>
    </row>
    <row r="44" spans="2:7" x14ac:dyDescent="0.25">
      <c r="B44" s="52"/>
      <c r="C44" s="52"/>
      <c r="D44" s="52"/>
      <c r="E44" s="52"/>
      <c r="F44" s="52"/>
      <c r="G44" s="52"/>
    </row>
    <row r="45" spans="2:7" x14ac:dyDescent="0.25">
      <c r="B45" s="52"/>
      <c r="C45" s="52"/>
      <c r="D45" s="52"/>
      <c r="E45" s="52"/>
      <c r="F45" s="52"/>
      <c r="G45" s="52"/>
    </row>
    <row r="46" spans="2:7" x14ac:dyDescent="0.25">
      <c r="B46" s="52"/>
      <c r="C46" s="52"/>
      <c r="D46" s="52"/>
      <c r="E46" s="52"/>
      <c r="F46" s="52"/>
      <c r="G46" s="52"/>
    </row>
    <row r="47" spans="2:7" x14ac:dyDescent="0.25">
      <c r="B47" s="52"/>
      <c r="C47" s="52"/>
      <c r="D47" s="52"/>
      <c r="E47" s="52"/>
      <c r="F47" s="52"/>
      <c r="G47" s="52"/>
    </row>
    <row r="48" spans="2:7" x14ac:dyDescent="0.25">
      <c r="B48" s="52"/>
      <c r="C48" s="52"/>
      <c r="D48" s="52"/>
      <c r="E48" s="52"/>
      <c r="F48" s="52"/>
      <c r="G48" s="52"/>
    </row>
    <row r="49" spans="2:7" x14ac:dyDescent="0.25">
      <c r="B49" s="52"/>
      <c r="C49" s="52"/>
      <c r="D49" s="52"/>
      <c r="E49" s="52"/>
      <c r="F49" s="52"/>
      <c r="G49" s="52"/>
    </row>
    <row r="50" spans="2:7" x14ac:dyDescent="0.25">
      <c r="B50" s="52"/>
      <c r="C50" s="52"/>
      <c r="D50" s="52"/>
      <c r="E50" s="52"/>
      <c r="F50" s="52"/>
      <c r="G50" s="52"/>
    </row>
    <row r="51" spans="2:7" x14ac:dyDescent="0.25">
      <c r="B51" s="52"/>
      <c r="C51" s="52"/>
      <c r="D51" s="52"/>
      <c r="E51" s="52"/>
      <c r="F51" s="52"/>
      <c r="G51" s="52"/>
    </row>
    <row r="52" spans="2:7" x14ac:dyDescent="0.25">
      <c r="B52" s="52"/>
      <c r="C52" s="52"/>
      <c r="D52" s="52"/>
      <c r="E52" s="52"/>
      <c r="F52" s="52"/>
      <c r="G52" s="52"/>
    </row>
    <row r="53" spans="2:7" x14ac:dyDescent="0.25">
      <c r="B53" s="52"/>
      <c r="C53" s="52"/>
      <c r="D53" s="52"/>
      <c r="E53" s="52"/>
      <c r="F53" s="52"/>
      <c r="G53" s="52"/>
    </row>
    <row r="54" spans="2:7" x14ac:dyDescent="0.25">
      <c r="B54" s="52"/>
      <c r="C54" s="52"/>
      <c r="D54" s="52"/>
      <c r="E54" s="52"/>
      <c r="F54" s="52"/>
      <c r="G54" s="52"/>
    </row>
    <row r="55" spans="2:7" x14ac:dyDescent="0.25">
      <c r="B55" s="52"/>
      <c r="C55" s="52"/>
      <c r="D55" s="52"/>
      <c r="E55" s="52"/>
      <c r="F55" s="52"/>
      <c r="G55" s="52"/>
    </row>
    <row r="56" spans="2:7" x14ac:dyDescent="0.25">
      <c r="B56" s="52"/>
      <c r="C56" s="52"/>
      <c r="D56" s="52"/>
      <c r="E56" s="52"/>
      <c r="F56" s="52"/>
      <c r="G56" s="52"/>
    </row>
    <row r="57" spans="2:7" x14ac:dyDescent="0.25">
      <c r="B57" s="52"/>
      <c r="C57" s="52"/>
      <c r="D57" s="52"/>
      <c r="E57" s="52"/>
      <c r="F57" s="52"/>
      <c r="G57" s="52"/>
    </row>
    <row r="58" spans="2:7" x14ac:dyDescent="0.25">
      <c r="B58" s="52"/>
      <c r="C58" s="52"/>
      <c r="D58" s="52"/>
      <c r="E58" s="52"/>
      <c r="F58" s="52"/>
      <c r="G58" s="52"/>
    </row>
    <row r="59" spans="2:7" x14ac:dyDescent="0.25">
      <c r="B59" s="52"/>
      <c r="C59" s="52"/>
      <c r="D59" s="52"/>
      <c r="E59" s="52"/>
      <c r="F59" s="52"/>
      <c r="G59" s="52"/>
    </row>
    <row r="60" spans="2:7" x14ac:dyDescent="0.25">
      <c r="B60" s="52"/>
      <c r="C60" s="52"/>
      <c r="D60" s="52"/>
      <c r="E60" s="52"/>
      <c r="F60" s="52"/>
      <c r="G60" s="52"/>
    </row>
    <row r="61" spans="2:7" x14ac:dyDescent="0.25">
      <c r="B61" s="52"/>
      <c r="C61" s="52"/>
      <c r="D61" s="52"/>
      <c r="E61" s="52"/>
      <c r="F61" s="52"/>
      <c r="G61" s="52"/>
    </row>
    <row r="62" spans="2:7" x14ac:dyDescent="0.25">
      <c r="B62" s="52"/>
      <c r="C62" s="52"/>
      <c r="D62" s="52"/>
      <c r="E62" s="52"/>
      <c r="F62" s="52"/>
      <c r="G62" s="52"/>
    </row>
    <row r="63" spans="2:7" x14ac:dyDescent="0.25">
      <c r="B63" s="52"/>
      <c r="C63" s="52"/>
      <c r="D63" s="52"/>
      <c r="E63" s="52"/>
      <c r="F63" s="52"/>
      <c r="G63" s="52"/>
    </row>
    <row r="64" spans="2:7" x14ac:dyDescent="0.25">
      <c r="B64" s="52"/>
      <c r="C64" s="52"/>
      <c r="D64" s="52"/>
      <c r="E64" s="52"/>
      <c r="F64" s="52"/>
      <c r="G64" s="52"/>
    </row>
    <row r="65" spans="2:7" x14ac:dyDescent="0.25">
      <c r="B65" s="52"/>
      <c r="C65" s="52"/>
      <c r="D65" s="52"/>
      <c r="E65" s="52"/>
      <c r="F65" s="52"/>
      <c r="G65" s="52"/>
    </row>
    <row r="66" spans="2:7" x14ac:dyDescent="0.25">
      <c r="B66" s="52"/>
      <c r="C66" s="52"/>
      <c r="D66" s="52"/>
      <c r="E66" s="52"/>
      <c r="F66" s="52"/>
      <c r="G66" s="52"/>
    </row>
    <row r="67" spans="2:7" x14ac:dyDescent="0.25">
      <c r="B67" s="52"/>
      <c r="C67" s="52"/>
      <c r="D67" s="52"/>
      <c r="E67" s="52"/>
      <c r="F67" s="52"/>
      <c r="G67" s="52"/>
    </row>
    <row r="68" spans="2:7" x14ac:dyDescent="0.25">
      <c r="B68" s="52"/>
      <c r="C68" s="52"/>
      <c r="D68" s="52"/>
      <c r="E68" s="52"/>
      <c r="F68" s="52"/>
      <c r="G68" s="52"/>
    </row>
    <row r="69" spans="2:7" x14ac:dyDescent="0.25">
      <c r="B69" s="52"/>
      <c r="C69" s="52"/>
      <c r="D69" s="52"/>
      <c r="E69" s="52"/>
      <c r="F69" s="52"/>
      <c r="G69" s="52"/>
    </row>
    <row r="70" spans="2:7" x14ac:dyDescent="0.25">
      <c r="B70" s="52"/>
      <c r="C70" s="52"/>
      <c r="D70" s="52"/>
      <c r="E70" s="52"/>
      <c r="F70" s="52"/>
      <c r="G70" s="52"/>
    </row>
    <row r="71" spans="2:7" x14ac:dyDescent="0.25">
      <c r="B71" s="52"/>
      <c r="C71" s="52"/>
      <c r="D71" s="52"/>
      <c r="E71" s="52"/>
      <c r="F71" s="52"/>
      <c r="G71" s="52"/>
    </row>
    <row r="72" spans="2:7" x14ac:dyDescent="0.25">
      <c r="B72" s="52"/>
      <c r="C72" s="52"/>
      <c r="D72" s="52"/>
      <c r="E72" s="52"/>
      <c r="F72" s="52"/>
      <c r="G72" s="52"/>
    </row>
    <row r="73" spans="2:7" x14ac:dyDescent="0.25">
      <c r="B73" s="52"/>
      <c r="C73" s="52"/>
      <c r="D73" s="52"/>
      <c r="E73" s="52"/>
      <c r="F73" s="52"/>
      <c r="G73" s="52"/>
    </row>
    <row r="74" spans="2:7" x14ac:dyDescent="0.25">
      <c r="B74" s="52"/>
      <c r="C74" s="52"/>
      <c r="D74" s="52"/>
      <c r="E74" s="52"/>
      <c r="F74" s="52"/>
      <c r="G74" s="52"/>
    </row>
    <row r="75" spans="2:7" x14ac:dyDescent="0.25">
      <c r="B75" s="52"/>
      <c r="C75" s="52"/>
      <c r="D75" s="52"/>
      <c r="E75" s="52"/>
      <c r="F75" s="52"/>
      <c r="G75" s="52"/>
    </row>
    <row r="76" spans="2:7" x14ac:dyDescent="0.25">
      <c r="B76" s="52"/>
      <c r="C76" s="52"/>
      <c r="D76" s="52"/>
      <c r="E76" s="52"/>
      <c r="F76" s="52"/>
      <c r="G76" s="52"/>
    </row>
    <row r="77" spans="2:7" x14ac:dyDescent="0.25">
      <c r="B77" s="52"/>
      <c r="C77" s="52"/>
      <c r="D77" s="52"/>
      <c r="E77" s="52"/>
      <c r="F77" s="52"/>
      <c r="G77" s="52"/>
    </row>
    <row r="78" spans="2:7" x14ac:dyDescent="0.25">
      <c r="B78" s="52"/>
      <c r="C78" s="52"/>
      <c r="D78" s="52"/>
      <c r="E78" s="52"/>
      <c r="F78" s="52"/>
      <c r="G78" s="52"/>
    </row>
    <row r="79" spans="2:7" x14ac:dyDescent="0.25">
      <c r="B79" s="52"/>
      <c r="C79" s="52"/>
      <c r="D79" s="52"/>
      <c r="E79" s="52"/>
      <c r="F79" s="52"/>
      <c r="G79" s="52"/>
    </row>
    <row r="80" spans="2:7" x14ac:dyDescent="0.25">
      <c r="B80" s="52"/>
      <c r="C80" s="52"/>
      <c r="D80" s="52"/>
      <c r="E80" s="52"/>
      <c r="F80" s="52"/>
      <c r="G80" s="52"/>
    </row>
    <row r="81" spans="2:7" x14ac:dyDescent="0.25">
      <c r="B81" s="52"/>
      <c r="C81" s="52"/>
      <c r="D81" s="52"/>
      <c r="E81" s="52"/>
      <c r="F81" s="52"/>
      <c r="G81" s="52"/>
    </row>
    <row r="82" spans="2:7" x14ac:dyDescent="0.25">
      <c r="B82" s="52"/>
      <c r="C82" s="52"/>
      <c r="D82" s="52"/>
      <c r="E82" s="52"/>
      <c r="F82" s="52"/>
      <c r="G82" s="52"/>
    </row>
    <row r="83" spans="2:7" x14ac:dyDescent="0.25">
      <c r="B83" s="52"/>
      <c r="C83" s="52"/>
      <c r="D83" s="52"/>
      <c r="E83" s="52"/>
      <c r="F83" s="52"/>
      <c r="G83" s="52"/>
    </row>
    <row r="84" spans="2:7" x14ac:dyDescent="0.25">
      <c r="B84" s="52"/>
      <c r="C84" s="52"/>
      <c r="D84" s="52"/>
      <c r="E84" s="52"/>
      <c r="F84" s="52"/>
      <c r="G84" s="52"/>
    </row>
    <row r="85" spans="2:7" x14ac:dyDescent="0.25">
      <c r="B85" s="52"/>
      <c r="C85" s="52"/>
      <c r="D85" s="52"/>
      <c r="E85" s="52"/>
      <c r="F85" s="52"/>
      <c r="G85" s="52"/>
    </row>
    <row r="86" spans="2:7" x14ac:dyDescent="0.25">
      <c r="B86" s="52"/>
      <c r="C86" s="52"/>
      <c r="D86" s="52"/>
      <c r="E86" s="52"/>
      <c r="F86" s="52"/>
      <c r="G86" s="52"/>
    </row>
    <row r="87" spans="2:7" x14ac:dyDescent="0.25">
      <c r="B87" s="52"/>
      <c r="C87" s="52"/>
      <c r="D87" s="52"/>
      <c r="E87" s="52"/>
      <c r="F87" s="52"/>
      <c r="G87" s="52"/>
    </row>
    <row r="88" spans="2:7" x14ac:dyDescent="0.25">
      <c r="B88" s="52"/>
      <c r="C88" s="52"/>
      <c r="D88" s="52"/>
      <c r="E88" s="52"/>
      <c r="F88" s="52"/>
      <c r="G88" s="52"/>
    </row>
    <row r="89" spans="2:7" x14ac:dyDescent="0.25">
      <c r="B89" s="52"/>
      <c r="C89" s="52"/>
      <c r="D89" s="52"/>
      <c r="E89" s="52"/>
      <c r="F89" s="52"/>
      <c r="G89" s="52"/>
    </row>
    <row r="90" spans="2:7" x14ac:dyDescent="0.25">
      <c r="B90" s="52"/>
      <c r="C90" s="52"/>
      <c r="D90" s="52"/>
      <c r="E90" s="52"/>
      <c r="F90" s="52"/>
      <c r="G90" s="52"/>
    </row>
    <row r="91" spans="2:7" x14ac:dyDescent="0.25">
      <c r="B91" s="52"/>
      <c r="C91" s="52"/>
      <c r="D91" s="52"/>
      <c r="E91" s="52"/>
      <c r="F91" s="52"/>
      <c r="G91" s="52"/>
    </row>
    <row r="92" spans="2:7" x14ac:dyDescent="0.25">
      <c r="B92" s="52"/>
      <c r="C92" s="52"/>
      <c r="D92" s="52"/>
      <c r="E92" s="52"/>
      <c r="F92" s="52"/>
      <c r="G92" s="52"/>
    </row>
    <row r="93" spans="2:7" x14ac:dyDescent="0.25">
      <c r="B93" s="52"/>
      <c r="C93" s="52"/>
      <c r="D93" s="52"/>
      <c r="E93" s="52"/>
      <c r="F93" s="52"/>
      <c r="G93" s="52"/>
    </row>
    <row r="94" spans="2:7" x14ac:dyDescent="0.25">
      <c r="B94" s="52"/>
      <c r="C94" s="52"/>
      <c r="D94" s="52"/>
      <c r="E94" s="52"/>
      <c r="F94" s="52"/>
      <c r="G94" s="52"/>
    </row>
    <row r="95" spans="2:7" x14ac:dyDescent="0.25">
      <c r="B95" s="52"/>
      <c r="C95" s="52"/>
      <c r="D95" s="52"/>
      <c r="E95" s="52"/>
      <c r="F95" s="52"/>
      <c r="G95" s="52"/>
    </row>
    <row r="96" spans="2:7" x14ac:dyDescent="0.25">
      <c r="B96" s="52"/>
      <c r="C96" s="52"/>
      <c r="D96" s="52"/>
      <c r="E96" s="52"/>
      <c r="F96" s="52"/>
      <c r="G96" s="52"/>
    </row>
    <row r="97" spans="2:7" x14ac:dyDescent="0.25">
      <c r="B97" s="52"/>
      <c r="C97" s="52"/>
      <c r="D97" s="52"/>
      <c r="E97" s="52"/>
      <c r="F97" s="52"/>
      <c r="G97" s="52"/>
    </row>
    <row r="98" spans="2:7" x14ac:dyDescent="0.25">
      <c r="B98" s="52"/>
      <c r="C98" s="52"/>
      <c r="D98" s="52"/>
      <c r="E98" s="52"/>
      <c r="F98" s="52"/>
      <c r="G98" s="52"/>
    </row>
    <row r="99" spans="2:7" x14ac:dyDescent="0.25">
      <c r="B99" s="52"/>
      <c r="C99" s="52"/>
      <c r="D99" s="52"/>
      <c r="E99" s="52"/>
      <c r="F99" s="52"/>
      <c r="G99" s="52"/>
    </row>
    <row r="100" spans="2:7" x14ac:dyDescent="0.25">
      <c r="B100" s="52"/>
      <c r="C100" s="52"/>
      <c r="D100" s="52"/>
      <c r="E100" s="52"/>
      <c r="F100" s="52"/>
      <c r="G100" s="52"/>
    </row>
    <row r="101" spans="2:7" x14ac:dyDescent="0.25">
      <c r="B101" s="52"/>
      <c r="C101" s="52"/>
      <c r="D101" s="52"/>
      <c r="E101" s="52"/>
      <c r="F101" s="52"/>
      <c r="G101" s="52"/>
    </row>
    <row r="102" spans="2:7" x14ac:dyDescent="0.25">
      <c r="B102" s="52"/>
      <c r="C102" s="52"/>
      <c r="D102" s="52"/>
      <c r="E102" s="52"/>
      <c r="F102" s="52"/>
      <c r="G102" s="52"/>
    </row>
    <row r="103" spans="2:7" x14ac:dyDescent="0.25">
      <c r="B103" s="52"/>
      <c r="C103" s="52"/>
      <c r="D103" s="52"/>
      <c r="E103" s="52"/>
      <c r="F103" s="52"/>
      <c r="G103" s="52"/>
    </row>
    <row r="104" spans="2:7" x14ac:dyDescent="0.25">
      <c r="B104" s="52"/>
      <c r="C104" s="52"/>
      <c r="D104" s="52"/>
      <c r="E104" s="52"/>
      <c r="F104" s="52"/>
      <c r="G104" s="52"/>
    </row>
    <row r="105" spans="2:7" x14ac:dyDescent="0.25">
      <c r="B105" s="52"/>
      <c r="C105" s="52"/>
      <c r="D105" s="52"/>
      <c r="E105" s="52"/>
      <c r="F105" s="52"/>
      <c r="G105" s="52"/>
    </row>
    <row r="106" spans="2:7" x14ac:dyDescent="0.25">
      <c r="B106" s="52"/>
      <c r="C106" s="52"/>
      <c r="D106" s="52"/>
      <c r="E106" s="52"/>
      <c r="F106" s="52"/>
      <c r="G106" s="52"/>
    </row>
    <row r="107" spans="2:7" x14ac:dyDescent="0.25">
      <c r="B107" s="52"/>
      <c r="C107" s="52"/>
      <c r="D107" s="52"/>
      <c r="E107" s="52"/>
      <c r="F107" s="52"/>
      <c r="G107" s="52"/>
    </row>
    <row r="108" spans="2:7" x14ac:dyDescent="0.25">
      <c r="B108" s="52"/>
      <c r="C108" s="52"/>
      <c r="D108" s="52"/>
      <c r="E108" s="52"/>
      <c r="F108" s="52"/>
      <c r="G108" s="52"/>
    </row>
    <row r="109" spans="2:7" x14ac:dyDescent="0.25">
      <c r="B109" s="52"/>
      <c r="C109" s="52"/>
      <c r="D109" s="52"/>
      <c r="E109" s="52"/>
      <c r="F109" s="52"/>
      <c r="G109" s="52"/>
    </row>
    <row r="110" spans="2:7" x14ac:dyDescent="0.25">
      <c r="B110" s="52"/>
      <c r="C110" s="52"/>
      <c r="D110" s="52"/>
      <c r="E110" s="52"/>
      <c r="F110" s="52"/>
      <c r="G110" s="52"/>
    </row>
    <row r="111" spans="2:7" x14ac:dyDescent="0.25">
      <c r="B111" s="52"/>
      <c r="C111" s="52"/>
      <c r="D111" s="52"/>
      <c r="E111" s="52"/>
      <c r="F111" s="52"/>
      <c r="G111" s="52"/>
    </row>
    <row r="112" spans="2:7" x14ac:dyDescent="0.25">
      <c r="B112" s="52"/>
      <c r="C112" s="52"/>
      <c r="D112" s="52"/>
      <c r="E112" s="52"/>
      <c r="F112" s="52"/>
      <c r="G112" s="52"/>
    </row>
    <row r="113" spans="2:7" x14ac:dyDescent="0.25">
      <c r="B113" s="52"/>
      <c r="C113" s="52"/>
      <c r="D113" s="52"/>
      <c r="E113" s="52"/>
      <c r="F113" s="52"/>
      <c r="G113" s="52"/>
    </row>
    <row r="114" spans="2:7" x14ac:dyDescent="0.25">
      <c r="B114" s="52"/>
      <c r="C114" s="52"/>
      <c r="D114" s="52"/>
      <c r="E114" s="52"/>
      <c r="F114" s="52"/>
      <c r="G114" s="52"/>
    </row>
    <row r="115" spans="2:7" x14ac:dyDescent="0.25">
      <c r="B115" s="52"/>
      <c r="C115" s="52"/>
      <c r="D115" s="52"/>
      <c r="E115" s="52"/>
      <c r="F115" s="52"/>
      <c r="G115" s="52"/>
    </row>
    <row r="116" spans="2:7" x14ac:dyDescent="0.25">
      <c r="B116" s="52"/>
      <c r="C116" s="52"/>
      <c r="D116" s="52"/>
      <c r="E116" s="52"/>
      <c r="F116" s="52"/>
      <c r="G116" s="52"/>
    </row>
    <row r="117" spans="2:7" x14ac:dyDescent="0.25">
      <c r="B117" s="52"/>
      <c r="C117" s="52"/>
      <c r="D117" s="52"/>
      <c r="E117" s="52"/>
      <c r="F117" s="52"/>
      <c r="G117" s="52"/>
    </row>
    <row r="118" spans="2:7" x14ac:dyDescent="0.25">
      <c r="B118" s="52"/>
      <c r="C118" s="52"/>
      <c r="D118" s="52"/>
      <c r="E118" s="52"/>
      <c r="F118" s="52"/>
      <c r="G118" s="52"/>
    </row>
    <row r="119" spans="2:7" x14ac:dyDescent="0.25">
      <c r="B119" s="52"/>
      <c r="C119" s="52"/>
      <c r="D119" s="52"/>
      <c r="E119" s="52"/>
      <c r="F119" s="52"/>
      <c r="G119" s="52"/>
    </row>
    <row r="120" spans="2:7" x14ac:dyDescent="0.25">
      <c r="B120" s="52"/>
      <c r="C120" s="52"/>
      <c r="D120" s="52"/>
      <c r="E120" s="52"/>
      <c r="F120" s="52"/>
      <c r="G120" s="52"/>
    </row>
    <row r="121" spans="2:7" x14ac:dyDescent="0.25">
      <c r="B121" s="52"/>
      <c r="C121" s="52"/>
      <c r="D121" s="52"/>
      <c r="E121" s="52"/>
      <c r="F121" s="52"/>
      <c r="G121" s="52"/>
    </row>
    <row r="122" spans="2:7" x14ac:dyDescent="0.25">
      <c r="B122" s="52"/>
      <c r="C122" s="52"/>
      <c r="D122" s="52"/>
      <c r="E122" s="52"/>
      <c r="F122" s="52"/>
      <c r="G122" s="52"/>
    </row>
    <row r="123" spans="2:7" x14ac:dyDescent="0.25">
      <c r="B123" s="52"/>
      <c r="C123" s="52"/>
      <c r="D123" s="52"/>
      <c r="E123" s="52"/>
      <c r="F123" s="52"/>
      <c r="G123" s="52"/>
    </row>
    <row r="124" spans="2:7" x14ac:dyDescent="0.25">
      <c r="B124" s="52"/>
      <c r="C124" s="52"/>
      <c r="D124" s="52"/>
      <c r="E124" s="52"/>
      <c r="F124" s="52"/>
      <c r="G124" s="52"/>
    </row>
    <row r="125" spans="2:7" x14ac:dyDescent="0.25">
      <c r="B125" s="52"/>
      <c r="C125" s="52"/>
      <c r="D125" s="52"/>
      <c r="E125" s="52"/>
      <c r="F125" s="52"/>
      <c r="G125" s="52"/>
    </row>
    <row r="126" spans="2:7" x14ac:dyDescent="0.25">
      <c r="B126" s="52"/>
      <c r="C126" s="52"/>
      <c r="D126" s="52"/>
      <c r="E126" s="52"/>
      <c r="F126" s="52"/>
      <c r="G126" s="52"/>
    </row>
    <row r="127" spans="2:7" x14ac:dyDescent="0.25">
      <c r="B127" s="52"/>
      <c r="C127" s="52"/>
      <c r="D127" s="52"/>
      <c r="E127" s="52"/>
      <c r="F127" s="52"/>
      <c r="G127" s="52"/>
    </row>
    <row r="128" spans="2:7" x14ac:dyDescent="0.25">
      <c r="B128" s="52"/>
      <c r="C128" s="52"/>
      <c r="D128" s="52"/>
      <c r="E128" s="52"/>
      <c r="F128" s="52"/>
      <c r="G128" s="52"/>
    </row>
    <row r="129" spans="2:7" x14ac:dyDescent="0.25">
      <c r="B129" s="52"/>
      <c r="C129" s="52"/>
      <c r="D129" s="52"/>
      <c r="E129" s="52"/>
      <c r="F129" s="52"/>
      <c r="G129" s="52"/>
    </row>
    <row r="130" spans="2:7" x14ac:dyDescent="0.25">
      <c r="B130" s="52"/>
      <c r="C130" s="52"/>
      <c r="D130" s="52"/>
      <c r="E130" s="52"/>
      <c r="F130" s="52"/>
      <c r="G130" s="52"/>
    </row>
    <row r="131" spans="2:7" x14ac:dyDescent="0.25">
      <c r="B131" s="52"/>
      <c r="C131" s="52"/>
      <c r="D131" s="52"/>
      <c r="E131" s="52"/>
      <c r="F131" s="52"/>
      <c r="G131" s="52"/>
    </row>
    <row r="132" spans="2:7" x14ac:dyDescent="0.25">
      <c r="B132" s="52"/>
      <c r="C132" s="52"/>
      <c r="D132" s="52"/>
      <c r="E132" s="52"/>
      <c r="F132" s="52"/>
      <c r="G132" s="52"/>
    </row>
    <row r="133" spans="2:7" x14ac:dyDescent="0.25">
      <c r="B133" s="52"/>
      <c r="C133" s="52"/>
      <c r="D133" s="52"/>
      <c r="E133" s="52"/>
      <c r="F133" s="52"/>
      <c r="G133" s="52"/>
    </row>
    <row r="134" spans="2:7" x14ac:dyDescent="0.25">
      <c r="B134" s="52"/>
      <c r="C134" s="52"/>
      <c r="D134" s="52"/>
      <c r="E134" s="52"/>
      <c r="F134" s="52"/>
      <c r="G134" s="52"/>
    </row>
    <row r="135" spans="2:7" x14ac:dyDescent="0.25">
      <c r="B135" s="52"/>
      <c r="C135" s="52"/>
      <c r="D135" s="52"/>
      <c r="E135" s="52"/>
      <c r="F135" s="52"/>
      <c r="G135" s="52"/>
    </row>
    <row r="136" spans="2:7" x14ac:dyDescent="0.25">
      <c r="B136" s="52"/>
      <c r="C136" s="52"/>
      <c r="D136" s="52"/>
      <c r="E136" s="52"/>
      <c r="F136" s="52"/>
      <c r="G136" s="52"/>
    </row>
    <row r="137" spans="2:7" x14ac:dyDescent="0.25">
      <c r="B137" s="52"/>
      <c r="C137" s="52"/>
      <c r="D137" s="52"/>
      <c r="E137" s="52"/>
      <c r="F137" s="52"/>
      <c r="G137" s="52"/>
    </row>
    <row r="138" spans="2:7" x14ac:dyDescent="0.25">
      <c r="B138" s="52"/>
      <c r="C138" s="52"/>
      <c r="D138" s="52"/>
      <c r="E138" s="52"/>
      <c r="F138" s="52"/>
      <c r="G138" s="52"/>
    </row>
    <row r="139" spans="2:7" x14ac:dyDescent="0.25">
      <c r="B139" s="52"/>
      <c r="C139" s="52"/>
      <c r="D139" s="52"/>
      <c r="E139" s="52"/>
      <c r="F139" s="52"/>
      <c r="G139" s="52"/>
    </row>
    <row r="140" spans="2:7" x14ac:dyDescent="0.25">
      <c r="B140" s="52"/>
      <c r="C140" s="52"/>
      <c r="D140" s="52"/>
      <c r="E140" s="52"/>
      <c r="F140" s="52"/>
      <c r="G140" s="52"/>
    </row>
    <row r="141" spans="2:7" x14ac:dyDescent="0.25">
      <c r="B141" s="52"/>
      <c r="C141" s="52"/>
      <c r="D141" s="52"/>
      <c r="E141" s="52"/>
      <c r="F141" s="52"/>
      <c r="G141" s="52"/>
    </row>
    <row r="142" spans="2:7" x14ac:dyDescent="0.25">
      <c r="B142" s="52"/>
      <c r="C142" s="52"/>
      <c r="D142" s="52"/>
      <c r="E142" s="52"/>
      <c r="F142" s="52"/>
      <c r="G142" s="52"/>
    </row>
    <row r="143" spans="2:7" x14ac:dyDescent="0.25">
      <c r="B143" s="52"/>
      <c r="C143" s="52"/>
      <c r="D143" s="52"/>
      <c r="E143" s="52"/>
      <c r="F143" s="52"/>
      <c r="G143" s="52"/>
    </row>
    <row r="144" spans="2:7" x14ac:dyDescent="0.25">
      <c r="B144" s="52"/>
      <c r="C144" s="52"/>
      <c r="D144" s="52"/>
      <c r="E144" s="52"/>
      <c r="F144" s="52"/>
      <c r="G144" s="52"/>
    </row>
    <row r="145" spans="2:7" x14ac:dyDescent="0.25">
      <c r="B145" s="52"/>
      <c r="C145" s="52"/>
      <c r="D145" s="52"/>
      <c r="E145" s="52"/>
      <c r="F145" s="52"/>
      <c r="G145" s="52"/>
    </row>
    <row r="146" spans="2:7" x14ac:dyDescent="0.25">
      <c r="B146" s="52"/>
      <c r="C146" s="52"/>
      <c r="D146" s="52"/>
      <c r="E146" s="52"/>
      <c r="F146" s="52"/>
      <c r="G146" s="52"/>
    </row>
    <row r="147" spans="2:7" x14ac:dyDescent="0.25">
      <c r="B147" s="52"/>
      <c r="C147" s="52"/>
      <c r="D147" s="52"/>
      <c r="E147" s="52"/>
      <c r="F147" s="52"/>
      <c r="G147" s="52"/>
    </row>
    <row r="148" spans="2:7" x14ac:dyDescent="0.25">
      <c r="B148" s="52"/>
      <c r="C148" s="52"/>
      <c r="D148" s="52"/>
      <c r="E148" s="52"/>
      <c r="F148" s="52"/>
      <c r="G148" s="52"/>
    </row>
    <row r="149" spans="2:7" x14ac:dyDescent="0.25">
      <c r="B149" s="52"/>
      <c r="C149" s="52"/>
      <c r="D149" s="52"/>
      <c r="E149" s="52"/>
      <c r="F149" s="52"/>
      <c r="G149" s="52"/>
    </row>
    <row r="150" spans="2:7" x14ac:dyDescent="0.25">
      <c r="B150" s="52"/>
      <c r="C150" s="52"/>
      <c r="D150" s="52"/>
      <c r="E150" s="52"/>
      <c r="F150" s="52"/>
      <c r="G150" s="52"/>
    </row>
    <row r="151" spans="2:7" x14ac:dyDescent="0.25">
      <c r="B151" s="52"/>
      <c r="C151" s="52"/>
      <c r="D151" s="52"/>
      <c r="E151" s="52"/>
      <c r="F151" s="52"/>
      <c r="G151" s="52"/>
    </row>
    <row r="152" spans="2:7" x14ac:dyDescent="0.25">
      <c r="B152" s="52"/>
      <c r="C152" s="52"/>
      <c r="D152" s="52"/>
      <c r="E152" s="52"/>
      <c r="F152" s="52"/>
      <c r="G152" s="52"/>
    </row>
    <row r="153" spans="2:7" x14ac:dyDescent="0.25">
      <c r="B153" s="52"/>
      <c r="C153" s="52"/>
      <c r="D153" s="52"/>
      <c r="E153" s="52"/>
      <c r="F153" s="52"/>
      <c r="G153" s="52"/>
    </row>
    <row r="154" spans="2:7" x14ac:dyDescent="0.25">
      <c r="B154" s="52"/>
      <c r="C154" s="52"/>
      <c r="D154" s="52"/>
      <c r="E154" s="52"/>
      <c r="F154" s="52"/>
      <c r="G154" s="52"/>
    </row>
    <row r="155" spans="2:7" x14ac:dyDescent="0.25">
      <c r="B155" s="52"/>
      <c r="C155" s="52"/>
      <c r="D155" s="52"/>
      <c r="E155" s="52"/>
      <c r="F155" s="52"/>
      <c r="G155" s="52"/>
    </row>
    <row r="156" spans="2:7" x14ac:dyDescent="0.25">
      <c r="B156" s="52"/>
      <c r="C156" s="52"/>
      <c r="D156" s="52"/>
      <c r="E156" s="52"/>
      <c r="F156" s="52"/>
      <c r="G156" s="52"/>
    </row>
    <row r="157" spans="2:7" x14ac:dyDescent="0.25">
      <c r="B157" s="52"/>
      <c r="C157" s="52"/>
      <c r="D157" s="52"/>
      <c r="E157" s="52"/>
      <c r="F157" s="52"/>
      <c r="G157" s="52"/>
    </row>
    <row r="158" spans="2:7" x14ac:dyDescent="0.25">
      <c r="B158" s="52"/>
      <c r="C158" s="52"/>
      <c r="D158" s="52"/>
      <c r="E158" s="52"/>
      <c r="F158" s="52"/>
      <c r="G158" s="52"/>
    </row>
    <row r="159" spans="2:7" x14ac:dyDescent="0.25">
      <c r="B159" s="52"/>
      <c r="C159" s="52"/>
      <c r="D159" s="52"/>
      <c r="E159" s="52"/>
      <c r="F159" s="52"/>
      <c r="G159" s="52"/>
    </row>
    <row r="160" spans="2:7" x14ac:dyDescent="0.25">
      <c r="B160" s="52"/>
      <c r="C160" s="52"/>
      <c r="D160" s="52"/>
      <c r="E160" s="52"/>
      <c r="F160" s="52"/>
      <c r="G160" s="52"/>
    </row>
    <row r="161" spans="2:7" x14ac:dyDescent="0.25">
      <c r="B161" s="52"/>
      <c r="C161" s="52"/>
      <c r="D161" s="52"/>
      <c r="E161" s="52"/>
      <c r="F161" s="52"/>
      <c r="G161" s="52"/>
    </row>
    <row r="162" spans="2:7" x14ac:dyDescent="0.25">
      <c r="B162" s="52"/>
      <c r="C162" s="52"/>
      <c r="D162" s="52"/>
      <c r="E162" s="52"/>
      <c r="F162" s="52"/>
      <c r="G162" s="52"/>
    </row>
    <row r="163" spans="2:7" x14ac:dyDescent="0.25">
      <c r="B163" s="52"/>
      <c r="C163" s="52"/>
      <c r="D163" s="52"/>
      <c r="E163" s="52"/>
      <c r="F163" s="52"/>
      <c r="G163" s="52"/>
    </row>
    <row r="164" spans="2:7" x14ac:dyDescent="0.25">
      <c r="B164" s="52"/>
      <c r="C164" s="52"/>
      <c r="D164" s="52"/>
      <c r="E164" s="52"/>
      <c r="F164" s="52"/>
      <c r="G164" s="52"/>
    </row>
    <row r="165" spans="2:7" x14ac:dyDescent="0.25">
      <c r="B165" s="52"/>
      <c r="C165" s="52"/>
      <c r="D165" s="52"/>
      <c r="E165" s="52"/>
      <c r="F165" s="52"/>
      <c r="G165" s="52"/>
    </row>
    <row r="166" spans="2:7" x14ac:dyDescent="0.25">
      <c r="B166" s="52"/>
      <c r="C166" s="52"/>
      <c r="D166" s="52"/>
      <c r="E166" s="52"/>
      <c r="F166" s="52"/>
      <c r="G166" s="52"/>
    </row>
    <row r="167" spans="2:7" x14ac:dyDescent="0.25">
      <c r="B167" s="52"/>
      <c r="C167" s="52"/>
      <c r="D167" s="52"/>
      <c r="E167" s="52"/>
      <c r="F167" s="52"/>
      <c r="G167" s="52"/>
    </row>
    <row r="168" spans="2:7" x14ac:dyDescent="0.25">
      <c r="B168" s="52"/>
      <c r="C168" s="52"/>
      <c r="D168" s="52"/>
      <c r="E168" s="52"/>
      <c r="F168" s="52"/>
      <c r="G168" s="52"/>
    </row>
    <row r="169" spans="2:7" x14ac:dyDescent="0.25">
      <c r="B169" s="52"/>
      <c r="C169" s="52"/>
      <c r="D169" s="52"/>
      <c r="E169" s="52"/>
      <c r="F169" s="52"/>
      <c r="G169" s="52"/>
    </row>
    <row r="170" spans="2:7" x14ac:dyDescent="0.25">
      <c r="B170" s="52"/>
      <c r="C170" s="52"/>
      <c r="D170" s="52"/>
      <c r="E170" s="52"/>
      <c r="F170" s="52"/>
      <c r="G170" s="52"/>
    </row>
    <row r="171" spans="2:7" x14ac:dyDescent="0.25">
      <c r="B171" s="52"/>
      <c r="C171" s="52"/>
      <c r="D171" s="52"/>
      <c r="E171" s="52"/>
      <c r="F171" s="52"/>
      <c r="G171" s="52"/>
    </row>
    <row r="172" spans="2:7" x14ac:dyDescent="0.25">
      <c r="B172" s="52"/>
      <c r="C172" s="52"/>
      <c r="D172" s="52"/>
      <c r="E172" s="52"/>
      <c r="F172" s="52"/>
      <c r="G172" s="52"/>
    </row>
    <row r="173" spans="2:7" x14ac:dyDescent="0.25">
      <c r="B173" s="52"/>
      <c r="C173" s="52"/>
      <c r="D173" s="52"/>
      <c r="E173" s="52"/>
      <c r="F173" s="52"/>
      <c r="G173" s="52"/>
    </row>
    <row r="174" spans="2:7" x14ac:dyDescent="0.25">
      <c r="B174" s="52"/>
      <c r="C174" s="52"/>
      <c r="D174" s="52"/>
      <c r="E174" s="52"/>
      <c r="F174" s="52"/>
      <c r="G174" s="52"/>
    </row>
    <row r="175" spans="2:7" x14ac:dyDescent="0.25">
      <c r="B175" s="52"/>
      <c r="C175" s="52"/>
      <c r="D175" s="52"/>
      <c r="E175" s="52"/>
      <c r="F175" s="52"/>
      <c r="G175" s="52"/>
    </row>
    <row r="176" spans="2:7" x14ac:dyDescent="0.25">
      <c r="B176" s="52"/>
      <c r="C176" s="52"/>
      <c r="D176" s="52"/>
      <c r="E176" s="52"/>
      <c r="F176" s="52"/>
      <c r="G176" s="52"/>
    </row>
    <row r="177" spans="2:7" x14ac:dyDescent="0.25">
      <c r="B177" s="52"/>
      <c r="C177" s="52"/>
      <c r="D177" s="52"/>
      <c r="E177" s="52"/>
      <c r="F177" s="52"/>
      <c r="G177" s="52"/>
    </row>
    <row r="178" spans="2:7" x14ac:dyDescent="0.25">
      <c r="B178" s="52"/>
      <c r="C178" s="52"/>
      <c r="D178" s="52"/>
      <c r="E178" s="52"/>
      <c r="F178" s="52"/>
      <c r="G178" s="52"/>
    </row>
    <row r="179" spans="2:7" x14ac:dyDescent="0.25">
      <c r="B179" s="52"/>
      <c r="C179" s="52"/>
      <c r="D179" s="52"/>
      <c r="E179" s="52"/>
      <c r="F179" s="52"/>
      <c r="G179" s="52"/>
    </row>
    <row r="180" spans="2:7" x14ac:dyDescent="0.25">
      <c r="B180" s="52"/>
      <c r="C180" s="52"/>
      <c r="D180" s="52"/>
      <c r="E180" s="52"/>
      <c r="F180" s="52"/>
      <c r="G180" s="52"/>
    </row>
    <row r="181" spans="2:7" x14ac:dyDescent="0.25">
      <c r="B181" s="52"/>
      <c r="C181" s="52"/>
      <c r="D181" s="52"/>
      <c r="E181" s="52"/>
      <c r="F181" s="52"/>
      <c r="G181" s="52"/>
    </row>
    <row r="182" spans="2:7" x14ac:dyDescent="0.25">
      <c r="B182" s="52"/>
      <c r="C182" s="52"/>
      <c r="D182" s="52"/>
      <c r="E182" s="52"/>
      <c r="F182" s="52"/>
      <c r="G182" s="52"/>
    </row>
    <row r="183" spans="2:7" x14ac:dyDescent="0.25">
      <c r="B183" s="52"/>
      <c r="C183" s="52"/>
      <c r="D183" s="52"/>
      <c r="E183" s="52"/>
      <c r="F183" s="52"/>
      <c r="G183" s="52"/>
    </row>
    <row r="184" spans="2:7" x14ac:dyDescent="0.25">
      <c r="B184" s="52"/>
      <c r="C184" s="52"/>
      <c r="D184" s="52"/>
      <c r="E184" s="52"/>
      <c r="F184" s="52"/>
      <c r="G184" s="52"/>
    </row>
    <row r="185" spans="2:7" x14ac:dyDescent="0.25">
      <c r="B185" s="52"/>
      <c r="C185" s="52"/>
      <c r="D185" s="52"/>
      <c r="E185" s="52"/>
      <c r="F185" s="52"/>
      <c r="G185" s="52"/>
    </row>
    <row r="186" spans="2:7" x14ac:dyDescent="0.25">
      <c r="B186" s="52"/>
      <c r="C186" s="52"/>
      <c r="D186" s="52"/>
      <c r="E186" s="52"/>
      <c r="F186" s="52"/>
      <c r="G186" s="52"/>
    </row>
    <row r="187" spans="2:7" x14ac:dyDescent="0.25">
      <c r="B187" s="52"/>
      <c r="C187" s="52"/>
      <c r="D187" s="52"/>
      <c r="E187" s="52"/>
      <c r="F187" s="52"/>
      <c r="G187" s="52"/>
    </row>
    <row r="188" spans="2:7" x14ac:dyDescent="0.25">
      <c r="B188" s="52"/>
      <c r="C188" s="52"/>
      <c r="D188" s="52"/>
      <c r="E188" s="52"/>
      <c r="F188" s="52"/>
      <c r="G188" s="52"/>
    </row>
    <row r="189" spans="2:7" x14ac:dyDescent="0.25">
      <c r="B189" s="52"/>
      <c r="C189" s="52"/>
      <c r="D189" s="52"/>
      <c r="E189" s="52"/>
      <c r="F189" s="52"/>
      <c r="G189" s="52"/>
    </row>
    <row r="190" spans="2:7" x14ac:dyDescent="0.25">
      <c r="B190" s="52"/>
      <c r="C190" s="52"/>
      <c r="D190" s="52"/>
      <c r="E190" s="52"/>
      <c r="F190" s="52"/>
      <c r="G190" s="52"/>
    </row>
    <row r="191" spans="2:7" x14ac:dyDescent="0.25">
      <c r="B191" s="52"/>
      <c r="C191" s="52"/>
      <c r="D191" s="52"/>
      <c r="E191" s="52"/>
      <c r="F191" s="52"/>
      <c r="G191" s="52"/>
    </row>
    <row r="192" spans="2:7" x14ac:dyDescent="0.25">
      <c r="B192" s="52"/>
      <c r="C192" s="52"/>
      <c r="D192" s="52"/>
      <c r="E192" s="52"/>
      <c r="F192" s="52"/>
      <c r="G192" s="52"/>
    </row>
    <row r="193" spans="2:7" x14ac:dyDescent="0.25">
      <c r="B193" s="52"/>
      <c r="C193" s="52"/>
      <c r="D193" s="52"/>
      <c r="E193" s="52"/>
      <c r="F193" s="52"/>
      <c r="G193" s="52"/>
    </row>
    <row r="194" spans="2:7" x14ac:dyDescent="0.25">
      <c r="B194" s="52"/>
      <c r="C194" s="52"/>
      <c r="D194" s="52"/>
      <c r="E194" s="52"/>
      <c r="F194" s="52"/>
      <c r="G194" s="52"/>
    </row>
    <row r="195" spans="2:7" x14ac:dyDescent="0.25">
      <c r="B195" s="52"/>
      <c r="C195" s="52"/>
      <c r="D195" s="52"/>
      <c r="E195" s="52"/>
      <c r="F195" s="52"/>
      <c r="G195" s="52"/>
    </row>
    <row r="196" spans="2:7" x14ac:dyDescent="0.25">
      <c r="B196" s="52"/>
      <c r="C196" s="52"/>
      <c r="D196" s="52"/>
      <c r="E196" s="52"/>
      <c r="F196" s="52"/>
      <c r="G196" s="52"/>
    </row>
    <row r="197" spans="2:7" x14ac:dyDescent="0.25">
      <c r="B197" s="52"/>
      <c r="C197" s="52"/>
      <c r="D197" s="52"/>
      <c r="E197" s="52"/>
      <c r="F197" s="52"/>
      <c r="G197" s="52"/>
    </row>
    <row r="198" spans="2:7" x14ac:dyDescent="0.25">
      <c r="B198" s="52"/>
      <c r="C198" s="52"/>
      <c r="D198" s="52"/>
      <c r="E198" s="52"/>
      <c r="F198" s="52"/>
      <c r="G198" s="52"/>
    </row>
    <row r="199" spans="2:7" x14ac:dyDescent="0.25">
      <c r="B199" s="52"/>
      <c r="C199" s="52"/>
      <c r="D199" s="52"/>
      <c r="E199" s="52"/>
      <c r="F199" s="52"/>
      <c r="G199" s="52"/>
    </row>
    <row r="200" spans="2:7" x14ac:dyDescent="0.25">
      <c r="B200" s="52"/>
      <c r="C200" s="52"/>
      <c r="D200" s="52"/>
      <c r="E200" s="52"/>
      <c r="F200" s="52"/>
      <c r="G200" s="52"/>
    </row>
    <row r="201" spans="2:7" x14ac:dyDescent="0.25">
      <c r="B201" s="52"/>
      <c r="C201" s="52"/>
      <c r="D201" s="52"/>
      <c r="E201" s="52"/>
      <c r="F201" s="52"/>
      <c r="G201" s="52"/>
    </row>
    <row r="202" spans="2:7" x14ac:dyDescent="0.25">
      <c r="B202" s="52"/>
      <c r="C202" s="52"/>
      <c r="D202" s="52"/>
      <c r="E202" s="52"/>
      <c r="F202" s="52"/>
      <c r="G202" s="52"/>
    </row>
    <row r="203" spans="2:7" x14ac:dyDescent="0.25">
      <c r="B203" s="52"/>
      <c r="C203" s="52"/>
      <c r="D203" s="52"/>
      <c r="E203" s="52"/>
      <c r="F203" s="52"/>
      <c r="G203" s="52"/>
    </row>
    <row r="204" spans="2:7" x14ac:dyDescent="0.25">
      <c r="B204" s="52"/>
      <c r="C204" s="52"/>
      <c r="D204" s="52"/>
      <c r="E204" s="52"/>
      <c r="F204" s="52"/>
      <c r="G204" s="52"/>
    </row>
    <row r="205" spans="2:7" x14ac:dyDescent="0.25">
      <c r="B205" s="52"/>
      <c r="C205" s="52"/>
      <c r="D205" s="52"/>
      <c r="E205" s="52"/>
      <c r="F205" s="52"/>
      <c r="G205" s="52"/>
    </row>
    <row r="206" spans="2:7" x14ac:dyDescent="0.25">
      <c r="B206" s="52"/>
      <c r="C206" s="52"/>
      <c r="D206" s="52"/>
      <c r="E206" s="52"/>
      <c r="F206" s="52"/>
      <c r="G206" s="52"/>
    </row>
    <row r="207" spans="2:7" x14ac:dyDescent="0.25">
      <c r="B207" s="52"/>
      <c r="C207" s="52"/>
      <c r="D207" s="52"/>
      <c r="E207" s="52"/>
      <c r="F207" s="52"/>
      <c r="G207" s="52"/>
    </row>
    <row r="208" spans="2:7" x14ac:dyDescent="0.25">
      <c r="B208" s="52"/>
      <c r="C208" s="52"/>
      <c r="D208" s="52"/>
      <c r="E208" s="52"/>
      <c r="F208" s="52"/>
      <c r="G208" s="52"/>
    </row>
    <row r="209" spans="2:7" x14ac:dyDescent="0.25">
      <c r="B209" s="52"/>
      <c r="C209" s="52"/>
      <c r="D209" s="52"/>
      <c r="E209" s="52"/>
      <c r="F209" s="52"/>
      <c r="G209" s="52"/>
    </row>
    <row r="210" spans="2:7" x14ac:dyDescent="0.25">
      <c r="B210" s="52"/>
      <c r="C210" s="52"/>
      <c r="D210" s="52"/>
      <c r="E210" s="52"/>
      <c r="F210" s="52"/>
      <c r="G210" s="52"/>
    </row>
    <row r="211" spans="2:7" x14ac:dyDescent="0.25">
      <c r="B211" s="52"/>
      <c r="C211" s="52"/>
      <c r="D211" s="52"/>
      <c r="E211" s="52"/>
      <c r="F211" s="52"/>
      <c r="G211" s="52"/>
    </row>
    <row r="212" spans="2:7" x14ac:dyDescent="0.25">
      <c r="B212" s="52"/>
      <c r="C212" s="52"/>
      <c r="D212" s="52"/>
      <c r="E212" s="52"/>
      <c r="F212" s="52"/>
      <c r="G212" s="52"/>
    </row>
    <row r="213" spans="2:7" x14ac:dyDescent="0.25">
      <c r="B213" s="52"/>
      <c r="C213" s="52"/>
      <c r="D213" s="52"/>
      <c r="E213" s="52"/>
      <c r="F213" s="52"/>
      <c r="G213" s="52"/>
    </row>
    <row r="214" spans="2:7" x14ac:dyDescent="0.25">
      <c r="B214" s="52"/>
      <c r="C214" s="52"/>
      <c r="D214" s="52"/>
      <c r="E214" s="52"/>
      <c r="F214" s="52"/>
      <c r="G214" s="52"/>
    </row>
    <row r="215" spans="2:7" x14ac:dyDescent="0.25">
      <c r="B215" s="52"/>
      <c r="C215" s="52"/>
      <c r="D215" s="52"/>
      <c r="E215" s="52"/>
      <c r="F215" s="52"/>
      <c r="G215" s="52"/>
    </row>
    <row r="216" spans="2:7" x14ac:dyDescent="0.25">
      <c r="B216" s="52"/>
      <c r="C216" s="52"/>
      <c r="D216" s="52"/>
      <c r="E216" s="52"/>
      <c r="F216" s="52"/>
      <c r="G216" s="52"/>
    </row>
    <row r="217" spans="2:7" x14ac:dyDescent="0.25">
      <c r="B217" s="52"/>
      <c r="C217" s="52"/>
      <c r="D217" s="52"/>
      <c r="E217" s="52"/>
      <c r="F217" s="52"/>
      <c r="G217" s="52"/>
    </row>
    <row r="218" spans="2:7" x14ac:dyDescent="0.25">
      <c r="B218" s="52"/>
      <c r="C218" s="52"/>
      <c r="D218" s="52"/>
      <c r="E218" s="52"/>
      <c r="F218" s="52"/>
      <c r="G218" s="52"/>
    </row>
    <row r="219" spans="2:7" x14ac:dyDescent="0.25">
      <c r="B219" s="52"/>
      <c r="C219" s="52"/>
      <c r="D219" s="52"/>
      <c r="E219" s="52"/>
      <c r="F219" s="52"/>
      <c r="G219" s="52"/>
    </row>
    <row r="220" spans="2:7" x14ac:dyDescent="0.25">
      <c r="B220" s="52"/>
      <c r="C220" s="52"/>
      <c r="D220" s="52"/>
      <c r="E220" s="52"/>
      <c r="F220" s="52"/>
      <c r="G220" s="52"/>
    </row>
    <row r="221" spans="2:7" x14ac:dyDescent="0.25">
      <c r="B221" s="52"/>
      <c r="C221" s="52"/>
      <c r="D221" s="52"/>
      <c r="E221" s="52"/>
      <c r="F221" s="52"/>
      <c r="G221" s="52"/>
    </row>
    <row r="222" spans="2:7" x14ac:dyDescent="0.25">
      <c r="B222" s="52"/>
      <c r="C222" s="52"/>
      <c r="D222" s="52"/>
      <c r="E222" s="52"/>
      <c r="F222" s="52"/>
      <c r="G222" s="52"/>
    </row>
    <row r="223" spans="2:7" x14ac:dyDescent="0.25">
      <c r="B223" s="52"/>
      <c r="C223" s="52"/>
      <c r="D223" s="52"/>
      <c r="E223" s="52"/>
      <c r="F223" s="52"/>
      <c r="G223" s="52"/>
    </row>
    <row r="224" spans="2:7" x14ac:dyDescent="0.25">
      <c r="B224" s="52"/>
      <c r="C224" s="52"/>
      <c r="D224" s="52"/>
      <c r="E224" s="52"/>
      <c r="F224" s="52"/>
      <c r="G224" s="52"/>
    </row>
    <row r="225" spans="2:7" x14ac:dyDescent="0.25">
      <c r="B225" s="52"/>
      <c r="C225" s="52"/>
      <c r="D225" s="52"/>
      <c r="E225" s="52"/>
      <c r="F225" s="52"/>
      <c r="G225" s="52"/>
    </row>
    <row r="226" spans="2:7" x14ac:dyDescent="0.25">
      <c r="B226" s="52"/>
      <c r="C226" s="52"/>
      <c r="D226" s="52"/>
      <c r="E226" s="52"/>
      <c r="F226" s="52"/>
      <c r="G226" s="52"/>
    </row>
    <row r="227" spans="2:7" x14ac:dyDescent="0.25">
      <c r="B227" s="52"/>
      <c r="C227" s="52"/>
      <c r="D227" s="52"/>
      <c r="E227" s="52"/>
      <c r="F227" s="52"/>
      <c r="G227" s="52"/>
    </row>
    <row r="228" spans="2:7" x14ac:dyDescent="0.25">
      <c r="B228" s="52"/>
      <c r="C228" s="52"/>
      <c r="D228" s="52"/>
      <c r="E228" s="52"/>
      <c r="F228" s="52"/>
      <c r="G228" s="52"/>
    </row>
    <row r="229" spans="2:7" x14ac:dyDescent="0.25">
      <c r="B229" s="52"/>
      <c r="C229" s="52"/>
      <c r="D229" s="52"/>
      <c r="E229" s="52"/>
      <c r="F229" s="52"/>
      <c r="G229" s="52"/>
    </row>
    <row r="230" spans="2:7" x14ac:dyDescent="0.25">
      <c r="B230" s="52"/>
      <c r="C230" s="52"/>
      <c r="D230" s="52"/>
      <c r="E230" s="52"/>
      <c r="F230" s="52"/>
      <c r="G230" s="52"/>
    </row>
    <row r="231" spans="2:7" x14ac:dyDescent="0.25">
      <c r="B231" s="52"/>
      <c r="C231" s="52"/>
      <c r="D231" s="52"/>
      <c r="E231" s="52"/>
      <c r="F231" s="52"/>
      <c r="G231" s="52"/>
    </row>
    <row r="232" spans="2:7" x14ac:dyDescent="0.25">
      <c r="B232" s="52"/>
      <c r="C232" s="52"/>
      <c r="D232" s="52"/>
      <c r="E232" s="52"/>
      <c r="F232" s="52"/>
      <c r="G232" s="52"/>
    </row>
    <row r="233" spans="2:7" x14ac:dyDescent="0.25">
      <c r="B233" s="52"/>
      <c r="C233" s="52"/>
      <c r="D233" s="52"/>
      <c r="E233" s="52"/>
      <c r="F233" s="52"/>
      <c r="G233" s="52"/>
    </row>
    <row r="234" spans="2:7" x14ac:dyDescent="0.25">
      <c r="B234" s="52"/>
      <c r="C234" s="52"/>
      <c r="D234" s="52"/>
      <c r="E234" s="52"/>
      <c r="F234" s="52"/>
      <c r="G234" s="52"/>
    </row>
    <row r="235" spans="2:7" x14ac:dyDescent="0.25">
      <c r="B235" s="52"/>
      <c r="C235" s="52"/>
      <c r="D235" s="52"/>
      <c r="E235" s="52"/>
      <c r="F235" s="52"/>
      <c r="G235" s="52"/>
    </row>
    <row r="236" spans="2:7" x14ac:dyDescent="0.25">
      <c r="B236" s="52"/>
      <c r="C236" s="52"/>
      <c r="D236" s="52"/>
      <c r="E236" s="52"/>
      <c r="F236" s="52"/>
      <c r="G236" s="52"/>
    </row>
    <row r="237" spans="2:7" x14ac:dyDescent="0.25">
      <c r="B237" s="52"/>
      <c r="C237" s="52"/>
      <c r="D237" s="52"/>
      <c r="E237" s="52"/>
      <c r="F237" s="52"/>
      <c r="G237" s="52"/>
    </row>
    <row r="238" spans="2:7" x14ac:dyDescent="0.25">
      <c r="B238" s="52"/>
      <c r="C238" s="52"/>
      <c r="D238" s="52"/>
      <c r="E238" s="52"/>
      <c r="F238" s="52"/>
      <c r="G238" s="52"/>
    </row>
    <row r="239" spans="2:7" x14ac:dyDescent="0.25">
      <c r="B239" s="52"/>
      <c r="C239" s="52"/>
      <c r="D239" s="52"/>
      <c r="E239" s="52"/>
      <c r="F239" s="52"/>
      <c r="G239" s="52"/>
    </row>
    <row r="240" spans="2:7" x14ac:dyDescent="0.25">
      <c r="B240" s="52"/>
      <c r="C240" s="52"/>
      <c r="D240" s="52"/>
      <c r="E240" s="52"/>
      <c r="F240" s="52"/>
      <c r="G240" s="52"/>
    </row>
    <row r="241" spans="2:7" x14ac:dyDescent="0.25">
      <c r="B241" s="52"/>
      <c r="C241" s="52"/>
      <c r="D241" s="52"/>
      <c r="E241" s="52"/>
      <c r="F241" s="52"/>
      <c r="G241" s="52"/>
    </row>
    <row r="242" spans="2:7" x14ac:dyDescent="0.25">
      <c r="B242" s="52"/>
      <c r="C242" s="52"/>
      <c r="D242" s="52"/>
      <c r="E242" s="52"/>
      <c r="F242" s="52"/>
      <c r="G242" s="52"/>
    </row>
    <row r="243" spans="2:7" x14ac:dyDescent="0.25">
      <c r="B243" s="52"/>
      <c r="C243" s="52"/>
      <c r="D243" s="52"/>
      <c r="E243" s="52"/>
      <c r="F243" s="52"/>
      <c r="G243" s="52"/>
    </row>
    <row r="244" spans="2:7" x14ac:dyDescent="0.25">
      <c r="B244" s="52"/>
      <c r="C244" s="52"/>
      <c r="D244" s="52"/>
      <c r="E244" s="52"/>
      <c r="F244" s="52"/>
      <c r="G244" s="52"/>
    </row>
    <row r="245" spans="2:7" x14ac:dyDescent="0.25">
      <c r="B245" s="52"/>
      <c r="C245" s="52"/>
      <c r="D245" s="52"/>
      <c r="E245" s="52"/>
      <c r="F245" s="52"/>
      <c r="G245" s="52"/>
    </row>
    <row r="246" spans="2:7" x14ac:dyDescent="0.25">
      <c r="B246" s="52"/>
      <c r="C246" s="52"/>
      <c r="D246" s="52"/>
      <c r="E246" s="52"/>
      <c r="F246" s="52"/>
      <c r="G246" s="52"/>
    </row>
    <row r="247" spans="2:7" x14ac:dyDescent="0.25">
      <c r="B247" s="52"/>
      <c r="C247" s="52"/>
      <c r="D247" s="52"/>
      <c r="E247" s="52"/>
      <c r="F247" s="52"/>
      <c r="G247" s="52"/>
    </row>
    <row r="248" spans="2:7" x14ac:dyDescent="0.25">
      <c r="B248" s="52"/>
      <c r="C248" s="52"/>
      <c r="D248" s="52"/>
      <c r="E248" s="52"/>
      <c r="F248" s="52"/>
      <c r="G248" s="52"/>
    </row>
    <row r="249" spans="2:7" x14ac:dyDescent="0.25">
      <c r="B249" s="52"/>
      <c r="C249" s="52"/>
      <c r="D249" s="52"/>
      <c r="E249" s="52"/>
      <c r="F249" s="52"/>
      <c r="G249" s="52"/>
    </row>
    <row r="250" spans="2:7" x14ac:dyDescent="0.25">
      <c r="B250" s="52"/>
      <c r="C250" s="52"/>
      <c r="D250" s="52"/>
      <c r="E250" s="52"/>
      <c r="F250" s="52"/>
      <c r="G250" s="52"/>
    </row>
    <row r="251" spans="2:7" x14ac:dyDescent="0.25">
      <c r="B251" s="52"/>
      <c r="C251" s="52"/>
      <c r="D251" s="52"/>
      <c r="E251" s="52"/>
      <c r="F251" s="52"/>
      <c r="G251" s="52"/>
    </row>
    <row r="252" spans="2:7" x14ac:dyDescent="0.25">
      <c r="B252" s="52"/>
      <c r="C252" s="52"/>
      <c r="D252" s="52"/>
      <c r="E252" s="52"/>
      <c r="F252" s="52"/>
      <c r="G252" s="52"/>
    </row>
    <row r="253" spans="2:7" x14ac:dyDescent="0.25">
      <c r="B253" s="52"/>
      <c r="C253" s="52"/>
      <c r="D253" s="52"/>
      <c r="E253" s="52"/>
      <c r="F253" s="52"/>
      <c r="G253" s="52"/>
    </row>
    <row r="254" spans="2:7" x14ac:dyDescent="0.25">
      <c r="B254" s="52"/>
      <c r="C254" s="52"/>
      <c r="D254" s="52"/>
      <c r="E254" s="52"/>
      <c r="F254" s="52"/>
      <c r="G254" s="52"/>
    </row>
    <row r="255" spans="2:7" x14ac:dyDescent="0.25">
      <c r="B255" s="52"/>
      <c r="C255" s="52"/>
      <c r="D255" s="52"/>
      <c r="E255" s="52"/>
      <c r="F255" s="52"/>
      <c r="G255" s="52"/>
    </row>
    <row r="256" spans="2:7" x14ac:dyDescent="0.25">
      <c r="B256" s="52"/>
      <c r="C256" s="52"/>
      <c r="D256" s="52"/>
      <c r="E256" s="52"/>
      <c r="F256" s="52"/>
      <c r="G256" s="52"/>
    </row>
    <row r="257" spans="2:7" x14ac:dyDescent="0.25">
      <c r="B257" s="52"/>
      <c r="C257" s="52"/>
      <c r="D257" s="52"/>
      <c r="E257" s="52"/>
      <c r="F257" s="52"/>
      <c r="G257" s="52"/>
    </row>
    <row r="258" spans="2:7" x14ac:dyDescent="0.25">
      <c r="B258" s="52"/>
      <c r="C258" s="52"/>
      <c r="D258" s="52"/>
      <c r="E258" s="52"/>
      <c r="F258" s="52"/>
      <c r="G258" s="52"/>
    </row>
    <row r="259" spans="2:7" x14ac:dyDescent="0.25">
      <c r="B259" s="52"/>
      <c r="C259" s="52"/>
      <c r="D259" s="52"/>
      <c r="E259" s="52"/>
      <c r="F259" s="52"/>
      <c r="G259" s="52"/>
    </row>
    <row r="260" spans="2:7" x14ac:dyDescent="0.25">
      <c r="B260" s="52"/>
      <c r="C260" s="52"/>
      <c r="D260" s="52"/>
      <c r="E260" s="52"/>
      <c r="F260" s="52"/>
      <c r="G260" s="52"/>
    </row>
    <row r="261" spans="2:7" x14ac:dyDescent="0.25">
      <c r="B261" s="52"/>
      <c r="C261" s="52"/>
      <c r="D261" s="52"/>
      <c r="E261" s="52"/>
      <c r="F261" s="52"/>
      <c r="G261" s="52"/>
    </row>
    <row r="262" spans="2:7" x14ac:dyDescent="0.25">
      <c r="B262" s="52"/>
      <c r="C262" s="52"/>
      <c r="D262" s="52"/>
      <c r="E262" s="52"/>
      <c r="F262" s="52"/>
      <c r="G262" s="52"/>
    </row>
    <row r="263" spans="2:7" x14ac:dyDescent="0.25">
      <c r="B263" s="52"/>
      <c r="C263" s="52"/>
      <c r="D263" s="52"/>
      <c r="E263" s="52"/>
      <c r="F263" s="52"/>
      <c r="G263" s="52"/>
    </row>
    <row r="264" spans="2:7" x14ac:dyDescent="0.25">
      <c r="B264" s="52"/>
      <c r="C264" s="52"/>
      <c r="D264" s="52"/>
      <c r="E264" s="52"/>
      <c r="F264" s="52"/>
      <c r="G264" s="52"/>
    </row>
    <row r="265" spans="2:7" x14ac:dyDescent="0.25">
      <c r="B265" s="52"/>
      <c r="C265" s="52"/>
      <c r="D265" s="52"/>
      <c r="E265" s="52"/>
      <c r="F265" s="52"/>
      <c r="G265" s="52"/>
    </row>
    <row r="266" spans="2:7" x14ac:dyDescent="0.25">
      <c r="B266" s="52"/>
      <c r="C266" s="52"/>
      <c r="D266" s="52"/>
      <c r="E266" s="52"/>
      <c r="F266" s="52"/>
      <c r="G266" s="52"/>
    </row>
    <row r="267" spans="2:7" x14ac:dyDescent="0.25">
      <c r="B267" s="52"/>
      <c r="C267" s="52"/>
      <c r="D267" s="52"/>
      <c r="E267" s="52"/>
      <c r="F267" s="52"/>
      <c r="G267" s="52"/>
    </row>
    <row r="268" spans="2:7" x14ac:dyDescent="0.25">
      <c r="B268" s="52"/>
      <c r="C268" s="52"/>
      <c r="D268" s="52"/>
      <c r="E268" s="52"/>
      <c r="F268" s="52"/>
      <c r="G268" s="52"/>
    </row>
    <row r="269" spans="2:7" x14ac:dyDescent="0.25">
      <c r="B269" s="52"/>
      <c r="C269" s="52"/>
      <c r="D269" s="52"/>
      <c r="E269" s="52"/>
      <c r="F269" s="52"/>
      <c r="G269" s="52"/>
    </row>
    <row r="270" spans="2:7" x14ac:dyDescent="0.25">
      <c r="B270" s="52"/>
      <c r="C270" s="52"/>
      <c r="D270" s="52"/>
      <c r="E270" s="52"/>
      <c r="F270" s="52"/>
      <c r="G270" s="52"/>
    </row>
    <row r="271" spans="2:7" x14ac:dyDescent="0.25">
      <c r="B271" s="52"/>
      <c r="C271" s="52"/>
      <c r="D271" s="52"/>
      <c r="E271" s="52"/>
      <c r="F271" s="52"/>
      <c r="G271" s="52"/>
    </row>
    <row r="272" spans="2:7" x14ac:dyDescent="0.25">
      <c r="B272" s="52"/>
      <c r="C272" s="52"/>
      <c r="D272" s="52"/>
      <c r="E272" s="52"/>
      <c r="F272" s="52"/>
      <c r="G272" s="52"/>
    </row>
    <row r="273" spans="2:7" x14ac:dyDescent="0.25">
      <c r="B273" s="52"/>
      <c r="C273" s="52"/>
      <c r="D273" s="52"/>
      <c r="E273" s="52"/>
      <c r="F273" s="52"/>
      <c r="G273" s="52"/>
    </row>
    <row r="274" spans="2:7" x14ac:dyDescent="0.25">
      <c r="B274" s="52"/>
      <c r="C274" s="52"/>
      <c r="D274" s="52"/>
      <c r="E274" s="52"/>
      <c r="F274" s="52"/>
      <c r="G274" s="52"/>
    </row>
    <row r="275" spans="2:7" x14ac:dyDescent="0.25">
      <c r="B275" s="52"/>
      <c r="C275" s="52"/>
      <c r="D275" s="52"/>
      <c r="E275" s="52"/>
      <c r="F275" s="52"/>
      <c r="G275" s="52"/>
    </row>
    <row r="276" spans="2:7" x14ac:dyDescent="0.25">
      <c r="B276" s="52"/>
      <c r="C276" s="52"/>
      <c r="D276" s="52"/>
      <c r="E276" s="52"/>
      <c r="F276" s="52"/>
      <c r="G276" s="52"/>
    </row>
    <row r="277" spans="2:7" x14ac:dyDescent="0.25">
      <c r="B277" s="52"/>
      <c r="C277" s="52"/>
      <c r="D277" s="52"/>
      <c r="E277" s="52"/>
      <c r="F277" s="52"/>
      <c r="G277" s="52"/>
    </row>
    <row r="278" spans="2:7" x14ac:dyDescent="0.25">
      <c r="B278" s="52"/>
      <c r="C278" s="52"/>
      <c r="D278" s="52"/>
      <c r="E278" s="52"/>
      <c r="F278" s="52"/>
      <c r="G278" s="52"/>
    </row>
    <row r="279" spans="2:7" x14ac:dyDescent="0.25">
      <c r="B279" s="52"/>
      <c r="C279" s="52"/>
      <c r="D279" s="52"/>
      <c r="E279" s="52"/>
      <c r="F279" s="52"/>
      <c r="G279" s="52"/>
    </row>
    <row r="280" spans="2:7" x14ac:dyDescent="0.25">
      <c r="B280" s="52"/>
      <c r="C280" s="52"/>
      <c r="D280" s="52"/>
      <c r="E280" s="52"/>
      <c r="F280" s="52"/>
      <c r="G280" s="52"/>
    </row>
    <row r="281" spans="2:7" x14ac:dyDescent="0.25">
      <c r="B281" s="52"/>
      <c r="C281" s="52"/>
      <c r="D281" s="52"/>
      <c r="E281" s="52"/>
      <c r="F281" s="52"/>
      <c r="G281" s="52"/>
    </row>
    <row r="282" spans="2:7" x14ac:dyDescent="0.25">
      <c r="B282" s="52"/>
      <c r="C282" s="52"/>
      <c r="D282" s="52"/>
      <c r="E282" s="52"/>
      <c r="F282" s="52"/>
      <c r="G282" s="52"/>
    </row>
    <row r="283" spans="2:7" x14ac:dyDescent="0.25">
      <c r="B283" s="52"/>
      <c r="C283" s="52"/>
      <c r="D283" s="52"/>
      <c r="E283" s="52"/>
      <c r="F283" s="52"/>
      <c r="G283" s="52"/>
    </row>
    <row r="284" spans="2:7" x14ac:dyDescent="0.25">
      <c r="B284" s="52"/>
      <c r="C284" s="52"/>
      <c r="D284" s="52"/>
      <c r="E284" s="52"/>
      <c r="F284" s="52"/>
      <c r="G284" s="52"/>
    </row>
    <row r="285" spans="2:7" x14ac:dyDescent="0.25">
      <c r="B285" s="52"/>
      <c r="C285" s="52"/>
      <c r="D285" s="52"/>
      <c r="E285" s="52"/>
      <c r="F285" s="52"/>
      <c r="G285" s="52"/>
    </row>
    <row r="286" spans="2:7" x14ac:dyDescent="0.25">
      <c r="B286" s="52"/>
      <c r="C286" s="52"/>
      <c r="D286" s="52"/>
      <c r="E286" s="52"/>
      <c r="F286" s="52"/>
      <c r="G286" s="52"/>
    </row>
    <row r="287" spans="2:7" x14ac:dyDescent="0.25">
      <c r="B287" s="52"/>
      <c r="C287" s="52"/>
      <c r="D287" s="52"/>
      <c r="E287" s="52"/>
      <c r="F287" s="52"/>
      <c r="G287" s="52"/>
    </row>
    <row r="288" spans="2:7" x14ac:dyDescent="0.25">
      <c r="B288" s="52"/>
      <c r="C288" s="52"/>
      <c r="D288" s="52"/>
      <c r="E288" s="52"/>
      <c r="F288" s="52"/>
      <c r="G288" s="52"/>
    </row>
    <row r="289" spans="2:7" x14ac:dyDescent="0.25">
      <c r="B289" s="52"/>
      <c r="C289" s="52"/>
      <c r="D289" s="52"/>
      <c r="E289" s="52"/>
      <c r="F289" s="52"/>
      <c r="G289" s="52"/>
    </row>
    <row r="290" spans="2:7" x14ac:dyDescent="0.25">
      <c r="B290" s="52"/>
      <c r="C290" s="52"/>
      <c r="D290" s="52"/>
      <c r="E290" s="52"/>
      <c r="F290" s="52"/>
      <c r="G290" s="52"/>
    </row>
    <row r="291" spans="2:7" x14ac:dyDescent="0.25">
      <c r="B291" s="52"/>
      <c r="C291" s="52"/>
      <c r="D291" s="52"/>
      <c r="E291" s="52"/>
      <c r="F291" s="52"/>
      <c r="G291" s="52"/>
    </row>
    <row r="292" spans="2:7" x14ac:dyDescent="0.25">
      <c r="B292" s="52"/>
      <c r="C292" s="52"/>
      <c r="D292" s="52"/>
      <c r="E292" s="52"/>
      <c r="F292" s="52"/>
      <c r="G292" s="52"/>
    </row>
    <row r="293" spans="2:7" x14ac:dyDescent="0.25">
      <c r="B293" s="52"/>
      <c r="C293" s="52"/>
      <c r="D293" s="52"/>
      <c r="E293" s="52"/>
      <c r="F293" s="52"/>
      <c r="G293" s="52"/>
    </row>
    <row r="294" spans="2:7" x14ac:dyDescent="0.25">
      <c r="B294" s="52"/>
      <c r="C294" s="52"/>
      <c r="D294" s="52"/>
      <c r="E294" s="52"/>
      <c r="F294" s="52"/>
      <c r="G294" s="52"/>
    </row>
    <row r="295" spans="2:7" x14ac:dyDescent="0.25">
      <c r="B295" s="52"/>
      <c r="C295" s="52"/>
      <c r="D295" s="52"/>
      <c r="E295" s="52"/>
      <c r="F295" s="52"/>
      <c r="G295" s="52"/>
    </row>
    <row r="296" spans="2:7" x14ac:dyDescent="0.25">
      <c r="B296" s="52"/>
      <c r="C296" s="52"/>
      <c r="D296" s="52"/>
      <c r="E296" s="52"/>
      <c r="F296" s="52"/>
      <c r="G296" s="52"/>
    </row>
    <row r="297" spans="2:7" x14ac:dyDescent="0.25">
      <c r="B297" s="52"/>
      <c r="C297" s="52"/>
      <c r="D297" s="52"/>
      <c r="E297" s="52"/>
      <c r="F297" s="52"/>
      <c r="G297" s="52"/>
    </row>
    <row r="298" spans="2:7" x14ac:dyDescent="0.25">
      <c r="B298" s="52"/>
      <c r="C298" s="52"/>
      <c r="D298" s="52"/>
      <c r="E298" s="52"/>
      <c r="F298" s="52"/>
      <c r="G298" s="52"/>
    </row>
    <row r="299" spans="2:7" x14ac:dyDescent="0.25">
      <c r="B299" s="52"/>
      <c r="C299" s="52"/>
      <c r="D299" s="52"/>
      <c r="E299" s="52"/>
      <c r="F299" s="52"/>
      <c r="G299" s="52"/>
    </row>
    <row r="300" spans="2:7" x14ac:dyDescent="0.25">
      <c r="B300" s="52"/>
      <c r="C300" s="52"/>
      <c r="D300" s="52"/>
      <c r="E300" s="52"/>
      <c r="F300" s="52"/>
      <c r="G300" s="52"/>
    </row>
    <row r="301" spans="2:7" x14ac:dyDescent="0.25">
      <c r="B301" s="52"/>
      <c r="C301" s="52"/>
      <c r="D301" s="52"/>
      <c r="E301" s="52"/>
      <c r="F301" s="52"/>
      <c r="G301" s="52"/>
    </row>
    <row r="302" spans="2:7" x14ac:dyDescent="0.25">
      <c r="B302" s="52"/>
      <c r="C302" s="52"/>
      <c r="D302" s="52"/>
      <c r="E302" s="52"/>
      <c r="F302" s="52"/>
      <c r="G302" s="52"/>
    </row>
    <row r="303" spans="2:7" x14ac:dyDescent="0.25">
      <c r="B303" s="52"/>
      <c r="C303" s="52"/>
      <c r="D303" s="52"/>
      <c r="E303" s="52"/>
      <c r="F303" s="52"/>
      <c r="G303" s="52"/>
    </row>
    <row r="304" spans="2:7" x14ac:dyDescent="0.25">
      <c r="B304" s="52"/>
      <c r="C304" s="52"/>
      <c r="D304" s="52"/>
      <c r="E304" s="52"/>
      <c r="F304" s="52"/>
      <c r="G304" s="52"/>
    </row>
    <row r="305" spans="2:7" x14ac:dyDescent="0.25">
      <c r="B305" s="52"/>
      <c r="C305" s="52"/>
      <c r="D305" s="52"/>
      <c r="E305" s="52"/>
      <c r="F305" s="52"/>
      <c r="G305" s="52"/>
    </row>
    <row r="306" spans="2:7" x14ac:dyDescent="0.25">
      <c r="B306" s="52"/>
      <c r="C306" s="52"/>
      <c r="D306" s="52"/>
      <c r="E306" s="52"/>
      <c r="F306" s="52"/>
      <c r="G306" s="52"/>
    </row>
    <row r="307" spans="2:7" x14ac:dyDescent="0.25">
      <c r="B307" s="52"/>
      <c r="C307" s="52"/>
      <c r="D307" s="52"/>
      <c r="E307" s="52"/>
      <c r="F307" s="52"/>
      <c r="G307" s="52"/>
    </row>
    <row r="308" spans="2:7" x14ac:dyDescent="0.25">
      <c r="B308" s="52"/>
      <c r="C308" s="52"/>
      <c r="D308" s="52"/>
      <c r="E308" s="52"/>
      <c r="F308" s="52"/>
      <c r="G308" s="52"/>
    </row>
    <row r="309" spans="2:7" x14ac:dyDescent="0.25">
      <c r="B309" s="52"/>
      <c r="C309" s="52"/>
      <c r="D309" s="52"/>
      <c r="E309" s="52"/>
      <c r="F309" s="52"/>
      <c r="G309" s="52"/>
    </row>
    <row r="310" spans="2:7" x14ac:dyDescent="0.25">
      <c r="B310" s="52"/>
      <c r="C310" s="52"/>
      <c r="D310" s="52"/>
      <c r="E310" s="52"/>
      <c r="F310" s="52"/>
      <c r="G310" s="52"/>
    </row>
    <row r="311" spans="2:7" x14ac:dyDescent="0.25">
      <c r="B311" s="52"/>
      <c r="C311" s="52"/>
      <c r="D311" s="52"/>
      <c r="E311" s="52"/>
      <c r="F311" s="52"/>
      <c r="G311" s="52"/>
    </row>
    <row r="312" spans="2:7" x14ac:dyDescent="0.25">
      <c r="B312" s="52"/>
      <c r="C312" s="52"/>
      <c r="D312" s="52"/>
      <c r="E312" s="52"/>
      <c r="F312" s="52"/>
      <c r="G312" s="52"/>
    </row>
    <row r="313" spans="2:7" x14ac:dyDescent="0.25">
      <c r="B313" s="52"/>
      <c r="C313" s="52"/>
      <c r="D313" s="52"/>
      <c r="E313" s="52"/>
      <c r="F313" s="52"/>
      <c r="G313" s="52"/>
    </row>
    <row r="314" spans="2:7" x14ac:dyDescent="0.25">
      <c r="B314" s="52"/>
      <c r="C314" s="52"/>
      <c r="D314" s="52"/>
      <c r="E314" s="52"/>
      <c r="F314" s="52"/>
      <c r="G314" s="52"/>
    </row>
    <row r="315" spans="2:7" x14ac:dyDescent="0.25">
      <c r="B315" s="52"/>
      <c r="C315" s="52"/>
      <c r="D315" s="52"/>
      <c r="E315" s="52"/>
      <c r="F315" s="52"/>
      <c r="G315" s="52"/>
    </row>
    <row r="316" spans="2:7" x14ac:dyDescent="0.25">
      <c r="B316" s="52"/>
      <c r="C316" s="52"/>
      <c r="D316" s="52"/>
      <c r="E316" s="52"/>
      <c r="F316" s="52"/>
      <c r="G316" s="52"/>
    </row>
    <row r="317" spans="2:7" x14ac:dyDescent="0.25">
      <c r="B317" s="52"/>
      <c r="C317" s="52"/>
      <c r="D317" s="52"/>
      <c r="E317" s="52"/>
      <c r="F317" s="52"/>
      <c r="G317" s="52"/>
    </row>
    <row r="318" spans="2:7" x14ac:dyDescent="0.25">
      <c r="B318" s="52"/>
      <c r="C318" s="52"/>
      <c r="D318" s="52"/>
      <c r="E318" s="52"/>
      <c r="F318" s="52"/>
      <c r="G318" s="52"/>
    </row>
    <row r="319" spans="2:7" x14ac:dyDescent="0.25">
      <c r="B319" s="52"/>
      <c r="C319" s="52"/>
      <c r="D319" s="52"/>
      <c r="E319" s="52"/>
      <c r="F319" s="52"/>
      <c r="G319" s="52"/>
    </row>
    <row r="320" spans="2:7" x14ac:dyDescent="0.25">
      <c r="B320" s="52"/>
      <c r="C320" s="52"/>
      <c r="D320" s="52"/>
      <c r="E320" s="52"/>
      <c r="F320" s="52"/>
      <c r="G320" s="52"/>
    </row>
    <row r="321" spans="2:7" x14ac:dyDescent="0.25">
      <c r="B321" s="52"/>
      <c r="C321" s="52"/>
      <c r="D321" s="52"/>
      <c r="E321" s="52"/>
      <c r="F321" s="52"/>
      <c r="G321" s="52"/>
    </row>
    <row r="322" spans="2:7" x14ac:dyDescent="0.25">
      <c r="B322" s="52"/>
      <c r="C322" s="52"/>
      <c r="D322" s="52"/>
      <c r="E322" s="52"/>
      <c r="F322" s="52"/>
      <c r="G322" s="52"/>
    </row>
    <row r="323" spans="2:7" x14ac:dyDescent="0.25">
      <c r="B323" s="52"/>
      <c r="C323" s="52"/>
      <c r="D323" s="52"/>
      <c r="E323" s="52"/>
      <c r="F323" s="52"/>
      <c r="G323" s="52"/>
    </row>
    <row r="324" spans="2:7" x14ac:dyDescent="0.25">
      <c r="B324" s="52"/>
      <c r="C324" s="52"/>
      <c r="D324" s="52"/>
      <c r="E324" s="52"/>
      <c r="F324" s="52"/>
      <c r="G324" s="52"/>
    </row>
    <row r="325" spans="2:7" x14ac:dyDescent="0.25">
      <c r="B325" s="52"/>
      <c r="C325" s="52"/>
      <c r="D325" s="52"/>
      <c r="E325" s="52"/>
      <c r="F325" s="52"/>
      <c r="G325" s="52"/>
    </row>
    <row r="326" spans="2:7" x14ac:dyDescent="0.25">
      <c r="B326" s="52"/>
      <c r="C326" s="52"/>
      <c r="D326" s="52"/>
      <c r="E326" s="52"/>
      <c r="F326" s="52"/>
      <c r="G326" s="52"/>
    </row>
    <row r="327" spans="2:7" x14ac:dyDescent="0.25">
      <c r="B327" s="52"/>
      <c r="C327" s="52"/>
      <c r="D327" s="52"/>
      <c r="E327" s="52"/>
      <c r="F327" s="52"/>
      <c r="G327" s="52"/>
    </row>
    <row r="328" spans="2:7" x14ac:dyDescent="0.25">
      <c r="B328" s="52"/>
      <c r="C328" s="52"/>
      <c r="D328" s="52"/>
      <c r="E328" s="52"/>
      <c r="F328" s="52"/>
      <c r="G328" s="52"/>
    </row>
    <row r="329" spans="2:7" x14ac:dyDescent="0.25">
      <c r="B329" s="52"/>
      <c r="C329" s="52"/>
      <c r="D329" s="52"/>
      <c r="E329" s="52"/>
      <c r="F329" s="52"/>
      <c r="G329" s="52"/>
    </row>
    <row r="330" spans="2:7" x14ac:dyDescent="0.25">
      <c r="B330" s="52"/>
      <c r="C330" s="52"/>
      <c r="D330" s="52"/>
      <c r="E330" s="52"/>
      <c r="F330" s="52"/>
      <c r="G330" s="52"/>
    </row>
    <row r="331" spans="2:7" x14ac:dyDescent="0.25">
      <c r="B331" s="52"/>
      <c r="C331" s="52"/>
      <c r="D331" s="52"/>
      <c r="E331" s="52"/>
      <c r="F331" s="52"/>
      <c r="G331" s="52"/>
    </row>
    <row r="332" spans="2:7" x14ac:dyDescent="0.25">
      <c r="B332" s="52"/>
      <c r="C332" s="52"/>
      <c r="D332" s="52"/>
      <c r="E332" s="52"/>
      <c r="F332" s="52"/>
      <c r="G332" s="52"/>
    </row>
    <row r="333" spans="2:7" x14ac:dyDescent="0.25">
      <c r="B333" s="52"/>
      <c r="C333" s="52"/>
      <c r="D333" s="52"/>
      <c r="E333" s="52"/>
      <c r="F333" s="52"/>
      <c r="G333" s="52"/>
    </row>
    <row r="334" spans="2:7" x14ac:dyDescent="0.25">
      <c r="B334" s="52"/>
      <c r="C334" s="52"/>
      <c r="D334" s="52"/>
      <c r="E334" s="52"/>
      <c r="F334" s="52"/>
      <c r="G334" s="52"/>
    </row>
    <row r="335" spans="2:7" x14ac:dyDescent="0.25">
      <c r="B335" s="52"/>
      <c r="C335" s="52"/>
      <c r="D335" s="52"/>
      <c r="E335" s="52"/>
      <c r="F335" s="52"/>
      <c r="G335" s="52"/>
    </row>
    <row r="336" spans="2:7" x14ac:dyDescent="0.25">
      <c r="B336" s="52"/>
      <c r="C336" s="52"/>
      <c r="D336" s="52"/>
      <c r="E336" s="52"/>
      <c r="F336" s="52"/>
      <c r="G336" s="52"/>
    </row>
    <row r="337" spans="2:7" x14ac:dyDescent="0.25">
      <c r="B337" s="52"/>
      <c r="C337" s="52"/>
      <c r="D337" s="52"/>
      <c r="E337" s="52"/>
      <c r="F337" s="52"/>
      <c r="G337" s="52"/>
    </row>
    <row r="338" spans="2:7" x14ac:dyDescent="0.25">
      <c r="B338" s="52"/>
      <c r="C338" s="52"/>
      <c r="D338" s="52"/>
      <c r="E338" s="52"/>
      <c r="F338" s="52"/>
      <c r="G338" s="52"/>
    </row>
    <row r="339" spans="2:7" x14ac:dyDescent="0.25">
      <c r="B339" s="52"/>
      <c r="C339" s="52"/>
      <c r="D339" s="52"/>
      <c r="E339" s="52"/>
      <c r="F339" s="52"/>
      <c r="G339" s="52"/>
    </row>
    <row r="340" spans="2:7" x14ac:dyDescent="0.25">
      <c r="B340" s="52"/>
      <c r="C340" s="52"/>
      <c r="D340" s="52"/>
      <c r="E340" s="52"/>
      <c r="F340" s="52"/>
      <c r="G340" s="52"/>
    </row>
    <row r="341" spans="2:7" x14ac:dyDescent="0.25">
      <c r="B341" s="52"/>
      <c r="C341" s="52"/>
      <c r="D341" s="52"/>
      <c r="E341" s="52"/>
      <c r="F341" s="52"/>
      <c r="G341" s="52"/>
    </row>
    <row r="342" spans="2:7" x14ac:dyDescent="0.25">
      <c r="B342" s="52"/>
      <c r="C342" s="52"/>
      <c r="D342" s="52"/>
      <c r="E342" s="52"/>
      <c r="F342" s="52"/>
      <c r="G342" s="52"/>
    </row>
    <row r="343" spans="2:7" x14ac:dyDescent="0.25">
      <c r="B343" s="52"/>
      <c r="C343" s="52"/>
      <c r="D343" s="52"/>
      <c r="E343" s="52"/>
      <c r="F343" s="52"/>
      <c r="G343" s="52"/>
    </row>
    <row r="344" spans="2:7" x14ac:dyDescent="0.25">
      <c r="B344" s="52"/>
      <c r="C344" s="52"/>
      <c r="D344" s="52"/>
      <c r="E344" s="52"/>
      <c r="F344" s="52"/>
      <c r="G344" s="52"/>
    </row>
    <row r="345" spans="2:7" x14ac:dyDescent="0.25">
      <c r="B345" s="52"/>
      <c r="C345" s="52"/>
      <c r="D345" s="52"/>
      <c r="E345" s="52"/>
      <c r="F345" s="52"/>
      <c r="G345" s="52"/>
    </row>
    <row r="346" spans="2:7" x14ac:dyDescent="0.25">
      <c r="B346" s="52"/>
      <c r="C346" s="52"/>
      <c r="D346" s="52"/>
      <c r="E346" s="52"/>
      <c r="F346" s="52"/>
      <c r="G346" s="52"/>
    </row>
    <row r="347" spans="2:7" x14ac:dyDescent="0.25">
      <c r="B347" s="52"/>
      <c r="C347" s="52"/>
      <c r="D347" s="52"/>
      <c r="E347" s="52"/>
      <c r="F347" s="52"/>
      <c r="G347" s="52"/>
    </row>
    <row r="348" spans="2:7" x14ac:dyDescent="0.25">
      <c r="B348" s="52"/>
      <c r="C348" s="52"/>
      <c r="D348" s="52"/>
      <c r="E348" s="52"/>
      <c r="F348" s="52"/>
      <c r="G348" s="52"/>
    </row>
    <row r="349" spans="2:7" x14ac:dyDescent="0.25">
      <c r="B349" s="52"/>
      <c r="C349" s="52"/>
      <c r="D349" s="52"/>
      <c r="E349" s="52"/>
      <c r="F349" s="52"/>
      <c r="G349" s="52"/>
    </row>
    <row r="350" spans="2:7" x14ac:dyDescent="0.25">
      <c r="B350" s="52"/>
      <c r="C350" s="52"/>
      <c r="D350" s="52"/>
      <c r="E350" s="52"/>
      <c r="F350" s="52"/>
      <c r="G350" s="52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CAA6-F845-4FB4-A398-2AB94460A9C8}">
  <sheetPr>
    <tabColor rgb="FF92D050"/>
  </sheetPr>
  <dimension ref="A1:S133"/>
  <sheetViews>
    <sheetView topLeftCell="E66" workbookViewId="0">
      <selection activeCell="I11" sqref="I11"/>
    </sheetView>
  </sheetViews>
  <sheetFormatPr defaultColWidth="8.6640625" defaultRowHeight="13.2" x14ac:dyDescent="0.25"/>
  <cols>
    <col min="1" max="1" width="17.44140625" style="2" bestFit="1" customWidth="1"/>
    <col min="2" max="2" width="9.109375" bestFit="1" customWidth="1"/>
    <col min="3" max="3" width="12.6640625" bestFit="1" customWidth="1"/>
    <col min="4" max="4" width="15.44140625" bestFit="1" customWidth="1"/>
    <col min="5" max="5" width="20" customWidth="1"/>
    <col min="6" max="6" width="10.6640625" style="3" customWidth="1"/>
    <col min="7" max="7" width="14.44140625" bestFit="1" customWidth="1"/>
    <col min="8" max="8" width="14.6640625" bestFit="1" customWidth="1"/>
    <col min="9" max="9" width="19.44140625" bestFit="1" customWidth="1"/>
    <col min="11" max="11" width="28.44140625" bestFit="1" customWidth="1"/>
    <col min="13" max="13" width="12.6640625" bestFit="1" customWidth="1"/>
    <col min="14" max="14" width="15.44140625" bestFit="1" customWidth="1"/>
    <col min="15" max="15" width="32.6640625" bestFit="1" customWidth="1"/>
    <col min="16" max="16" width="10.6640625" style="3" bestFit="1" customWidth="1"/>
    <col min="17" max="17" width="11.109375" bestFit="1" customWidth="1"/>
    <col min="18" max="18" width="13.44140625" bestFit="1" customWidth="1"/>
    <col min="19" max="19" width="19.44140625" bestFit="1" customWidth="1"/>
  </cols>
  <sheetData>
    <row r="1" spans="1:19" s="7" customFormat="1" x14ac:dyDescent="0.25">
      <c r="A1" s="59" t="s">
        <v>110</v>
      </c>
      <c r="F1" s="22"/>
      <c r="K1" s="7" t="s">
        <v>112</v>
      </c>
      <c r="L1"/>
      <c r="M1"/>
      <c r="N1"/>
      <c r="O1"/>
      <c r="P1" s="3"/>
      <c r="Q1"/>
      <c r="R1"/>
      <c r="S1"/>
    </row>
    <row r="2" spans="1:19" s="7" customFormat="1" ht="13.8" thickBot="1" x14ac:dyDescent="0.3">
      <c r="A2" s="60" t="s">
        <v>264</v>
      </c>
      <c r="B2" s="61" t="s">
        <v>11</v>
      </c>
      <c r="C2" s="61" t="s">
        <v>147</v>
      </c>
      <c r="D2" s="61" t="s">
        <v>265</v>
      </c>
      <c r="E2" s="61" t="s">
        <v>266</v>
      </c>
      <c r="F2" s="62" t="s">
        <v>267</v>
      </c>
      <c r="G2" s="61" t="s">
        <v>268</v>
      </c>
      <c r="H2" s="61" t="s">
        <v>269</v>
      </c>
      <c r="I2" s="61" t="s">
        <v>270</v>
      </c>
      <c r="K2" s="60" t="s">
        <v>264</v>
      </c>
      <c r="L2" s="61" t="s">
        <v>11</v>
      </c>
      <c r="M2" s="61" t="s">
        <v>147</v>
      </c>
      <c r="N2" s="61" t="s">
        <v>265</v>
      </c>
      <c r="O2" s="61" t="s">
        <v>266</v>
      </c>
      <c r="P2" s="62" t="s">
        <v>267</v>
      </c>
      <c r="Q2" s="61" t="s">
        <v>268</v>
      </c>
      <c r="R2" s="61" t="s">
        <v>269</v>
      </c>
      <c r="S2" s="61" t="s">
        <v>270</v>
      </c>
    </row>
    <row r="3" spans="1:19" s="7" customFormat="1" x14ac:dyDescent="0.25">
      <c r="A3" s="59">
        <f>'Balance Sheet'!B$1</f>
        <v>44469</v>
      </c>
      <c r="B3" s="7" t="s">
        <v>12</v>
      </c>
      <c r="C3" s="7" t="str">
        <f>IF(A3="",C2,IF(MONTH(A3)=12,_xlfn.CONCAT(YEAR(A3)+1,B3),_xlfn.CONCAT(YEAR(A3),B3)))</f>
        <v>2021IV</v>
      </c>
      <c r="D3" s="7" t="s">
        <v>271</v>
      </c>
      <c r="F3" s="22">
        <f>VLOOKUP(A1,Tbl_FixedAssets[],11,FALSE)</f>
        <v>1200000</v>
      </c>
      <c r="G3" s="7" t="s">
        <v>272</v>
      </c>
      <c r="K3" s="59">
        <f>'Balance Sheet'!B$1</f>
        <v>44469</v>
      </c>
      <c r="L3" s="7" t="s">
        <v>12</v>
      </c>
      <c r="M3" s="7" t="str">
        <f>IF(K3="",M2,IF(MONTH(K3)=12,_xlfn.CONCAT(YEAR(K3)+1,L3),_xlfn.CONCAT(YEAR(K3),L3)))</f>
        <v>2021IV</v>
      </c>
      <c r="N3" s="7" t="s">
        <v>271</v>
      </c>
      <c r="P3" s="22">
        <f>'Balance Sheet'!B25</f>
        <v>1468254.8871903555</v>
      </c>
      <c r="Q3" s="7" t="s">
        <v>272</v>
      </c>
    </row>
    <row r="4" spans="1:19" x14ac:dyDescent="0.25">
      <c r="A4" s="64"/>
      <c r="B4" s="57" t="s">
        <v>12</v>
      </c>
      <c r="C4" s="57" t="str">
        <f t="shared" ref="C4:C9" si="0">IF(A4="",C3,IF(MONTH(A4)=12,_xlfn.CONCAT(YEAR(A4)+1,B4),_xlfn.CONCAT(YEAR(A4),B4)))</f>
        <v>2021IV</v>
      </c>
      <c r="D4" s="57"/>
      <c r="E4" s="57" t="s">
        <v>273</v>
      </c>
      <c r="F4" s="48"/>
      <c r="G4" s="57" t="s">
        <v>274</v>
      </c>
      <c r="H4" s="57"/>
      <c r="I4" s="57" t="s">
        <v>275</v>
      </c>
      <c r="K4" s="64"/>
      <c r="L4" s="57" t="s">
        <v>12</v>
      </c>
      <c r="M4" s="57" t="str">
        <f t="shared" ref="M4:M9" si="1">IF(K4="",M3,IF(MONTH(K4)=12,_xlfn.CONCAT(YEAR(K4)+1,L4),_xlfn.CONCAT(YEAR(K4),L4)))</f>
        <v>2021IV</v>
      </c>
      <c r="N4" s="57"/>
      <c r="O4" s="57" t="s">
        <v>276</v>
      </c>
      <c r="P4" s="48">
        <f>_xlfn.XLOOKUP(M14,PLA!B3:G3,PLA!B20:G20,0)</f>
        <v>-130535.93475317804</v>
      </c>
      <c r="Q4" s="57" t="s">
        <v>277</v>
      </c>
      <c r="R4" s="57"/>
      <c r="S4" s="57"/>
    </row>
    <row r="5" spans="1:19" x14ac:dyDescent="0.25">
      <c r="B5" t="s">
        <v>12</v>
      </c>
      <c r="C5" s="7" t="str">
        <f t="shared" si="0"/>
        <v>2021IV</v>
      </c>
      <c r="F5" s="22">
        <f>F3+F4</f>
        <v>1200000</v>
      </c>
      <c r="K5" s="2"/>
      <c r="L5" t="s">
        <v>12</v>
      </c>
      <c r="M5" s="7" t="str">
        <f t="shared" si="1"/>
        <v>2021IV</v>
      </c>
      <c r="N5" s="7"/>
      <c r="O5" s="7"/>
      <c r="P5" s="22">
        <f>SUM(P3:P4)</f>
        <v>1337718.9524371773</v>
      </c>
      <c r="Q5" s="7"/>
      <c r="R5" s="7"/>
      <c r="S5" s="7"/>
    </row>
    <row r="6" spans="1:19" x14ac:dyDescent="0.25">
      <c r="A6" s="64"/>
      <c r="B6" s="57" t="s">
        <v>12</v>
      </c>
      <c r="C6" s="57" t="str">
        <f t="shared" si="0"/>
        <v>2021IV</v>
      </c>
      <c r="D6" s="57"/>
      <c r="E6" s="57" t="s">
        <v>278</v>
      </c>
      <c r="F6" s="48"/>
      <c r="G6" s="57" t="s">
        <v>279</v>
      </c>
      <c r="H6" s="57" t="s">
        <v>280</v>
      </c>
      <c r="I6" s="57" t="s">
        <v>281</v>
      </c>
      <c r="K6" s="64"/>
      <c r="L6" s="57" t="s">
        <v>12</v>
      </c>
      <c r="M6" s="57" t="str">
        <f t="shared" si="1"/>
        <v>2021IV</v>
      </c>
      <c r="N6" s="57"/>
      <c r="O6" s="57" t="s">
        <v>282</v>
      </c>
      <c r="P6" s="48">
        <v>0</v>
      </c>
      <c r="Q6" s="57" t="s">
        <v>274</v>
      </c>
      <c r="R6" s="57"/>
      <c r="S6" s="57" t="s">
        <v>281</v>
      </c>
    </row>
    <row r="7" spans="1:19" x14ac:dyDescent="0.25">
      <c r="B7" t="s">
        <v>12</v>
      </c>
      <c r="C7" s="7" t="str">
        <f t="shared" si="0"/>
        <v>2021IV</v>
      </c>
      <c r="F7" s="63">
        <f>F5-F6</f>
        <v>1200000</v>
      </c>
      <c r="K7" s="2"/>
      <c r="L7" t="s">
        <v>12</v>
      </c>
      <c r="M7" s="7" t="str">
        <f t="shared" si="1"/>
        <v>2021IV</v>
      </c>
      <c r="N7" s="7"/>
      <c r="O7" s="7"/>
      <c r="P7" s="22">
        <f>P5+P6</f>
        <v>1337718.9524371773</v>
      </c>
      <c r="Q7" s="7"/>
      <c r="R7" s="7"/>
      <c r="S7" s="7"/>
    </row>
    <row r="8" spans="1:19" x14ac:dyDescent="0.25">
      <c r="A8" s="64"/>
      <c r="B8" s="57" t="s">
        <v>12</v>
      </c>
      <c r="C8" s="57" t="str">
        <f t="shared" si="0"/>
        <v>2021IV</v>
      </c>
      <c r="D8" s="57"/>
      <c r="E8" s="57" t="s">
        <v>283</v>
      </c>
      <c r="F8" s="48">
        <f>'Fixed Assets'!H2/4</f>
        <v>7500</v>
      </c>
      <c r="G8" s="57" t="s">
        <v>279</v>
      </c>
      <c r="H8" s="57" t="s">
        <v>284</v>
      </c>
      <c r="I8" s="57"/>
      <c r="K8" s="64"/>
      <c r="L8" s="57" t="s">
        <v>12</v>
      </c>
      <c r="M8" s="57" t="str">
        <f t="shared" si="1"/>
        <v>2021IV</v>
      </c>
      <c r="N8" s="57"/>
      <c r="O8" s="57" t="s">
        <v>285</v>
      </c>
      <c r="P8" s="48"/>
      <c r="Q8" s="57" t="s">
        <v>279</v>
      </c>
      <c r="R8" s="57"/>
      <c r="S8" s="57" t="s">
        <v>275</v>
      </c>
    </row>
    <row r="9" spans="1:19" s="7" customFormat="1" x14ac:dyDescent="0.25">
      <c r="A9" s="59">
        <v>44561</v>
      </c>
      <c r="B9" s="7" t="s">
        <v>13</v>
      </c>
      <c r="C9" s="7" t="str">
        <f t="shared" si="0"/>
        <v>2022I</v>
      </c>
      <c r="D9" s="7" t="s">
        <v>271</v>
      </c>
      <c r="F9" s="22">
        <f>F7-F8</f>
        <v>1192500</v>
      </c>
      <c r="G9" s="7" t="s">
        <v>286</v>
      </c>
      <c r="K9" s="59">
        <v>44561</v>
      </c>
      <c r="L9" s="7" t="s">
        <v>13</v>
      </c>
      <c r="M9" s="7" t="str">
        <f t="shared" si="1"/>
        <v>2022I</v>
      </c>
      <c r="N9" s="7" t="s">
        <v>271</v>
      </c>
      <c r="P9" s="22">
        <f>P7-P8</f>
        <v>1337718.9524371773</v>
      </c>
      <c r="Q9" s="7" t="s">
        <v>272</v>
      </c>
    </row>
    <row r="10" spans="1:19" x14ac:dyDescent="0.25">
      <c r="J10" s="3"/>
    </row>
    <row r="11" spans="1:19" x14ac:dyDescent="0.25">
      <c r="A11" s="59" t="s">
        <v>111</v>
      </c>
      <c r="B11" s="7"/>
      <c r="C11" s="7"/>
      <c r="D11" s="7"/>
      <c r="E11" s="7"/>
      <c r="F11" s="22"/>
      <c r="G11" s="7"/>
      <c r="H11" s="7"/>
      <c r="I11" s="7"/>
      <c r="K11" s="7" t="s">
        <v>75</v>
      </c>
    </row>
    <row r="12" spans="1:19" ht="13.8" thickBot="1" x14ac:dyDescent="0.3">
      <c r="A12" s="60" t="s">
        <v>264</v>
      </c>
      <c r="B12" s="61" t="s">
        <v>11</v>
      </c>
      <c r="C12" s="61" t="s">
        <v>147</v>
      </c>
      <c r="D12" s="61" t="s">
        <v>265</v>
      </c>
      <c r="E12" s="61" t="s">
        <v>266</v>
      </c>
      <c r="F12" s="62" t="s">
        <v>267</v>
      </c>
      <c r="G12" s="61" t="s">
        <v>268</v>
      </c>
      <c r="H12" s="61" t="s">
        <v>269</v>
      </c>
      <c r="I12" s="61" t="s">
        <v>270</v>
      </c>
      <c r="K12" s="60" t="s">
        <v>264</v>
      </c>
      <c r="L12" s="61" t="s">
        <v>11</v>
      </c>
      <c r="M12" s="61" t="s">
        <v>147</v>
      </c>
      <c r="N12" s="61" t="s">
        <v>265</v>
      </c>
      <c r="O12" s="61" t="s">
        <v>266</v>
      </c>
      <c r="P12" s="62" t="s">
        <v>267</v>
      </c>
      <c r="Q12" s="61" t="s">
        <v>268</v>
      </c>
      <c r="R12" s="61" t="s">
        <v>269</v>
      </c>
      <c r="S12" s="61" t="s">
        <v>270</v>
      </c>
    </row>
    <row r="13" spans="1:19" s="7" customFormat="1" x14ac:dyDescent="0.25">
      <c r="A13" s="59">
        <f>'Balance Sheet'!B$1</f>
        <v>44469</v>
      </c>
      <c r="B13" s="7" t="s">
        <v>12</v>
      </c>
      <c r="C13" s="7" t="str">
        <f>IF(A13="",C12,IF(MONTH(A13)=12,_xlfn.CONCAT(YEAR(A13)+1,B13),_xlfn.CONCAT(YEAR(A13),B13)))</f>
        <v>2021IV</v>
      </c>
      <c r="D13" s="7" t="s">
        <v>271</v>
      </c>
      <c r="F13" s="22">
        <f>VLOOKUP(A11,Tbl_FixedAssets[],11,FALSE)</f>
        <v>157760</v>
      </c>
      <c r="G13" s="7" t="s">
        <v>272</v>
      </c>
      <c r="K13" s="59">
        <f>'Balance Sheet'!B$1</f>
        <v>44469</v>
      </c>
      <c r="L13" s="7" t="s">
        <v>12</v>
      </c>
      <c r="M13" s="7" t="str">
        <f t="shared" ref="M13:M15" si="2">IF(K13="",M12,IF(MONTH(K13)=12,_xlfn.CONCAT(YEAR(K13)+1,L13),_xlfn.CONCAT(YEAR(K13),L13)))</f>
        <v>2021IV</v>
      </c>
      <c r="N13" s="7" t="s">
        <v>271</v>
      </c>
      <c r="P13" s="22">
        <f>VLOOKUP(K11,'Liabilities Long'!L$2:M$4,2,FALSE)</f>
        <v>950994.77780964482</v>
      </c>
      <c r="Q13" s="7" t="s">
        <v>272</v>
      </c>
    </row>
    <row r="14" spans="1:19" x14ac:dyDescent="0.25">
      <c r="A14" s="64"/>
      <c r="B14" s="57" t="s">
        <v>12</v>
      </c>
      <c r="C14" s="57" t="str">
        <f t="shared" ref="C14:C19" si="3">IF(A14="",C13,IF(MONTH(A14)=12,_xlfn.CONCAT(YEAR(A14)+1,B14),_xlfn.CONCAT(YEAR(A14),B14)))</f>
        <v>2021IV</v>
      </c>
      <c r="D14" s="57"/>
      <c r="E14" s="57" t="s">
        <v>273</v>
      </c>
      <c r="F14" s="48"/>
      <c r="G14" s="57" t="s">
        <v>274</v>
      </c>
      <c r="H14" s="57"/>
      <c r="I14" s="57" t="s">
        <v>275</v>
      </c>
      <c r="K14" s="64"/>
      <c r="L14" s="57" t="s">
        <v>12</v>
      </c>
      <c r="M14" s="57" t="str">
        <f t="shared" si="2"/>
        <v>2021IV</v>
      </c>
      <c r="N14" s="57"/>
      <c r="O14" s="57" t="s">
        <v>287</v>
      </c>
      <c r="P14" s="48">
        <f>SUMIF(Tbl_Loan1[Year Quarter],M14,Tbl_Loan1[Redemption amount])</f>
        <v>14321.012386573675</v>
      </c>
      <c r="Q14" s="57" t="s">
        <v>279</v>
      </c>
      <c r="R14" s="57"/>
      <c r="S14" s="57" t="s">
        <v>275</v>
      </c>
    </row>
    <row r="15" spans="1:19" x14ac:dyDescent="0.25">
      <c r="B15" t="s">
        <v>12</v>
      </c>
      <c r="C15" s="7" t="str">
        <f t="shared" si="3"/>
        <v>2021IV</v>
      </c>
      <c r="F15" s="22">
        <f>F13+F14</f>
        <v>157760</v>
      </c>
      <c r="K15" s="59">
        <v>44561</v>
      </c>
      <c r="L15" s="7" t="s">
        <v>13</v>
      </c>
      <c r="M15" s="7" t="str">
        <f t="shared" si="2"/>
        <v>2022I</v>
      </c>
      <c r="N15" s="7" t="s">
        <v>271</v>
      </c>
      <c r="O15" s="7"/>
      <c r="P15" s="22">
        <f>P13-P14</f>
        <v>936673.76542307111</v>
      </c>
      <c r="Q15" s="7" t="s">
        <v>272</v>
      </c>
      <c r="R15" s="7"/>
      <c r="S15" s="7"/>
    </row>
    <row r="16" spans="1:19" x14ac:dyDescent="0.25">
      <c r="A16" s="64"/>
      <c r="B16" s="57" t="s">
        <v>12</v>
      </c>
      <c r="C16" s="57" t="str">
        <f t="shared" si="3"/>
        <v>2021IV</v>
      </c>
      <c r="D16" s="57"/>
      <c r="E16" s="57" t="s">
        <v>278</v>
      </c>
      <c r="F16" s="48"/>
      <c r="G16" s="57" t="s">
        <v>279</v>
      </c>
      <c r="H16" s="57" t="s">
        <v>280</v>
      </c>
      <c r="I16" s="57" t="s">
        <v>281</v>
      </c>
    </row>
    <row r="17" spans="1:19" x14ac:dyDescent="0.25">
      <c r="B17" t="s">
        <v>12</v>
      </c>
      <c r="C17" s="7" t="str">
        <f t="shared" si="3"/>
        <v>2021IV</v>
      </c>
      <c r="F17" s="63">
        <f>F15-F16</f>
        <v>157760</v>
      </c>
      <c r="K17" s="7" t="s">
        <v>79</v>
      </c>
    </row>
    <row r="18" spans="1:19" ht="13.8" thickBot="1" x14ac:dyDescent="0.3">
      <c r="A18" s="64"/>
      <c r="B18" s="57" t="s">
        <v>12</v>
      </c>
      <c r="C18" s="57" t="str">
        <f t="shared" si="3"/>
        <v>2021IV</v>
      </c>
      <c r="D18" s="57"/>
      <c r="E18" s="57" t="s">
        <v>283</v>
      </c>
      <c r="F18" s="48">
        <f>'Fixed Assets'!H3/4</f>
        <v>1530</v>
      </c>
      <c r="G18" s="57" t="s">
        <v>279</v>
      </c>
      <c r="H18" s="57" t="s">
        <v>284</v>
      </c>
      <c r="I18" s="57"/>
      <c r="K18" s="60" t="s">
        <v>264</v>
      </c>
      <c r="L18" s="61" t="s">
        <v>11</v>
      </c>
      <c r="M18" s="61" t="s">
        <v>147</v>
      </c>
      <c r="N18" s="61" t="s">
        <v>265</v>
      </c>
      <c r="O18" s="61" t="s">
        <v>266</v>
      </c>
      <c r="P18" s="62" t="s">
        <v>267</v>
      </c>
      <c r="Q18" s="61" t="s">
        <v>268</v>
      </c>
      <c r="R18" s="61" t="s">
        <v>269</v>
      </c>
      <c r="S18" s="61" t="s">
        <v>270</v>
      </c>
    </row>
    <row r="19" spans="1:19" s="7" customFormat="1" x14ac:dyDescent="0.25">
      <c r="A19" s="59">
        <v>44561</v>
      </c>
      <c r="B19" s="7" t="s">
        <v>13</v>
      </c>
      <c r="C19" s="7" t="str">
        <f t="shared" si="3"/>
        <v>2022I</v>
      </c>
      <c r="D19" s="7" t="s">
        <v>271</v>
      </c>
      <c r="F19" s="22">
        <f>F17-F18</f>
        <v>156230</v>
      </c>
      <c r="G19" s="7" t="s">
        <v>286</v>
      </c>
      <c r="K19" s="59">
        <f>'Balance Sheet'!B$1</f>
        <v>44469</v>
      </c>
      <c r="L19" s="7" t="s">
        <v>12</v>
      </c>
      <c r="M19" s="7" t="str">
        <f t="shared" ref="M19:M21" si="4">IF(K19="",M18,IF(MONTH(K19)=12,_xlfn.CONCAT(YEAR(K19)+1,L19),_xlfn.CONCAT(YEAR(K19),L19)))</f>
        <v>2021IV</v>
      </c>
      <c r="N19" s="7" t="s">
        <v>271</v>
      </c>
      <c r="P19" s="22">
        <f>VLOOKUP(K17,'Liabilities Long'!L$2:M$4,2,FALSE)</f>
        <v>43749.999999999767</v>
      </c>
      <c r="Q19" s="7" t="s">
        <v>272</v>
      </c>
    </row>
    <row r="20" spans="1:19" x14ac:dyDescent="0.25">
      <c r="K20" s="64"/>
      <c r="L20" s="57" t="s">
        <v>12</v>
      </c>
      <c r="M20" s="57" t="str">
        <f t="shared" si="4"/>
        <v>2021IV</v>
      </c>
      <c r="N20" s="57"/>
      <c r="O20" s="57" t="s">
        <v>288</v>
      </c>
      <c r="P20" s="48">
        <f>SUMIF(Tbl_Loan2[Year Quarter],Ledgers!M20,Tbl_Loan2[Redemption amount])</f>
        <v>8750</v>
      </c>
      <c r="Q20" s="57" t="s">
        <v>279</v>
      </c>
      <c r="R20" s="57"/>
      <c r="S20" s="57" t="s">
        <v>275</v>
      </c>
    </row>
    <row r="21" spans="1:19" x14ac:dyDescent="0.25">
      <c r="A21" s="59" t="s">
        <v>113</v>
      </c>
      <c r="B21" s="7"/>
      <c r="C21" s="7"/>
      <c r="D21" s="7"/>
      <c r="E21" s="7"/>
      <c r="F21" s="22"/>
      <c r="G21" s="7"/>
      <c r="H21" s="7"/>
      <c r="I21" s="7"/>
      <c r="K21" s="59">
        <v>44561</v>
      </c>
      <c r="L21" s="7" t="s">
        <v>13</v>
      </c>
      <c r="M21" s="7" t="str">
        <f t="shared" si="4"/>
        <v>2022I</v>
      </c>
      <c r="N21" s="7" t="s">
        <v>271</v>
      </c>
      <c r="O21" s="7"/>
      <c r="P21" s="22">
        <f>P19-P20</f>
        <v>34999.999999999767</v>
      </c>
      <c r="Q21" s="7" t="s">
        <v>272</v>
      </c>
      <c r="R21" s="7"/>
      <c r="S21" s="7"/>
    </row>
    <row r="22" spans="1:19" ht="13.8" thickBot="1" x14ac:dyDescent="0.3">
      <c r="A22" s="60" t="s">
        <v>264</v>
      </c>
      <c r="B22" s="61" t="s">
        <v>11</v>
      </c>
      <c r="C22" s="61" t="s">
        <v>147</v>
      </c>
      <c r="D22" s="61" t="s">
        <v>265</v>
      </c>
      <c r="E22" s="61" t="s">
        <v>266</v>
      </c>
      <c r="F22" s="62" t="s">
        <v>267</v>
      </c>
      <c r="G22" s="61" t="s">
        <v>268</v>
      </c>
      <c r="H22" s="61" t="s">
        <v>269</v>
      </c>
      <c r="I22" s="61" t="s">
        <v>270</v>
      </c>
    </row>
    <row r="23" spans="1:19" s="7" customFormat="1" x14ac:dyDescent="0.25">
      <c r="A23" s="59">
        <f>'Balance Sheet'!B$1</f>
        <v>44469</v>
      </c>
      <c r="B23" s="7" t="s">
        <v>12</v>
      </c>
      <c r="C23" s="7" t="str">
        <f>IF(A23="",C22,IF(MONTH(A23)=12,_xlfn.CONCAT(YEAR(A23)+1,B23),_xlfn.CONCAT(YEAR(A23),B23)))</f>
        <v>2021IV</v>
      </c>
      <c r="D23" s="7" t="s">
        <v>271</v>
      </c>
      <c r="F23" s="22">
        <f>VLOOKUP(A21,Tbl_FixedAssets[],11,FALSE)</f>
        <v>195000</v>
      </c>
      <c r="G23" s="7" t="s">
        <v>272</v>
      </c>
      <c r="K23" s="7" t="s">
        <v>80</v>
      </c>
      <c r="L23"/>
      <c r="M23"/>
      <c r="N23"/>
      <c r="O23"/>
      <c r="P23" s="3"/>
      <c r="Q23"/>
      <c r="R23"/>
      <c r="S23"/>
    </row>
    <row r="24" spans="1:19" ht="13.8" thickBot="1" x14ac:dyDescent="0.3">
      <c r="A24" s="64"/>
      <c r="B24" s="57" t="s">
        <v>12</v>
      </c>
      <c r="C24" s="57" t="str">
        <f t="shared" ref="C24:C29" si="5">IF(A24="",C23,IF(MONTH(A24)=12,_xlfn.CONCAT(YEAR(A24)+1,B24),_xlfn.CONCAT(YEAR(A24),B24)))</f>
        <v>2021IV</v>
      </c>
      <c r="D24" s="57"/>
      <c r="E24" s="57" t="s">
        <v>273</v>
      </c>
      <c r="F24" s="48"/>
      <c r="G24" s="57" t="s">
        <v>274</v>
      </c>
      <c r="H24" s="57"/>
      <c r="I24" s="57" t="s">
        <v>275</v>
      </c>
      <c r="K24" s="60" t="s">
        <v>264</v>
      </c>
      <c r="L24" s="61" t="s">
        <v>11</v>
      </c>
      <c r="M24" s="61" t="s">
        <v>147</v>
      </c>
      <c r="N24" s="61" t="s">
        <v>265</v>
      </c>
      <c r="O24" s="61" t="s">
        <v>266</v>
      </c>
      <c r="P24" s="62" t="s">
        <v>267</v>
      </c>
      <c r="Q24" s="61" t="s">
        <v>268</v>
      </c>
      <c r="R24" s="61" t="s">
        <v>269</v>
      </c>
      <c r="S24" s="61" t="s">
        <v>270</v>
      </c>
    </row>
    <row r="25" spans="1:19" x14ac:dyDescent="0.25">
      <c r="B25" t="s">
        <v>12</v>
      </c>
      <c r="C25" s="7" t="str">
        <f t="shared" si="5"/>
        <v>2021IV</v>
      </c>
      <c r="F25" s="22">
        <f>F23+F24</f>
        <v>195000</v>
      </c>
      <c r="K25" s="59">
        <f>'Balance Sheet'!B$1</f>
        <v>44469</v>
      </c>
      <c r="L25" s="7" t="s">
        <v>12</v>
      </c>
      <c r="M25" s="7" t="str">
        <f t="shared" ref="M25:M27" si="6">IF(K25="",M24,IF(MONTH(K25)=12,_xlfn.CONCAT(YEAR(K25)+1,L25),_xlfn.CONCAT(YEAR(K25),L25)))</f>
        <v>2021IV</v>
      </c>
      <c r="N25" s="7" t="s">
        <v>271</v>
      </c>
      <c r="O25" s="7"/>
      <c r="P25" s="22">
        <f>VLOOKUP(K23,'Liabilities Long'!L$2:M$4,2,FALSE)</f>
        <v>295312.5</v>
      </c>
      <c r="Q25" s="7" t="s">
        <v>272</v>
      </c>
      <c r="R25" s="7"/>
      <c r="S25" s="7"/>
    </row>
    <row r="26" spans="1:19" x14ac:dyDescent="0.25">
      <c r="A26" s="64"/>
      <c r="B26" s="57" t="s">
        <v>12</v>
      </c>
      <c r="C26" s="57" t="str">
        <f t="shared" si="5"/>
        <v>2021IV</v>
      </c>
      <c r="D26" s="57"/>
      <c r="E26" s="57" t="s">
        <v>278</v>
      </c>
      <c r="F26" s="48"/>
      <c r="G26" s="57" t="s">
        <v>279</v>
      </c>
      <c r="H26" s="57" t="s">
        <v>280</v>
      </c>
      <c r="I26" s="57" t="s">
        <v>281</v>
      </c>
      <c r="K26" s="64"/>
      <c r="L26" s="57" t="s">
        <v>12</v>
      </c>
      <c r="M26" s="57" t="str">
        <f t="shared" si="6"/>
        <v>2021IV</v>
      </c>
      <c r="N26" s="57"/>
      <c r="O26" s="57" t="s">
        <v>289</v>
      </c>
      <c r="P26" s="48">
        <f>SUMIF(Tbl_Loan3[Year Quarter],Ledgers!M26,Tbl_Loan3[Redemption amount])</f>
        <v>14062.5</v>
      </c>
      <c r="Q26" s="57" t="s">
        <v>279</v>
      </c>
      <c r="R26" s="57"/>
      <c r="S26" s="57" t="s">
        <v>275</v>
      </c>
    </row>
    <row r="27" spans="1:19" x14ac:dyDescent="0.25">
      <c r="B27" t="s">
        <v>12</v>
      </c>
      <c r="C27" s="7" t="str">
        <f t="shared" si="5"/>
        <v>2021IV</v>
      </c>
      <c r="F27" s="63">
        <f>F25-F26</f>
        <v>195000</v>
      </c>
      <c r="K27" s="59">
        <v>44561</v>
      </c>
      <c r="L27" s="7" t="s">
        <v>13</v>
      </c>
      <c r="M27" s="7" t="str">
        <f t="shared" si="6"/>
        <v>2022I</v>
      </c>
      <c r="N27" s="7" t="s">
        <v>271</v>
      </c>
      <c r="O27" s="7"/>
      <c r="P27" s="22">
        <f>P25-P26</f>
        <v>281250</v>
      </c>
      <c r="Q27" s="7" t="s">
        <v>272</v>
      </c>
      <c r="R27" s="7"/>
      <c r="S27" s="7"/>
    </row>
    <row r="28" spans="1:19" x14ac:dyDescent="0.25">
      <c r="A28" s="64"/>
      <c r="B28" s="57" t="s">
        <v>12</v>
      </c>
      <c r="C28" s="57" t="str">
        <f t="shared" si="5"/>
        <v>2021IV</v>
      </c>
      <c r="D28" s="57"/>
      <c r="E28" s="57" t="s">
        <v>283</v>
      </c>
      <c r="F28" s="48">
        <f>'Fixed Assets'!H4/4</f>
        <v>2625</v>
      </c>
      <c r="G28" s="57" t="s">
        <v>279</v>
      </c>
      <c r="H28" s="57" t="s">
        <v>284</v>
      </c>
      <c r="I28" s="57"/>
    </row>
    <row r="29" spans="1:19" s="7" customFormat="1" x14ac:dyDescent="0.25">
      <c r="A29" s="59">
        <v>44561</v>
      </c>
      <c r="B29" s="7" t="s">
        <v>13</v>
      </c>
      <c r="C29" s="7" t="str">
        <f t="shared" si="5"/>
        <v>2022I</v>
      </c>
      <c r="D29" s="7" t="s">
        <v>271</v>
      </c>
      <c r="F29" s="22">
        <f>F27-F28</f>
        <v>192375</v>
      </c>
      <c r="G29" s="7" t="s">
        <v>286</v>
      </c>
      <c r="K29" s="7" t="s">
        <v>128</v>
      </c>
      <c r="L29"/>
      <c r="M29"/>
      <c r="N29"/>
      <c r="O29"/>
      <c r="P29" s="3"/>
      <c r="Q29"/>
      <c r="R29"/>
      <c r="S29"/>
    </row>
    <row r="30" spans="1:19" ht="13.8" thickBot="1" x14ac:dyDescent="0.3">
      <c r="K30" s="60" t="s">
        <v>264</v>
      </c>
      <c r="L30" s="61" t="s">
        <v>11</v>
      </c>
      <c r="M30" s="61" t="s">
        <v>147</v>
      </c>
      <c r="N30" s="61" t="s">
        <v>265</v>
      </c>
      <c r="O30" s="61" t="s">
        <v>266</v>
      </c>
      <c r="P30" s="62" t="s">
        <v>267</v>
      </c>
      <c r="Q30" s="61" t="s">
        <v>268</v>
      </c>
      <c r="R30" s="61" t="s">
        <v>269</v>
      </c>
      <c r="S30" s="61" t="s">
        <v>270</v>
      </c>
    </row>
    <row r="31" spans="1:19" x14ac:dyDescent="0.25">
      <c r="A31" s="59" t="s">
        <v>114</v>
      </c>
      <c r="B31" s="7"/>
      <c r="C31" s="7"/>
      <c r="D31" s="7"/>
      <c r="E31" s="7"/>
      <c r="F31" s="22"/>
      <c r="G31" s="7"/>
      <c r="H31" s="7"/>
      <c r="I31" s="7"/>
      <c r="K31" s="59">
        <f>'Balance Sheet'!B$1</f>
        <v>44469</v>
      </c>
      <c r="L31" s="7" t="s">
        <v>12</v>
      </c>
      <c r="M31" s="7" t="str">
        <f t="shared" ref="M31:M35" si="7">IF(K31="",M30,IF(MONTH(K31)=12,_xlfn.CONCAT(YEAR(K31)+1,L31),_xlfn.CONCAT(YEAR(K31),L31)))</f>
        <v>2021IV</v>
      </c>
      <c r="N31" s="7" t="s">
        <v>271</v>
      </c>
      <c r="O31" s="7"/>
      <c r="P31" s="22">
        <f>'Departments and FTE'!C66*(Given!B59/3)</f>
        <v>229680</v>
      </c>
      <c r="Q31" s="7" t="s">
        <v>272</v>
      </c>
      <c r="R31" s="7"/>
      <c r="S31" s="7"/>
    </row>
    <row r="32" spans="1:19" ht="13.8" thickBot="1" x14ac:dyDescent="0.3">
      <c r="A32" s="60" t="s">
        <v>264</v>
      </c>
      <c r="B32" s="61" t="s">
        <v>11</v>
      </c>
      <c r="C32" s="61" t="s">
        <v>147</v>
      </c>
      <c r="D32" s="61" t="s">
        <v>265</v>
      </c>
      <c r="E32" s="61" t="s">
        <v>266</v>
      </c>
      <c r="F32" s="62" t="s">
        <v>267</v>
      </c>
      <c r="G32" s="61" t="s">
        <v>268</v>
      </c>
      <c r="H32" s="61" t="s">
        <v>269</v>
      </c>
      <c r="I32" s="61" t="s">
        <v>270</v>
      </c>
      <c r="K32" s="64"/>
      <c r="L32" s="57" t="s">
        <v>12</v>
      </c>
      <c r="M32" s="57" t="str">
        <f t="shared" si="7"/>
        <v>2021IV</v>
      </c>
      <c r="N32" s="57"/>
      <c r="O32" s="57" t="s">
        <v>290</v>
      </c>
      <c r="P32" s="48">
        <f>'Departments and FTE'!C66</f>
        <v>114840</v>
      </c>
      <c r="Q32" s="57" t="s">
        <v>274</v>
      </c>
      <c r="R32" s="57"/>
      <c r="S32" s="57"/>
    </row>
    <row r="33" spans="1:19" s="7" customFormat="1" x14ac:dyDescent="0.25">
      <c r="A33" s="59">
        <f>'Balance Sheet'!B$1</f>
        <v>44469</v>
      </c>
      <c r="B33" s="7" t="s">
        <v>12</v>
      </c>
      <c r="C33" s="7" t="str">
        <f>IF(A33="",C32,IF(MONTH(A33)=12,_xlfn.CONCAT(YEAR(A33)+1,B33),_xlfn.CONCAT(YEAR(A33),B33)))</f>
        <v>2021IV</v>
      </c>
      <c r="D33" s="7" t="s">
        <v>271</v>
      </c>
      <c r="F33" s="22">
        <f>VLOOKUP(A31,Tbl_FixedAssets[],11,FALSE)</f>
        <v>126000</v>
      </c>
      <c r="G33" s="7" t="s">
        <v>272</v>
      </c>
      <c r="K33" s="2"/>
      <c r="L33" t="s">
        <v>12</v>
      </c>
      <c r="M33" s="7" t="str">
        <f t="shared" si="7"/>
        <v>2021IV</v>
      </c>
      <c r="P33" s="22">
        <f>SUM(P31:P32)</f>
        <v>344520</v>
      </c>
    </row>
    <row r="34" spans="1:19" x14ac:dyDescent="0.25">
      <c r="A34" s="64"/>
      <c r="B34" s="57" t="s">
        <v>12</v>
      </c>
      <c r="C34" s="57" t="str">
        <f t="shared" ref="C34:C39" si="8">IF(A34="",C33,IF(MONTH(A34)=12,_xlfn.CONCAT(YEAR(A34)+1,B34),_xlfn.CONCAT(YEAR(A34),B34)))</f>
        <v>2021IV</v>
      </c>
      <c r="D34" s="57"/>
      <c r="E34" s="57" t="s">
        <v>273</v>
      </c>
      <c r="F34" s="48"/>
      <c r="G34" s="57" t="s">
        <v>274</v>
      </c>
      <c r="H34" s="57"/>
      <c r="I34" s="57" t="s">
        <v>275</v>
      </c>
      <c r="K34" s="64"/>
      <c r="L34" s="57" t="s">
        <v>12</v>
      </c>
      <c r="M34" s="57" t="str">
        <f t="shared" si="7"/>
        <v>2021IV</v>
      </c>
      <c r="N34" s="57"/>
      <c r="O34" s="57" t="s">
        <v>291</v>
      </c>
      <c r="P34" s="48">
        <v>0</v>
      </c>
      <c r="Q34" s="57" t="s">
        <v>279</v>
      </c>
      <c r="R34" s="57"/>
      <c r="S34" s="57" t="s">
        <v>275</v>
      </c>
    </row>
    <row r="35" spans="1:19" x14ac:dyDescent="0.25">
      <c r="B35" t="s">
        <v>12</v>
      </c>
      <c r="C35" s="7" t="str">
        <f t="shared" si="8"/>
        <v>2021IV</v>
      </c>
      <c r="F35" s="22">
        <f>F33+F34</f>
        <v>126000</v>
      </c>
      <c r="K35" s="59">
        <v>44561</v>
      </c>
      <c r="L35" s="7" t="s">
        <v>13</v>
      </c>
      <c r="M35" s="7" t="str">
        <f t="shared" si="7"/>
        <v>2022I</v>
      </c>
      <c r="N35" s="7" t="s">
        <v>271</v>
      </c>
      <c r="O35" s="7"/>
      <c r="P35" s="22">
        <f>P33-P34</f>
        <v>344520</v>
      </c>
      <c r="Q35" s="7" t="s">
        <v>272</v>
      </c>
      <c r="R35" s="7"/>
      <c r="S35" s="7"/>
    </row>
    <row r="36" spans="1:19" x14ac:dyDescent="0.25">
      <c r="A36" s="64"/>
      <c r="B36" s="57" t="s">
        <v>12</v>
      </c>
      <c r="C36" s="57" t="str">
        <f t="shared" si="8"/>
        <v>2021IV</v>
      </c>
      <c r="D36" s="57"/>
      <c r="E36" s="57" t="s">
        <v>278</v>
      </c>
      <c r="F36" s="48"/>
      <c r="G36" s="57" t="s">
        <v>279</v>
      </c>
      <c r="H36" s="57" t="s">
        <v>280</v>
      </c>
      <c r="I36" s="57" t="s">
        <v>281</v>
      </c>
    </row>
    <row r="37" spans="1:19" x14ac:dyDescent="0.25">
      <c r="B37" t="s">
        <v>12</v>
      </c>
      <c r="C37" s="7" t="str">
        <f t="shared" si="8"/>
        <v>2021IV</v>
      </c>
      <c r="F37" s="63">
        <f>F35-F36</f>
        <v>126000</v>
      </c>
      <c r="K37" s="45" t="s">
        <v>127</v>
      </c>
    </row>
    <row r="38" spans="1:19" ht="13.8" thickBot="1" x14ac:dyDescent="0.3">
      <c r="A38" s="64"/>
      <c r="B38" s="57" t="s">
        <v>12</v>
      </c>
      <c r="C38" s="57" t="str">
        <f t="shared" si="8"/>
        <v>2021IV</v>
      </c>
      <c r="D38" s="57"/>
      <c r="E38" s="57" t="s">
        <v>283</v>
      </c>
      <c r="F38" s="48">
        <f>'Fixed Assets'!H5/4</f>
        <v>7000</v>
      </c>
      <c r="G38" s="57" t="s">
        <v>279</v>
      </c>
      <c r="H38" s="57" t="s">
        <v>284</v>
      </c>
      <c r="I38" s="57"/>
      <c r="K38" s="60" t="s">
        <v>264</v>
      </c>
      <c r="L38" s="61" t="s">
        <v>11</v>
      </c>
      <c r="M38" s="61" t="s">
        <v>147</v>
      </c>
      <c r="N38" s="61" t="s">
        <v>265</v>
      </c>
      <c r="O38" s="61" t="s">
        <v>266</v>
      </c>
      <c r="P38" s="62" t="s">
        <v>267</v>
      </c>
      <c r="Q38" s="61" t="s">
        <v>268</v>
      </c>
      <c r="R38" s="61" t="s">
        <v>269</v>
      </c>
      <c r="S38" s="61" t="s">
        <v>270</v>
      </c>
    </row>
    <row r="39" spans="1:19" s="7" customFormat="1" x14ac:dyDescent="0.25">
      <c r="A39" s="59">
        <v>44561</v>
      </c>
      <c r="B39" s="7" t="s">
        <v>13</v>
      </c>
      <c r="C39" s="7" t="str">
        <f t="shared" si="8"/>
        <v>2022I</v>
      </c>
      <c r="D39" s="7" t="s">
        <v>271</v>
      </c>
      <c r="F39" s="22">
        <f>F37-F38</f>
        <v>119000</v>
      </c>
      <c r="G39" s="7" t="s">
        <v>286</v>
      </c>
      <c r="K39" s="59">
        <f>'Balance Sheet'!B$1</f>
        <v>44469</v>
      </c>
      <c r="L39" s="7" t="s">
        <v>12</v>
      </c>
      <c r="M39" s="7" t="str">
        <f t="shared" ref="M39:M43" si="9">IF(K39="",M38,IF(MONTH(K39)=12,_xlfn.CONCAT(YEAR(K39)+1,L39),_xlfn.CONCAT(YEAR(K39),L39)))</f>
        <v>2021IV</v>
      </c>
      <c r="N39" s="7" t="s">
        <v>271</v>
      </c>
      <c r="P39" s="22">
        <f>'Departments and FTE'!C73</f>
        <v>341074.8</v>
      </c>
      <c r="Q39" s="7" t="s">
        <v>272</v>
      </c>
    </row>
    <row r="40" spans="1:19" x14ac:dyDescent="0.25">
      <c r="K40" s="64"/>
      <c r="L40" s="57" t="s">
        <v>12</v>
      </c>
      <c r="M40" s="57" t="str">
        <f t="shared" si="9"/>
        <v>2021IV</v>
      </c>
      <c r="N40" s="57"/>
      <c r="O40" s="57" t="s">
        <v>292</v>
      </c>
      <c r="P40" s="48">
        <f>'Departments and FTE'!C73</f>
        <v>341074.8</v>
      </c>
      <c r="Q40" s="57" t="s">
        <v>274</v>
      </c>
      <c r="R40" s="57"/>
      <c r="S40" s="57"/>
    </row>
    <row r="41" spans="1:19" x14ac:dyDescent="0.25">
      <c r="A41" s="59" t="s">
        <v>117</v>
      </c>
      <c r="B41" s="7"/>
      <c r="C41" s="7"/>
      <c r="D41" s="7"/>
      <c r="E41" s="7"/>
      <c r="F41" s="22"/>
      <c r="G41" s="7"/>
      <c r="H41" s="7"/>
      <c r="I41" s="7"/>
      <c r="K41" s="2"/>
      <c r="L41" t="s">
        <v>12</v>
      </c>
      <c r="M41" s="7" t="str">
        <f t="shared" si="9"/>
        <v>2021IV</v>
      </c>
      <c r="N41" s="7"/>
      <c r="O41" s="7"/>
      <c r="P41" s="22">
        <f>SUM(P39:P40)</f>
        <v>682149.6</v>
      </c>
      <c r="Q41" s="7"/>
      <c r="R41" s="7"/>
      <c r="S41" s="7"/>
    </row>
    <row r="42" spans="1:19" ht="13.8" thickBot="1" x14ac:dyDescent="0.3">
      <c r="A42" s="60" t="s">
        <v>264</v>
      </c>
      <c r="B42" s="61" t="s">
        <v>11</v>
      </c>
      <c r="C42" s="61" t="s">
        <v>147</v>
      </c>
      <c r="D42" s="61" t="s">
        <v>265</v>
      </c>
      <c r="E42" s="61" t="s">
        <v>266</v>
      </c>
      <c r="F42" s="62" t="s">
        <v>267</v>
      </c>
      <c r="G42" s="61" t="s">
        <v>268</v>
      </c>
      <c r="H42" s="61" t="s">
        <v>269</v>
      </c>
      <c r="I42" s="61" t="s">
        <v>270</v>
      </c>
      <c r="K42" s="64"/>
      <c r="L42" s="57" t="s">
        <v>12</v>
      </c>
      <c r="M42" s="57" t="str">
        <f t="shared" si="9"/>
        <v>2021IV</v>
      </c>
      <c r="N42" s="57"/>
      <c r="O42" s="57" t="s">
        <v>293</v>
      </c>
      <c r="P42" s="48">
        <f>P39</f>
        <v>341074.8</v>
      </c>
      <c r="Q42" s="57" t="s">
        <v>279</v>
      </c>
      <c r="R42" s="57"/>
      <c r="S42" s="57" t="s">
        <v>275</v>
      </c>
    </row>
    <row r="43" spans="1:19" s="7" customFormat="1" x14ac:dyDescent="0.25">
      <c r="A43" s="59">
        <f>'Balance Sheet'!B$1</f>
        <v>44469</v>
      </c>
      <c r="B43" s="7" t="s">
        <v>12</v>
      </c>
      <c r="C43" s="7" t="str">
        <f>IF(A43="",C42,IF(MONTH(A43)=12,_xlfn.CONCAT(YEAR(A43)+1,B43),_xlfn.CONCAT(YEAR(A43),B43)))</f>
        <v>2021IV</v>
      </c>
      <c r="D43" s="7" t="s">
        <v>271</v>
      </c>
      <c r="F43" s="22">
        <f>VLOOKUP(A41,Tbl_FixedAssets[],11,FALSE)</f>
        <v>6300</v>
      </c>
      <c r="G43" s="7" t="s">
        <v>272</v>
      </c>
      <c r="K43" s="59">
        <v>44561</v>
      </c>
      <c r="L43" s="7" t="s">
        <v>13</v>
      </c>
      <c r="M43" s="7" t="str">
        <f t="shared" si="9"/>
        <v>2022I</v>
      </c>
      <c r="N43" s="7" t="s">
        <v>271</v>
      </c>
      <c r="P43" s="22">
        <f>P41-P42</f>
        <v>341074.8</v>
      </c>
      <c r="Q43" s="7" t="s">
        <v>272</v>
      </c>
    </row>
    <row r="44" spans="1:19" x14ac:dyDescent="0.25">
      <c r="A44" s="64"/>
      <c r="B44" s="57" t="s">
        <v>12</v>
      </c>
      <c r="C44" s="57" t="str">
        <f t="shared" ref="C44:C49" si="10">IF(A44="",C43,IF(MONTH(A44)=12,_xlfn.CONCAT(YEAR(A44)+1,B44),_xlfn.CONCAT(YEAR(A44),B44)))</f>
        <v>2021IV</v>
      </c>
      <c r="D44" s="57"/>
      <c r="E44" s="57" t="s">
        <v>273</v>
      </c>
      <c r="F44" s="48"/>
      <c r="G44" s="57" t="s">
        <v>274</v>
      </c>
      <c r="H44" s="57"/>
      <c r="I44" s="57" t="s">
        <v>275</v>
      </c>
    </row>
    <row r="45" spans="1:19" x14ac:dyDescent="0.25">
      <c r="B45" t="s">
        <v>12</v>
      </c>
      <c r="C45" s="7" t="str">
        <f t="shared" si="10"/>
        <v>2021IV</v>
      </c>
      <c r="F45" s="22">
        <f>F43+F44</f>
        <v>6300</v>
      </c>
      <c r="K45" s="7" t="s">
        <v>5</v>
      </c>
    </row>
    <row r="46" spans="1:19" ht="13.8" thickBot="1" x14ac:dyDescent="0.3">
      <c r="A46" s="64"/>
      <c r="B46" s="57" t="s">
        <v>12</v>
      </c>
      <c r="C46" s="57" t="str">
        <f t="shared" si="10"/>
        <v>2021IV</v>
      </c>
      <c r="D46" s="57"/>
      <c r="E46" s="57" t="s">
        <v>278</v>
      </c>
      <c r="F46" s="48"/>
      <c r="G46" s="57" t="s">
        <v>279</v>
      </c>
      <c r="H46" s="57" t="s">
        <v>280</v>
      </c>
      <c r="I46" s="57" t="s">
        <v>281</v>
      </c>
      <c r="K46" s="60" t="s">
        <v>264</v>
      </c>
      <c r="L46" s="61" t="s">
        <v>11</v>
      </c>
      <c r="M46" s="61" t="s">
        <v>147</v>
      </c>
      <c r="N46" s="61" t="s">
        <v>265</v>
      </c>
      <c r="O46" s="61" t="s">
        <v>266</v>
      </c>
      <c r="P46" s="62" t="s">
        <v>267</v>
      </c>
      <c r="Q46" s="61" t="s">
        <v>268</v>
      </c>
      <c r="R46" s="61" t="s">
        <v>269</v>
      </c>
      <c r="S46" s="61" t="s">
        <v>270</v>
      </c>
    </row>
    <row r="47" spans="1:19" x14ac:dyDescent="0.25">
      <c r="B47" t="s">
        <v>12</v>
      </c>
      <c r="C47" s="7" t="str">
        <f t="shared" si="10"/>
        <v>2021IV</v>
      </c>
      <c r="F47" s="63">
        <f>F45-F46</f>
        <v>6300</v>
      </c>
      <c r="K47" s="59">
        <f>'Balance Sheet'!B$1</f>
        <v>44469</v>
      </c>
      <c r="L47" s="7" t="s">
        <v>12</v>
      </c>
      <c r="M47" s="7" t="str">
        <f t="shared" ref="M47:M51" si="11">IF(K47="",M46,IF(MONTH(K47)=12,_xlfn.CONCAT(YEAR(K47)+1,L47),_xlfn.CONCAT(YEAR(K47),L47)))</f>
        <v>2021IV</v>
      </c>
      <c r="N47" s="7" t="s">
        <v>271</v>
      </c>
      <c r="O47" s="7"/>
      <c r="P47" s="22">
        <f>Given!C10</f>
        <v>1026450</v>
      </c>
      <c r="Q47" s="7" t="s">
        <v>272</v>
      </c>
      <c r="R47" s="7"/>
      <c r="S47" s="7"/>
    </row>
    <row r="48" spans="1:19" x14ac:dyDescent="0.25">
      <c r="A48" s="64"/>
      <c r="B48" s="57" t="s">
        <v>12</v>
      </c>
      <c r="C48" s="57" t="str">
        <f t="shared" si="10"/>
        <v>2021IV</v>
      </c>
      <c r="D48" s="57"/>
      <c r="E48" s="57" t="s">
        <v>283</v>
      </c>
      <c r="F48" s="48">
        <f>'Fixed Assets'!H7/4</f>
        <v>1012.5</v>
      </c>
      <c r="G48" s="57" t="s">
        <v>279</v>
      </c>
      <c r="H48" s="57" t="s">
        <v>284</v>
      </c>
      <c r="I48" s="57"/>
      <c r="K48" s="64"/>
      <c r="L48" s="57" t="s">
        <v>12</v>
      </c>
      <c r="M48" s="57" t="str">
        <f t="shared" si="11"/>
        <v>2021IV</v>
      </c>
      <c r="N48" s="57"/>
      <c r="O48" s="57" t="s">
        <v>294</v>
      </c>
      <c r="P48" s="48">
        <f>VLOOKUP(Ledgers!M48,'Purchase value stock'!C$3:H$6,6,FALSE)</f>
        <v>3126437.5</v>
      </c>
      <c r="Q48" s="57" t="s">
        <v>274</v>
      </c>
      <c r="R48" s="57"/>
      <c r="S48" s="57"/>
    </row>
    <row r="49" spans="1:19" s="7" customFormat="1" x14ac:dyDescent="0.25">
      <c r="A49" s="59">
        <v>44561</v>
      </c>
      <c r="B49" s="7" t="s">
        <v>13</v>
      </c>
      <c r="C49" s="7" t="str">
        <f t="shared" si="10"/>
        <v>2022I</v>
      </c>
      <c r="D49" s="7" t="s">
        <v>271</v>
      </c>
      <c r="F49" s="22">
        <f>F47-F48</f>
        <v>5287.5</v>
      </c>
      <c r="G49" s="7" t="s">
        <v>286</v>
      </c>
      <c r="K49" s="2"/>
      <c r="L49" t="s">
        <v>12</v>
      </c>
      <c r="M49" s="7" t="str">
        <f t="shared" si="11"/>
        <v>2021IV</v>
      </c>
      <c r="P49" s="22">
        <f>SUM(P47:P48)</f>
        <v>4152887.5</v>
      </c>
    </row>
    <row r="50" spans="1:19" x14ac:dyDescent="0.25">
      <c r="K50" s="64"/>
      <c r="L50" s="57" t="s">
        <v>12</v>
      </c>
      <c r="M50" s="57" t="str">
        <f t="shared" si="11"/>
        <v>2021IV</v>
      </c>
      <c r="N50" s="57"/>
      <c r="O50" s="57" t="s">
        <v>295</v>
      </c>
      <c r="P50" s="48">
        <f>P47+((3-Given!$B$13)/3)*Ledgers!P48</f>
        <v>3892351.0416666665</v>
      </c>
      <c r="Q50" s="57" t="s">
        <v>279</v>
      </c>
      <c r="R50" s="57"/>
      <c r="S50" s="57" t="s">
        <v>275</v>
      </c>
    </row>
    <row r="51" spans="1:19" x14ac:dyDescent="0.25">
      <c r="A51" s="59" t="s">
        <v>115</v>
      </c>
      <c r="B51" s="7"/>
      <c r="C51" s="7"/>
      <c r="D51" s="7"/>
      <c r="E51" s="7"/>
      <c r="F51" s="22"/>
      <c r="G51" s="7"/>
      <c r="H51" s="7"/>
      <c r="I51" s="7"/>
      <c r="K51" s="59">
        <v>44561</v>
      </c>
      <c r="L51" s="7" t="s">
        <v>13</v>
      </c>
      <c r="M51" s="7" t="str">
        <f t="shared" si="11"/>
        <v>2022I</v>
      </c>
      <c r="N51" s="7" t="s">
        <v>271</v>
      </c>
      <c r="O51" s="7"/>
      <c r="P51" s="22">
        <f>P49-P50</f>
        <v>260536.45833333349</v>
      </c>
      <c r="Q51" s="7" t="s">
        <v>272</v>
      </c>
      <c r="R51" s="7"/>
      <c r="S51" s="7"/>
    </row>
    <row r="52" spans="1:19" ht="13.8" thickBot="1" x14ac:dyDescent="0.3">
      <c r="A52" s="60" t="s">
        <v>264</v>
      </c>
      <c r="B52" s="61" t="s">
        <v>11</v>
      </c>
      <c r="C52" s="61" t="s">
        <v>147</v>
      </c>
      <c r="D52" s="61" t="s">
        <v>265</v>
      </c>
      <c r="E52" s="61" t="s">
        <v>266</v>
      </c>
      <c r="F52" s="62" t="s">
        <v>267</v>
      </c>
      <c r="G52" s="61" t="s">
        <v>268</v>
      </c>
      <c r="H52" s="61" t="s">
        <v>269</v>
      </c>
      <c r="I52" s="61" t="s">
        <v>270</v>
      </c>
    </row>
    <row r="53" spans="1:19" s="7" customFormat="1" x14ac:dyDescent="0.25">
      <c r="A53" s="59">
        <f>'Balance Sheet'!B$1</f>
        <v>44469</v>
      </c>
      <c r="B53" s="7" t="s">
        <v>12</v>
      </c>
      <c r="C53" s="7" t="str">
        <f>IF(A53="",C52,IF(MONTH(A53)=12,_xlfn.CONCAT(YEAR(A53)+1,B53),_xlfn.CONCAT(YEAR(A53),B53)))</f>
        <v>2021IV</v>
      </c>
      <c r="D53" s="7" t="s">
        <v>271</v>
      </c>
      <c r="F53" s="22">
        <f>VLOOKUP(A51,Tbl_FixedAssets[],11,FALSE)</f>
        <v>348750</v>
      </c>
      <c r="G53" s="7" t="s">
        <v>272</v>
      </c>
      <c r="K53" s="45" t="s">
        <v>126</v>
      </c>
      <c r="L53"/>
      <c r="M53"/>
      <c r="N53"/>
      <c r="O53"/>
      <c r="P53" s="3"/>
      <c r="Q53"/>
      <c r="R53"/>
      <c r="S53"/>
    </row>
    <row r="54" spans="1:19" ht="13.8" thickBot="1" x14ac:dyDescent="0.3">
      <c r="A54" s="64"/>
      <c r="B54" s="57" t="s">
        <v>12</v>
      </c>
      <c r="C54" s="57" t="str">
        <f t="shared" ref="C54:C59" si="12">IF(A54="",C53,IF(MONTH(A54)=12,_xlfn.CONCAT(YEAR(A54)+1,B54),_xlfn.CONCAT(YEAR(A54),B54)))</f>
        <v>2021IV</v>
      </c>
      <c r="D54" s="57"/>
      <c r="E54" s="57" t="s">
        <v>273</v>
      </c>
      <c r="F54" s="48"/>
      <c r="G54" s="57" t="s">
        <v>274</v>
      </c>
      <c r="H54" s="57"/>
      <c r="I54" s="57" t="s">
        <v>275</v>
      </c>
      <c r="K54" s="60" t="s">
        <v>264</v>
      </c>
      <c r="L54" s="61" t="s">
        <v>11</v>
      </c>
      <c r="M54" s="61" t="s">
        <v>147</v>
      </c>
      <c r="N54" s="61" t="s">
        <v>265</v>
      </c>
      <c r="O54" s="61" t="s">
        <v>266</v>
      </c>
      <c r="P54" s="62" t="s">
        <v>267</v>
      </c>
      <c r="Q54" s="61" t="s">
        <v>268</v>
      </c>
      <c r="R54" s="61" t="s">
        <v>269</v>
      </c>
      <c r="S54" s="61" t="s">
        <v>270</v>
      </c>
    </row>
    <row r="55" spans="1:19" x14ac:dyDescent="0.25">
      <c r="B55" t="s">
        <v>12</v>
      </c>
      <c r="C55" s="7" t="str">
        <f t="shared" si="12"/>
        <v>2021IV</v>
      </c>
      <c r="F55" s="22">
        <f>F53+F54</f>
        <v>348750</v>
      </c>
      <c r="K55" s="59">
        <f>'Balance Sheet'!B$1</f>
        <v>44469</v>
      </c>
      <c r="L55" s="7" t="s">
        <v>12</v>
      </c>
      <c r="M55" s="7" t="str">
        <f t="shared" ref="M55:M59" si="13">IF(K55="",M54,IF(MONTH(K55)=12,_xlfn.CONCAT(YEAR(K55)+1,L55),_xlfn.CONCAT(YEAR(K55),L55)))</f>
        <v>2021IV</v>
      </c>
      <c r="N55" s="7" t="s">
        <v>271</v>
      </c>
      <c r="O55" s="7"/>
      <c r="P55" s="22">
        <f>Given!B$70</f>
        <v>20000</v>
      </c>
      <c r="Q55" s="7" t="s">
        <v>272</v>
      </c>
      <c r="R55" s="7"/>
      <c r="S55" s="7"/>
    </row>
    <row r="56" spans="1:19" x14ac:dyDescent="0.25">
      <c r="A56" s="64"/>
      <c r="B56" s="57" t="s">
        <v>12</v>
      </c>
      <c r="C56" s="57" t="str">
        <f t="shared" si="12"/>
        <v>2021IV</v>
      </c>
      <c r="D56" s="57"/>
      <c r="E56" s="57" t="s">
        <v>278</v>
      </c>
      <c r="F56" s="48"/>
      <c r="G56" s="57" t="s">
        <v>279</v>
      </c>
      <c r="H56" s="57" t="s">
        <v>280</v>
      </c>
      <c r="I56" s="57" t="s">
        <v>281</v>
      </c>
      <c r="K56" s="64"/>
      <c r="L56" s="57" t="s">
        <v>12</v>
      </c>
      <c r="M56" s="57" t="str">
        <f t="shared" si="13"/>
        <v>2021IV</v>
      </c>
      <c r="N56" s="57"/>
      <c r="O56" s="57" t="s">
        <v>296</v>
      </c>
      <c r="P56" s="48">
        <f>'Liquidity Budget'!B28</f>
        <v>35912.441781828195</v>
      </c>
      <c r="Q56" s="57" t="s">
        <v>274</v>
      </c>
      <c r="R56" s="57" t="s">
        <v>284</v>
      </c>
      <c r="S56" s="57"/>
    </row>
    <row r="57" spans="1:19" x14ac:dyDescent="0.25">
      <c r="B57" t="s">
        <v>12</v>
      </c>
      <c r="C57" s="7" t="str">
        <f t="shared" si="12"/>
        <v>2021IV</v>
      </c>
      <c r="F57" s="63">
        <f>F55-F56</f>
        <v>348750</v>
      </c>
      <c r="K57" s="2"/>
      <c r="L57" t="s">
        <v>12</v>
      </c>
      <c r="M57" s="7" t="str">
        <f t="shared" si="13"/>
        <v>2021IV</v>
      </c>
      <c r="N57" s="7"/>
      <c r="O57" s="7"/>
      <c r="P57" s="22">
        <f>SUM(P55:P56)</f>
        <v>55912.441781828195</v>
      </c>
      <c r="Q57" s="7"/>
      <c r="R57" s="7"/>
      <c r="S57" s="7"/>
    </row>
    <row r="58" spans="1:19" x14ac:dyDescent="0.25">
      <c r="A58" s="64"/>
      <c r="B58" s="57" t="s">
        <v>12</v>
      </c>
      <c r="C58" s="57" t="str">
        <f t="shared" si="12"/>
        <v>2021IV</v>
      </c>
      <c r="D58" s="57"/>
      <c r="E58" s="57" t="s">
        <v>283</v>
      </c>
      <c r="F58" s="48">
        <f>'Fixed Assets'!H6/4</f>
        <v>12656.25</v>
      </c>
      <c r="G58" s="57" t="s">
        <v>279</v>
      </c>
      <c r="H58" s="57" t="s">
        <v>284</v>
      </c>
      <c r="I58" s="57"/>
      <c r="J58" s="3"/>
      <c r="K58" s="64"/>
      <c r="L58" s="57" t="s">
        <v>12</v>
      </c>
      <c r="M58" s="57" t="str">
        <f t="shared" si="13"/>
        <v>2021IV</v>
      </c>
      <c r="N58" s="57"/>
      <c r="O58" s="57" t="s">
        <v>297</v>
      </c>
      <c r="P58" s="48">
        <f>P55</f>
        <v>20000</v>
      </c>
      <c r="Q58" s="57" t="s">
        <v>279</v>
      </c>
      <c r="R58" s="57"/>
      <c r="S58" s="57" t="s">
        <v>275</v>
      </c>
    </row>
    <row r="59" spans="1:19" s="7" customFormat="1" x14ac:dyDescent="0.25">
      <c r="A59" s="59">
        <v>44561</v>
      </c>
      <c r="B59" s="7" t="s">
        <v>13</v>
      </c>
      <c r="C59" s="7" t="str">
        <f t="shared" si="12"/>
        <v>2022I</v>
      </c>
      <c r="D59" s="7" t="s">
        <v>271</v>
      </c>
      <c r="F59" s="22">
        <f>F57-F58</f>
        <v>336093.75</v>
      </c>
      <c r="G59" s="7" t="s">
        <v>286</v>
      </c>
      <c r="K59" s="59">
        <v>44561</v>
      </c>
      <c r="L59" s="7" t="s">
        <v>13</v>
      </c>
      <c r="M59" s="7" t="str">
        <f t="shared" si="13"/>
        <v>2022I</v>
      </c>
      <c r="N59" s="7" t="s">
        <v>271</v>
      </c>
      <c r="P59" s="22">
        <f>P57-P58</f>
        <v>35912.441781828195</v>
      </c>
      <c r="Q59" s="7" t="s">
        <v>272</v>
      </c>
    </row>
    <row r="61" spans="1:19" x14ac:dyDescent="0.25">
      <c r="A61" s="59" t="s">
        <v>118</v>
      </c>
      <c r="B61" s="7"/>
      <c r="C61" s="7"/>
      <c r="D61" s="7"/>
      <c r="E61" s="7"/>
      <c r="F61" s="22"/>
      <c r="G61" s="7"/>
      <c r="H61" s="7"/>
      <c r="I61" s="7"/>
    </row>
    <row r="62" spans="1:19" ht="13.8" thickBot="1" x14ac:dyDescent="0.3">
      <c r="A62" s="60" t="s">
        <v>264</v>
      </c>
      <c r="B62" s="61" t="s">
        <v>11</v>
      </c>
      <c r="C62" s="61" t="s">
        <v>147</v>
      </c>
      <c r="D62" s="61" t="s">
        <v>265</v>
      </c>
      <c r="E62" s="61" t="s">
        <v>266</v>
      </c>
      <c r="F62" s="62" t="s">
        <v>267</v>
      </c>
      <c r="G62" s="61" t="s">
        <v>268</v>
      </c>
      <c r="H62" s="61" t="s">
        <v>269</v>
      </c>
      <c r="I62" s="61" t="s">
        <v>270</v>
      </c>
    </row>
    <row r="63" spans="1:19" s="7" customFormat="1" x14ac:dyDescent="0.25">
      <c r="A63" s="59">
        <f>'Balance Sheet'!B$1</f>
        <v>44469</v>
      </c>
      <c r="B63" s="7" t="s">
        <v>12</v>
      </c>
      <c r="C63" s="7" t="str">
        <f>IF(A63="",C62,IF(MONTH(A63)=12,_xlfn.CONCAT(YEAR(A63)+1,B63),_xlfn.CONCAT(YEAR(A63),B63)))</f>
        <v>2021IV</v>
      </c>
      <c r="D63" s="7" t="s">
        <v>271</v>
      </c>
      <c r="F63" s="22">
        <f>VLOOKUP(A61,Tbl_FixedAssets[],11,FALSE)</f>
        <v>23000</v>
      </c>
      <c r="G63" s="7" t="s">
        <v>272</v>
      </c>
      <c r="K63"/>
      <c r="L63"/>
      <c r="M63"/>
      <c r="N63"/>
      <c r="O63"/>
      <c r="P63" s="3"/>
      <c r="Q63"/>
      <c r="R63"/>
      <c r="S63"/>
    </row>
    <row r="64" spans="1:19" x14ac:dyDescent="0.25">
      <c r="A64" s="64"/>
      <c r="B64" s="57" t="s">
        <v>12</v>
      </c>
      <c r="C64" s="57" t="str">
        <f t="shared" ref="C64:C69" si="14">IF(A64="",C63,IF(MONTH(A64)=12,_xlfn.CONCAT(YEAR(A64)+1,B64),_xlfn.CONCAT(YEAR(A64),B64)))</f>
        <v>2021IV</v>
      </c>
      <c r="D64" s="57"/>
      <c r="E64" s="57" t="s">
        <v>273</v>
      </c>
      <c r="F64" s="48"/>
      <c r="G64" s="57" t="s">
        <v>274</v>
      </c>
      <c r="H64" s="57"/>
      <c r="I64" s="57" t="s">
        <v>275</v>
      </c>
    </row>
    <row r="65" spans="1:19" x14ac:dyDescent="0.25">
      <c r="B65" t="s">
        <v>12</v>
      </c>
      <c r="C65" s="7" t="str">
        <f t="shared" si="14"/>
        <v>2021IV</v>
      </c>
      <c r="F65" s="22">
        <f>F63+F64</f>
        <v>23000</v>
      </c>
    </row>
    <row r="66" spans="1:19" x14ac:dyDescent="0.25">
      <c r="A66" s="64"/>
      <c r="B66" s="57" t="s">
        <v>12</v>
      </c>
      <c r="C66" s="57" t="str">
        <f t="shared" si="14"/>
        <v>2021IV</v>
      </c>
      <c r="D66" s="57"/>
      <c r="E66" s="57" t="s">
        <v>278</v>
      </c>
      <c r="F66" s="48"/>
      <c r="G66" s="57" t="s">
        <v>279</v>
      </c>
      <c r="H66" s="57" t="s">
        <v>280</v>
      </c>
      <c r="I66" s="57" t="s">
        <v>281</v>
      </c>
    </row>
    <row r="67" spans="1:19" s="7" customFormat="1" x14ac:dyDescent="0.25">
      <c r="A67" s="2"/>
      <c r="B67" t="s">
        <v>12</v>
      </c>
      <c r="C67" s="7" t="str">
        <f t="shared" si="14"/>
        <v>2021IV</v>
      </c>
      <c r="D67"/>
      <c r="E67"/>
      <c r="F67" s="63">
        <f>F65-F66</f>
        <v>23000</v>
      </c>
      <c r="G67"/>
      <c r="H67"/>
      <c r="I67"/>
      <c r="K67"/>
      <c r="L67"/>
      <c r="M67"/>
      <c r="N67"/>
      <c r="O67"/>
      <c r="P67" s="3"/>
      <c r="Q67"/>
      <c r="R67"/>
      <c r="S67"/>
    </row>
    <row r="68" spans="1:19" x14ac:dyDescent="0.25">
      <c r="A68" s="64"/>
      <c r="B68" s="57" t="s">
        <v>12</v>
      </c>
      <c r="C68" s="57" t="str">
        <f t="shared" si="14"/>
        <v>2021IV</v>
      </c>
      <c r="D68" s="57"/>
      <c r="E68" s="57" t="s">
        <v>283</v>
      </c>
      <c r="F68" s="48">
        <f>'Fixed Assets'!H8/4</f>
        <v>2250</v>
      </c>
      <c r="G68" s="57" t="s">
        <v>279</v>
      </c>
      <c r="H68" s="57" t="s">
        <v>284</v>
      </c>
      <c r="I68" s="57"/>
    </row>
    <row r="69" spans="1:19" x14ac:dyDescent="0.25">
      <c r="A69" s="59">
        <v>44561</v>
      </c>
      <c r="B69" s="7" t="s">
        <v>13</v>
      </c>
      <c r="C69" s="7" t="str">
        <f t="shared" si="14"/>
        <v>2022I</v>
      </c>
      <c r="D69" s="7" t="s">
        <v>271</v>
      </c>
      <c r="E69" s="7"/>
      <c r="F69" s="22">
        <f>F67-F68</f>
        <v>20750</v>
      </c>
      <c r="G69" s="7" t="s">
        <v>286</v>
      </c>
      <c r="H69" s="7"/>
      <c r="I69" s="7"/>
    </row>
    <row r="71" spans="1:19" s="7" customFormat="1" x14ac:dyDescent="0.25">
      <c r="A71" s="59" t="s">
        <v>298</v>
      </c>
      <c r="F71" s="22"/>
      <c r="K71"/>
      <c r="L71"/>
      <c r="M71"/>
      <c r="N71"/>
      <c r="O71"/>
      <c r="P71" s="3"/>
      <c r="Q71"/>
      <c r="R71"/>
      <c r="S71"/>
    </row>
    <row r="72" spans="1:19" ht="13.8" thickBot="1" x14ac:dyDescent="0.3">
      <c r="A72" s="60" t="s">
        <v>264</v>
      </c>
      <c r="B72" s="61" t="s">
        <v>11</v>
      </c>
      <c r="C72" s="61" t="s">
        <v>147</v>
      </c>
      <c r="D72" s="61" t="s">
        <v>265</v>
      </c>
      <c r="E72" s="61" t="s">
        <v>266</v>
      </c>
      <c r="F72" s="62" t="s">
        <v>267</v>
      </c>
      <c r="G72" s="61" t="s">
        <v>268</v>
      </c>
      <c r="H72" s="61" t="s">
        <v>269</v>
      </c>
      <c r="I72" s="61" t="s">
        <v>270</v>
      </c>
    </row>
    <row r="73" spans="1:19" x14ac:dyDescent="0.25">
      <c r="A73" s="59">
        <f>'Balance Sheet'!B$1</f>
        <v>44469</v>
      </c>
      <c r="B73" s="7" t="s">
        <v>12</v>
      </c>
      <c r="C73" s="7" t="str">
        <f>IF(A73="",C72,IF(MONTH(A73)=12,_xlfn.CONCAT(YEAR(A73)+1,B73),_xlfn.CONCAT(YEAR(A73),B73)))</f>
        <v>2021IV</v>
      </c>
      <c r="D73" s="7" t="s">
        <v>271</v>
      </c>
      <c r="E73" s="7"/>
      <c r="F73" s="22">
        <f>Given!B4</f>
        <v>350000</v>
      </c>
      <c r="G73" s="7" t="s">
        <v>272</v>
      </c>
      <c r="H73" s="7"/>
      <c r="I73" s="7"/>
    </row>
    <row r="74" spans="1:19" x14ac:dyDescent="0.25">
      <c r="A74" s="64"/>
      <c r="B74" s="57" t="s">
        <v>12</v>
      </c>
      <c r="C74" s="57" t="str">
        <f t="shared" ref="C74:C76" si="15">IF(A74="",C73,IF(MONTH(A74)=12,_xlfn.CONCAT(YEAR(A74)+1,B74),_xlfn.CONCAT(YEAR(A74),B74)))</f>
        <v>2021IV</v>
      </c>
      <c r="D74" s="57"/>
      <c r="E74" s="57" t="s">
        <v>299</v>
      </c>
      <c r="F74" s="48">
        <f>Budget!N14</f>
        <v>5128431.2731299996</v>
      </c>
      <c r="G74" s="57" t="s">
        <v>274</v>
      </c>
      <c r="H74" s="57" t="s">
        <v>284</v>
      </c>
      <c r="I74" s="57"/>
    </row>
    <row r="75" spans="1:19" s="7" customFormat="1" x14ac:dyDescent="0.25">
      <c r="A75" s="2"/>
      <c r="B75" t="s">
        <v>12</v>
      </c>
      <c r="C75" s="7" t="str">
        <f t="shared" si="15"/>
        <v>2021IV</v>
      </c>
      <c r="D75"/>
      <c r="E75"/>
      <c r="F75" s="22">
        <f>F73+F74</f>
        <v>5478431.2731299996</v>
      </c>
      <c r="G75"/>
      <c r="H75"/>
      <c r="I75"/>
      <c r="K75"/>
      <c r="L75"/>
      <c r="M75"/>
      <c r="N75"/>
      <c r="O75"/>
      <c r="P75" s="3"/>
      <c r="Q75"/>
      <c r="R75"/>
      <c r="S75"/>
    </row>
    <row r="76" spans="1:19" x14ac:dyDescent="0.25">
      <c r="A76" s="64"/>
      <c r="B76" s="57" t="s">
        <v>12</v>
      </c>
      <c r="C76" s="57" t="str">
        <f t="shared" si="15"/>
        <v>2021IV</v>
      </c>
      <c r="D76" s="57"/>
      <c r="E76" s="57" t="s">
        <v>300</v>
      </c>
      <c r="F76" s="48">
        <f>F73+(3-Given!$B$5)/3*(Ledgers!F74)</f>
        <v>4623692.7276083333</v>
      </c>
      <c r="G76" s="57" t="s">
        <v>279</v>
      </c>
      <c r="H76" s="57"/>
      <c r="I76" s="57" t="s">
        <v>281</v>
      </c>
    </row>
    <row r="77" spans="1:19" x14ac:dyDescent="0.25">
      <c r="A77" s="59">
        <v>44561</v>
      </c>
      <c r="B77" s="7" t="s">
        <v>13</v>
      </c>
      <c r="C77" s="7" t="str">
        <f t="shared" ref="C77" si="16">IF(A77="",C76,IF(MONTH(A77)=12,_xlfn.CONCAT(YEAR(A77)+1,B77),_xlfn.CONCAT(YEAR(A77),B77)))</f>
        <v>2022I</v>
      </c>
      <c r="D77" s="7" t="s">
        <v>271</v>
      </c>
      <c r="E77" s="7"/>
      <c r="F77" s="22">
        <f>F75-F76</f>
        <v>854738.5455216663</v>
      </c>
      <c r="G77" s="7" t="s">
        <v>272</v>
      </c>
      <c r="H77" s="7"/>
      <c r="I77" s="7"/>
    </row>
    <row r="79" spans="1:19" s="7" customFormat="1" x14ac:dyDescent="0.25">
      <c r="A79" s="59" t="s">
        <v>122</v>
      </c>
      <c r="F79" s="22"/>
      <c r="K79"/>
      <c r="L79"/>
      <c r="M79"/>
      <c r="N79"/>
      <c r="O79"/>
      <c r="P79" s="3"/>
      <c r="Q79"/>
      <c r="R79"/>
      <c r="S79"/>
    </row>
    <row r="80" spans="1:19" ht="13.8" thickBot="1" x14ac:dyDescent="0.3">
      <c r="A80" s="60" t="s">
        <v>264</v>
      </c>
      <c r="B80" s="61" t="s">
        <v>11</v>
      </c>
      <c r="C80" s="61" t="s">
        <v>147</v>
      </c>
      <c r="D80" s="61" t="s">
        <v>265</v>
      </c>
      <c r="E80" s="61" t="s">
        <v>266</v>
      </c>
      <c r="F80" s="62" t="s">
        <v>267</v>
      </c>
      <c r="G80" s="61" t="s">
        <v>268</v>
      </c>
      <c r="H80" s="61" t="s">
        <v>269</v>
      </c>
      <c r="I80" s="61" t="s">
        <v>270</v>
      </c>
    </row>
    <row r="81" spans="1:19" x14ac:dyDescent="0.25">
      <c r="A81" s="59">
        <f>'Balance Sheet'!B$1</f>
        <v>44469</v>
      </c>
      <c r="B81" s="7" t="s">
        <v>12</v>
      </c>
      <c r="C81" s="7" t="str">
        <f>IF(A81="",C80,IF(MONTH(A81)=12,_xlfn.CONCAT(YEAR(A81)+1,B81),_xlfn.CONCAT(YEAR(A81),B81)))</f>
        <v>2021IV</v>
      </c>
      <c r="D81" s="7" t="s">
        <v>271</v>
      </c>
      <c r="E81" s="7"/>
      <c r="F81" s="22">
        <f>Tbl_Frames[[#Totals],[Value of stock]]</f>
        <v>567000</v>
      </c>
      <c r="G81" s="7" t="s">
        <v>272</v>
      </c>
      <c r="H81" s="7"/>
      <c r="I81" s="7"/>
    </row>
    <row r="82" spans="1:19" x14ac:dyDescent="0.25">
      <c r="A82" s="64"/>
      <c r="B82" s="57" t="s">
        <v>12</v>
      </c>
      <c r="C82" s="57" t="str">
        <f t="shared" ref="C82:C85" si="17">IF(A82="",C81,IF(MONTH(A82)=12,_xlfn.CONCAT(YEAR(A82)+1,B82),_xlfn.CONCAT(YEAR(A82),B82)))</f>
        <v>2021IV</v>
      </c>
      <c r="D82" s="57"/>
      <c r="E82" s="57" t="s">
        <v>301</v>
      </c>
      <c r="F82" s="48">
        <f>SUMIF('Purchases &amp; production usage'!$D$3:$D11,Ledgers!C82,'Purchases &amp; production usage'!$H$3:$H11)</f>
        <v>1564000</v>
      </c>
      <c r="G82" s="57" t="s">
        <v>274</v>
      </c>
      <c r="H82" s="57"/>
      <c r="I82" s="57"/>
    </row>
    <row r="83" spans="1:19" s="7" customFormat="1" x14ac:dyDescent="0.25">
      <c r="A83" s="2"/>
      <c r="B83" t="s">
        <v>12</v>
      </c>
      <c r="C83" s="7" t="str">
        <f t="shared" si="17"/>
        <v>2021IV</v>
      </c>
      <c r="D83"/>
      <c r="E83"/>
      <c r="F83" s="22">
        <f>F81+F82</f>
        <v>2131000</v>
      </c>
      <c r="G83"/>
      <c r="H83"/>
      <c r="I83"/>
      <c r="K83"/>
      <c r="L83"/>
      <c r="M83"/>
      <c r="N83"/>
      <c r="O83"/>
      <c r="P83" s="3"/>
      <c r="Q83"/>
      <c r="R83"/>
      <c r="S83"/>
    </row>
    <row r="84" spans="1:19" x14ac:dyDescent="0.25">
      <c r="A84" s="64"/>
      <c r="B84" s="57" t="s">
        <v>12</v>
      </c>
      <c r="C84" s="57" t="str">
        <f t="shared" si="17"/>
        <v>2021IV</v>
      </c>
      <c r="D84" s="57"/>
      <c r="E84" s="57" t="s">
        <v>302</v>
      </c>
      <c r="F84" s="48">
        <f>VLOOKUP(C84,'Purchase value stock'!C$3:M6,7,FALSE)</f>
        <v>1564000</v>
      </c>
      <c r="G84" s="57" t="s">
        <v>279</v>
      </c>
      <c r="H84" s="57" t="s">
        <v>284</v>
      </c>
      <c r="I84" s="57"/>
    </row>
    <row r="85" spans="1:19" x14ac:dyDescent="0.25">
      <c r="A85" s="59">
        <v>44561</v>
      </c>
      <c r="B85" s="7" t="s">
        <v>13</v>
      </c>
      <c r="C85" s="7" t="str">
        <f t="shared" si="17"/>
        <v>2022I</v>
      </c>
      <c r="D85" s="7" t="s">
        <v>271</v>
      </c>
      <c r="E85" s="7"/>
      <c r="F85" s="22">
        <f>F83-F84</f>
        <v>567000</v>
      </c>
      <c r="G85" s="7" t="s">
        <v>272</v>
      </c>
      <c r="H85" s="7"/>
      <c r="I85" s="7"/>
    </row>
    <row r="87" spans="1:19" s="7" customFormat="1" x14ac:dyDescent="0.25">
      <c r="A87" s="59" t="s">
        <v>123</v>
      </c>
      <c r="F87" s="22"/>
      <c r="K87"/>
      <c r="L87"/>
      <c r="M87"/>
      <c r="N87"/>
      <c r="O87"/>
      <c r="P87" s="3"/>
      <c r="Q87"/>
      <c r="R87"/>
      <c r="S87"/>
    </row>
    <row r="88" spans="1:19" ht="13.8" thickBot="1" x14ac:dyDescent="0.3">
      <c r="A88" s="60" t="s">
        <v>264</v>
      </c>
      <c r="B88" s="61" t="s">
        <v>11</v>
      </c>
      <c r="C88" s="61" t="s">
        <v>147</v>
      </c>
      <c r="D88" s="61" t="s">
        <v>265</v>
      </c>
      <c r="E88" s="61" t="s">
        <v>266</v>
      </c>
      <c r="F88" s="62" t="s">
        <v>267</v>
      </c>
      <c r="G88" s="61" t="s">
        <v>268</v>
      </c>
      <c r="H88" s="61" t="s">
        <v>269</v>
      </c>
      <c r="I88" s="61" t="s">
        <v>270</v>
      </c>
    </row>
    <row r="89" spans="1:19" x14ac:dyDescent="0.25">
      <c r="A89" s="59">
        <f>'Balance Sheet'!B$1</f>
        <v>44469</v>
      </c>
      <c r="B89" s="7" t="s">
        <v>12</v>
      </c>
      <c r="C89" s="7" t="str">
        <f>IF(A89="",C88,IF(MONTH(A89)=12,_xlfn.CONCAT(YEAR(A89)+1,B89),_xlfn.CONCAT(YEAR(A89),B89)))</f>
        <v>2021IV</v>
      </c>
      <c r="D89" s="7" t="s">
        <v>271</v>
      </c>
      <c r="E89" s="7"/>
      <c r="F89" s="22">
        <f>Tbl_PartsSets[[#Totals],[Value of stock]]</f>
        <v>513500</v>
      </c>
      <c r="G89" s="7" t="s">
        <v>272</v>
      </c>
      <c r="H89" s="7"/>
      <c r="I89" s="7"/>
    </row>
    <row r="90" spans="1:19" x14ac:dyDescent="0.25">
      <c r="A90" s="64"/>
      <c r="B90" s="57" t="s">
        <v>12</v>
      </c>
      <c r="C90" s="57" t="str">
        <f t="shared" ref="C90:C93" si="18">IF(A90="",C89,IF(MONTH(A90)=12,_xlfn.CONCAT(YEAR(A90)+1,B90),_xlfn.CONCAT(YEAR(A90),B90)))</f>
        <v>2021IV</v>
      </c>
      <c r="D90" s="57"/>
      <c r="E90" s="57" t="s">
        <v>301</v>
      </c>
      <c r="F90" s="48">
        <f>VLOOKUP(C90,'Purchase value stock'!C3:H6,3,FALSE)</f>
        <v>1488500</v>
      </c>
      <c r="G90" s="57" t="s">
        <v>274</v>
      </c>
      <c r="H90" s="57"/>
      <c r="I90" s="57"/>
    </row>
    <row r="91" spans="1:19" s="7" customFormat="1" x14ac:dyDescent="0.25">
      <c r="A91" s="2"/>
      <c r="B91" t="s">
        <v>12</v>
      </c>
      <c r="C91" s="7" t="str">
        <f t="shared" si="18"/>
        <v>2021IV</v>
      </c>
      <c r="D91"/>
      <c r="E91"/>
      <c r="F91" s="22">
        <f>F89+F90</f>
        <v>2002000</v>
      </c>
      <c r="G91"/>
      <c r="H91"/>
      <c r="I91"/>
      <c r="K91"/>
      <c r="L91"/>
      <c r="M91"/>
      <c r="N91"/>
      <c r="O91"/>
      <c r="P91" s="3"/>
      <c r="Q91"/>
      <c r="R91"/>
      <c r="S91"/>
    </row>
    <row r="92" spans="1:19" x14ac:dyDescent="0.25">
      <c r="A92" s="64"/>
      <c r="B92" s="57" t="s">
        <v>12</v>
      </c>
      <c r="C92" s="57" t="str">
        <f t="shared" si="18"/>
        <v>2021IV</v>
      </c>
      <c r="D92" s="57"/>
      <c r="E92" s="57" t="s">
        <v>302</v>
      </c>
      <c r="F92" s="48">
        <f>VLOOKUP(C92,'Purchase value stock'!C$3:M6,8,FALSE)</f>
        <v>1488500</v>
      </c>
      <c r="G92" s="57" t="s">
        <v>279</v>
      </c>
      <c r="H92" s="57" t="s">
        <v>284</v>
      </c>
      <c r="I92" s="57"/>
    </row>
    <row r="93" spans="1:19" x14ac:dyDescent="0.25">
      <c r="A93" s="59">
        <v>44561</v>
      </c>
      <c r="B93" s="7" t="s">
        <v>13</v>
      </c>
      <c r="C93" s="7" t="str">
        <f t="shared" si="18"/>
        <v>2022I</v>
      </c>
      <c r="D93" s="7" t="s">
        <v>271</v>
      </c>
      <c r="E93" s="7"/>
      <c r="F93" s="22">
        <f>F91-F92</f>
        <v>513500</v>
      </c>
      <c r="G93" s="7" t="s">
        <v>272</v>
      </c>
      <c r="H93" s="7"/>
      <c r="I93" s="7"/>
    </row>
    <row r="95" spans="1:19" s="7" customFormat="1" x14ac:dyDescent="0.25">
      <c r="A95" s="59" t="s">
        <v>78</v>
      </c>
      <c r="F95" s="22"/>
      <c r="K95"/>
      <c r="L95"/>
      <c r="M95"/>
      <c r="N95"/>
      <c r="O95"/>
      <c r="P95" s="3"/>
      <c r="Q95"/>
      <c r="R95"/>
      <c r="S95"/>
    </row>
    <row r="96" spans="1:19" ht="13.8" thickBot="1" x14ac:dyDescent="0.3">
      <c r="A96" s="60" t="s">
        <v>264</v>
      </c>
      <c r="B96" s="61" t="s">
        <v>11</v>
      </c>
      <c r="C96" s="61" t="s">
        <v>147</v>
      </c>
      <c r="D96" s="61" t="s">
        <v>265</v>
      </c>
      <c r="E96" s="61" t="s">
        <v>266</v>
      </c>
      <c r="F96" s="62" t="s">
        <v>267</v>
      </c>
      <c r="G96" s="61" t="s">
        <v>268</v>
      </c>
      <c r="H96" s="61" t="s">
        <v>269</v>
      </c>
      <c r="I96" s="61" t="s">
        <v>270</v>
      </c>
    </row>
    <row r="97" spans="1:19" x14ac:dyDescent="0.25">
      <c r="A97" s="59">
        <f>'Balance Sheet'!B$1</f>
        <v>44469</v>
      </c>
      <c r="B97" s="7" t="s">
        <v>12</v>
      </c>
      <c r="C97" s="7" t="str">
        <f>IF(A97="",C96,IF(MONTH(A97)=12,_xlfn.CONCAT(YEAR(A97)+1,B97),_xlfn.CONCAT(YEAR(A97),B97)))</f>
        <v>2021IV</v>
      </c>
      <c r="D97" s="7" t="s">
        <v>271</v>
      </c>
      <c r="E97" s="7"/>
      <c r="F97" s="22">
        <f>VLOOKUP(A95,Tbl_PackagingMaterials[],5,FALSE)</f>
        <v>50000</v>
      </c>
      <c r="G97" s="7" t="s">
        <v>272</v>
      </c>
      <c r="H97" s="7"/>
      <c r="I97" s="7"/>
    </row>
    <row r="98" spans="1:19" x14ac:dyDescent="0.25">
      <c r="A98" s="64"/>
      <c r="B98" s="57" t="s">
        <v>12</v>
      </c>
      <c r="C98" s="57" t="str">
        <f t="shared" ref="C98:C101" si="19">IF(A98="",C97,IF(MONTH(A98)=12,_xlfn.CONCAT(YEAR(A98)+1,B98),_xlfn.CONCAT(YEAR(A98),B98)))</f>
        <v>2021IV</v>
      </c>
      <c r="D98" s="57"/>
      <c r="E98" s="57" t="s">
        <v>301</v>
      </c>
      <c r="F98" s="48">
        <f>VLOOKUP(C98,'Purchase value stock'!C$3:M6,4,FALSE)</f>
        <v>65500.000000000007</v>
      </c>
      <c r="G98" s="57" t="s">
        <v>274</v>
      </c>
      <c r="H98" s="57"/>
      <c r="I98" s="57"/>
    </row>
    <row r="99" spans="1:19" s="7" customFormat="1" x14ac:dyDescent="0.25">
      <c r="A99" s="2"/>
      <c r="B99" t="s">
        <v>12</v>
      </c>
      <c r="C99" s="7" t="str">
        <f t="shared" si="19"/>
        <v>2021IV</v>
      </c>
      <c r="D99"/>
      <c r="E99"/>
      <c r="F99" s="22">
        <f>F97+F98</f>
        <v>115500</v>
      </c>
      <c r="G99"/>
      <c r="H99"/>
      <c r="I99"/>
      <c r="K99"/>
      <c r="L99"/>
      <c r="M99"/>
      <c r="N99"/>
      <c r="O99"/>
      <c r="P99" s="3"/>
      <c r="Q99"/>
      <c r="R99"/>
      <c r="S99"/>
    </row>
    <row r="100" spans="1:19" x14ac:dyDescent="0.25">
      <c r="A100" s="64"/>
      <c r="B100" s="57" t="s">
        <v>12</v>
      </c>
      <c r="C100" s="57" t="str">
        <f t="shared" si="19"/>
        <v>2021IV</v>
      </c>
      <c r="D100" s="57"/>
      <c r="E100" s="57" t="s">
        <v>302</v>
      </c>
      <c r="F100" s="48">
        <f>VLOOKUP(C100,'Purchase value stock'!C$3:M6,9,FALSE)</f>
        <v>65500.000000000007</v>
      </c>
      <c r="G100" s="57" t="s">
        <v>279</v>
      </c>
      <c r="H100" s="57" t="s">
        <v>284</v>
      </c>
      <c r="I100" s="57"/>
    </row>
    <row r="101" spans="1:19" x14ac:dyDescent="0.25">
      <c r="A101" s="59">
        <v>44561</v>
      </c>
      <c r="B101" s="7" t="s">
        <v>13</v>
      </c>
      <c r="C101" s="7" t="str">
        <f t="shared" si="19"/>
        <v>2022I</v>
      </c>
      <c r="D101" s="7" t="s">
        <v>271</v>
      </c>
      <c r="E101" s="7"/>
      <c r="F101" s="22">
        <f>F99-F100</f>
        <v>49999.999999999993</v>
      </c>
      <c r="G101" s="7" t="s">
        <v>272</v>
      </c>
      <c r="H101" s="7"/>
      <c r="I101" s="7"/>
    </row>
    <row r="103" spans="1:19" x14ac:dyDescent="0.25">
      <c r="A103" s="59" t="s">
        <v>303</v>
      </c>
      <c r="B103" s="7"/>
      <c r="C103" s="7"/>
      <c r="D103" s="7"/>
      <c r="E103" s="7"/>
      <c r="F103" s="22"/>
      <c r="G103" s="7"/>
      <c r="H103" s="7"/>
      <c r="I103" s="7"/>
    </row>
    <row r="104" spans="1:19" ht="13.8" thickBot="1" x14ac:dyDescent="0.3">
      <c r="A104" s="60" t="s">
        <v>264</v>
      </c>
      <c r="B104" s="61" t="s">
        <v>11</v>
      </c>
      <c r="C104" s="61" t="s">
        <v>147</v>
      </c>
      <c r="D104" s="61" t="s">
        <v>265</v>
      </c>
      <c r="E104" s="61" t="s">
        <v>266</v>
      </c>
      <c r="F104" s="62" t="s">
        <v>267</v>
      </c>
      <c r="G104" s="61" t="s">
        <v>268</v>
      </c>
      <c r="H104" s="61" t="s">
        <v>269</v>
      </c>
      <c r="I104" s="61" t="s">
        <v>270</v>
      </c>
    </row>
    <row r="105" spans="1:19" x14ac:dyDescent="0.25">
      <c r="A105" s="59">
        <f>'Balance Sheet'!B$1</f>
        <v>44469</v>
      </c>
      <c r="B105" s="7" t="s">
        <v>12</v>
      </c>
      <c r="C105" s="7" t="str">
        <f>IF(A105="",C104,IF(MONTH(A105)=12,_xlfn.CONCAT(YEAR(A105)+1,B105),_xlfn.CONCAT(YEAR(A105),B105)))</f>
        <v>2021IV</v>
      </c>
      <c r="D105" s="7" t="s">
        <v>271</v>
      </c>
      <c r="E105" s="7"/>
      <c r="F105" s="22">
        <f>VLOOKUP(A103,Tbl_PackagingMaterials[],5,FALSE)</f>
        <v>10000</v>
      </c>
      <c r="G105" s="7" t="s">
        <v>272</v>
      </c>
      <c r="H105" s="7"/>
      <c r="I105" s="7"/>
    </row>
    <row r="106" spans="1:19" x14ac:dyDescent="0.25">
      <c r="A106" s="64"/>
      <c r="B106" s="57" t="s">
        <v>12</v>
      </c>
      <c r="C106" s="57" t="str">
        <f t="shared" ref="C106:C109" si="20">IF(A106="",C105,IF(MONTH(A106)=12,_xlfn.CONCAT(YEAR(A106)+1,B106),_xlfn.CONCAT(YEAR(A106),B106)))</f>
        <v>2021IV</v>
      </c>
      <c r="D106" s="57"/>
      <c r="E106" s="57" t="s">
        <v>301</v>
      </c>
      <c r="F106" s="48">
        <f>VLOOKUP(C106,'Purchase value stock'!C$3:M6,5,FALSE)</f>
        <v>8437.5</v>
      </c>
      <c r="G106" s="57" t="s">
        <v>274</v>
      </c>
      <c r="H106" s="57"/>
      <c r="I106" s="57"/>
    </row>
    <row r="107" spans="1:19" x14ac:dyDescent="0.25">
      <c r="B107" t="s">
        <v>12</v>
      </c>
      <c r="C107" s="7" t="str">
        <f t="shared" si="20"/>
        <v>2021IV</v>
      </c>
      <c r="F107" s="22">
        <f>F105+F106</f>
        <v>18437.5</v>
      </c>
    </row>
    <row r="108" spans="1:19" x14ac:dyDescent="0.25">
      <c r="A108" s="64"/>
      <c r="B108" s="57" t="s">
        <v>12</v>
      </c>
      <c r="C108" s="57" t="str">
        <f t="shared" si="20"/>
        <v>2021IV</v>
      </c>
      <c r="D108" s="57"/>
      <c r="E108" s="57" t="s">
        <v>302</v>
      </c>
      <c r="F108" s="48">
        <f>VLOOKUP(C108,'Purchase value stock'!C$3:M6,10,FALSE)</f>
        <v>8437.5</v>
      </c>
      <c r="G108" s="57" t="s">
        <v>279</v>
      </c>
      <c r="H108" s="57" t="s">
        <v>284</v>
      </c>
      <c r="I108" s="57"/>
    </row>
    <row r="109" spans="1:19" x14ac:dyDescent="0.25">
      <c r="A109" s="59">
        <v>44561</v>
      </c>
      <c r="B109" s="7" t="s">
        <v>13</v>
      </c>
      <c r="C109" s="7" t="str">
        <f t="shared" si="20"/>
        <v>2022I</v>
      </c>
      <c r="D109" s="7" t="s">
        <v>271</v>
      </c>
      <c r="E109" s="7"/>
      <c r="F109" s="22">
        <f>F107-F108</f>
        <v>10000</v>
      </c>
      <c r="G109" s="7" t="s">
        <v>272</v>
      </c>
      <c r="H109" s="7"/>
      <c r="I109" s="7"/>
    </row>
    <row r="111" spans="1:19" x14ac:dyDescent="0.25">
      <c r="A111" s="59" t="s">
        <v>18</v>
      </c>
      <c r="B111" s="7"/>
      <c r="C111" s="7"/>
      <c r="D111" s="7"/>
      <c r="E111" s="7"/>
      <c r="F111" s="22"/>
      <c r="G111" s="7"/>
      <c r="H111" s="7"/>
      <c r="I111" s="7"/>
    </row>
    <row r="112" spans="1:19" ht="13.8" thickBot="1" x14ac:dyDescent="0.3">
      <c r="A112" s="60" t="s">
        <v>264</v>
      </c>
      <c r="B112" s="61" t="s">
        <v>11</v>
      </c>
      <c r="C112" s="61" t="s">
        <v>147</v>
      </c>
      <c r="D112" s="61" t="s">
        <v>265</v>
      </c>
      <c r="E112" s="61" t="s">
        <v>266</v>
      </c>
      <c r="F112" s="62" t="s">
        <v>267</v>
      </c>
      <c r="G112" s="61" t="s">
        <v>268</v>
      </c>
      <c r="H112" s="61" t="s">
        <v>269</v>
      </c>
      <c r="I112" s="61" t="s">
        <v>270</v>
      </c>
    </row>
    <row r="113" spans="1:9" x14ac:dyDescent="0.25">
      <c r="A113" s="59">
        <f>'Balance Sheet'!B$1</f>
        <v>44469</v>
      </c>
      <c r="B113" s="7" t="s">
        <v>12</v>
      </c>
      <c r="C113" s="7" t="str">
        <f>IF(A113="",C112,IF(MONTH(A113)=12,_xlfn.CONCAT(YEAR(A113)+1,B113),_xlfn.CONCAT(YEAR(A113),B113)))</f>
        <v>2021IV</v>
      </c>
      <c r="D113" s="7" t="s">
        <v>271</v>
      </c>
      <c r="E113" s="7"/>
      <c r="F113" s="22">
        <f>VLOOKUP(A111,Tbl_Bicycles[],5,FALSE)</f>
        <v>416547.03749999998</v>
      </c>
      <c r="G113" s="7" t="s">
        <v>272</v>
      </c>
      <c r="H113" s="7"/>
      <c r="I113" s="7"/>
    </row>
    <row r="114" spans="1:9" x14ac:dyDescent="0.25">
      <c r="A114" s="64"/>
      <c r="B114" s="57" t="s">
        <v>12</v>
      </c>
      <c r="C114" s="57" t="str">
        <f t="shared" ref="C114:C117" si="21">IF(A114="",C113,IF(MONTH(A114)=12,_xlfn.CONCAT(YEAR(A114)+1,B114),_xlfn.CONCAT(YEAR(A114),B114)))</f>
        <v>2021IV</v>
      </c>
      <c r="D114" s="57"/>
      <c r="E114" s="57" t="s">
        <v>304</v>
      </c>
      <c r="F114" s="48">
        <f>_xlfn.XLOOKUP(C114,Budget!A$10:I$10,Budget!A$11:I$11,0)*'Cost prices bicycles'!D$10</f>
        <v>2332663.41</v>
      </c>
      <c r="G114" s="57" t="s">
        <v>274</v>
      </c>
      <c r="H114" s="57"/>
      <c r="I114" s="57"/>
    </row>
    <row r="115" spans="1:9" x14ac:dyDescent="0.25">
      <c r="B115" t="s">
        <v>12</v>
      </c>
      <c r="C115" s="7" t="str">
        <f t="shared" si="21"/>
        <v>2021IV</v>
      </c>
      <c r="F115" s="22">
        <f>F113+F114</f>
        <v>2749210.4475000002</v>
      </c>
    </row>
    <row r="116" spans="1:9" x14ac:dyDescent="0.25">
      <c r="A116" s="64"/>
      <c r="B116" s="57" t="s">
        <v>12</v>
      </c>
      <c r="C116" s="57" t="str">
        <f t="shared" si="21"/>
        <v>2021IV</v>
      </c>
      <c r="D116" s="57"/>
      <c r="E116" s="57" t="s">
        <v>305</v>
      </c>
      <c r="F116" s="48">
        <f>_xlfn.XLOOKUP(C116,Budget!N4:R4,Budget!N5:R5,0)*'Cost prices bicycles'!D$10</f>
        <v>2332663.41</v>
      </c>
      <c r="G116" s="57" t="s">
        <v>279</v>
      </c>
      <c r="H116" s="57"/>
      <c r="I116" s="57"/>
    </row>
    <row r="117" spans="1:9" x14ac:dyDescent="0.25">
      <c r="A117" s="59">
        <v>44561</v>
      </c>
      <c r="B117" s="7" t="s">
        <v>13</v>
      </c>
      <c r="C117" s="7" t="str">
        <f t="shared" si="21"/>
        <v>2022I</v>
      </c>
      <c r="D117" s="7" t="s">
        <v>271</v>
      </c>
      <c r="E117" s="7"/>
      <c r="F117" s="22">
        <f>F115-F116</f>
        <v>416547.03750000009</v>
      </c>
      <c r="G117" s="7" t="s">
        <v>272</v>
      </c>
      <c r="H117" s="7"/>
      <c r="I117" s="7"/>
    </row>
    <row r="119" spans="1:9" x14ac:dyDescent="0.25">
      <c r="A119" s="59" t="s">
        <v>19</v>
      </c>
      <c r="B119" s="7"/>
      <c r="C119" s="7"/>
      <c r="D119" s="7"/>
      <c r="E119" s="7"/>
      <c r="F119" s="22"/>
      <c r="G119" s="7"/>
      <c r="H119" s="7"/>
      <c r="I119" s="7"/>
    </row>
    <row r="120" spans="1:9" ht="13.8" thickBot="1" x14ac:dyDescent="0.3">
      <c r="A120" s="60" t="s">
        <v>264</v>
      </c>
      <c r="B120" s="61" t="s">
        <v>11</v>
      </c>
      <c r="C120" s="61" t="s">
        <v>147</v>
      </c>
      <c r="D120" s="61" t="s">
        <v>265</v>
      </c>
      <c r="E120" s="61" t="s">
        <v>266</v>
      </c>
      <c r="F120" s="62" t="s">
        <v>267</v>
      </c>
      <c r="G120" s="61" t="s">
        <v>268</v>
      </c>
      <c r="H120" s="61" t="s">
        <v>269</v>
      </c>
      <c r="I120" s="61" t="s">
        <v>270</v>
      </c>
    </row>
    <row r="121" spans="1:9" x14ac:dyDescent="0.25">
      <c r="A121" s="59">
        <f>'Balance Sheet'!B$1</f>
        <v>44469</v>
      </c>
      <c r="B121" s="7" t="s">
        <v>12</v>
      </c>
      <c r="C121" s="7" t="str">
        <f>IF(A121="",C120,IF(MONTH(A121)=12,_xlfn.CONCAT(YEAR(A121)+1,B121),_xlfn.CONCAT(YEAR(A121),B121)))</f>
        <v>2021IV</v>
      </c>
      <c r="D121" s="7" t="s">
        <v>271</v>
      </c>
      <c r="E121" s="7"/>
      <c r="F121" s="22">
        <f>VLOOKUP(A119,Tbl_Bicycles[],5,FALSE)</f>
        <v>598565.85250000004</v>
      </c>
      <c r="G121" s="7" t="s">
        <v>272</v>
      </c>
      <c r="H121" s="7"/>
      <c r="I121" s="7"/>
    </row>
    <row r="122" spans="1:9" x14ac:dyDescent="0.25">
      <c r="A122" s="64"/>
      <c r="B122" s="57" t="s">
        <v>12</v>
      </c>
      <c r="C122" s="57" t="str">
        <f t="shared" ref="C122:C125" si="22">IF(A122="",C121,IF(MONTH(A122)=12,_xlfn.CONCAT(YEAR(A122)+1,B122),_xlfn.CONCAT(YEAR(A122),B122)))</f>
        <v>2021IV</v>
      </c>
      <c r="D122" s="57"/>
      <c r="E122" s="57" t="s">
        <v>304</v>
      </c>
      <c r="F122" s="48">
        <f>_xlfn.XLOOKUP(C122,Budget!A$10:I$10,Budget!A$12:I$12,0)*'Cost prices bicycles'!I$10</f>
        <v>1795697.5574999999</v>
      </c>
      <c r="G122" s="57" t="s">
        <v>274</v>
      </c>
      <c r="H122" s="57"/>
      <c r="I122" s="57"/>
    </row>
    <row r="123" spans="1:9" x14ac:dyDescent="0.25">
      <c r="B123" t="s">
        <v>12</v>
      </c>
      <c r="C123" s="7" t="str">
        <f t="shared" si="22"/>
        <v>2021IV</v>
      </c>
      <c r="F123" s="22">
        <f>F121+F122</f>
        <v>2394263.41</v>
      </c>
    </row>
    <row r="124" spans="1:9" x14ac:dyDescent="0.25">
      <c r="A124" s="64"/>
      <c r="B124" s="57" t="s">
        <v>12</v>
      </c>
      <c r="C124" s="57" t="str">
        <f t="shared" si="22"/>
        <v>2021IV</v>
      </c>
      <c r="D124" s="57"/>
      <c r="E124" s="57" t="s">
        <v>305</v>
      </c>
      <c r="F124" s="48">
        <f>_xlfn.XLOOKUP(C124,Budget!N4:R4,Budget!N6:R6,0)*'Cost prices bicycles'!I$10</f>
        <v>1795697.5574999999</v>
      </c>
      <c r="G124" s="57" t="s">
        <v>279</v>
      </c>
      <c r="H124" s="57"/>
      <c r="I124" s="57"/>
    </row>
    <row r="125" spans="1:9" x14ac:dyDescent="0.25">
      <c r="A125" s="59">
        <v>44561</v>
      </c>
      <c r="B125" s="7" t="s">
        <v>13</v>
      </c>
      <c r="C125" s="7" t="str">
        <f t="shared" si="22"/>
        <v>2022I</v>
      </c>
      <c r="D125" s="7" t="s">
        <v>271</v>
      </c>
      <c r="E125" s="7"/>
      <c r="F125" s="22">
        <f>F123-F124</f>
        <v>598565.85250000027</v>
      </c>
      <c r="G125" s="7" t="s">
        <v>272</v>
      </c>
      <c r="H125" s="7"/>
      <c r="I125" s="7"/>
    </row>
    <row r="127" spans="1:9" x14ac:dyDescent="0.25">
      <c r="A127" s="59" t="s">
        <v>20</v>
      </c>
    </row>
    <row r="128" spans="1:9" ht="13.8" thickBot="1" x14ac:dyDescent="0.3">
      <c r="A128" s="60" t="s">
        <v>264</v>
      </c>
      <c r="B128" s="61" t="s">
        <v>11</v>
      </c>
      <c r="C128" s="61" t="s">
        <v>147</v>
      </c>
      <c r="D128" s="61" t="s">
        <v>265</v>
      </c>
      <c r="E128" s="61" t="s">
        <v>266</v>
      </c>
      <c r="F128" s="62" t="s">
        <v>267</v>
      </c>
      <c r="G128" s="61" t="s">
        <v>268</v>
      </c>
      <c r="H128" s="61" t="s">
        <v>269</v>
      </c>
      <c r="I128" s="61" t="s">
        <v>270</v>
      </c>
    </row>
    <row r="129" spans="1:9" x14ac:dyDescent="0.25">
      <c r="A129" s="59">
        <f>'Balance Sheet'!B$1</f>
        <v>44469</v>
      </c>
      <c r="B129" s="7" t="s">
        <v>12</v>
      </c>
      <c r="C129" s="7" t="str">
        <f>IF(A129="",C128,IF(MONTH(A129)=12,_xlfn.CONCAT(YEAR(A129)+1,B129),_xlfn.CONCAT(YEAR(A129),B129)))</f>
        <v>2021IV</v>
      </c>
      <c r="D129" s="7" t="s">
        <v>271</v>
      </c>
      <c r="E129" s="7"/>
      <c r="F129" s="22">
        <f>VLOOKUP(A127,Tbl_Bicycles[],5,FALSE)</f>
        <v>613094.07499999995</v>
      </c>
      <c r="G129" s="7" t="s">
        <v>272</v>
      </c>
      <c r="H129" s="7"/>
      <c r="I129" s="7"/>
    </row>
    <row r="130" spans="1:9" x14ac:dyDescent="0.25">
      <c r="A130" s="64"/>
      <c r="B130" s="57" t="s">
        <v>12</v>
      </c>
      <c r="C130" s="57" t="str">
        <f t="shared" ref="C130:C133" si="23">IF(A130="",C129,IF(MONTH(A130)=12,_xlfn.CONCAT(YEAR(A130)+1,B130),_xlfn.CONCAT(YEAR(A130),B130)))</f>
        <v>2021IV</v>
      </c>
      <c r="D130" s="57"/>
      <c r="E130" s="57" t="s">
        <v>304</v>
      </c>
      <c r="F130" s="48">
        <f>_xlfn.XLOOKUP(C130,Budget!A$10:I$10,Budget!A$13:I$13,0)*'Cost prices bicycles'!N$10</f>
        <v>1011605.2237500001</v>
      </c>
      <c r="G130" s="57" t="s">
        <v>274</v>
      </c>
      <c r="H130" s="57"/>
      <c r="I130" s="57"/>
    </row>
    <row r="131" spans="1:9" x14ac:dyDescent="0.25">
      <c r="B131" t="s">
        <v>12</v>
      </c>
      <c r="C131" s="7" t="str">
        <f t="shared" si="23"/>
        <v>2021IV</v>
      </c>
      <c r="F131" s="22">
        <f>F129+F130</f>
        <v>1624699.2987500001</v>
      </c>
    </row>
    <row r="132" spans="1:9" x14ac:dyDescent="0.25">
      <c r="A132" s="64"/>
      <c r="B132" s="57" t="s">
        <v>12</v>
      </c>
      <c r="C132" s="57" t="str">
        <f t="shared" si="23"/>
        <v>2021IV</v>
      </c>
      <c r="D132" s="57"/>
      <c r="E132" s="57" t="s">
        <v>305</v>
      </c>
      <c r="F132" s="48">
        <f>_xlfn.XLOOKUP(C132,Budget!N4:R4,Budget!N7:R7,0)*'Cost prices bicycles'!N$10</f>
        <v>1011605.2237500001</v>
      </c>
      <c r="G132" s="57" t="s">
        <v>279</v>
      </c>
      <c r="H132" s="57"/>
      <c r="I132" s="57"/>
    </row>
    <row r="133" spans="1:9" x14ac:dyDescent="0.25">
      <c r="A133" s="59">
        <v>44561</v>
      </c>
      <c r="B133" s="7" t="s">
        <v>13</v>
      </c>
      <c r="C133" s="7" t="str">
        <f t="shared" si="23"/>
        <v>2022I</v>
      </c>
      <c r="D133" s="7" t="s">
        <v>271</v>
      </c>
      <c r="E133" s="7"/>
      <c r="F133" s="22">
        <f>F131-F132</f>
        <v>613094.07499999995</v>
      </c>
      <c r="G133" s="7" t="s">
        <v>272</v>
      </c>
      <c r="H133" s="7"/>
      <c r="I133" s="7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B248-1A02-4EDD-B65A-62306FBA593E}">
  <sheetPr>
    <tabColor rgb="FF92D050"/>
  </sheetPr>
  <dimension ref="A1:E22"/>
  <sheetViews>
    <sheetView workbookViewId="0">
      <selection activeCell="H32" sqref="H32"/>
    </sheetView>
  </sheetViews>
  <sheetFormatPr defaultColWidth="8.6640625" defaultRowHeight="13.2" x14ac:dyDescent="0.25"/>
  <cols>
    <col min="1" max="1" width="25" bestFit="1" customWidth="1"/>
    <col min="2" max="2" width="10.109375" bestFit="1" customWidth="1"/>
    <col min="3" max="3" width="22.44140625" bestFit="1" customWidth="1"/>
    <col min="4" max="4" width="32.6640625" customWidth="1"/>
    <col min="5" max="5" width="18.6640625" bestFit="1" customWidth="1"/>
  </cols>
  <sheetData>
    <row r="1" spans="1:5" x14ac:dyDescent="0.25">
      <c r="A1" t="s">
        <v>306</v>
      </c>
      <c r="B1" t="s">
        <v>264</v>
      </c>
      <c r="C1" t="s">
        <v>307</v>
      </c>
      <c r="D1" t="s">
        <v>308</v>
      </c>
      <c r="E1" t="s">
        <v>309</v>
      </c>
    </row>
    <row r="2" spans="1:5" x14ac:dyDescent="0.25">
      <c r="A2" t="s">
        <v>63</v>
      </c>
      <c r="B2" s="2">
        <f>'Balance Sheet'!B$1</f>
        <v>44469</v>
      </c>
      <c r="C2" s="1">
        <v>1800</v>
      </c>
      <c r="D2" s="6">
        <v>125</v>
      </c>
      <c r="E2" s="3">
        <f>Tbl_Frames[[#This Row],[Available stock]]*Tbl_Frames[[#This Row],[Purchase price per piece]]</f>
        <v>225000</v>
      </c>
    </row>
    <row r="3" spans="1:5" x14ac:dyDescent="0.25">
      <c r="A3" s="37" t="s">
        <v>66</v>
      </c>
      <c r="B3" s="2">
        <f>'Balance Sheet'!B$1</f>
        <v>44469</v>
      </c>
      <c r="C3" s="1">
        <v>1600</v>
      </c>
      <c r="D3" s="6">
        <v>135</v>
      </c>
      <c r="E3" s="3">
        <f>Tbl_Frames[[#This Row],[Available stock]]*Tbl_Frames[[#This Row],[Purchase price per piece]]</f>
        <v>216000</v>
      </c>
    </row>
    <row r="4" spans="1:5" x14ac:dyDescent="0.25">
      <c r="A4" s="37" t="s">
        <v>67</v>
      </c>
      <c r="B4" s="2">
        <f>'Balance Sheet'!B$1</f>
        <v>44469</v>
      </c>
      <c r="C4" s="1">
        <v>1400</v>
      </c>
      <c r="D4" s="6">
        <v>90</v>
      </c>
      <c r="E4" s="3">
        <f>Tbl_Frames[[#This Row],[Available stock]]*Tbl_Frames[[#This Row],[Purchase price per piece]]</f>
        <v>126000</v>
      </c>
    </row>
    <row r="5" spans="1:5" x14ac:dyDescent="0.25">
      <c r="A5" t="s">
        <v>122</v>
      </c>
      <c r="C5" s="1">
        <f>SUBTOTAL(109,Tbl_Frames[Available stock])</f>
        <v>4800</v>
      </c>
      <c r="D5" s="6"/>
      <c r="E5" s="3">
        <f>SUBTOTAL(109,Tbl_Frames[Value of stock])</f>
        <v>567000</v>
      </c>
    </row>
    <row r="7" spans="1:5" x14ac:dyDescent="0.25">
      <c r="A7" t="s">
        <v>306</v>
      </c>
      <c r="B7" t="s">
        <v>264</v>
      </c>
      <c r="C7" t="s">
        <v>307</v>
      </c>
      <c r="D7" t="s">
        <v>308</v>
      </c>
      <c r="E7" t="s">
        <v>309</v>
      </c>
    </row>
    <row r="8" spans="1:5" x14ac:dyDescent="0.25">
      <c r="A8" t="s">
        <v>70</v>
      </c>
      <c r="B8" s="2">
        <f>'Balance Sheet'!B$1</f>
        <v>44469</v>
      </c>
      <c r="C8" s="1">
        <v>1500</v>
      </c>
      <c r="D8" s="6">
        <v>130</v>
      </c>
      <c r="E8" s="3">
        <f>Tbl_PartsSets[[#This Row],[Available stock]]*Tbl_PartsSets[[#This Row],[Purchase price per piece]]</f>
        <v>195000</v>
      </c>
    </row>
    <row r="9" spans="1:5" x14ac:dyDescent="0.25">
      <c r="A9" t="s">
        <v>71</v>
      </c>
      <c r="B9" s="2">
        <f>'Balance Sheet'!B$1</f>
        <v>44469</v>
      </c>
      <c r="C9" s="1">
        <v>2000</v>
      </c>
      <c r="D9" s="6">
        <v>130</v>
      </c>
      <c r="E9" s="3">
        <f>Tbl_PartsSets[[#This Row],[Available stock]]*Tbl_PartsSets[[#This Row],[Purchase price per piece]]</f>
        <v>260000</v>
      </c>
    </row>
    <row r="10" spans="1:5" x14ac:dyDescent="0.25">
      <c r="A10" t="s">
        <v>72</v>
      </c>
      <c r="B10" s="2">
        <f>'Balance Sheet'!B$1</f>
        <v>44469</v>
      </c>
      <c r="C10" s="1">
        <v>900</v>
      </c>
      <c r="D10" s="6">
        <v>65</v>
      </c>
      <c r="E10" s="3">
        <f>Tbl_PartsSets[[#This Row],[Available stock]]*Tbl_PartsSets[[#This Row],[Purchase price per piece]]</f>
        <v>58500</v>
      </c>
    </row>
    <row r="11" spans="1:5" x14ac:dyDescent="0.25">
      <c r="A11" t="s">
        <v>123</v>
      </c>
      <c r="B11" s="2"/>
      <c r="C11" s="1">
        <f>SUBTOTAL(109,Tbl_PartsSets[Available stock])</f>
        <v>4400</v>
      </c>
      <c r="D11" s="6"/>
      <c r="E11" s="3">
        <f>SUBTOTAL(109,Tbl_PartsSets[Value of stock])</f>
        <v>513500</v>
      </c>
    </row>
    <row r="13" spans="1:5" x14ac:dyDescent="0.25">
      <c r="A13" t="s">
        <v>306</v>
      </c>
      <c r="B13" t="s">
        <v>264</v>
      </c>
      <c r="C13" t="s">
        <v>307</v>
      </c>
      <c r="D13" t="s">
        <v>308</v>
      </c>
      <c r="E13" t="s">
        <v>309</v>
      </c>
    </row>
    <row r="14" spans="1:5" x14ac:dyDescent="0.25">
      <c r="A14" t="s">
        <v>78</v>
      </c>
      <c r="B14" s="2">
        <f>'Balance Sheet'!B$1</f>
        <v>44469</v>
      </c>
      <c r="C14" s="1">
        <v>10000</v>
      </c>
      <c r="D14" s="6">
        <v>5</v>
      </c>
      <c r="E14" s="3">
        <f>Tbl_PackagingMaterials[[#This Row],[Available stock]]*Tbl_PackagingMaterials[[#This Row],[Purchase price per piece]]</f>
        <v>50000</v>
      </c>
    </row>
    <row r="15" spans="1:5" x14ac:dyDescent="0.25">
      <c r="A15" t="s">
        <v>303</v>
      </c>
      <c r="B15" s="2">
        <f>'Balance Sheet'!B$1</f>
        <v>44469</v>
      </c>
      <c r="C15" s="1">
        <v>400</v>
      </c>
      <c r="D15" s="6">
        <v>25</v>
      </c>
      <c r="E15" s="3">
        <f>Tbl_PackagingMaterials[[#This Row],[Available stock]]*Tbl_PackagingMaterials[[#This Row],[Purchase price per piece]]</f>
        <v>10000</v>
      </c>
    </row>
    <row r="16" spans="1:5" x14ac:dyDescent="0.25">
      <c r="A16" t="s">
        <v>310</v>
      </c>
      <c r="B16" s="2"/>
      <c r="C16" s="1">
        <f>SUBTOTAL(109,Tbl_PackagingMaterials[Available stock])</f>
        <v>10400</v>
      </c>
      <c r="D16" s="6"/>
      <c r="E16" s="3">
        <f>SUBTOTAL(109,Tbl_PackagingMaterials[Value of stock])</f>
        <v>60000</v>
      </c>
    </row>
    <row r="18" spans="1:5" x14ac:dyDescent="0.25">
      <c r="A18" t="s">
        <v>306</v>
      </c>
      <c r="B18" t="s">
        <v>264</v>
      </c>
      <c r="C18" t="s">
        <v>307</v>
      </c>
      <c r="D18" t="s">
        <v>236</v>
      </c>
      <c r="E18" t="s">
        <v>309</v>
      </c>
    </row>
    <row r="19" spans="1:5" x14ac:dyDescent="0.25">
      <c r="A19" t="s">
        <v>18</v>
      </c>
      <c r="B19" s="2">
        <f>'Balance Sheet'!B$1</f>
        <v>44469</v>
      </c>
      <c r="C19" s="1">
        <v>1000</v>
      </c>
      <c r="D19" s="6">
        <f>VLOOKUP(Tbl_Bicycles[[#This Row],[Stock]],CostPrices,2,FALSE)</f>
        <v>416.54703749999999</v>
      </c>
      <c r="E19" s="3">
        <f>Tbl_Bicycles[[#This Row],[Available stock]]*Tbl_Bicycles[[#This Row],[Manufacturing cost price]]</f>
        <v>416547.03749999998</v>
      </c>
    </row>
    <row r="20" spans="1:5" x14ac:dyDescent="0.25">
      <c r="A20" t="s">
        <v>19</v>
      </c>
      <c r="B20" s="2">
        <f>'Balance Sheet'!B$1</f>
        <v>44469</v>
      </c>
      <c r="C20" s="1">
        <v>1400</v>
      </c>
      <c r="D20" s="6">
        <f>VLOOKUP(Tbl_Bicycles[[#This Row],[Stock]],CostPrices,2,FALSE)</f>
        <v>427.54703749999999</v>
      </c>
      <c r="E20" s="3">
        <f>Tbl_Bicycles[[#This Row],[Available stock]]*Tbl_Bicycles[[#This Row],[Manufacturing cost price]]</f>
        <v>598565.85250000004</v>
      </c>
    </row>
    <row r="21" spans="1:5" x14ac:dyDescent="0.25">
      <c r="A21" t="s">
        <v>20</v>
      </c>
      <c r="B21" s="2">
        <f>'Balance Sheet'!B$1</f>
        <v>44469</v>
      </c>
      <c r="C21" s="1">
        <v>2000</v>
      </c>
      <c r="D21" s="6">
        <f>VLOOKUP(Tbl_Bicycles[[#This Row],[Stock]],CostPrices,2,FALSE)</f>
        <v>306.54703749999999</v>
      </c>
      <c r="E21" s="3">
        <f>Tbl_Bicycles[[#This Row],[Available stock]]*Tbl_Bicycles[[#This Row],[Manufacturing cost price]]</f>
        <v>613094.07499999995</v>
      </c>
    </row>
    <row r="22" spans="1:5" x14ac:dyDescent="0.25">
      <c r="A22" t="s">
        <v>311</v>
      </c>
      <c r="B22" s="2"/>
      <c r="C22" s="1">
        <f>SUBTOTAL(109,Tbl_Bicycles[Available stock])</f>
        <v>4400</v>
      </c>
      <c r="D22" s="6"/>
      <c r="E22" s="3">
        <f>SUBTOTAL(109,Tbl_Bicycles[Value of stock])</f>
        <v>1628206.9649999999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2237-4009-47CF-B77D-78E814E84173}">
  <sheetPr>
    <tabColor rgb="FF92D050"/>
  </sheetPr>
  <dimension ref="A1:AH11"/>
  <sheetViews>
    <sheetView topLeftCell="X1" zoomScaleNormal="100" workbookViewId="0">
      <selection activeCell="AA32" sqref="AA32"/>
    </sheetView>
  </sheetViews>
  <sheetFormatPr defaultColWidth="8.6640625" defaultRowHeight="13.2" x14ac:dyDescent="0.25"/>
  <cols>
    <col min="1" max="1" width="7.6640625" bestFit="1" customWidth="1"/>
    <col min="2" max="2" width="9.6640625" bestFit="1" customWidth="1"/>
    <col min="3" max="3" width="9.109375" style="2" bestFit="1" customWidth="1"/>
    <col min="4" max="4" width="12.6640625" style="2" bestFit="1" customWidth="1"/>
    <col min="5" max="5" width="26.33203125" customWidth="1"/>
    <col min="6" max="6" width="15.6640625" bestFit="1" customWidth="1"/>
    <col min="7" max="7" width="11" style="1" bestFit="1" customWidth="1"/>
    <col min="8" max="8" width="13.6640625" style="6" bestFit="1" customWidth="1"/>
    <col min="9" max="9" width="17.44140625" style="3" bestFit="1" customWidth="1"/>
    <col min="10" max="10" width="16.6640625" bestFit="1" customWidth="1"/>
    <col min="11" max="11" width="25" bestFit="1" customWidth="1"/>
    <col min="12" max="12" width="15.6640625" bestFit="1" customWidth="1"/>
    <col min="13" max="13" width="11" style="6" bestFit="1" customWidth="1"/>
    <col min="14" max="14" width="13.6640625" style="3" bestFit="1" customWidth="1"/>
    <col min="15" max="15" width="17.44140625" bestFit="1" customWidth="1"/>
    <col min="16" max="16" width="16.6640625" bestFit="1" customWidth="1"/>
    <col min="18" max="18" width="5" bestFit="1" customWidth="1"/>
    <col min="19" max="19" width="9.44140625" bestFit="1" customWidth="1"/>
    <col min="20" max="20" width="8.6640625" bestFit="1" customWidth="1"/>
    <col min="21" max="21" width="12.6640625" bestFit="1" customWidth="1"/>
    <col min="22" max="22" width="26.44140625" bestFit="1" customWidth="1"/>
    <col min="23" max="23" width="15.6640625" bestFit="1" customWidth="1"/>
    <col min="24" max="24" width="11" bestFit="1" customWidth="1"/>
    <col min="25" max="25" width="13.6640625" bestFit="1" customWidth="1"/>
    <col min="26" max="26" width="17.44140625" bestFit="1" customWidth="1"/>
    <col min="27" max="27" width="16.6640625" bestFit="1" customWidth="1"/>
    <col min="28" max="28" width="5.109375" customWidth="1"/>
    <col min="29" max="29" width="26.44140625" bestFit="1" customWidth="1"/>
    <col min="30" max="30" width="15.6640625" bestFit="1" customWidth="1"/>
    <col min="31" max="31" width="11" bestFit="1" customWidth="1"/>
    <col min="32" max="32" width="13.6640625" bestFit="1" customWidth="1"/>
    <col min="33" max="33" width="17.44140625" bestFit="1" customWidth="1"/>
    <col min="34" max="34" width="16.6640625" bestFit="1" customWidth="1"/>
  </cols>
  <sheetData>
    <row r="1" spans="1:34" s="7" customFormat="1" x14ac:dyDescent="0.25">
      <c r="A1" s="7" t="s">
        <v>122</v>
      </c>
      <c r="B1" s="59"/>
      <c r="F1" s="19"/>
      <c r="G1" s="8"/>
      <c r="H1" s="22"/>
      <c r="K1" s="7" t="s">
        <v>123</v>
      </c>
      <c r="M1" s="8"/>
      <c r="N1" s="22"/>
      <c r="V1" s="7" t="s">
        <v>78</v>
      </c>
      <c r="AC1" s="7" t="s">
        <v>303</v>
      </c>
    </row>
    <row r="2" spans="1:34" s="69" customFormat="1" x14ac:dyDescent="0.25">
      <c r="A2" s="70" t="s">
        <v>10</v>
      </c>
      <c r="B2" s="71" t="s">
        <v>195</v>
      </c>
      <c r="C2" s="70" t="s">
        <v>11</v>
      </c>
      <c r="D2" s="70" t="s">
        <v>147</v>
      </c>
      <c r="E2" s="70" t="s">
        <v>312</v>
      </c>
      <c r="F2" s="72" t="s">
        <v>313</v>
      </c>
      <c r="G2" s="73" t="s">
        <v>314</v>
      </c>
      <c r="H2" s="74" t="s">
        <v>315</v>
      </c>
      <c r="I2" s="70" t="s">
        <v>316</v>
      </c>
      <c r="J2" s="70" t="s">
        <v>317</v>
      </c>
      <c r="K2" s="70" t="s">
        <v>318</v>
      </c>
      <c r="L2" s="72" t="s">
        <v>313</v>
      </c>
      <c r="M2" s="73" t="s">
        <v>314</v>
      </c>
      <c r="N2" s="74" t="s">
        <v>315</v>
      </c>
      <c r="O2" s="70" t="s">
        <v>316</v>
      </c>
      <c r="P2" s="70" t="s">
        <v>317</v>
      </c>
      <c r="R2" s="70" t="s">
        <v>10</v>
      </c>
      <c r="S2" s="71" t="s">
        <v>195</v>
      </c>
      <c r="T2" s="70" t="s">
        <v>11</v>
      </c>
      <c r="U2" s="70" t="s">
        <v>147</v>
      </c>
      <c r="V2" s="70" t="s">
        <v>319</v>
      </c>
      <c r="W2" s="72" t="s">
        <v>313</v>
      </c>
      <c r="X2" s="73" t="s">
        <v>314</v>
      </c>
      <c r="Y2" s="74" t="s">
        <v>315</v>
      </c>
      <c r="Z2" s="70" t="s">
        <v>316</v>
      </c>
      <c r="AA2" s="70" t="s">
        <v>317</v>
      </c>
      <c r="AC2" s="70" t="s">
        <v>319</v>
      </c>
      <c r="AD2" s="72" t="s">
        <v>313</v>
      </c>
      <c r="AE2" s="73" t="s">
        <v>314</v>
      </c>
      <c r="AF2" s="74" t="s">
        <v>315</v>
      </c>
      <c r="AG2" s="70" t="s">
        <v>316</v>
      </c>
      <c r="AH2" s="70" t="s">
        <v>317</v>
      </c>
    </row>
    <row r="3" spans="1:34" x14ac:dyDescent="0.25">
      <c r="A3">
        <v>2021</v>
      </c>
      <c r="B3" s="2" t="s">
        <v>320</v>
      </c>
      <c r="C3" t="s">
        <v>12</v>
      </c>
      <c r="D3" t="str">
        <f>_xlfn.CONCAT(A3,C3)</f>
        <v>2021IV</v>
      </c>
      <c r="E3" t="s">
        <v>63</v>
      </c>
      <c r="F3" s="1">
        <f>Budget!D11/3</f>
        <v>1866.6666666666667</v>
      </c>
      <c r="G3" s="6">
        <f>VLOOKUP('Purchases &amp; production usage'!$E3,Tbl_Frames[],4,FALSE)</f>
        <v>125</v>
      </c>
      <c r="H3" s="3">
        <f>'Purchases &amp; production usage'!$F3*'Purchases &amp; production usage'!$G3</f>
        <v>233333.33333333334</v>
      </c>
      <c r="I3" s="1">
        <f>F3</f>
        <v>1866.6666666666667</v>
      </c>
      <c r="J3" s="3">
        <f>'Purchases &amp; production usage'!$I3*'Purchases &amp; production usage'!$G3</f>
        <v>233333.33333333334</v>
      </c>
      <c r="K3" t="s">
        <v>70</v>
      </c>
      <c r="L3" s="1">
        <f>Budget!D11/3</f>
        <v>1866.6666666666667</v>
      </c>
      <c r="M3" s="6">
        <f>VLOOKUP(K3,Tbl_PartsSets[],4,FALSE)</f>
        <v>130</v>
      </c>
      <c r="N3" s="3">
        <f>L3*M3</f>
        <v>242666.66666666669</v>
      </c>
      <c r="O3" s="1">
        <f>L3</f>
        <v>1866.6666666666667</v>
      </c>
      <c r="P3" s="3">
        <f>O3*M3</f>
        <v>242666.66666666669</v>
      </c>
      <c r="R3">
        <v>2021</v>
      </c>
      <c r="S3" s="2" t="s">
        <v>320</v>
      </c>
      <c r="T3" t="s">
        <v>12</v>
      </c>
      <c r="U3" t="str">
        <f>_xlfn.CONCAT(R3,T3)</f>
        <v>2021IV</v>
      </c>
      <c r="V3" t="s">
        <v>78</v>
      </c>
      <c r="W3" s="1">
        <f>Budget!N8/3</f>
        <v>4366.666666666667</v>
      </c>
      <c r="X3" s="6">
        <f>VLOOKUP(V3,Tbl_PackagingMaterials[],4,FALSE)</f>
        <v>5</v>
      </c>
      <c r="Y3" s="3">
        <f>W3*X3</f>
        <v>21833.333333333336</v>
      </c>
      <c r="Z3" s="1">
        <f>W3</f>
        <v>4366.666666666667</v>
      </c>
      <c r="AA3" s="3">
        <f>Z3*X3</f>
        <v>21833.333333333336</v>
      </c>
      <c r="AC3" t="s">
        <v>303</v>
      </c>
      <c r="AD3" s="1">
        <f>Budget!N38/3</f>
        <v>112.5</v>
      </c>
      <c r="AE3" s="6">
        <f>VLOOKUP(AC3,Tbl_PackagingMaterials[],4,FALSE)</f>
        <v>25</v>
      </c>
      <c r="AF3" s="3">
        <f>AD3*AE3</f>
        <v>2812.5</v>
      </c>
      <c r="AG3" s="1">
        <f>AD3</f>
        <v>112.5</v>
      </c>
      <c r="AH3" s="3">
        <f>AG3*AE3</f>
        <v>2812.5</v>
      </c>
    </row>
    <row r="4" spans="1:34" x14ac:dyDescent="0.25">
      <c r="A4">
        <v>2021</v>
      </c>
      <c r="B4" s="2" t="s">
        <v>320</v>
      </c>
      <c r="C4" t="s">
        <v>12</v>
      </c>
      <c r="D4" t="str">
        <f t="shared" ref="D4:D11" si="0">_xlfn.CONCAT(A4,C4)</f>
        <v>2021IV</v>
      </c>
      <c r="E4" t="s">
        <v>66</v>
      </c>
      <c r="F4" s="1">
        <f>Budget!D12/3</f>
        <v>1400</v>
      </c>
      <c r="G4" s="6">
        <f>VLOOKUP('Purchases &amp; production usage'!$E4,Tbl_Frames[],4,FALSE)</f>
        <v>135</v>
      </c>
      <c r="H4" s="3">
        <f>'Purchases &amp; production usage'!$F4*'Purchases &amp; production usage'!$G4</f>
        <v>189000</v>
      </c>
      <c r="I4" s="1">
        <f t="shared" ref="I4:I11" si="1">F4</f>
        <v>1400</v>
      </c>
      <c r="J4" s="3">
        <f>'Purchases &amp; production usage'!$I4*'Purchases &amp; production usage'!$G4</f>
        <v>189000</v>
      </c>
      <c r="K4" t="s">
        <v>71</v>
      </c>
      <c r="L4" s="1">
        <f>Budget!D12/3</f>
        <v>1400</v>
      </c>
      <c r="M4" s="6">
        <f>VLOOKUP(K4,Tbl_PartsSets[],4,FALSE)</f>
        <v>130</v>
      </c>
      <c r="N4" s="3">
        <f t="shared" ref="N4:N11" si="2">L4*M4</f>
        <v>182000</v>
      </c>
      <c r="O4" s="1">
        <f t="shared" ref="O4:O11" si="3">L4</f>
        <v>1400</v>
      </c>
      <c r="P4" s="3">
        <f t="shared" ref="P4:P11" si="4">O4*M4</f>
        <v>182000</v>
      </c>
      <c r="R4">
        <v>2021</v>
      </c>
      <c r="S4" s="2" t="s">
        <v>321</v>
      </c>
      <c r="T4" t="s">
        <v>12</v>
      </c>
      <c r="U4" t="str">
        <f t="shared" ref="U4:U5" si="5">_xlfn.CONCAT(R4,T4)</f>
        <v>2021IV</v>
      </c>
      <c r="V4" t="s">
        <v>78</v>
      </c>
      <c r="W4" s="1">
        <f>Budget!N8/3</f>
        <v>4366.666666666667</v>
      </c>
      <c r="X4" s="6">
        <f>VLOOKUP(V4,Tbl_PackagingMaterials[],4,FALSE)</f>
        <v>5</v>
      </c>
      <c r="Y4" s="3">
        <f t="shared" ref="Y4:Y5" si="6">W4*X4</f>
        <v>21833.333333333336</v>
      </c>
      <c r="Z4" s="1">
        <f t="shared" ref="Z4:Z5" si="7">W4</f>
        <v>4366.666666666667</v>
      </c>
      <c r="AA4" s="3">
        <f t="shared" ref="AA4:AA5" si="8">Z4*X4</f>
        <v>21833.333333333336</v>
      </c>
      <c r="AC4" t="s">
        <v>303</v>
      </c>
      <c r="AD4" s="1">
        <f>Budget!N38/3</f>
        <v>112.5</v>
      </c>
      <c r="AE4" s="6">
        <f>VLOOKUP(AC4,Tbl_PackagingMaterials[],4,FALSE)</f>
        <v>25</v>
      </c>
      <c r="AF4" s="3">
        <f t="shared" ref="AF4:AF5" si="9">AD4*AE4</f>
        <v>2812.5</v>
      </c>
      <c r="AG4" s="1">
        <f t="shared" ref="AG4:AG5" si="10">AD4</f>
        <v>112.5</v>
      </c>
      <c r="AH4" s="3">
        <f t="shared" ref="AH4:AH5" si="11">AG4*AE4</f>
        <v>2812.5</v>
      </c>
    </row>
    <row r="5" spans="1:34" x14ac:dyDescent="0.25">
      <c r="A5">
        <v>2021</v>
      </c>
      <c r="B5" s="2" t="s">
        <v>320</v>
      </c>
      <c r="C5" t="s">
        <v>12</v>
      </c>
      <c r="D5" t="str">
        <f t="shared" si="0"/>
        <v>2021IV</v>
      </c>
      <c r="E5" t="s">
        <v>67</v>
      </c>
      <c r="F5" s="1">
        <f>Budget!D13/3</f>
        <v>1100.0000000000002</v>
      </c>
      <c r="G5" s="6">
        <f>VLOOKUP('Purchases &amp; production usage'!$E5,Tbl_Frames[],4,FALSE)</f>
        <v>90</v>
      </c>
      <c r="H5" s="3">
        <f>'Purchases &amp; production usage'!$F5*'Purchases &amp; production usage'!$G5</f>
        <v>99000.000000000015</v>
      </c>
      <c r="I5" s="1">
        <f t="shared" si="1"/>
        <v>1100.0000000000002</v>
      </c>
      <c r="J5" s="3">
        <f>'Purchases &amp; production usage'!$I5*'Purchases &amp; production usage'!$G5</f>
        <v>99000.000000000015</v>
      </c>
      <c r="K5" t="s">
        <v>72</v>
      </c>
      <c r="L5" s="1">
        <f>Budget!D13/3</f>
        <v>1100.0000000000002</v>
      </c>
      <c r="M5" s="6">
        <f>VLOOKUP(K5,Tbl_PartsSets[],4,FALSE)</f>
        <v>65</v>
      </c>
      <c r="N5" s="3">
        <f t="shared" si="2"/>
        <v>71500.000000000015</v>
      </c>
      <c r="O5" s="1">
        <f t="shared" si="3"/>
        <v>1100.0000000000002</v>
      </c>
      <c r="P5" s="3">
        <f t="shared" si="4"/>
        <v>71500.000000000015</v>
      </c>
      <c r="R5">
        <v>2021</v>
      </c>
      <c r="S5" s="2" t="s">
        <v>322</v>
      </c>
      <c r="T5" t="s">
        <v>12</v>
      </c>
      <c r="U5" t="str">
        <f t="shared" si="5"/>
        <v>2021IV</v>
      </c>
      <c r="V5" t="s">
        <v>78</v>
      </c>
      <c r="W5" s="1">
        <f>Budget!N8/3</f>
        <v>4366.666666666667</v>
      </c>
      <c r="X5" s="6">
        <f>VLOOKUP(V5,Tbl_PackagingMaterials[],4,FALSE)</f>
        <v>5</v>
      </c>
      <c r="Y5" s="3">
        <f t="shared" si="6"/>
        <v>21833.333333333336</v>
      </c>
      <c r="Z5" s="1">
        <f t="shared" si="7"/>
        <v>4366.666666666667</v>
      </c>
      <c r="AA5" s="3">
        <f t="shared" si="8"/>
        <v>21833.333333333336</v>
      </c>
      <c r="AC5" t="s">
        <v>303</v>
      </c>
      <c r="AD5" s="1">
        <f>Budget!N38/3</f>
        <v>112.5</v>
      </c>
      <c r="AE5" s="6">
        <f>VLOOKUP(AC5,Tbl_PackagingMaterials[],4,FALSE)</f>
        <v>25</v>
      </c>
      <c r="AF5" s="3">
        <f t="shared" si="9"/>
        <v>2812.5</v>
      </c>
      <c r="AG5" s="1">
        <f t="shared" si="10"/>
        <v>112.5</v>
      </c>
      <c r="AH5" s="3">
        <f t="shared" si="11"/>
        <v>2812.5</v>
      </c>
    </row>
    <row r="6" spans="1:34" x14ac:dyDescent="0.25">
      <c r="A6">
        <v>2021</v>
      </c>
      <c r="B6" s="2" t="s">
        <v>321</v>
      </c>
      <c r="C6" t="s">
        <v>12</v>
      </c>
      <c r="D6" t="str">
        <f t="shared" si="0"/>
        <v>2021IV</v>
      </c>
      <c r="E6" t="s">
        <v>63</v>
      </c>
      <c r="F6" s="1">
        <f>F3</f>
        <v>1866.6666666666667</v>
      </c>
      <c r="G6" s="6">
        <f>VLOOKUP('Purchases &amp; production usage'!$E6,Tbl_Frames[],4,FALSE)</f>
        <v>125</v>
      </c>
      <c r="H6" s="3">
        <f>'Purchases &amp; production usage'!$F6*'Purchases &amp; production usage'!$G6</f>
        <v>233333.33333333334</v>
      </c>
      <c r="I6" s="1">
        <f t="shared" si="1"/>
        <v>1866.6666666666667</v>
      </c>
      <c r="J6" s="3">
        <f>'Purchases &amp; production usage'!$I6*'Purchases &amp; production usage'!$G6</f>
        <v>233333.33333333334</v>
      </c>
      <c r="K6" t="s">
        <v>70</v>
      </c>
      <c r="L6" s="1">
        <f>L3</f>
        <v>1866.6666666666667</v>
      </c>
      <c r="M6" s="6">
        <f>VLOOKUP(K6,Tbl_PartsSets[],4,FALSE)</f>
        <v>130</v>
      </c>
      <c r="N6" s="3">
        <f t="shared" si="2"/>
        <v>242666.66666666669</v>
      </c>
      <c r="O6" s="1">
        <f t="shared" si="3"/>
        <v>1866.6666666666667</v>
      </c>
      <c r="P6" s="3">
        <f t="shared" si="4"/>
        <v>242666.66666666669</v>
      </c>
      <c r="S6" s="2"/>
      <c r="W6" s="1"/>
      <c r="X6" s="6"/>
      <c r="Y6" s="3"/>
      <c r="Z6" s="1"/>
      <c r="AA6" s="3"/>
    </row>
    <row r="7" spans="1:34" x14ac:dyDescent="0.25">
      <c r="A7">
        <v>2021</v>
      </c>
      <c r="B7" s="2" t="s">
        <v>321</v>
      </c>
      <c r="C7" t="s">
        <v>12</v>
      </c>
      <c r="D7" t="str">
        <f t="shared" si="0"/>
        <v>2021IV</v>
      </c>
      <c r="E7" t="s">
        <v>66</v>
      </c>
      <c r="F7" s="1">
        <f>F4</f>
        <v>1400</v>
      </c>
      <c r="G7" s="6">
        <f>VLOOKUP('Purchases &amp; production usage'!$E7,Tbl_Frames[],4,FALSE)</f>
        <v>135</v>
      </c>
      <c r="H7" s="3">
        <f>'Purchases &amp; production usage'!$F7*'Purchases &amp; production usage'!$G7</f>
        <v>189000</v>
      </c>
      <c r="I7" s="1">
        <f t="shared" si="1"/>
        <v>1400</v>
      </c>
      <c r="J7" s="3">
        <f>'Purchases &amp; production usage'!$I7*'Purchases &amp; production usage'!$G7</f>
        <v>189000</v>
      </c>
      <c r="K7" t="s">
        <v>71</v>
      </c>
      <c r="L7" s="1">
        <f t="shared" ref="L7:L8" si="12">L4</f>
        <v>1400</v>
      </c>
      <c r="M7" s="6">
        <f>VLOOKUP(K7,Tbl_PartsSets[],4,FALSE)</f>
        <v>130</v>
      </c>
      <c r="N7" s="3">
        <f t="shared" si="2"/>
        <v>182000</v>
      </c>
      <c r="O7" s="1">
        <f t="shared" si="3"/>
        <v>1400</v>
      </c>
      <c r="P7" s="3">
        <f t="shared" si="4"/>
        <v>182000</v>
      </c>
      <c r="S7" s="2"/>
      <c r="W7" s="1"/>
      <c r="X7" s="6"/>
      <c r="Y7" s="3"/>
      <c r="Z7" s="1"/>
      <c r="AA7" s="3"/>
    </row>
    <row r="8" spans="1:34" x14ac:dyDescent="0.25">
      <c r="A8">
        <v>2021</v>
      </c>
      <c r="B8" s="2" t="s">
        <v>321</v>
      </c>
      <c r="C8" t="s">
        <v>12</v>
      </c>
      <c r="D8" t="str">
        <f t="shared" si="0"/>
        <v>2021IV</v>
      </c>
      <c r="E8" t="s">
        <v>67</v>
      </c>
      <c r="F8" s="1">
        <f>F5</f>
        <v>1100.0000000000002</v>
      </c>
      <c r="G8" s="6">
        <f>VLOOKUP('Purchases &amp; production usage'!$E8,Tbl_Frames[],4,FALSE)</f>
        <v>90</v>
      </c>
      <c r="H8" s="3">
        <f>'Purchases &amp; production usage'!$F8*'Purchases &amp; production usage'!$G8</f>
        <v>99000.000000000015</v>
      </c>
      <c r="I8" s="1">
        <f t="shared" si="1"/>
        <v>1100.0000000000002</v>
      </c>
      <c r="J8" s="3">
        <f>'Purchases &amp; production usage'!$I8*'Purchases &amp; production usage'!$G8</f>
        <v>99000.000000000015</v>
      </c>
      <c r="K8" t="s">
        <v>72</v>
      </c>
      <c r="L8" s="1">
        <f t="shared" si="12"/>
        <v>1100.0000000000002</v>
      </c>
      <c r="M8" s="6">
        <f>VLOOKUP(K8,Tbl_PartsSets[],4,FALSE)</f>
        <v>65</v>
      </c>
      <c r="N8" s="3">
        <f t="shared" si="2"/>
        <v>71500.000000000015</v>
      </c>
      <c r="O8" s="1">
        <f t="shared" si="3"/>
        <v>1100.0000000000002</v>
      </c>
      <c r="P8" s="3">
        <f t="shared" si="4"/>
        <v>71500.000000000015</v>
      </c>
      <c r="S8" s="2"/>
      <c r="W8" s="1"/>
      <c r="X8" s="6"/>
      <c r="Y8" s="3"/>
      <c r="Z8" s="1"/>
      <c r="AA8" s="3"/>
    </row>
    <row r="9" spans="1:34" x14ac:dyDescent="0.25">
      <c r="A9">
        <v>2021</v>
      </c>
      <c r="B9" s="2" t="s">
        <v>322</v>
      </c>
      <c r="C9" t="s">
        <v>12</v>
      </c>
      <c r="D9" t="str">
        <f t="shared" si="0"/>
        <v>2021IV</v>
      </c>
      <c r="E9" t="s">
        <v>63</v>
      </c>
      <c r="F9" s="1">
        <f>F6</f>
        <v>1866.6666666666667</v>
      </c>
      <c r="G9" s="6">
        <f>VLOOKUP('Purchases &amp; production usage'!$E9,Tbl_Frames[],4,FALSE)</f>
        <v>125</v>
      </c>
      <c r="H9" s="3">
        <f>'Purchases &amp; production usage'!$F9*'Purchases &amp; production usage'!$G9</f>
        <v>233333.33333333334</v>
      </c>
      <c r="I9" s="1">
        <f t="shared" si="1"/>
        <v>1866.6666666666667</v>
      </c>
      <c r="J9" s="3">
        <f>'Purchases &amp; production usage'!$I9*'Purchases &amp; production usage'!$G9</f>
        <v>233333.33333333334</v>
      </c>
      <c r="K9" t="s">
        <v>70</v>
      </c>
      <c r="L9" s="1">
        <f>L6</f>
        <v>1866.6666666666667</v>
      </c>
      <c r="M9" s="6">
        <f>VLOOKUP(K9,Tbl_PartsSets[],4,FALSE)</f>
        <v>130</v>
      </c>
      <c r="N9" s="3">
        <f t="shared" si="2"/>
        <v>242666.66666666669</v>
      </c>
      <c r="O9" s="1">
        <f t="shared" si="3"/>
        <v>1866.6666666666667</v>
      </c>
      <c r="P9" s="3">
        <f t="shared" si="4"/>
        <v>242666.66666666669</v>
      </c>
    </row>
    <row r="10" spans="1:34" x14ac:dyDescent="0.25">
      <c r="A10">
        <v>2021</v>
      </c>
      <c r="B10" s="2" t="s">
        <v>322</v>
      </c>
      <c r="C10" t="s">
        <v>12</v>
      </c>
      <c r="D10" t="str">
        <f t="shared" si="0"/>
        <v>2021IV</v>
      </c>
      <c r="E10" t="s">
        <v>66</v>
      </c>
      <c r="F10" s="1">
        <f t="shared" ref="F10:F11" si="13">F7</f>
        <v>1400</v>
      </c>
      <c r="G10" s="6">
        <f>VLOOKUP('Purchases &amp; production usage'!$E10,Tbl_Frames[],4,FALSE)</f>
        <v>135</v>
      </c>
      <c r="H10" s="3">
        <f>'Purchases &amp; production usage'!$F10*'Purchases &amp; production usage'!$G10</f>
        <v>189000</v>
      </c>
      <c r="I10" s="1">
        <f t="shared" si="1"/>
        <v>1400</v>
      </c>
      <c r="J10" s="3">
        <f>'Purchases &amp; production usage'!$I10*'Purchases &amp; production usage'!$G10</f>
        <v>189000</v>
      </c>
      <c r="K10" t="s">
        <v>71</v>
      </c>
      <c r="L10" s="1">
        <f t="shared" ref="L10:L11" si="14">L7</f>
        <v>1400</v>
      </c>
      <c r="M10" s="6">
        <f>VLOOKUP(K10,Tbl_PartsSets[],4,FALSE)</f>
        <v>130</v>
      </c>
      <c r="N10" s="3">
        <f t="shared" si="2"/>
        <v>182000</v>
      </c>
      <c r="O10" s="1">
        <f t="shared" si="3"/>
        <v>1400</v>
      </c>
      <c r="P10" s="3">
        <f t="shared" si="4"/>
        <v>182000</v>
      </c>
    </row>
    <row r="11" spans="1:34" x14ac:dyDescent="0.25">
      <c r="A11">
        <v>2021</v>
      </c>
      <c r="B11" s="2" t="s">
        <v>322</v>
      </c>
      <c r="C11" t="s">
        <v>12</v>
      </c>
      <c r="D11" t="str">
        <f t="shared" si="0"/>
        <v>2021IV</v>
      </c>
      <c r="E11" t="s">
        <v>67</v>
      </c>
      <c r="F11" s="1">
        <f t="shared" si="13"/>
        <v>1100.0000000000002</v>
      </c>
      <c r="G11" s="6">
        <f>VLOOKUP('Purchases &amp; production usage'!$E11,Tbl_Frames[],4,FALSE)</f>
        <v>90</v>
      </c>
      <c r="H11" s="3">
        <f>'Purchases &amp; production usage'!$F11*'Purchases &amp; production usage'!$G11</f>
        <v>99000.000000000015</v>
      </c>
      <c r="I11" s="1">
        <f t="shared" si="1"/>
        <v>1100.0000000000002</v>
      </c>
      <c r="J11" s="3">
        <f>'Purchases &amp; production usage'!$I11*'Purchases &amp; production usage'!$G11</f>
        <v>99000.000000000015</v>
      </c>
      <c r="K11" t="s">
        <v>72</v>
      </c>
      <c r="L11" s="1">
        <f t="shared" si="14"/>
        <v>1100.0000000000002</v>
      </c>
      <c r="M11" s="6">
        <f>VLOOKUP(K11,Tbl_PartsSets[],4,FALSE)</f>
        <v>65</v>
      </c>
      <c r="N11" s="3">
        <f t="shared" si="2"/>
        <v>71500.000000000015</v>
      </c>
      <c r="O11" s="1">
        <f t="shared" si="3"/>
        <v>1100.0000000000002</v>
      </c>
      <c r="P11" s="3">
        <f t="shared" si="4"/>
        <v>71500.000000000015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42B1A-AF66-4A21-B121-CCCD7E731E59}">
  <sheetPr>
    <tabColor rgb="FF92D050"/>
  </sheetPr>
  <dimension ref="A1:M8"/>
  <sheetViews>
    <sheetView topLeftCell="B1" workbookViewId="0">
      <selection activeCell="E32" sqref="E32"/>
    </sheetView>
  </sheetViews>
  <sheetFormatPr defaultColWidth="8.6640625" defaultRowHeight="13.2" x14ac:dyDescent="0.25"/>
  <cols>
    <col min="1" max="1" width="23.109375" bestFit="1" customWidth="1"/>
    <col min="3" max="3" width="12.6640625" bestFit="1" customWidth="1"/>
    <col min="4" max="4" width="10.6640625" style="3" bestFit="1" customWidth="1"/>
    <col min="5" max="5" width="15.33203125" bestFit="1" customWidth="1"/>
    <col min="6" max="6" width="16.6640625" bestFit="1" customWidth="1"/>
    <col min="7" max="7" width="10.6640625" bestFit="1" customWidth="1"/>
    <col min="8" max="8" width="10.6640625" style="7" bestFit="1" customWidth="1"/>
    <col min="9" max="9" width="25.6640625" bestFit="1" customWidth="1"/>
    <col min="10" max="10" width="15.33203125" bestFit="1" customWidth="1"/>
    <col min="11" max="11" width="16.6640625" bestFit="1" customWidth="1"/>
    <col min="13" max="13" width="10.6640625" bestFit="1" customWidth="1"/>
  </cols>
  <sheetData>
    <row r="1" spans="1:13" s="7" customFormat="1" x14ac:dyDescent="0.25">
      <c r="A1" s="7" t="s">
        <v>323</v>
      </c>
      <c r="I1" s="7" t="s">
        <v>324</v>
      </c>
    </row>
    <row r="2" spans="1:13" s="7" customFormat="1" x14ac:dyDescent="0.25">
      <c r="A2" s="7" t="s">
        <v>10</v>
      </c>
      <c r="B2" s="7" t="s">
        <v>11</v>
      </c>
      <c r="C2" s="7" t="s">
        <v>147</v>
      </c>
      <c r="D2" s="22" t="s">
        <v>122</v>
      </c>
      <c r="E2" s="7" t="s">
        <v>123</v>
      </c>
      <c r="F2" s="7" t="s">
        <v>78</v>
      </c>
      <c r="G2" s="7" t="s">
        <v>303</v>
      </c>
      <c r="H2" s="7" t="s">
        <v>54</v>
      </c>
      <c r="I2" s="22" t="s">
        <v>122</v>
      </c>
      <c r="J2" s="7" t="s">
        <v>123</v>
      </c>
      <c r="K2" s="7" t="s">
        <v>78</v>
      </c>
      <c r="L2" s="7" t="s">
        <v>303</v>
      </c>
      <c r="M2" s="7" t="s">
        <v>54</v>
      </c>
    </row>
    <row r="3" spans="1:13" x14ac:dyDescent="0.25">
      <c r="A3">
        <v>2021</v>
      </c>
      <c r="B3" t="s">
        <v>12</v>
      </c>
      <c r="C3" t="str">
        <f>_xlfn.CONCAT(A3,B3)</f>
        <v>2021IV</v>
      </c>
      <c r="D3" s="3">
        <f>SUMIF('Purchases &amp; production usage'!$D$3:$D11,'Purchase value stock'!$C3,'Purchases &amp; production usage'!H$3:H11)</f>
        <v>1564000</v>
      </c>
      <c r="E3" s="3">
        <f>SUMIF('Purchases &amp; production usage'!$D$3:$D11,'Purchase value stock'!$C3,'Purchases &amp; production usage'!N$3:N11)</f>
        <v>1488500</v>
      </c>
      <c r="F3" s="3">
        <f>SUMIF('Purchases &amp; production usage'!$D$3:$D11,'Purchase value stock'!$C3,'Purchases &amp; production usage'!Y$3:Y11)</f>
        <v>65500.000000000007</v>
      </c>
      <c r="G3" s="3">
        <f>SUMIF('Purchases &amp; production usage'!$D$3:$D11,'Purchase value stock'!$C3,'Purchases &amp; production usage'!AF$3:AF11)</f>
        <v>8437.5</v>
      </c>
      <c r="H3" s="22">
        <f>SUM(D3:G3)</f>
        <v>3126437.5</v>
      </c>
      <c r="I3" s="3">
        <f>SUMIF('Purchases &amp; production usage'!$D$3:$D11,'Purchase value stock'!$C3,'Purchases &amp; production usage'!J$3:J11)</f>
        <v>1564000</v>
      </c>
      <c r="J3" s="3">
        <f>SUMIF('Purchases &amp; production usage'!$D$3:$D11,'Purchase value stock'!$C3,'Purchases &amp; production usage'!P$3:P11)</f>
        <v>1488500</v>
      </c>
      <c r="K3" s="3">
        <f>SUMIF('Purchases &amp; production usage'!U$3:U5,'Purchase value stock'!C3,'Purchases &amp; production usage'!AA$3:AA5)</f>
        <v>65500.000000000007</v>
      </c>
      <c r="L3" s="3">
        <f>SUMIF('Purchases &amp; production usage'!$D$3:$D11,'Purchase value stock'!$C3,'Purchases &amp; production usage'!AH$3:AH11)</f>
        <v>8437.5</v>
      </c>
      <c r="M3" s="22">
        <f>SUM(I3:L3)</f>
        <v>3126437.5</v>
      </c>
    </row>
    <row r="4" spans="1:13" x14ac:dyDescent="0.25">
      <c r="A4">
        <v>2022</v>
      </c>
      <c r="B4" t="s">
        <v>13</v>
      </c>
      <c r="C4" t="str">
        <f t="shared" ref="C4:C7" si="0">_xlfn.CONCAT(A4,B4)</f>
        <v>2022I</v>
      </c>
      <c r="E4" s="3"/>
      <c r="H4" s="22"/>
    </row>
    <row r="5" spans="1:13" x14ac:dyDescent="0.25">
      <c r="A5">
        <v>2022</v>
      </c>
      <c r="B5" t="s">
        <v>14</v>
      </c>
      <c r="C5" t="str">
        <f t="shared" si="0"/>
        <v>2022II</v>
      </c>
      <c r="E5" s="3"/>
      <c r="H5" s="22"/>
    </row>
    <row r="6" spans="1:13" x14ac:dyDescent="0.25">
      <c r="A6">
        <v>2022</v>
      </c>
      <c r="B6" t="s">
        <v>15</v>
      </c>
      <c r="C6" t="str">
        <f t="shared" si="0"/>
        <v>2022III</v>
      </c>
      <c r="E6" s="3"/>
      <c r="H6" s="22"/>
    </row>
    <row r="7" spans="1:13" x14ac:dyDescent="0.25">
      <c r="A7">
        <v>2022</v>
      </c>
      <c r="B7" t="s">
        <v>12</v>
      </c>
      <c r="C7" t="str">
        <f t="shared" si="0"/>
        <v>2022IV</v>
      </c>
      <c r="D7" s="48"/>
      <c r="E7" s="48"/>
      <c r="F7" s="57"/>
      <c r="G7" s="57"/>
      <c r="H7" s="68"/>
      <c r="I7" s="57"/>
      <c r="J7" s="57"/>
      <c r="K7" s="57"/>
      <c r="L7" s="57"/>
      <c r="M7" s="57"/>
    </row>
    <row r="8" spans="1:13" s="7" customFormat="1" x14ac:dyDescent="0.25">
      <c r="D8" s="22">
        <f>SUM(D3:D6)</f>
        <v>1564000</v>
      </c>
      <c r="E8" s="22">
        <f>SUM(E3:E6)</f>
        <v>1488500</v>
      </c>
      <c r="F8" s="22">
        <f t="shared" ref="F8:G8" si="1">SUM(F3:F6)</f>
        <v>65500.000000000007</v>
      </c>
      <c r="G8" s="22">
        <f t="shared" si="1"/>
        <v>8437.5</v>
      </c>
      <c r="H8" s="22">
        <f t="shared" ref="H8" si="2">SUM(D8:G8)</f>
        <v>3126437.5</v>
      </c>
      <c r="I8" s="22">
        <f>SUM(I3:I6)</f>
        <v>1564000</v>
      </c>
      <c r="J8" s="22">
        <f>SUM(J3:J6)</f>
        <v>1488500</v>
      </c>
      <c r="K8" s="22">
        <f t="shared" ref="K8:L8" si="3">SUM(K3:K6)</f>
        <v>65500.000000000007</v>
      </c>
      <c r="L8" s="22">
        <f t="shared" si="3"/>
        <v>8437.5</v>
      </c>
      <c r="M8" s="22">
        <f t="shared" ref="M8" si="4">SUM(I8:L8)</f>
        <v>3126437.5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4A91-0F76-409D-B3C0-3B1F11DE0150}">
  <sheetPr>
    <tabColor rgb="FF92D050"/>
  </sheetPr>
  <dimension ref="A1:H85"/>
  <sheetViews>
    <sheetView topLeftCell="A43" zoomScale="115" zoomScaleNormal="115" workbookViewId="0">
      <selection activeCell="C80" sqref="C80"/>
    </sheetView>
  </sheetViews>
  <sheetFormatPr defaultColWidth="9.109375" defaultRowHeight="13.2" x14ac:dyDescent="0.25"/>
  <cols>
    <col min="1" max="1" width="57" style="7" bestFit="1" customWidth="1"/>
    <col min="2" max="2" width="16" bestFit="1" customWidth="1"/>
    <col min="3" max="6" width="13.44140625" bestFit="1" customWidth="1"/>
    <col min="7" max="7" width="10.6640625" bestFit="1" customWidth="1"/>
    <col min="8" max="8" width="18" bestFit="1" customWidth="1"/>
  </cols>
  <sheetData>
    <row r="1" spans="1:8" x14ac:dyDescent="0.25">
      <c r="B1" s="7" t="s">
        <v>10</v>
      </c>
      <c r="C1" s="49">
        <v>2021</v>
      </c>
      <c r="D1" s="49">
        <v>2022</v>
      </c>
      <c r="E1" s="49">
        <v>2022</v>
      </c>
      <c r="F1" s="49">
        <v>2022</v>
      </c>
      <c r="G1" s="49">
        <v>2022</v>
      </c>
      <c r="H1" s="49">
        <v>2022</v>
      </c>
    </row>
    <row r="2" spans="1:8" x14ac:dyDescent="0.25">
      <c r="B2" s="7" t="s">
        <v>11</v>
      </c>
      <c r="C2" s="49" t="s">
        <v>12</v>
      </c>
      <c r="D2" s="49" t="s">
        <v>13</v>
      </c>
      <c r="E2" s="49" t="s">
        <v>14</v>
      </c>
      <c r="F2" s="49" t="s">
        <v>15</v>
      </c>
      <c r="G2" s="49" t="s">
        <v>12</v>
      </c>
      <c r="H2" s="49" t="s">
        <v>54</v>
      </c>
    </row>
    <row r="3" spans="1:8" s="7" customFormat="1" x14ac:dyDescent="0.25">
      <c r="B3" s="7" t="s">
        <v>325</v>
      </c>
      <c r="C3" s="7" t="str">
        <f>_xlfn.CONCAT(C1,C2)</f>
        <v>2021IV</v>
      </c>
      <c r="D3" s="7" t="str">
        <f t="shared" ref="D3:H3" si="0">_xlfn.CONCAT(D1,D2)</f>
        <v>2022I</v>
      </c>
      <c r="E3" s="7" t="str">
        <f t="shared" si="0"/>
        <v>2022II</v>
      </c>
      <c r="F3" s="7" t="str">
        <f t="shared" si="0"/>
        <v>2022III</v>
      </c>
      <c r="G3" s="7" t="str">
        <f t="shared" si="0"/>
        <v>2022IV</v>
      </c>
      <c r="H3" s="7" t="str">
        <f t="shared" si="0"/>
        <v>2022Total</v>
      </c>
    </row>
    <row r="4" spans="1:8" s="7" customFormat="1" x14ac:dyDescent="0.25"/>
    <row r="5" spans="1:8" x14ac:dyDescent="0.25">
      <c r="A5" s="70" t="s">
        <v>326</v>
      </c>
      <c r="B5" s="7" t="s">
        <v>327</v>
      </c>
      <c r="C5" s="84">
        <v>1.6</v>
      </c>
      <c r="D5" s="84">
        <v>1.6</v>
      </c>
      <c r="E5" s="84">
        <v>1.6</v>
      </c>
      <c r="F5" s="84">
        <v>1.6</v>
      </c>
      <c r="G5" s="84">
        <v>1.6</v>
      </c>
      <c r="H5" s="84">
        <f>SUM(D5:G5)</f>
        <v>6.4</v>
      </c>
    </row>
    <row r="6" spans="1:8" x14ac:dyDescent="0.25">
      <c r="A6" s="69"/>
      <c r="B6" s="7" t="s">
        <v>328</v>
      </c>
      <c r="C6" s="84">
        <v>1.8</v>
      </c>
      <c r="D6" s="84">
        <v>1.8</v>
      </c>
      <c r="E6" s="84">
        <v>1.8</v>
      </c>
      <c r="F6" s="84">
        <v>1.8</v>
      </c>
      <c r="G6" s="84">
        <v>1.8</v>
      </c>
      <c r="H6" s="84">
        <f t="shared" ref="H6:H10" si="1">SUM(D6:G6)</f>
        <v>7.2</v>
      </c>
    </row>
    <row r="7" spans="1:8" x14ac:dyDescent="0.25">
      <c r="A7"/>
      <c r="B7" s="7" t="s">
        <v>329</v>
      </c>
      <c r="C7" s="84">
        <v>4</v>
      </c>
      <c r="D7" s="84">
        <v>4</v>
      </c>
      <c r="E7" s="84">
        <v>4</v>
      </c>
      <c r="F7" s="84">
        <v>4</v>
      </c>
      <c r="G7" s="84">
        <v>4</v>
      </c>
      <c r="H7" s="84">
        <f t="shared" si="1"/>
        <v>16</v>
      </c>
    </row>
    <row r="8" spans="1:8" x14ac:dyDescent="0.25">
      <c r="A8"/>
      <c r="B8" s="7" t="s">
        <v>330</v>
      </c>
      <c r="C8" s="84">
        <v>135</v>
      </c>
      <c r="D8" s="84">
        <v>135</v>
      </c>
      <c r="E8" s="84">
        <v>135</v>
      </c>
      <c r="F8" s="84">
        <v>135</v>
      </c>
      <c r="G8" s="84">
        <v>135</v>
      </c>
      <c r="H8" s="84">
        <f t="shared" si="1"/>
        <v>540</v>
      </c>
    </row>
    <row r="9" spans="1:8" x14ac:dyDescent="0.25">
      <c r="A9"/>
      <c r="B9" s="7" t="s">
        <v>331</v>
      </c>
      <c r="C9" s="86">
        <v>7</v>
      </c>
      <c r="D9" s="86">
        <v>7</v>
      </c>
      <c r="E9" s="86">
        <v>7</v>
      </c>
      <c r="F9" s="86">
        <v>7</v>
      </c>
      <c r="G9" s="86">
        <v>7</v>
      </c>
      <c r="H9" s="86">
        <f t="shared" si="1"/>
        <v>28</v>
      </c>
    </row>
    <row r="10" spans="1:8" x14ac:dyDescent="0.25">
      <c r="A10"/>
      <c r="B10" s="7"/>
      <c r="C10" s="85">
        <f t="shared" ref="C10:G10" si="2">SUM(C5:C9)</f>
        <v>149.4</v>
      </c>
      <c r="D10" s="85">
        <f t="shared" si="2"/>
        <v>149.4</v>
      </c>
      <c r="E10" s="85">
        <f t="shared" si="2"/>
        <v>149.4</v>
      </c>
      <c r="F10" s="85">
        <f t="shared" si="2"/>
        <v>149.4</v>
      </c>
      <c r="G10" s="85">
        <f t="shared" si="2"/>
        <v>149.4</v>
      </c>
      <c r="H10" s="85">
        <f t="shared" si="1"/>
        <v>597.6</v>
      </c>
    </row>
    <row r="11" spans="1:8" x14ac:dyDescent="0.25">
      <c r="A11"/>
      <c r="B11" s="7"/>
    </row>
    <row r="12" spans="1:8" x14ac:dyDescent="0.25">
      <c r="A12" s="7" t="s">
        <v>332</v>
      </c>
      <c r="B12" s="7" t="s">
        <v>327</v>
      </c>
      <c r="C12" s="1">
        <f>C5*Given!$B$39</f>
        <v>720</v>
      </c>
      <c r="D12" s="1">
        <f>D5*Given!$B$39</f>
        <v>720</v>
      </c>
      <c r="E12" s="1">
        <f>E5*Given!$B$39</f>
        <v>720</v>
      </c>
      <c r="F12" s="1">
        <f>F5*Given!$B$39</f>
        <v>720</v>
      </c>
      <c r="G12" s="1">
        <f>G5*Given!$B$39</f>
        <v>720</v>
      </c>
      <c r="H12" s="1">
        <f>SUM(D12:G12)</f>
        <v>2880</v>
      </c>
    </row>
    <row r="13" spans="1:8" x14ac:dyDescent="0.25">
      <c r="B13" s="7" t="s">
        <v>328</v>
      </c>
      <c r="C13" s="1">
        <f>C6*Given!$B$39</f>
        <v>810</v>
      </c>
      <c r="D13" s="1">
        <f>D6*Given!$B$39</f>
        <v>810</v>
      </c>
      <c r="E13" s="1">
        <f>E6*Given!$B$39</f>
        <v>810</v>
      </c>
      <c r="F13" s="1">
        <f>F6*Given!$B$39</f>
        <v>810</v>
      </c>
      <c r="G13" s="1">
        <f>G6*Given!$B$39</f>
        <v>810</v>
      </c>
      <c r="H13" s="1">
        <f t="shared" ref="H13:H17" si="3">SUM(D13:G13)</f>
        <v>3240</v>
      </c>
    </row>
    <row r="14" spans="1:8" x14ac:dyDescent="0.25">
      <c r="B14" s="7" t="s">
        <v>329</v>
      </c>
      <c r="C14" s="1">
        <f>C7*Given!$B$39</f>
        <v>1800</v>
      </c>
      <c r="D14" s="1">
        <f>D7*Given!$B$39</f>
        <v>1800</v>
      </c>
      <c r="E14" s="1">
        <f>E7*Given!$B$39</f>
        <v>1800</v>
      </c>
      <c r="F14" s="1">
        <f>F7*Given!$B$39</f>
        <v>1800</v>
      </c>
      <c r="G14" s="1">
        <f>G7*Given!$B$39</f>
        <v>1800</v>
      </c>
      <c r="H14" s="1">
        <f t="shared" si="3"/>
        <v>7200</v>
      </c>
    </row>
    <row r="15" spans="1:8" x14ac:dyDescent="0.25">
      <c r="B15" s="7" t="s">
        <v>330</v>
      </c>
      <c r="C15" s="1">
        <f>C8*Given!$B$39</f>
        <v>60750</v>
      </c>
      <c r="D15" s="1">
        <f>D8*Given!$B$39</f>
        <v>60750</v>
      </c>
      <c r="E15" s="1">
        <f>E8*Given!$B$39</f>
        <v>60750</v>
      </c>
      <c r="F15" s="1">
        <f>F8*Given!$B$39</f>
        <v>60750</v>
      </c>
      <c r="G15" s="1">
        <f>G8*Given!$B$39</f>
        <v>60750</v>
      </c>
      <c r="H15" s="1">
        <f t="shared" si="3"/>
        <v>243000</v>
      </c>
    </row>
    <row r="16" spans="1:8" x14ac:dyDescent="0.25">
      <c r="B16" s="7" t="s">
        <v>331</v>
      </c>
      <c r="C16" s="87">
        <f>C9*Given!$B$39</f>
        <v>3150</v>
      </c>
      <c r="D16" s="87">
        <f>D9*Given!$B$39</f>
        <v>3150</v>
      </c>
      <c r="E16" s="87">
        <f>E9*Given!$B$39</f>
        <v>3150</v>
      </c>
      <c r="F16" s="87">
        <f>F9*Given!$B$39</f>
        <v>3150</v>
      </c>
      <c r="G16" s="87">
        <f>G9*Given!$B$39</f>
        <v>3150</v>
      </c>
      <c r="H16" s="87">
        <f t="shared" si="3"/>
        <v>12600</v>
      </c>
    </row>
    <row r="17" spans="1:8" s="7" customFormat="1" x14ac:dyDescent="0.25">
      <c r="C17" s="19">
        <f>SUM(C12:C16)</f>
        <v>67230</v>
      </c>
      <c r="D17" s="19">
        <f t="shared" ref="D17:F17" si="4">SUM(D12:D16)</f>
        <v>67230</v>
      </c>
      <c r="E17" s="19">
        <f t="shared" si="4"/>
        <v>67230</v>
      </c>
      <c r="F17" s="19">
        <f t="shared" si="4"/>
        <v>67230</v>
      </c>
      <c r="G17" s="19">
        <f t="shared" ref="G17" si="5">SUM(G12:G16)</f>
        <v>67230</v>
      </c>
      <c r="H17" s="19">
        <f t="shared" si="3"/>
        <v>268920</v>
      </c>
    </row>
    <row r="19" spans="1:8" x14ac:dyDescent="0.25">
      <c r="A19" s="7" t="s">
        <v>333</v>
      </c>
      <c r="B19" s="7" t="s">
        <v>327</v>
      </c>
      <c r="C19" s="3">
        <v>27000</v>
      </c>
      <c r="D19" s="3">
        <v>27000</v>
      </c>
      <c r="E19" s="3">
        <v>27000</v>
      </c>
      <c r="F19" s="3">
        <v>27000</v>
      </c>
      <c r="G19" s="3">
        <v>27000</v>
      </c>
      <c r="H19" s="3">
        <f>AVERAGE(D19:G19)</f>
        <v>27000</v>
      </c>
    </row>
    <row r="20" spans="1:8" x14ac:dyDescent="0.25">
      <c r="A20"/>
      <c r="B20" s="7" t="s">
        <v>328</v>
      </c>
      <c r="C20" s="3">
        <v>13500</v>
      </c>
      <c r="D20" s="3">
        <v>13500</v>
      </c>
      <c r="E20" s="3">
        <v>13500</v>
      </c>
      <c r="F20" s="3">
        <v>13500</v>
      </c>
      <c r="G20" s="3">
        <v>13500</v>
      </c>
      <c r="H20" s="3">
        <f t="shared" ref="H20:H23" si="6">AVERAGE(D20:G20)</f>
        <v>13500</v>
      </c>
    </row>
    <row r="21" spans="1:8" x14ac:dyDescent="0.25">
      <c r="B21" s="7" t="s">
        <v>329</v>
      </c>
      <c r="C21" s="3">
        <v>12000</v>
      </c>
      <c r="D21" s="3">
        <v>12000</v>
      </c>
      <c r="E21" s="3">
        <v>12000</v>
      </c>
      <c r="F21" s="3">
        <v>12000</v>
      </c>
      <c r="G21" s="3">
        <v>12000</v>
      </c>
      <c r="H21" s="3">
        <f t="shared" si="6"/>
        <v>12000</v>
      </c>
    </row>
    <row r="22" spans="1:8" x14ac:dyDescent="0.25">
      <c r="B22" s="7" t="s">
        <v>330</v>
      </c>
      <c r="C22" s="3">
        <v>9000</v>
      </c>
      <c r="D22" s="3">
        <v>9000</v>
      </c>
      <c r="E22" s="3">
        <v>9000</v>
      </c>
      <c r="F22" s="3">
        <v>9000</v>
      </c>
      <c r="G22" s="3">
        <v>9000</v>
      </c>
      <c r="H22" s="3">
        <f t="shared" si="6"/>
        <v>9000</v>
      </c>
    </row>
    <row r="23" spans="1:8" x14ac:dyDescent="0.25">
      <c r="B23" s="7" t="s">
        <v>331</v>
      </c>
      <c r="C23" s="48">
        <v>15000</v>
      </c>
      <c r="D23" s="48">
        <v>15000</v>
      </c>
      <c r="E23" s="48">
        <v>15000</v>
      </c>
      <c r="F23" s="48">
        <v>15000</v>
      </c>
      <c r="G23" s="48">
        <v>15000</v>
      </c>
      <c r="H23" s="48">
        <f t="shared" si="6"/>
        <v>15000</v>
      </c>
    </row>
    <row r="24" spans="1:8" s="7" customFormat="1" x14ac:dyDescent="0.25">
      <c r="C24" s="22">
        <f>AVERAGE(C19:C23)</f>
        <v>15300</v>
      </c>
      <c r="D24" s="22">
        <f t="shared" ref="D24:F24" si="7">AVERAGE(D19:D23)</f>
        <v>15300</v>
      </c>
      <c r="E24" s="22">
        <f t="shared" si="7"/>
        <v>15300</v>
      </c>
      <c r="F24" s="22">
        <f t="shared" si="7"/>
        <v>15300</v>
      </c>
      <c r="G24" s="22">
        <f t="shared" ref="G24:H24" si="8">AVERAGE(G19:G23)</f>
        <v>15300</v>
      </c>
      <c r="H24" s="22">
        <f t="shared" si="8"/>
        <v>15300</v>
      </c>
    </row>
    <row r="25" spans="1:8" x14ac:dyDescent="0.25">
      <c r="C25" s="3"/>
      <c r="D25" s="3"/>
      <c r="E25" s="3"/>
      <c r="F25" s="3"/>
      <c r="G25" s="3"/>
    </row>
    <row r="26" spans="1:8" x14ac:dyDescent="0.25">
      <c r="A26" s="7" t="s">
        <v>334</v>
      </c>
      <c r="B26" s="7" t="s">
        <v>327</v>
      </c>
      <c r="C26" s="3">
        <f>C19*Given!$B$27</f>
        <v>2160</v>
      </c>
      <c r="D26" s="3">
        <f>D19*Given!$B$27</f>
        <v>2160</v>
      </c>
      <c r="E26" s="3">
        <f>E19*Given!$B$27</f>
        <v>2160</v>
      </c>
      <c r="F26" s="3">
        <f>F19*Given!$B$27</f>
        <v>2160</v>
      </c>
      <c r="G26" s="3">
        <f>G19*Given!$B$27</f>
        <v>2160</v>
      </c>
      <c r="H26" s="3">
        <f>AVERAGE(D26:G26)</f>
        <v>2160</v>
      </c>
    </row>
    <row r="27" spans="1:8" x14ac:dyDescent="0.25">
      <c r="B27" s="7" t="s">
        <v>328</v>
      </c>
      <c r="C27" s="3">
        <f>C20*Given!$B$27</f>
        <v>1080</v>
      </c>
      <c r="D27" s="3">
        <f>D20*Given!$B$27</f>
        <v>1080</v>
      </c>
      <c r="E27" s="3">
        <f>E20*Given!$B$27</f>
        <v>1080</v>
      </c>
      <c r="F27" s="3">
        <f>F20*Given!$B$27</f>
        <v>1080</v>
      </c>
      <c r="G27" s="3">
        <f>G20*Given!$B$27</f>
        <v>1080</v>
      </c>
      <c r="H27" s="3">
        <f t="shared" ref="H27:H30" si="9">AVERAGE(D27:G27)</f>
        <v>1080</v>
      </c>
    </row>
    <row r="28" spans="1:8" x14ac:dyDescent="0.25">
      <c r="B28" s="7" t="s">
        <v>329</v>
      </c>
      <c r="C28" s="3">
        <f>C21*Given!$B$27</f>
        <v>960</v>
      </c>
      <c r="D28" s="3">
        <f>D21*Given!$B$27</f>
        <v>960</v>
      </c>
      <c r="E28" s="3">
        <f>E21*Given!$B$27</f>
        <v>960</v>
      </c>
      <c r="F28" s="3">
        <f>F21*Given!$B$27</f>
        <v>960</v>
      </c>
      <c r="G28" s="3">
        <f>G21*Given!$B$27</f>
        <v>960</v>
      </c>
      <c r="H28" s="3">
        <f t="shared" si="9"/>
        <v>960</v>
      </c>
    </row>
    <row r="29" spans="1:8" x14ac:dyDescent="0.25">
      <c r="B29" s="7" t="s">
        <v>330</v>
      </c>
      <c r="C29" s="3">
        <f>C22*Given!$B$27</f>
        <v>720</v>
      </c>
      <c r="D29" s="3">
        <f>D22*Given!$B$27</f>
        <v>720</v>
      </c>
      <c r="E29" s="3">
        <f>E22*Given!$B$27</f>
        <v>720</v>
      </c>
      <c r="F29" s="3">
        <f>F22*Given!$B$27</f>
        <v>720</v>
      </c>
      <c r="G29" s="3">
        <f>G22*Given!$B$27</f>
        <v>720</v>
      </c>
      <c r="H29" s="3">
        <f t="shared" si="9"/>
        <v>720</v>
      </c>
    </row>
    <row r="30" spans="1:8" x14ac:dyDescent="0.25">
      <c r="B30" s="7" t="s">
        <v>331</v>
      </c>
      <c r="C30" s="48">
        <f>C23*Given!$B$27</f>
        <v>1200</v>
      </c>
      <c r="D30" s="48">
        <f>D23*Given!$B$27</f>
        <v>1200</v>
      </c>
      <c r="E30" s="48">
        <f>E23*Given!$B$27</f>
        <v>1200</v>
      </c>
      <c r="F30" s="48">
        <f>F23*Given!$B$27</f>
        <v>1200</v>
      </c>
      <c r="G30" s="48">
        <f>G23*Given!$B$27</f>
        <v>1200</v>
      </c>
      <c r="H30" s="48">
        <f t="shared" si="9"/>
        <v>1200</v>
      </c>
    </row>
    <row r="31" spans="1:8" s="7" customFormat="1" x14ac:dyDescent="0.25">
      <c r="C31" s="22">
        <f>AVERAGE(C26:C30)</f>
        <v>1224</v>
      </c>
      <c r="D31" s="22">
        <f t="shared" ref="D31:F31" si="10">AVERAGE(D26:D30)</f>
        <v>1224</v>
      </c>
      <c r="E31" s="22">
        <f t="shared" si="10"/>
        <v>1224</v>
      </c>
      <c r="F31" s="22">
        <f t="shared" si="10"/>
        <v>1224</v>
      </c>
      <c r="G31" s="22">
        <f t="shared" ref="G31:H31" si="11">AVERAGE(G26:G30)</f>
        <v>1224</v>
      </c>
      <c r="H31" s="22">
        <f t="shared" si="11"/>
        <v>1224</v>
      </c>
    </row>
    <row r="32" spans="1:8" x14ac:dyDescent="0.25">
      <c r="C32" s="3"/>
      <c r="D32" s="3"/>
      <c r="E32" s="3"/>
      <c r="F32" s="3"/>
      <c r="G32" s="3"/>
    </row>
    <row r="33" spans="1:8" x14ac:dyDescent="0.25">
      <c r="A33" s="7" t="s">
        <v>335</v>
      </c>
      <c r="B33" s="7" t="s">
        <v>327</v>
      </c>
      <c r="C33" s="3">
        <f>C19+C26</f>
        <v>29160</v>
      </c>
      <c r="D33" s="3">
        <f t="shared" ref="D33:F33" si="12">D19+D26</f>
        <v>29160</v>
      </c>
      <c r="E33" s="3">
        <f t="shared" si="12"/>
        <v>29160</v>
      </c>
      <c r="F33" s="3">
        <f t="shared" si="12"/>
        <v>29160</v>
      </c>
      <c r="G33" s="3">
        <f t="shared" ref="G33" si="13">G19+G26</f>
        <v>29160</v>
      </c>
      <c r="H33" s="3">
        <f>AVERAGE(D33:G33)</f>
        <v>29160</v>
      </c>
    </row>
    <row r="34" spans="1:8" x14ac:dyDescent="0.25">
      <c r="B34" s="7" t="s">
        <v>328</v>
      </c>
      <c r="C34" s="3">
        <f t="shared" ref="C34:F37" si="14">C20+C27</f>
        <v>14580</v>
      </c>
      <c r="D34" s="3">
        <f t="shared" si="14"/>
        <v>14580</v>
      </c>
      <c r="E34" s="3">
        <f t="shared" si="14"/>
        <v>14580</v>
      </c>
      <c r="F34" s="3">
        <f t="shared" si="14"/>
        <v>14580</v>
      </c>
      <c r="G34" s="3">
        <f t="shared" ref="G34" si="15">G20+G27</f>
        <v>14580</v>
      </c>
      <c r="H34" s="3">
        <f t="shared" ref="H34:H37" si="16">AVERAGE(D34:G34)</f>
        <v>14580</v>
      </c>
    </row>
    <row r="35" spans="1:8" x14ac:dyDescent="0.25">
      <c r="B35" s="7" t="s">
        <v>329</v>
      </c>
      <c r="C35" s="3">
        <f t="shared" si="14"/>
        <v>12960</v>
      </c>
      <c r="D35" s="3">
        <f t="shared" si="14"/>
        <v>12960</v>
      </c>
      <c r="E35" s="3">
        <f t="shared" si="14"/>
        <v>12960</v>
      </c>
      <c r="F35" s="3">
        <f t="shared" si="14"/>
        <v>12960</v>
      </c>
      <c r="G35" s="3">
        <f t="shared" ref="G35" si="17">G21+G28</f>
        <v>12960</v>
      </c>
      <c r="H35" s="3">
        <f t="shared" si="16"/>
        <v>12960</v>
      </c>
    </row>
    <row r="36" spans="1:8" x14ac:dyDescent="0.25">
      <c r="B36" s="7" t="s">
        <v>330</v>
      </c>
      <c r="C36" s="3">
        <f t="shared" si="14"/>
        <v>9720</v>
      </c>
      <c r="D36" s="3">
        <f t="shared" si="14"/>
        <v>9720</v>
      </c>
      <c r="E36" s="3">
        <f t="shared" si="14"/>
        <v>9720</v>
      </c>
      <c r="F36" s="3">
        <f t="shared" si="14"/>
        <v>9720</v>
      </c>
      <c r="G36" s="3">
        <f t="shared" ref="G36" si="18">G22+G29</f>
        <v>9720</v>
      </c>
      <c r="H36" s="3">
        <f t="shared" si="16"/>
        <v>9720</v>
      </c>
    </row>
    <row r="37" spans="1:8" x14ac:dyDescent="0.25">
      <c r="B37" s="7" t="s">
        <v>331</v>
      </c>
      <c r="C37" s="48">
        <f t="shared" si="14"/>
        <v>16200</v>
      </c>
      <c r="D37" s="48">
        <f t="shared" si="14"/>
        <v>16200</v>
      </c>
      <c r="E37" s="48">
        <f t="shared" si="14"/>
        <v>16200</v>
      </c>
      <c r="F37" s="48">
        <f t="shared" si="14"/>
        <v>16200</v>
      </c>
      <c r="G37" s="48">
        <f t="shared" ref="G37" si="19">G23+G30</f>
        <v>16200</v>
      </c>
      <c r="H37" s="48">
        <f t="shared" si="16"/>
        <v>16200</v>
      </c>
    </row>
    <row r="38" spans="1:8" s="7" customFormat="1" x14ac:dyDescent="0.25">
      <c r="C38" s="22">
        <f>AVERAGE(C33:C37)</f>
        <v>16524</v>
      </c>
      <c r="D38" s="22">
        <f t="shared" ref="D38:F38" si="20">AVERAGE(D33:D37)</f>
        <v>16524</v>
      </c>
      <c r="E38" s="22">
        <f t="shared" si="20"/>
        <v>16524</v>
      </c>
      <c r="F38" s="22">
        <f t="shared" si="20"/>
        <v>16524</v>
      </c>
      <c r="G38" s="22">
        <f t="shared" ref="G38:H38" si="21">AVERAGE(G33:G37)</f>
        <v>16524</v>
      </c>
      <c r="H38" s="22">
        <f t="shared" si="21"/>
        <v>16524</v>
      </c>
    </row>
    <row r="39" spans="1:8" x14ac:dyDescent="0.25">
      <c r="C39" s="3"/>
      <c r="D39" s="3"/>
      <c r="E39" s="3"/>
      <c r="F39" s="3"/>
      <c r="G39" s="3"/>
    </row>
    <row r="40" spans="1:8" x14ac:dyDescent="0.25">
      <c r="A40" s="7" t="s">
        <v>336</v>
      </c>
      <c r="B40" s="7" t="s">
        <v>327</v>
      </c>
      <c r="C40" s="3">
        <f>C33*Given!$B$28</f>
        <v>6415.2</v>
      </c>
      <c r="D40" s="3">
        <f>D33*Given!$B$28</f>
        <v>6415.2</v>
      </c>
      <c r="E40" s="3">
        <f>E33*Given!$B$28</f>
        <v>6415.2</v>
      </c>
      <c r="F40" s="3">
        <f>F33*Given!$B$28</f>
        <v>6415.2</v>
      </c>
      <c r="G40" s="3">
        <f>G33*Given!$B$28</f>
        <v>6415.2</v>
      </c>
      <c r="H40" s="3">
        <f>AVERAGE(D40:G40)</f>
        <v>6415.2</v>
      </c>
    </row>
    <row r="41" spans="1:8" x14ac:dyDescent="0.25">
      <c r="B41" s="7" t="s">
        <v>328</v>
      </c>
      <c r="C41" s="3">
        <f>C34*Given!$B$28</f>
        <v>3207.6</v>
      </c>
      <c r="D41" s="3">
        <f>D34*Given!$B$28</f>
        <v>3207.6</v>
      </c>
      <c r="E41" s="3">
        <f>E34*Given!$B$28</f>
        <v>3207.6</v>
      </c>
      <c r="F41" s="3">
        <f>F34*Given!$B$28</f>
        <v>3207.6</v>
      </c>
      <c r="G41" s="3">
        <f>G34*Given!$B$28</f>
        <v>3207.6</v>
      </c>
      <c r="H41" s="3">
        <f t="shared" ref="H41:H44" si="22">AVERAGE(D41:G41)</f>
        <v>3207.6</v>
      </c>
    </row>
    <row r="42" spans="1:8" x14ac:dyDescent="0.25">
      <c r="B42" s="7" t="s">
        <v>329</v>
      </c>
      <c r="C42" s="3">
        <f>C35*Given!$B$28</f>
        <v>2851.2</v>
      </c>
      <c r="D42" s="3">
        <f>D35*Given!$B$28</f>
        <v>2851.2</v>
      </c>
      <c r="E42" s="3">
        <f>E35*Given!$B$28</f>
        <v>2851.2</v>
      </c>
      <c r="F42" s="3">
        <f>F35*Given!$B$28</f>
        <v>2851.2</v>
      </c>
      <c r="G42" s="3">
        <f>G35*Given!$B$28</f>
        <v>2851.2</v>
      </c>
      <c r="H42" s="3">
        <f t="shared" si="22"/>
        <v>2851.2</v>
      </c>
    </row>
    <row r="43" spans="1:8" x14ac:dyDescent="0.25">
      <c r="B43" s="7" t="s">
        <v>330</v>
      </c>
      <c r="C43" s="3">
        <f>C36*Given!$B$28</f>
        <v>2138.4</v>
      </c>
      <c r="D43" s="3">
        <f>D36*Given!$B$28</f>
        <v>2138.4</v>
      </c>
      <c r="E43" s="3">
        <f>E36*Given!$B$28</f>
        <v>2138.4</v>
      </c>
      <c r="F43" s="3">
        <f>F36*Given!$B$28</f>
        <v>2138.4</v>
      </c>
      <c r="G43" s="3">
        <f>G36*Given!$B$28</f>
        <v>2138.4</v>
      </c>
      <c r="H43" s="3">
        <f t="shared" si="22"/>
        <v>2138.4</v>
      </c>
    </row>
    <row r="44" spans="1:8" x14ac:dyDescent="0.25">
      <c r="B44" s="7" t="s">
        <v>331</v>
      </c>
      <c r="C44" s="48">
        <f>C37*Given!$B$28</f>
        <v>3564</v>
      </c>
      <c r="D44" s="48">
        <f>D37*Given!$B$28</f>
        <v>3564</v>
      </c>
      <c r="E44" s="48">
        <f>E37*Given!$B$28</f>
        <v>3564</v>
      </c>
      <c r="F44" s="48">
        <f>F37*Given!$B$28</f>
        <v>3564</v>
      </c>
      <c r="G44" s="48">
        <f>G37*Given!$B$28</f>
        <v>3564</v>
      </c>
      <c r="H44" s="48">
        <f t="shared" si="22"/>
        <v>3564</v>
      </c>
    </row>
    <row r="45" spans="1:8" x14ac:dyDescent="0.25">
      <c r="C45" s="22">
        <f>AVERAGE(C40:C44)</f>
        <v>3635.28</v>
      </c>
      <c r="D45" s="22">
        <f t="shared" ref="D45:F45" si="23">AVERAGE(D40:D44)</f>
        <v>3635.28</v>
      </c>
      <c r="E45" s="22">
        <f t="shared" si="23"/>
        <v>3635.28</v>
      </c>
      <c r="F45" s="22">
        <f t="shared" si="23"/>
        <v>3635.28</v>
      </c>
      <c r="G45" s="22">
        <f t="shared" ref="G45:H45" si="24">AVERAGE(G40:G44)</f>
        <v>3635.28</v>
      </c>
      <c r="H45" s="22">
        <f t="shared" si="24"/>
        <v>3635.28</v>
      </c>
    </row>
    <row r="46" spans="1:8" x14ac:dyDescent="0.25">
      <c r="C46" s="3"/>
      <c r="D46" s="3"/>
      <c r="E46" s="3"/>
      <c r="F46" s="3"/>
      <c r="G46" s="3"/>
    </row>
    <row r="47" spans="1:8" x14ac:dyDescent="0.25">
      <c r="A47" s="7" t="s">
        <v>337</v>
      </c>
      <c r="B47" s="7" t="s">
        <v>327</v>
      </c>
      <c r="C47" s="3">
        <f>C33+C40</f>
        <v>35575.199999999997</v>
      </c>
      <c r="D47" s="3">
        <f t="shared" ref="D47:F47" si="25">D33+D40</f>
        <v>35575.199999999997</v>
      </c>
      <c r="E47" s="3">
        <f t="shared" si="25"/>
        <v>35575.199999999997</v>
      </c>
      <c r="F47" s="3">
        <f t="shared" si="25"/>
        <v>35575.199999999997</v>
      </c>
      <c r="G47" s="3">
        <f t="shared" ref="G47" si="26">G33+G40</f>
        <v>35575.199999999997</v>
      </c>
      <c r="H47" s="3">
        <f>AVERAGE(D47:G47)</f>
        <v>35575.199999999997</v>
      </c>
    </row>
    <row r="48" spans="1:8" x14ac:dyDescent="0.25">
      <c r="B48" s="7" t="s">
        <v>328</v>
      </c>
      <c r="C48" s="3">
        <f t="shared" ref="C48:F51" si="27">C34+C41</f>
        <v>17787.599999999999</v>
      </c>
      <c r="D48" s="3">
        <f t="shared" si="27"/>
        <v>17787.599999999999</v>
      </c>
      <c r="E48" s="3">
        <f t="shared" si="27"/>
        <v>17787.599999999999</v>
      </c>
      <c r="F48" s="3">
        <f t="shared" si="27"/>
        <v>17787.599999999999</v>
      </c>
      <c r="G48" s="3">
        <f t="shared" ref="G48" si="28">G34+G41</f>
        <v>17787.599999999999</v>
      </c>
      <c r="H48" s="3">
        <f t="shared" ref="H48:H51" si="29">AVERAGE(D48:G48)</f>
        <v>17787.599999999999</v>
      </c>
    </row>
    <row r="49" spans="1:8" x14ac:dyDescent="0.25">
      <c r="B49" s="7" t="s">
        <v>329</v>
      </c>
      <c r="C49" s="3">
        <f t="shared" si="27"/>
        <v>15811.2</v>
      </c>
      <c r="D49" s="3">
        <f t="shared" si="27"/>
        <v>15811.2</v>
      </c>
      <c r="E49" s="3">
        <f t="shared" si="27"/>
        <v>15811.2</v>
      </c>
      <c r="F49" s="3">
        <f t="shared" si="27"/>
        <v>15811.2</v>
      </c>
      <c r="G49" s="3">
        <f t="shared" ref="G49" si="30">G35+G42</f>
        <v>15811.2</v>
      </c>
      <c r="H49" s="3">
        <f t="shared" si="29"/>
        <v>15811.2</v>
      </c>
    </row>
    <row r="50" spans="1:8" x14ac:dyDescent="0.25">
      <c r="B50" s="7" t="s">
        <v>330</v>
      </c>
      <c r="C50" s="3">
        <f t="shared" si="27"/>
        <v>11858.4</v>
      </c>
      <c r="D50" s="3">
        <f t="shared" si="27"/>
        <v>11858.4</v>
      </c>
      <c r="E50" s="3">
        <f t="shared" si="27"/>
        <v>11858.4</v>
      </c>
      <c r="F50" s="3">
        <f t="shared" si="27"/>
        <v>11858.4</v>
      </c>
      <c r="G50" s="3">
        <f t="shared" ref="G50" si="31">G36+G43</f>
        <v>11858.4</v>
      </c>
      <c r="H50" s="3">
        <f t="shared" si="29"/>
        <v>11858.4</v>
      </c>
    </row>
    <row r="51" spans="1:8" x14ac:dyDescent="0.25">
      <c r="B51" s="7" t="s">
        <v>331</v>
      </c>
      <c r="C51" s="48">
        <f t="shared" si="27"/>
        <v>19764</v>
      </c>
      <c r="D51" s="48">
        <f t="shared" si="27"/>
        <v>19764</v>
      </c>
      <c r="E51" s="48">
        <f t="shared" si="27"/>
        <v>19764</v>
      </c>
      <c r="F51" s="48">
        <f t="shared" si="27"/>
        <v>19764</v>
      </c>
      <c r="G51" s="48">
        <f t="shared" ref="G51" si="32">G37+G44</f>
        <v>19764</v>
      </c>
      <c r="H51" s="48">
        <f t="shared" si="29"/>
        <v>19764</v>
      </c>
    </row>
    <row r="52" spans="1:8" x14ac:dyDescent="0.25">
      <c r="C52" s="22">
        <f>AVERAGE(C47:C51)</f>
        <v>20159.28</v>
      </c>
      <c r="D52" s="22">
        <f t="shared" ref="D52:F52" si="33">AVERAGE(D47:D51)</f>
        <v>20159.28</v>
      </c>
      <c r="E52" s="22">
        <f t="shared" si="33"/>
        <v>20159.28</v>
      </c>
      <c r="F52" s="22">
        <f t="shared" si="33"/>
        <v>20159.28</v>
      </c>
      <c r="G52" s="22">
        <f t="shared" ref="G52:H52" si="34">AVERAGE(G47:G51)</f>
        <v>20159.28</v>
      </c>
      <c r="H52" s="22">
        <f t="shared" si="34"/>
        <v>20159.28</v>
      </c>
    </row>
    <row r="53" spans="1:8" x14ac:dyDescent="0.25">
      <c r="C53" s="3"/>
      <c r="D53" s="3"/>
      <c r="E53" s="3"/>
      <c r="F53" s="3"/>
      <c r="G53" s="3"/>
    </row>
    <row r="54" spans="1:8" x14ac:dyDescent="0.25">
      <c r="A54" s="7" t="s">
        <v>338</v>
      </c>
      <c r="B54" s="7" t="s">
        <v>327</v>
      </c>
      <c r="C54" s="3">
        <f>C19*C5</f>
        <v>43200</v>
      </c>
      <c r="D54" s="3">
        <f t="shared" ref="D54:F54" si="35">D19*D5</f>
        <v>43200</v>
      </c>
      <c r="E54" s="3">
        <f t="shared" si="35"/>
        <v>43200</v>
      </c>
      <c r="F54" s="3">
        <f t="shared" si="35"/>
        <v>43200</v>
      </c>
      <c r="G54" s="3">
        <f t="shared" ref="G54" si="36">G19*G5</f>
        <v>43200</v>
      </c>
      <c r="H54" s="3">
        <f>SUM(D54:G54)</f>
        <v>172800</v>
      </c>
    </row>
    <row r="55" spans="1:8" x14ac:dyDescent="0.25">
      <c r="B55" s="7" t="s">
        <v>328</v>
      </c>
      <c r="C55" s="3">
        <f t="shared" ref="C55:F58" si="37">C20*C6</f>
        <v>24300</v>
      </c>
      <c r="D55" s="3">
        <f t="shared" si="37"/>
        <v>24300</v>
      </c>
      <c r="E55" s="3">
        <f t="shared" si="37"/>
        <v>24300</v>
      </c>
      <c r="F55" s="3">
        <f t="shared" si="37"/>
        <v>24300</v>
      </c>
      <c r="G55" s="3">
        <f t="shared" ref="G55" si="38">G20*G6</f>
        <v>24300</v>
      </c>
      <c r="H55" s="3">
        <f t="shared" ref="H55:H59" si="39">SUM(D55:G55)</f>
        <v>97200</v>
      </c>
    </row>
    <row r="56" spans="1:8" x14ac:dyDescent="0.25">
      <c r="B56" s="7" t="s">
        <v>329</v>
      </c>
      <c r="C56" s="3">
        <f t="shared" si="37"/>
        <v>48000</v>
      </c>
      <c r="D56" s="3">
        <f t="shared" si="37"/>
        <v>48000</v>
      </c>
      <c r="E56" s="3">
        <f t="shared" si="37"/>
        <v>48000</v>
      </c>
      <c r="F56" s="3">
        <f t="shared" si="37"/>
        <v>48000</v>
      </c>
      <c r="G56" s="3">
        <f t="shared" ref="G56" si="40">G21*G7</f>
        <v>48000</v>
      </c>
      <c r="H56" s="3">
        <f t="shared" si="39"/>
        <v>192000</v>
      </c>
    </row>
    <row r="57" spans="1:8" x14ac:dyDescent="0.25">
      <c r="B57" s="7" t="s">
        <v>330</v>
      </c>
      <c r="C57" s="3">
        <f t="shared" si="37"/>
        <v>1215000</v>
      </c>
      <c r="D57" s="3">
        <f t="shared" si="37"/>
        <v>1215000</v>
      </c>
      <c r="E57" s="3">
        <f t="shared" si="37"/>
        <v>1215000</v>
      </c>
      <c r="F57" s="3">
        <f t="shared" si="37"/>
        <v>1215000</v>
      </c>
      <c r="G57" s="3">
        <f t="shared" ref="G57" si="41">G22*G8</f>
        <v>1215000</v>
      </c>
      <c r="H57" s="3">
        <f t="shared" si="39"/>
        <v>4860000</v>
      </c>
    </row>
    <row r="58" spans="1:8" x14ac:dyDescent="0.25">
      <c r="B58" s="7" t="s">
        <v>331</v>
      </c>
      <c r="C58" s="48">
        <f t="shared" si="37"/>
        <v>105000</v>
      </c>
      <c r="D58" s="48">
        <f t="shared" si="37"/>
        <v>105000</v>
      </c>
      <c r="E58" s="48">
        <f t="shared" si="37"/>
        <v>105000</v>
      </c>
      <c r="F58" s="48">
        <f t="shared" si="37"/>
        <v>105000</v>
      </c>
      <c r="G58" s="48">
        <f t="shared" ref="G58" si="42">G23*G9</f>
        <v>105000</v>
      </c>
      <c r="H58" s="48">
        <f t="shared" si="39"/>
        <v>420000</v>
      </c>
    </row>
    <row r="59" spans="1:8" s="7" customFormat="1" x14ac:dyDescent="0.25">
      <c r="C59" s="22">
        <f>SUM(C54:C58)</f>
        <v>1435500</v>
      </c>
      <c r="D59" s="22">
        <f t="shared" ref="D59:F59" si="43">SUM(D54:D58)</f>
        <v>1435500</v>
      </c>
      <c r="E59" s="22">
        <f t="shared" si="43"/>
        <v>1435500</v>
      </c>
      <c r="F59" s="22">
        <f t="shared" si="43"/>
        <v>1435500</v>
      </c>
      <c r="G59" s="22">
        <f t="shared" ref="G59" si="44">SUM(G54:G58)</f>
        <v>1435500</v>
      </c>
      <c r="H59" s="22">
        <f t="shared" si="39"/>
        <v>5742000</v>
      </c>
    </row>
    <row r="60" spans="1:8" x14ac:dyDescent="0.25">
      <c r="C60" s="3"/>
      <c r="D60" s="3"/>
      <c r="E60" s="3"/>
      <c r="F60" s="3"/>
      <c r="G60" s="3"/>
    </row>
    <row r="61" spans="1:8" x14ac:dyDescent="0.25">
      <c r="A61" s="7" t="s">
        <v>339</v>
      </c>
      <c r="B61" s="7" t="s">
        <v>327</v>
      </c>
      <c r="C61" s="3">
        <f>C26*C5</f>
        <v>3456</v>
      </c>
      <c r="D61" s="3">
        <f t="shared" ref="D61:F61" si="45">D26*D5</f>
        <v>3456</v>
      </c>
      <c r="E61" s="3">
        <f t="shared" si="45"/>
        <v>3456</v>
      </c>
      <c r="F61" s="3">
        <f t="shared" si="45"/>
        <v>3456</v>
      </c>
      <c r="G61" s="3">
        <f t="shared" ref="G61" si="46">G26*G5</f>
        <v>3456</v>
      </c>
      <c r="H61" s="3">
        <f>SUM(D61:G61)</f>
        <v>13824</v>
      </c>
    </row>
    <row r="62" spans="1:8" x14ac:dyDescent="0.25">
      <c r="B62" s="7" t="s">
        <v>328</v>
      </c>
      <c r="C62" s="3">
        <f t="shared" ref="C62:F65" si="47">C27*C6</f>
        <v>1944</v>
      </c>
      <c r="D62" s="3">
        <f t="shared" si="47"/>
        <v>1944</v>
      </c>
      <c r="E62" s="3">
        <f t="shared" si="47"/>
        <v>1944</v>
      </c>
      <c r="F62" s="3">
        <f t="shared" si="47"/>
        <v>1944</v>
      </c>
      <c r="G62" s="3">
        <f t="shared" ref="G62" si="48">G27*G6</f>
        <v>1944</v>
      </c>
      <c r="H62" s="3">
        <f t="shared" ref="H62:H66" si="49">SUM(D62:G62)</f>
        <v>7776</v>
      </c>
    </row>
    <row r="63" spans="1:8" x14ac:dyDescent="0.25">
      <c r="B63" s="7" t="s">
        <v>329</v>
      </c>
      <c r="C63" s="3">
        <f t="shared" si="47"/>
        <v>3840</v>
      </c>
      <c r="D63" s="3">
        <f t="shared" si="47"/>
        <v>3840</v>
      </c>
      <c r="E63" s="3">
        <f t="shared" si="47"/>
        <v>3840</v>
      </c>
      <c r="F63" s="3">
        <f t="shared" si="47"/>
        <v>3840</v>
      </c>
      <c r="G63" s="3">
        <f t="shared" ref="G63" si="50">G28*G7</f>
        <v>3840</v>
      </c>
      <c r="H63" s="3">
        <f t="shared" si="49"/>
        <v>15360</v>
      </c>
    </row>
    <row r="64" spans="1:8" x14ac:dyDescent="0.25">
      <c r="B64" s="7" t="s">
        <v>330</v>
      </c>
      <c r="C64" s="3">
        <f t="shared" si="47"/>
        <v>97200</v>
      </c>
      <c r="D64" s="3">
        <f t="shared" si="47"/>
        <v>97200</v>
      </c>
      <c r="E64" s="3">
        <f t="shared" si="47"/>
        <v>97200</v>
      </c>
      <c r="F64" s="3">
        <f t="shared" si="47"/>
        <v>97200</v>
      </c>
      <c r="G64" s="3">
        <f t="shared" ref="G64" si="51">G29*G8</f>
        <v>97200</v>
      </c>
      <c r="H64" s="3">
        <f t="shared" si="49"/>
        <v>388800</v>
      </c>
    </row>
    <row r="65" spans="1:8" x14ac:dyDescent="0.25">
      <c r="B65" s="7" t="s">
        <v>331</v>
      </c>
      <c r="C65" s="48">
        <f t="shared" si="47"/>
        <v>8400</v>
      </c>
      <c r="D65" s="48">
        <f t="shared" si="47"/>
        <v>8400</v>
      </c>
      <c r="E65" s="48">
        <f t="shared" si="47"/>
        <v>8400</v>
      </c>
      <c r="F65" s="48">
        <f t="shared" si="47"/>
        <v>8400</v>
      </c>
      <c r="G65" s="48">
        <f t="shared" ref="G65" si="52">G30*G9</f>
        <v>8400</v>
      </c>
      <c r="H65" s="48">
        <f t="shared" si="49"/>
        <v>33600</v>
      </c>
    </row>
    <row r="66" spans="1:8" s="7" customFormat="1" x14ac:dyDescent="0.25">
      <c r="C66" s="22">
        <f>SUM(C61:C65)</f>
        <v>114840</v>
      </c>
      <c r="D66" s="22">
        <f t="shared" ref="D66:F66" si="53">SUM(D61:D65)</f>
        <v>114840</v>
      </c>
      <c r="E66" s="22">
        <f t="shared" si="53"/>
        <v>114840</v>
      </c>
      <c r="F66" s="22">
        <f t="shared" si="53"/>
        <v>114840</v>
      </c>
      <c r="G66" s="22">
        <f t="shared" ref="G66" si="54">SUM(G61:G65)</f>
        <v>114840</v>
      </c>
      <c r="H66" s="22">
        <f t="shared" si="49"/>
        <v>459360</v>
      </c>
    </row>
    <row r="67" spans="1:8" x14ac:dyDescent="0.25">
      <c r="C67" s="3"/>
      <c r="D67" s="3"/>
      <c r="E67" s="3"/>
      <c r="F67" s="3"/>
      <c r="G67" s="3"/>
    </row>
    <row r="68" spans="1:8" x14ac:dyDescent="0.25">
      <c r="A68" s="7" t="s">
        <v>340</v>
      </c>
      <c r="B68" s="7" t="s">
        <v>327</v>
      </c>
      <c r="C68" s="3">
        <f>C40*C5</f>
        <v>10264.32</v>
      </c>
      <c r="D68" s="3">
        <f t="shared" ref="D68:F68" si="55">D40*D5</f>
        <v>10264.32</v>
      </c>
      <c r="E68" s="3">
        <f t="shared" si="55"/>
        <v>10264.32</v>
      </c>
      <c r="F68" s="3">
        <f t="shared" si="55"/>
        <v>10264.32</v>
      </c>
      <c r="G68" s="3">
        <f t="shared" ref="G68" si="56">G40*G5</f>
        <v>10264.32</v>
      </c>
      <c r="H68" s="3">
        <f>SUM(D68:G68)</f>
        <v>41057.279999999999</v>
      </c>
    </row>
    <row r="69" spans="1:8" x14ac:dyDescent="0.25">
      <c r="B69" s="7" t="s">
        <v>328</v>
      </c>
      <c r="C69" s="3">
        <f t="shared" ref="C69:F72" si="57">C41*C6</f>
        <v>5773.68</v>
      </c>
      <c r="D69" s="3">
        <f t="shared" si="57"/>
        <v>5773.68</v>
      </c>
      <c r="E69" s="3">
        <f t="shared" si="57"/>
        <v>5773.68</v>
      </c>
      <c r="F69" s="3">
        <f t="shared" si="57"/>
        <v>5773.68</v>
      </c>
      <c r="G69" s="3">
        <f t="shared" ref="G69" si="58">G41*G6</f>
        <v>5773.68</v>
      </c>
      <c r="H69" s="3">
        <f t="shared" ref="H69:H73" si="59">SUM(D69:G69)</f>
        <v>23094.720000000001</v>
      </c>
    </row>
    <row r="70" spans="1:8" x14ac:dyDescent="0.25">
      <c r="B70" s="7" t="s">
        <v>329</v>
      </c>
      <c r="C70" s="3">
        <f t="shared" si="57"/>
        <v>11404.8</v>
      </c>
      <c r="D70" s="3">
        <f t="shared" si="57"/>
        <v>11404.8</v>
      </c>
      <c r="E70" s="3">
        <f t="shared" si="57"/>
        <v>11404.8</v>
      </c>
      <c r="F70" s="3">
        <f t="shared" si="57"/>
        <v>11404.8</v>
      </c>
      <c r="G70" s="3">
        <f t="shared" ref="G70" si="60">G42*G7</f>
        <v>11404.8</v>
      </c>
      <c r="H70" s="3">
        <f t="shared" si="59"/>
        <v>45619.199999999997</v>
      </c>
    </row>
    <row r="71" spans="1:8" x14ac:dyDescent="0.25">
      <c r="B71" s="7" t="s">
        <v>330</v>
      </c>
      <c r="C71" s="3">
        <f t="shared" si="57"/>
        <v>288684</v>
      </c>
      <c r="D71" s="3">
        <f t="shared" si="57"/>
        <v>288684</v>
      </c>
      <c r="E71" s="3">
        <f t="shared" si="57"/>
        <v>288684</v>
      </c>
      <c r="F71" s="3">
        <f t="shared" si="57"/>
        <v>288684</v>
      </c>
      <c r="G71" s="3">
        <f t="shared" ref="G71" si="61">G43*G8</f>
        <v>288684</v>
      </c>
      <c r="H71" s="3">
        <f t="shared" si="59"/>
        <v>1154736</v>
      </c>
    </row>
    <row r="72" spans="1:8" x14ac:dyDescent="0.25">
      <c r="B72" s="7" t="s">
        <v>331</v>
      </c>
      <c r="C72" s="48">
        <f t="shared" si="57"/>
        <v>24948</v>
      </c>
      <c r="D72" s="48">
        <f t="shared" si="57"/>
        <v>24948</v>
      </c>
      <c r="E72" s="48">
        <f t="shared" si="57"/>
        <v>24948</v>
      </c>
      <c r="F72" s="48">
        <f t="shared" si="57"/>
        <v>24948</v>
      </c>
      <c r="G72" s="48">
        <f t="shared" ref="G72" si="62">G44*G9</f>
        <v>24948</v>
      </c>
      <c r="H72" s="48">
        <f t="shared" si="59"/>
        <v>99792</v>
      </c>
    </row>
    <row r="73" spans="1:8" s="7" customFormat="1" x14ac:dyDescent="0.25">
      <c r="C73" s="22">
        <f>SUM(C68:C72)</f>
        <v>341074.8</v>
      </c>
      <c r="D73" s="22">
        <f t="shared" ref="D73:F73" si="63">SUM(D68:D72)</f>
        <v>341074.8</v>
      </c>
      <c r="E73" s="22">
        <f t="shared" si="63"/>
        <v>341074.8</v>
      </c>
      <c r="F73" s="22">
        <f t="shared" si="63"/>
        <v>341074.8</v>
      </c>
      <c r="G73" s="22">
        <f t="shared" ref="G73" si="64">SUM(G68:G72)</f>
        <v>341074.8</v>
      </c>
      <c r="H73" s="22">
        <f t="shared" si="59"/>
        <v>1364299.2</v>
      </c>
    </row>
    <row r="74" spans="1:8" x14ac:dyDescent="0.25">
      <c r="C74" s="3"/>
      <c r="D74" s="3"/>
      <c r="E74" s="3"/>
      <c r="F74" s="3"/>
      <c r="G74" s="3"/>
    </row>
    <row r="75" spans="1:8" x14ac:dyDescent="0.25">
      <c r="A75" s="7" t="s">
        <v>341</v>
      </c>
      <c r="B75" s="7" t="s">
        <v>327</v>
      </c>
      <c r="C75" s="3">
        <f>C54+C61+C68</f>
        <v>56920.32</v>
      </c>
      <c r="D75" s="3">
        <f t="shared" ref="D75:F75" si="65">D54+D61+D68</f>
        <v>56920.32</v>
      </c>
      <c r="E75" s="3">
        <f t="shared" si="65"/>
        <v>56920.32</v>
      </c>
      <c r="F75" s="3">
        <f t="shared" si="65"/>
        <v>56920.32</v>
      </c>
      <c r="G75" s="3">
        <f t="shared" ref="G75" si="66">G54+G61+G68</f>
        <v>56920.32</v>
      </c>
      <c r="H75" s="3">
        <f>SUM(D75:G75)</f>
        <v>227681.28</v>
      </c>
    </row>
    <row r="76" spans="1:8" x14ac:dyDescent="0.25">
      <c r="B76" s="7" t="s">
        <v>328</v>
      </c>
      <c r="C76" s="3">
        <f t="shared" ref="C76:F79" si="67">C55+C62+C69</f>
        <v>32017.68</v>
      </c>
      <c r="D76" s="3">
        <f t="shared" si="67"/>
        <v>32017.68</v>
      </c>
      <c r="E76" s="3">
        <f t="shared" si="67"/>
        <v>32017.68</v>
      </c>
      <c r="F76" s="3">
        <f t="shared" si="67"/>
        <v>32017.68</v>
      </c>
      <c r="G76" s="3">
        <f t="shared" ref="G76" si="68">G55+G62+G69</f>
        <v>32017.68</v>
      </c>
      <c r="H76" s="3">
        <f t="shared" ref="H76:H80" si="69">SUM(D76:G76)</f>
        <v>128070.72</v>
      </c>
    </row>
    <row r="77" spans="1:8" x14ac:dyDescent="0.25">
      <c r="B77" s="7" t="s">
        <v>329</v>
      </c>
      <c r="C77" s="3">
        <f t="shared" si="67"/>
        <v>63244.800000000003</v>
      </c>
      <c r="D77" s="3">
        <f t="shared" si="67"/>
        <v>63244.800000000003</v>
      </c>
      <c r="E77" s="3">
        <f t="shared" si="67"/>
        <v>63244.800000000003</v>
      </c>
      <c r="F77" s="3">
        <f t="shared" si="67"/>
        <v>63244.800000000003</v>
      </c>
      <c r="G77" s="3">
        <f t="shared" ref="G77" si="70">G56+G63+G70</f>
        <v>63244.800000000003</v>
      </c>
      <c r="H77" s="3">
        <f t="shared" si="69"/>
        <v>252979.20000000001</v>
      </c>
    </row>
    <row r="78" spans="1:8" x14ac:dyDescent="0.25">
      <c r="B78" s="7" t="s">
        <v>330</v>
      </c>
      <c r="C78" s="116">
        <f t="shared" si="67"/>
        <v>1600884</v>
      </c>
      <c r="D78" s="116">
        <f t="shared" si="67"/>
        <v>1600884</v>
      </c>
      <c r="E78" s="116">
        <f t="shared" si="67"/>
        <v>1600884</v>
      </c>
      <c r="F78" s="116">
        <f t="shared" si="67"/>
        <v>1600884</v>
      </c>
      <c r="G78" s="116">
        <f t="shared" ref="G78" si="71">G57+G64+G71</f>
        <v>1600884</v>
      </c>
      <c r="H78" s="3">
        <f t="shared" si="69"/>
        <v>6403536</v>
      </c>
    </row>
    <row r="79" spans="1:8" x14ac:dyDescent="0.25">
      <c r="B79" s="7" t="s">
        <v>331</v>
      </c>
      <c r="C79" s="48">
        <f t="shared" si="67"/>
        <v>138348</v>
      </c>
      <c r="D79" s="48">
        <f t="shared" si="67"/>
        <v>138348</v>
      </c>
      <c r="E79" s="48">
        <f t="shared" si="67"/>
        <v>138348</v>
      </c>
      <c r="F79" s="48">
        <f t="shared" si="67"/>
        <v>138348</v>
      </c>
      <c r="G79" s="48">
        <f t="shared" ref="G79" si="72">G58+G65+G72</f>
        <v>138348</v>
      </c>
      <c r="H79" s="48">
        <f t="shared" si="69"/>
        <v>553392</v>
      </c>
    </row>
    <row r="80" spans="1:8" s="7" customFormat="1" x14ac:dyDescent="0.25">
      <c r="C80" s="22">
        <f>SUM(C75:C79)</f>
        <v>1891414.8</v>
      </c>
      <c r="D80" s="22">
        <f t="shared" ref="D80:F80" si="73">SUM(D75:D79)</f>
        <v>1891414.8</v>
      </c>
      <c r="E80" s="22">
        <f t="shared" si="73"/>
        <v>1891414.8</v>
      </c>
      <c r="F80" s="22">
        <f t="shared" si="73"/>
        <v>1891414.8</v>
      </c>
      <c r="G80" s="22">
        <f t="shared" ref="G80" si="74">SUM(G75:G79)</f>
        <v>1891414.8</v>
      </c>
      <c r="H80" s="22">
        <f t="shared" si="69"/>
        <v>7565659.2000000002</v>
      </c>
    </row>
    <row r="81" spans="2:7" x14ac:dyDescent="0.25">
      <c r="C81" s="3"/>
      <c r="D81" s="3"/>
      <c r="E81" s="3"/>
      <c r="F81" s="3"/>
      <c r="G81" s="3"/>
    </row>
    <row r="82" spans="2:7" x14ac:dyDescent="0.25">
      <c r="C82" s="3"/>
      <c r="D82" s="3"/>
      <c r="E82" s="3"/>
      <c r="F82" s="3"/>
      <c r="G82" s="3"/>
    </row>
    <row r="83" spans="2:7" x14ac:dyDescent="0.25">
      <c r="B83">
        <f>C78*0.6</f>
        <v>960530.39999999991</v>
      </c>
      <c r="C83" t="s">
        <v>342</v>
      </c>
    </row>
    <row r="85" spans="2:7" x14ac:dyDescent="0.25">
      <c r="B85" s="3">
        <f>C80-B83</f>
        <v>930884.40000000014</v>
      </c>
      <c r="C85" t="s">
        <v>343</v>
      </c>
    </row>
  </sheetData>
  <pageMargins left="0.7" right="0.7" top="0.75" bottom="0.75" header="0.3" footer="0.3"/>
  <pageSetup paperSize="9" orientation="portrait" horizontalDpi="0" verticalDpi="0" r:id="rId1"/>
  <ignoredErrors>
    <ignoredError sqref="H5:H9 H19:H23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FBBB-F5B8-4D1F-B940-FF7F79CEA617}">
  <sheetPr>
    <tabColor rgb="FF92D050"/>
  </sheetPr>
  <dimension ref="A1:M4"/>
  <sheetViews>
    <sheetView topLeftCell="I1" workbookViewId="0">
      <selection activeCell="J32" sqref="J32"/>
    </sheetView>
  </sheetViews>
  <sheetFormatPr defaultColWidth="8.6640625" defaultRowHeight="13.2" x14ac:dyDescent="0.25"/>
  <cols>
    <col min="1" max="1" width="22" bestFit="1" customWidth="1"/>
    <col min="2" max="2" width="17.44140625" bestFit="1" customWidth="1"/>
    <col min="3" max="3" width="20.109375" bestFit="1" customWidth="1"/>
    <col min="4" max="4" width="18.33203125" customWidth="1"/>
    <col min="5" max="5" width="15.6640625" customWidth="1"/>
    <col min="6" max="6" width="14.44140625" bestFit="1" customWidth="1"/>
    <col min="7" max="7" width="18.109375" bestFit="1" customWidth="1"/>
    <col min="8" max="8" width="19.33203125" bestFit="1" customWidth="1"/>
    <col min="9" max="9" width="18.44140625" bestFit="1" customWidth="1"/>
    <col min="10" max="10" width="22.44140625" bestFit="1" customWidth="1"/>
    <col min="12" max="12" width="8" bestFit="1" customWidth="1"/>
    <col min="13" max="13" width="26.44140625" bestFit="1" customWidth="1"/>
  </cols>
  <sheetData>
    <row r="1" spans="1:13" x14ac:dyDescent="0.25">
      <c r="A1" t="s">
        <v>344</v>
      </c>
      <c r="B1" t="s">
        <v>345</v>
      </c>
      <c r="C1" t="s">
        <v>346</v>
      </c>
      <c r="D1" t="s">
        <v>347</v>
      </c>
      <c r="E1" t="s">
        <v>348</v>
      </c>
      <c r="F1" t="s">
        <v>349</v>
      </c>
      <c r="G1" t="s">
        <v>141</v>
      </c>
      <c r="H1" t="s">
        <v>350</v>
      </c>
      <c r="I1" t="s">
        <v>153</v>
      </c>
      <c r="J1" t="s">
        <v>154</v>
      </c>
      <c r="L1" s="7" t="s">
        <v>351</v>
      </c>
      <c r="M1" s="7" t="s">
        <v>352</v>
      </c>
    </row>
    <row r="2" spans="1:13" x14ac:dyDescent="0.25">
      <c r="A2" t="s">
        <v>75</v>
      </c>
      <c r="B2" t="s">
        <v>353</v>
      </c>
      <c r="C2" t="s">
        <v>354</v>
      </c>
      <c r="D2" t="s">
        <v>196</v>
      </c>
      <c r="E2" t="s">
        <v>110</v>
      </c>
      <c r="F2" s="2">
        <f>VLOOKUP(Tbl_LTL[[#This Row],[Collateral]],Tbl_FixedAssets[],2,FALSE)</f>
        <v>40543</v>
      </c>
      <c r="G2" s="3">
        <f>VLOOKUP(Tbl_LTL[[#This Row],[Collateral]],Tbl_FixedAssets[],3,FALSE)</f>
        <v>1500000</v>
      </c>
      <c r="H2" s="11">
        <v>2.1499999999999998E-2</v>
      </c>
      <c r="I2">
        <f>VLOOKUP(Tbl_LTL[[#This Row],[Collateral]],Tbl_FixedAssets[],7,FALSE)</f>
        <v>25</v>
      </c>
      <c r="J2">
        <f>Tbl_LTL[[#This Row],[Duration in years]]*12</f>
        <v>300</v>
      </c>
      <c r="L2" t="s">
        <v>75</v>
      </c>
      <c r="M2" s="6">
        <f>VLOOKUP(Lists!J2,Tbl_Loan1[],13,FALSE)</f>
        <v>950994.77780964482</v>
      </c>
    </row>
    <row r="3" spans="1:13" x14ac:dyDescent="0.25">
      <c r="A3" t="s">
        <v>79</v>
      </c>
      <c r="B3" t="s">
        <v>355</v>
      </c>
      <c r="C3" t="s">
        <v>356</v>
      </c>
      <c r="D3" t="s">
        <v>357</v>
      </c>
      <c r="E3" t="s">
        <v>114</v>
      </c>
      <c r="F3" s="2">
        <f>VLOOKUP(Tbl_LTL[[#This Row],[Collateral]],Tbl_FixedAssets[],2,FALSE)</f>
        <v>41274</v>
      </c>
      <c r="G3" s="3">
        <f>VLOOKUP(Tbl_LTL[[#This Row],[Collateral]],Tbl_FixedAssets[],3,FALSE)</f>
        <v>350000</v>
      </c>
      <c r="H3" s="11">
        <v>4.4999999999999998E-2</v>
      </c>
      <c r="I3">
        <f>VLOOKUP(Tbl_LTL[[#This Row],[Collateral]],Tbl_FixedAssets[],7,FALSE)</f>
        <v>10</v>
      </c>
      <c r="J3">
        <f>Tbl_LTL[[#This Row],[Duration in years]]*12</f>
        <v>120</v>
      </c>
      <c r="L3" t="s">
        <v>79</v>
      </c>
      <c r="M3" s="6">
        <f>VLOOKUP(Lists!J2,Tbl_Loan2[],12,FALSE)</f>
        <v>43749.999999999767</v>
      </c>
    </row>
    <row r="4" spans="1:13" x14ac:dyDescent="0.25">
      <c r="A4" t="s">
        <v>80</v>
      </c>
      <c r="B4" t="s">
        <v>355</v>
      </c>
      <c r="C4" t="s">
        <v>356</v>
      </c>
      <c r="D4" t="s">
        <v>357</v>
      </c>
      <c r="E4" t="s">
        <v>115</v>
      </c>
      <c r="F4" s="2">
        <f>VLOOKUP(Tbl_LTL[[#This Row],[Collateral]],Tbl_FixedAssets[],2,FALSE)</f>
        <v>43465</v>
      </c>
      <c r="G4" s="3">
        <f>VLOOKUP(Tbl_LTL[[#This Row],[Collateral]],Tbl_FixedAssets[],3,FALSE)</f>
        <v>450000</v>
      </c>
      <c r="H4" s="11">
        <v>0.05</v>
      </c>
      <c r="I4">
        <f>VLOOKUP(Tbl_LTL[[#This Row],[Collateral]],Tbl_FixedAssets[],7,FALSE)</f>
        <v>8</v>
      </c>
      <c r="J4">
        <f>Tbl_LTL[[#This Row],[Duration in years]]*12</f>
        <v>96</v>
      </c>
      <c r="L4" t="s">
        <v>80</v>
      </c>
      <c r="M4" s="6">
        <f>VLOOKUP(Lists!J2,Tbl_Loan3[],12,FALSE)</f>
        <v>295312.5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69CEE-2F3D-4E4A-A02A-0CD7C26D4559}">
  <sheetPr>
    <tabColor rgb="FF92D050"/>
  </sheetPr>
  <dimension ref="A1:M29"/>
  <sheetViews>
    <sheetView workbookViewId="0">
      <selection activeCell="D22" sqref="D22"/>
    </sheetView>
  </sheetViews>
  <sheetFormatPr defaultColWidth="8.6640625" defaultRowHeight="13.2" x14ac:dyDescent="0.25"/>
  <cols>
    <col min="1" max="1" width="17.6640625" bestFit="1" customWidth="1"/>
    <col min="2" max="2" width="29.5546875" customWidth="1"/>
    <col min="3" max="3" width="21.44140625" bestFit="1" customWidth="1"/>
    <col min="4" max="4" width="12.44140625" bestFit="1" customWidth="1"/>
    <col min="7" max="7" width="12.44140625" bestFit="1" customWidth="1"/>
    <col min="10" max="10" width="10.44140625" bestFit="1" customWidth="1"/>
    <col min="13" max="13" width="11" bestFit="1" customWidth="1"/>
  </cols>
  <sheetData>
    <row r="1" spans="1:13" ht="14.4" x14ac:dyDescent="0.25">
      <c r="A1" t="s">
        <v>358</v>
      </c>
      <c r="B1" t="s">
        <v>195</v>
      </c>
      <c r="C1" t="s">
        <v>11</v>
      </c>
      <c r="G1" s="5" t="s">
        <v>0</v>
      </c>
      <c r="H1" s="5" t="s">
        <v>195</v>
      </c>
      <c r="I1" s="5" t="s">
        <v>10</v>
      </c>
      <c r="J1" s="5" t="s">
        <v>142</v>
      </c>
      <c r="M1" s="5" t="s">
        <v>6</v>
      </c>
    </row>
    <row r="2" spans="1:13" ht="14.4" x14ac:dyDescent="0.25">
      <c r="A2">
        <v>1</v>
      </c>
      <c r="B2" t="s">
        <v>359</v>
      </c>
      <c r="C2" t="s">
        <v>13</v>
      </c>
      <c r="G2" s="15">
        <f>Given!B1</f>
        <v>44469</v>
      </c>
      <c r="H2" s="5">
        <f>MONTH(G2)</f>
        <v>9</v>
      </c>
      <c r="I2" s="5">
        <f>YEAR(G2)</f>
        <v>2021</v>
      </c>
      <c r="J2" s="5" t="str">
        <f>_xlfn.CONCAT(H2,I2)</f>
        <v>92021</v>
      </c>
      <c r="M2" s="10">
        <v>0.5</v>
      </c>
    </row>
    <row r="3" spans="1:13" x14ac:dyDescent="0.25">
      <c r="A3">
        <v>2</v>
      </c>
      <c r="B3" t="s">
        <v>360</v>
      </c>
      <c r="C3" t="s">
        <v>13</v>
      </c>
      <c r="M3" s="10">
        <v>0.55000000000000004</v>
      </c>
    </row>
    <row r="4" spans="1:13" x14ac:dyDescent="0.25">
      <c r="A4">
        <v>3</v>
      </c>
      <c r="B4" t="s">
        <v>361</v>
      </c>
      <c r="C4" t="s">
        <v>13</v>
      </c>
      <c r="M4" s="10">
        <v>0.6</v>
      </c>
    </row>
    <row r="5" spans="1:13" x14ac:dyDescent="0.25">
      <c r="A5">
        <v>4</v>
      </c>
      <c r="B5" t="s">
        <v>362</v>
      </c>
      <c r="C5" t="s">
        <v>14</v>
      </c>
      <c r="M5" s="10">
        <v>0.65</v>
      </c>
    </row>
    <row r="6" spans="1:13" x14ac:dyDescent="0.25">
      <c r="A6">
        <v>5</v>
      </c>
      <c r="B6" t="s">
        <v>363</v>
      </c>
      <c r="C6" t="s">
        <v>14</v>
      </c>
      <c r="M6" s="10">
        <v>0.7</v>
      </c>
    </row>
    <row r="7" spans="1:13" x14ac:dyDescent="0.25">
      <c r="A7">
        <v>6</v>
      </c>
      <c r="B7" t="s">
        <v>45</v>
      </c>
      <c r="C7" t="s">
        <v>14</v>
      </c>
      <c r="M7" s="10">
        <v>0.75</v>
      </c>
    </row>
    <row r="8" spans="1:13" x14ac:dyDescent="0.25">
      <c r="A8">
        <v>7</v>
      </c>
      <c r="B8" t="s">
        <v>364</v>
      </c>
      <c r="C8" t="s">
        <v>15</v>
      </c>
      <c r="M8" s="10">
        <v>0.8</v>
      </c>
    </row>
    <row r="9" spans="1:13" x14ac:dyDescent="0.25">
      <c r="A9">
        <v>8</v>
      </c>
      <c r="B9" t="s">
        <v>365</v>
      </c>
      <c r="C9" t="s">
        <v>15</v>
      </c>
      <c r="M9" s="10">
        <v>0.85</v>
      </c>
    </row>
    <row r="10" spans="1:13" x14ac:dyDescent="0.25">
      <c r="A10">
        <v>9</v>
      </c>
      <c r="B10" t="s">
        <v>366</v>
      </c>
      <c r="C10" t="s">
        <v>15</v>
      </c>
      <c r="M10" s="10">
        <v>0.9</v>
      </c>
    </row>
    <row r="11" spans="1:13" x14ac:dyDescent="0.25">
      <c r="A11">
        <v>10</v>
      </c>
      <c r="B11" t="s">
        <v>320</v>
      </c>
      <c r="C11" t="s">
        <v>12</v>
      </c>
      <c r="M11" s="10">
        <v>0.95</v>
      </c>
    </row>
    <row r="12" spans="1:13" x14ac:dyDescent="0.25">
      <c r="A12">
        <v>11</v>
      </c>
      <c r="B12" t="s">
        <v>321</v>
      </c>
      <c r="C12" t="s">
        <v>12</v>
      </c>
      <c r="M12" s="10">
        <v>1</v>
      </c>
    </row>
    <row r="13" spans="1:13" x14ac:dyDescent="0.25">
      <c r="A13">
        <v>12</v>
      </c>
      <c r="B13" t="s">
        <v>322</v>
      </c>
      <c r="C13" t="s">
        <v>12</v>
      </c>
    </row>
    <row r="16" spans="1:13" x14ac:dyDescent="0.25">
      <c r="A16" s="7" t="s">
        <v>367</v>
      </c>
      <c r="B16" s="7" t="s">
        <v>236</v>
      </c>
      <c r="C16" s="7" t="s">
        <v>240</v>
      </c>
      <c r="D16" s="7" t="s">
        <v>368</v>
      </c>
    </row>
    <row r="17" spans="1:4" x14ac:dyDescent="0.25">
      <c r="A17" t="s">
        <v>18</v>
      </c>
      <c r="B17" s="6">
        <f>'Cost prices bicycles'!D10</f>
        <v>416.54703749999999</v>
      </c>
      <c r="C17" s="6">
        <f>'Cost prices bicycles'!D15</f>
        <v>470.57674125</v>
      </c>
      <c r="D17" s="6">
        <f>'Cost prices bicycles'!D17</f>
        <v>517.634415375</v>
      </c>
    </row>
    <row r="18" spans="1:4" x14ac:dyDescent="0.25">
      <c r="A18" t="s">
        <v>19</v>
      </c>
      <c r="B18" s="6">
        <f>'Cost prices bicycles'!I10</f>
        <v>427.54703749999999</v>
      </c>
      <c r="C18" s="6">
        <f>'Cost prices bicycles'!I15</f>
        <v>483.65888410714285</v>
      </c>
      <c r="D18" s="6">
        <f>'Cost prices bicycles'!I17</f>
        <v>532.02477251785717</v>
      </c>
    </row>
    <row r="19" spans="1:4" x14ac:dyDescent="0.25">
      <c r="A19" t="s">
        <v>20</v>
      </c>
      <c r="B19" s="6">
        <f>'Cost prices bicycles'!N10</f>
        <v>306.54703749999999</v>
      </c>
      <c r="C19" s="6">
        <f>'Cost prices bicycles'!N15</f>
        <v>351.86840791666663</v>
      </c>
      <c r="D19" s="6">
        <f>'Cost prices bicycles'!N17</f>
        <v>387.05524870833329</v>
      </c>
    </row>
    <row r="21" spans="1:4" x14ac:dyDescent="0.25">
      <c r="A21" s="100"/>
      <c r="B21" s="101" t="s">
        <v>369</v>
      </c>
      <c r="C21" s="100"/>
      <c r="D21" s="100"/>
    </row>
    <row r="22" spans="1:4" x14ac:dyDescent="0.25">
      <c r="A22" s="100" t="s">
        <v>18</v>
      </c>
      <c r="B22" s="102">
        <f>(C17-B17)/B17</f>
        <v>0.12970852961593807</v>
      </c>
      <c r="C22" s="100"/>
      <c r="D22" s="100"/>
    </row>
    <row r="23" spans="1:4" x14ac:dyDescent="0.25">
      <c r="A23" s="100" t="s">
        <v>19</v>
      </c>
      <c r="B23" s="102">
        <f t="shared" ref="B23:B24" si="0">(C18-B18)/B18</f>
        <v>0.13124134115218344</v>
      </c>
      <c r="C23" s="100"/>
      <c r="D23" s="100"/>
    </row>
    <row r="24" spans="1:4" x14ac:dyDescent="0.25">
      <c r="A24" s="100" t="s">
        <v>20</v>
      </c>
      <c r="B24" s="102">
        <f t="shared" si="0"/>
        <v>0.14784475095984786</v>
      </c>
      <c r="C24" s="100"/>
      <c r="D24" s="100"/>
    </row>
    <row r="25" spans="1:4" x14ac:dyDescent="0.25">
      <c r="A25" s="100"/>
      <c r="B25" s="100"/>
      <c r="C25" s="100"/>
      <c r="D25" s="100"/>
    </row>
    <row r="26" spans="1:4" x14ac:dyDescent="0.25">
      <c r="A26" s="100" t="s">
        <v>370</v>
      </c>
      <c r="B26" s="100"/>
      <c r="C26" s="100"/>
      <c r="D26" s="100"/>
    </row>
    <row r="28" spans="1:4" x14ac:dyDescent="0.25">
      <c r="A28" s="100" t="s">
        <v>371</v>
      </c>
    </row>
    <row r="29" spans="1:4" x14ac:dyDescent="0.25">
      <c r="A29" s="100" t="s">
        <v>372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0EDE-A7AE-4D7D-83B8-4AA77709CD4F}">
  <sheetPr>
    <tabColor rgb="FF92D050"/>
  </sheetPr>
  <dimension ref="A1:S79"/>
  <sheetViews>
    <sheetView topLeftCell="A35" workbookViewId="0">
      <selection activeCell="D43" sqref="D43"/>
    </sheetView>
  </sheetViews>
  <sheetFormatPr defaultColWidth="39.33203125" defaultRowHeight="13.2" x14ac:dyDescent="0.25"/>
  <cols>
    <col min="1" max="1" width="38.6640625" bestFit="1" customWidth="1"/>
    <col min="2" max="2" width="15.109375" bestFit="1" customWidth="1"/>
    <col min="3" max="3" width="15.44140625" bestFit="1" customWidth="1"/>
    <col min="4" max="4" width="15.33203125" style="51" customWidth="1"/>
    <col min="5" max="5" width="18.33203125" style="51" customWidth="1"/>
    <col min="6" max="8" width="7.44140625" style="51" bestFit="1" customWidth="1"/>
    <col min="9" max="9" width="10.33203125" style="7" bestFit="1" customWidth="1"/>
    <col min="11" max="11" width="33.44140625" bestFit="1" customWidth="1"/>
    <col min="12" max="12" width="15.109375" bestFit="1" customWidth="1"/>
    <col min="13" max="13" width="15.44140625" bestFit="1" customWidth="1"/>
    <col min="14" max="14" width="11.6640625" style="51" bestFit="1" customWidth="1"/>
    <col min="15" max="18" width="9.109375" bestFit="1" customWidth="1"/>
    <col min="19" max="19" width="10.33203125" style="7" bestFit="1" customWidth="1"/>
  </cols>
  <sheetData>
    <row r="1" spans="1:19" s="7" customFormat="1" x14ac:dyDescent="0.25">
      <c r="A1" s="7" t="s">
        <v>10</v>
      </c>
      <c r="D1" s="49">
        <v>2021</v>
      </c>
      <c r="E1" s="49">
        <v>2022</v>
      </c>
      <c r="F1" s="49">
        <v>2022</v>
      </c>
      <c r="G1" s="49">
        <v>2022</v>
      </c>
      <c r="H1" s="49">
        <v>2022</v>
      </c>
      <c r="I1" s="7">
        <v>2022</v>
      </c>
      <c r="K1" s="7" t="s">
        <v>10</v>
      </c>
      <c r="N1" s="49">
        <v>2021</v>
      </c>
      <c r="O1" s="49">
        <v>2022</v>
      </c>
      <c r="P1" s="49">
        <v>2022</v>
      </c>
      <c r="Q1" s="49">
        <v>2022</v>
      </c>
      <c r="R1" s="49">
        <v>2022</v>
      </c>
      <c r="S1" s="7">
        <v>2022</v>
      </c>
    </row>
    <row r="2" spans="1:19" s="7" customFormat="1" x14ac:dyDescent="0.25">
      <c r="A2" s="7" t="s">
        <v>11</v>
      </c>
      <c r="D2" s="49" t="s">
        <v>12</v>
      </c>
      <c r="E2" s="49" t="s">
        <v>13</v>
      </c>
      <c r="F2" s="49" t="s">
        <v>14</v>
      </c>
      <c r="G2" s="49" t="s">
        <v>15</v>
      </c>
      <c r="H2" s="49" t="s">
        <v>12</v>
      </c>
      <c r="I2" s="49" t="s">
        <v>54</v>
      </c>
      <c r="K2" s="7" t="s">
        <v>11</v>
      </c>
      <c r="N2" s="49" t="s">
        <v>12</v>
      </c>
      <c r="O2" s="49" t="s">
        <v>13</v>
      </c>
      <c r="P2" s="49" t="s">
        <v>14</v>
      </c>
      <c r="Q2" s="49" t="s">
        <v>15</v>
      </c>
      <c r="R2" s="49" t="s">
        <v>12</v>
      </c>
      <c r="S2" s="49" t="s">
        <v>54</v>
      </c>
    </row>
    <row r="3" spans="1:19" x14ac:dyDescent="0.25">
      <c r="A3" s="7"/>
      <c r="B3" s="7"/>
      <c r="C3" s="7"/>
      <c r="D3" s="49"/>
      <c r="E3" s="49"/>
      <c r="F3" s="49"/>
      <c r="G3" s="49"/>
      <c r="H3" s="49"/>
      <c r="I3" s="49"/>
      <c r="J3" s="7"/>
      <c r="K3" s="7"/>
      <c r="L3" s="7"/>
      <c r="M3" s="7"/>
      <c r="N3" s="49"/>
      <c r="O3" s="49"/>
      <c r="P3" s="49"/>
      <c r="Q3" s="49"/>
      <c r="R3" s="49"/>
      <c r="S3" s="49"/>
    </row>
    <row r="4" spans="1:19" x14ac:dyDescent="0.25">
      <c r="A4" s="77" t="s">
        <v>55</v>
      </c>
      <c r="B4" s="77"/>
      <c r="C4" s="77"/>
      <c r="D4" s="78" t="str">
        <f>_xlfn.CONCAT(D$1,D$2)</f>
        <v>2021IV</v>
      </c>
      <c r="E4" s="78" t="str">
        <f t="shared" ref="E4:H4" si="0">_xlfn.CONCAT(E$1,E$2)</f>
        <v>2022I</v>
      </c>
      <c r="F4" s="78" t="str">
        <f t="shared" si="0"/>
        <v>2022II</v>
      </c>
      <c r="G4" s="78" t="str">
        <f t="shared" si="0"/>
        <v>2022III</v>
      </c>
      <c r="H4" s="78" t="str">
        <f t="shared" si="0"/>
        <v>2022IV</v>
      </c>
      <c r="I4" s="78" t="str">
        <f t="shared" ref="I4" si="1">_xlfn.CONCAT(I$1,I$2)</f>
        <v>2022Total</v>
      </c>
      <c r="J4" s="7"/>
      <c r="K4" s="77" t="s">
        <v>56</v>
      </c>
      <c r="L4" s="77"/>
      <c r="M4" s="77"/>
      <c r="N4" s="78" t="str">
        <f>_xlfn.CONCAT(N$1,N$2)</f>
        <v>2021IV</v>
      </c>
      <c r="O4" s="78" t="str">
        <f>_xlfn.CONCAT(O$1,O$2)</f>
        <v>2022I</v>
      </c>
      <c r="P4" s="78" t="str">
        <f>_xlfn.CONCAT(P$1,P$2)</f>
        <v>2022II</v>
      </c>
      <c r="Q4" s="78" t="str">
        <f>_xlfn.CONCAT(Q$1,Q$2)</f>
        <v>2022III</v>
      </c>
      <c r="R4" s="78" t="str">
        <f>_xlfn.CONCAT(R$1,R$2)</f>
        <v>2022IV</v>
      </c>
      <c r="S4" s="78" t="str">
        <f t="shared" ref="S4" si="2">_xlfn.CONCAT(S$1,S$2)</f>
        <v>2022Total</v>
      </c>
    </row>
    <row r="5" spans="1:19" x14ac:dyDescent="0.25">
      <c r="A5" t="s">
        <v>18</v>
      </c>
      <c r="D5" s="50">
        <v>8000</v>
      </c>
      <c r="E5" s="50">
        <v>8000</v>
      </c>
      <c r="F5" s="50">
        <v>8000</v>
      </c>
      <c r="G5" s="50">
        <v>8000</v>
      </c>
      <c r="H5" s="50">
        <v>8000</v>
      </c>
      <c r="I5" s="55">
        <f>SUM(E5:H5)</f>
        <v>32000</v>
      </c>
      <c r="J5" s="7"/>
      <c r="K5" t="s">
        <v>18</v>
      </c>
      <c r="N5" s="50">
        <f>D5*Given!B23</f>
        <v>5600</v>
      </c>
      <c r="O5" s="50">
        <f>E5*Given!C23</f>
        <v>5600</v>
      </c>
      <c r="P5" s="50">
        <f>F5*Given!D23</f>
        <v>5600</v>
      </c>
      <c r="Q5" s="50">
        <f>G5*Given!E23</f>
        <v>5600</v>
      </c>
      <c r="R5" s="1">
        <f>H5*Given!F23</f>
        <v>5200</v>
      </c>
      <c r="S5" s="19">
        <f>SUM(O5:R5)</f>
        <v>22000</v>
      </c>
    </row>
    <row r="6" spans="1:19" x14ac:dyDescent="0.25">
      <c r="A6" t="s">
        <v>19</v>
      </c>
      <c r="D6" s="50">
        <v>7000</v>
      </c>
      <c r="E6" s="50">
        <v>7000</v>
      </c>
      <c r="F6" s="50">
        <v>7000</v>
      </c>
      <c r="G6" s="50">
        <v>7000</v>
      </c>
      <c r="H6" s="50">
        <v>7000</v>
      </c>
      <c r="I6" s="55">
        <f t="shared" ref="I6:I8" si="3">SUM(E6:H6)</f>
        <v>28000</v>
      </c>
      <c r="J6" s="7"/>
      <c r="K6" t="s">
        <v>19</v>
      </c>
      <c r="N6" s="50">
        <f t="shared" ref="N6:Q7" si="4">D12</f>
        <v>4200</v>
      </c>
      <c r="O6" s="50">
        <f t="shared" si="4"/>
        <v>4200</v>
      </c>
      <c r="P6" s="50">
        <f t="shared" si="4"/>
        <v>4200</v>
      </c>
      <c r="Q6" s="50">
        <f t="shared" si="4"/>
        <v>4200</v>
      </c>
      <c r="R6" s="1">
        <f>H6*Given!F24</f>
        <v>4200</v>
      </c>
      <c r="S6" s="19">
        <f t="shared" ref="S6:S7" si="5">SUM(O6:R6)</f>
        <v>16800</v>
      </c>
    </row>
    <row r="7" spans="1:19" x14ac:dyDescent="0.25">
      <c r="A7" t="s">
        <v>20</v>
      </c>
      <c r="D7" s="50">
        <v>6000</v>
      </c>
      <c r="E7" s="50">
        <v>6000</v>
      </c>
      <c r="F7" s="50">
        <v>6000</v>
      </c>
      <c r="G7" s="50">
        <v>6000</v>
      </c>
      <c r="H7" s="50">
        <v>6000</v>
      </c>
      <c r="I7" s="55">
        <f t="shared" si="3"/>
        <v>24000</v>
      </c>
      <c r="J7" s="7"/>
      <c r="K7" t="s">
        <v>20</v>
      </c>
      <c r="N7" s="50">
        <f t="shared" si="4"/>
        <v>3300.0000000000005</v>
      </c>
      <c r="O7" s="50">
        <f t="shared" si="4"/>
        <v>3300.0000000000005</v>
      </c>
      <c r="P7" s="50">
        <f t="shared" si="4"/>
        <v>3300.0000000000005</v>
      </c>
      <c r="Q7" s="50">
        <f t="shared" si="4"/>
        <v>3300.0000000000005</v>
      </c>
      <c r="R7" s="1">
        <f>H7*Given!F25</f>
        <v>3000</v>
      </c>
      <c r="S7" s="19">
        <f t="shared" si="5"/>
        <v>12900.000000000002</v>
      </c>
    </row>
    <row r="8" spans="1:19" x14ac:dyDescent="0.25">
      <c r="A8" s="77" t="s">
        <v>54</v>
      </c>
      <c r="B8" s="77"/>
      <c r="C8" s="77"/>
      <c r="D8" s="82">
        <f>SUM(D5:D7)</f>
        <v>21000</v>
      </c>
      <c r="E8" s="82">
        <f t="shared" ref="E8:H8" si="6">SUM(E5:E7)</f>
        <v>21000</v>
      </c>
      <c r="F8" s="82">
        <f t="shared" si="6"/>
        <v>21000</v>
      </c>
      <c r="G8" s="82">
        <f t="shared" si="6"/>
        <v>21000</v>
      </c>
      <c r="H8" s="82">
        <f t="shared" si="6"/>
        <v>21000</v>
      </c>
      <c r="I8" s="82">
        <f t="shared" si="3"/>
        <v>84000</v>
      </c>
      <c r="J8" s="7"/>
      <c r="K8" s="77" t="s">
        <v>54</v>
      </c>
      <c r="L8" s="77"/>
      <c r="M8" s="77"/>
      <c r="N8" s="82">
        <f>SUM(N5:N7)</f>
        <v>13100</v>
      </c>
      <c r="O8" s="82">
        <f t="shared" ref="O8:Q8" si="7">SUM(O5:O7)</f>
        <v>13100</v>
      </c>
      <c r="P8" s="82">
        <f t="shared" si="7"/>
        <v>13100</v>
      </c>
      <c r="Q8" s="82">
        <f t="shared" si="7"/>
        <v>13100</v>
      </c>
      <c r="R8" s="82">
        <f>SUM(R5:R7)</f>
        <v>12400</v>
      </c>
      <c r="S8" s="82">
        <f>SUM(S5:S7)</f>
        <v>51700</v>
      </c>
    </row>
    <row r="9" spans="1:19" x14ac:dyDescent="0.25">
      <c r="A9" s="7"/>
      <c r="B9" s="7"/>
      <c r="C9" s="7"/>
      <c r="D9" s="49"/>
      <c r="E9" s="49"/>
      <c r="F9" s="49"/>
      <c r="G9" s="49"/>
      <c r="H9" s="49"/>
      <c r="I9" s="49"/>
      <c r="J9" s="7"/>
      <c r="K9" s="7"/>
      <c r="L9" s="7"/>
      <c r="M9" s="7"/>
      <c r="N9" s="55"/>
      <c r="O9" s="55"/>
      <c r="P9" s="55"/>
      <c r="Q9" s="55"/>
      <c r="R9" s="55"/>
      <c r="S9" s="55"/>
    </row>
    <row r="10" spans="1:19" x14ac:dyDescent="0.25">
      <c r="A10" s="77" t="s">
        <v>57</v>
      </c>
      <c r="B10" s="77"/>
      <c r="C10" s="77"/>
      <c r="D10" s="78" t="str">
        <f>_xlfn.CONCAT(D$1,D$2)</f>
        <v>2021IV</v>
      </c>
      <c r="E10" s="78" t="str">
        <f t="shared" ref="E10:H10" si="8">_xlfn.CONCAT(E$1,E$2)</f>
        <v>2022I</v>
      </c>
      <c r="F10" s="78" t="str">
        <f t="shared" si="8"/>
        <v>2022II</v>
      </c>
      <c r="G10" s="78" t="str">
        <f t="shared" si="8"/>
        <v>2022III</v>
      </c>
      <c r="H10" s="78" t="str">
        <f t="shared" si="8"/>
        <v>2022IV</v>
      </c>
      <c r="I10" s="78" t="str">
        <f t="shared" ref="I10" si="9">_xlfn.CONCAT(I$1,I$2)</f>
        <v>2022Total</v>
      </c>
      <c r="K10" s="77" t="s">
        <v>58</v>
      </c>
      <c r="L10" s="77"/>
      <c r="M10" s="77"/>
      <c r="N10" s="78" t="str">
        <f>_xlfn.CONCAT(N$1,N$2)</f>
        <v>2021IV</v>
      </c>
      <c r="O10" s="78" t="str">
        <f>_xlfn.CONCAT(O$1,O$2)</f>
        <v>2022I</v>
      </c>
      <c r="P10" s="78" t="str">
        <f>_xlfn.CONCAT(P$1,P$2)</f>
        <v>2022II</v>
      </c>
      <c r="Q10" s="78" t="str">
        <f>_xlfn.CONCAT(Q$1,Q$2)</f>
        <v>2022III</v>
      </c>
      <c r="R10" s="78" t="str">
        <f>_xlfn.CONCAT(R$1,R$2)</f>
        <v>2022IV</v>
      </c>
      <c r="S10" s="78" t="str">
        <f t="shared" ref="S10" si="10">_xlfn.CONCAT(S$1,S$2)</f>
        <v>2022Total</v>
      </c>
    </row>
    <row r="11" spans="1:19" x14ac:dyDescent="0.25">
      <c r="A11" t="s">
        <v>18</v>
      </c>
      <c r="D11" s="50">
        <f>Budget!D5*Given!B19</f>
        <v>5600</v>
      </c>
      <c r="E11" s="50">
        <f>Budget!E5*Given!C19</f>
        <v>5600</v>
      </c>
      <c r="F11" s="50">
        <f>Budget!F5*Given!D19</f>
        <v>5600</v>
      </c>
      <c r="G11" s="50">
        <f>Budget!G5*Given!E19</f>
        <v>5600</v>
      </c>
      <c r="H11" s="50">
        <f>H5*Given!F19</f>
        <v>5200</v>
      </c>
      <c r="I11" s="55">
        <f>SUM(E11:H11)</f>
        <v>22000</v>
      </c>
      <c r="K11" t="s">
        <v>18</v>
      </c>
      <c r="N11" s="3">
        <f>N5*'Cost prices bicycles'!$D19</f>
        <v>2319002.1808799999</v>
      </c>
      <c r="O11" s="3"/>
      <c r="P11" s="3"/>
      <c r="Q11" s="3"/>
      <c r="R11" s="3"/>
      <c r="S11" s="22"/>
    </row>
    <row r="12" spans="1:19" x14ac:dyDescent="0.25">
      <c r="A12" t="s">
        <v>19</v>
      </c>
      <c r="D12" s="50">
        <f>Budget!D6*Given!B20</f>
        <v>4200</v>
      </c>
      <c r="E12" s="50">
        <f>Budget!E6*Given!C20</f>
        <v>4200</v>
      </c>
      <c r="F12" s="50">
        <f>Budget!F6*Given!D20</f>
        <v>4200</v>
      </c>
      <c r="G12" s="50">
        <f>Budget!G6*Given!E20</f>
        <v>4200</v>
      </c>
      <c r="H12" s="50">
        <f>H6*Given!F20</f>
        <v>4200</v>
      </c>
      <c r="I12" s="55">
        <f t="shared" ref="I12:I14" si="11">SUM(E12:H12)</f>
        <v>16800</v>
      </c>
      <c r="K12" t="s">
        <v>19</v>
      </c>
      <c r="N12" s="3">
        <f>N6*'Cost prices bicycles'!$I19</f>
        <v>1787603.2356600002</v>
      </c>
      <c r="O12" s="3"/>
      <c r="P12" s="3"/>
      <c r="Q12" s="3"/>
      <c r="R12" s="3"/>
      <c r="S12" s="22"/>
    </row>
    <row r="13" spans="1:19" x14ac:dyDescent="0.25">
      <c r="A13" t="s">
        <v>20</v>
      </c>
      <c r="D13" s="50">
        <f>Budget!D7*Given!B21</f>
        <v>3300.0000000000005</v>
      </c>
      <c r="E13" s="50">
        <f>Budget!E7*Given!C21</f>
        <v>3300.0000000000005</v>
      </c>
      <c r="F13" s="50">
        <f>Budget!F7*Given!D21</f>
        <v>3300.0000000000005</v>
      </c>
      <c r="G13" s="50">
        <f>Budget!G7*Given!E21</f>
        <v>3300.0000000000005</v>
      </c>
      <c r="H13" s="50">
        <f>H7*Given!F21</f>
        <v>3000</v>
      </c>
      <c r="I13" s="55">
        <f t="shared" si="11"/>
        <v>12900.000000000002</v>
      </c>
      <c r="K13" t="s">
        <v>20</v>
      </c>
      <c r="N13" s="3">
        <f>N7*'Cost prices bicycles'!$N19</f>
        <v>1021825.85659</v>
      </c>
      <c r="O13" s="3"/>
      <c r="P13" s="3"/>
      <c r="Q13" s="3"/>
      <c r="R13" s="3"/>
      <c r="S13" s="22"/>
    </row>
    <row r="14" spans="1:19" x14ac:dyDescent="0.25">
      <c r="A14" s="77" t="s">
        <v>54</v>
      </c>
      <c r="B14" s="77"/>
      <c r="C14" s="77"/>
      <c r="D14" s="82">
        <f>SUM(D11:D13)</f>
        <v>13100</v>
      </c>
      <c r="E14" s="82">
        <f t="shared" ref="E14:G14" si="12">SUM(E11:E13)</f>
        <v>13100</v>
      </c>
      <c r="F14" s="82">
        <f t="shared" si="12"/>
        <v>13100</v>
      </c>
      <c r="G14" s="82">
        <f t="shared" si="12"/>
        <v>13100</v>
      </c>
      <c r="H14" s="82">
        <f>SUM(H11:H13)</f>
        <v>12400</v>
      </c>
      <c r="I14" s="82">
        <f t="shared" si="11"/>
        <v>51700</v>
      </c>
      <c r="K14" s="77" t="s">
        <v>54</v>
      </c>
      <c r="L14" s="77"/>
      <c r="M14" s="77"/>
      <c r="N14" s="81">
        <f>SUM(N11:N13)</f>
        <v>5128431.2731299996</v>
      </c>
      <c r="O14" s="81"/>
      <c r="P14" s="81"/>
      <c r="Q14" s="81"/>
      <c r="R14" s="81"/>
      <c r="S14" s="81"/>
    </row>
    <row r="15" spans="1:19" x14ac:dyDescent="0.25">
      <c r="K15" s="7"/>
      <c r="L15" s="7"/>
      <c r="M15" s="7"/>
      <c r="N15" s="55"/>
      <c r="O15" s="55"/>
      <c r="P15" s="55"/>
      <c r="Q15" s="55"/>
      <c r="R15" s="55"/>
      <c r="S15" s="55"/>
    </row>
    <row r="16" spans="1:19" x14ac:dyDescent="0.25">
      <c r="A16" s="77" t="s">
        <v>59</v>
      </c>
      <c r="B16" s="77" t="s">
        <v>60</v>
      </c>
      <c r="C16" s="77" t="s">
        <v>61</v>
      </c>
      <c r="D16" s="78" t="str">
        <f>_xlfn.CONCAT(D$1,D$2)</f>
        <v>2021IV</v>
      </c>
      <c r="E16" s="78" t="str">
        <f t="shared" ref="E16:H16" si="13">_xlfn.CONCAT(E$1,E$2)</f>
        <v>2022I</v>
      </c>
      <c r="F16" s="78" t="str">
        <f t="shared" si="13"/>
        <v>2022II</v>
      </c>
      <c r="G16" s="78" t="str">
        <f t="shared" si="13"/>
        <v>2022III</v>
      </c>
      <c r="H16" s="78" t="str">
        <f t="shared" si="13"/>
        <v>2022IV</v>
      </c>
      <c r="I16" s="78" t="str">
        <f t="shared" ref="I16" si="14">_xlfn.CONCAT(I$1,I$2)</f>
        <v>2022Total</v>
      </c>
      <c r="K16" s="99" t="s">
        <v>62</v>
      </c>
      <c r="L16" s="77"/>
      <c r="M16" s="77"/>
      <c r="N16" s="78" t="str">
        <f>_xlfn.CONCAT(N$1,N$2)</f>
        <v>2021IV</v>
      </c>
      <c r="O16" s="78" t="str">
        <f>_xlfn.CONCAT(O$1,O$2)</f>
        <v>2022I</v>
      </c>
      <c r="P16" s="78" t="str">
        <f>_xlfn.CONCAT(P$1,P$2)</f>
        <v>2022II</v>
      </c>
      <c r="Q16" s="78" t="str">
        <f>_xlfn.CONCAT(Q$1,Q$2)</f>
        <v>2022III</v>
      </c>
      <c r="R16" s="78" t="str">
        <f>_xlfn.CONCAT(R$1,R$2)</f>
        <v>2022IV</v>
      </c>
      <c r="S16" s="78" t="str">
        <f t="shared" ref="S16" si="15">_xlfn.CONCAT(S$1,S$2)</f>
        <v>2022Total</v>
      </c>
    </row>
    <row r="17" spans="1:19" x14ac:dyDescent="0.25">
      <c r="A17" t="s">
        <v>63</v>
      </c>
      <c r="B17" t="s">
        <v>64</v>
      </c>
      <c r="C17" t="s">
        <v>65</v>
      </c>
      <c r="D17" s="52">
        <f>VLOOKUP($A17,Tbl_Frames[],4,FALSE)*D11</f>
        <v>700000</v>
      </c>
      <c r="E17" s="52">
        <f>VLOOKUP($A17,Tbl_Frames[],4,FALSE)*E11</f>
        <v>700000</v>
      </c>
      <c r="F17" s="52"/>
      <c r="G17" s="52"/>
      <c r="H17" s="52"/>
      <c r="I17" s="55">
        <f>SUM(E17:H17)</f>
        <v>700000</v>
      </c>
      <c r="K17" t="s">
        <v>18</v>
      </c>
      <c r="N17" s="1">
        <f>D11-N5</f>
        <v>0</v>
      </c>
      <c r="O17" s="1"/>
      <c r="P17" s="1"/>
      <c r="Q17" s="1"/>
      <c r="R17" s="1"/>
      <c r="S17" s="19"/>
    </row>
    <row r="18" spans="1:19" x14ac:dyDescent="0.25">
      <c r="A18" t="s">
        <v>66</v>
      </c>
      <c r="B18" t="s">
        <v>64</v>
      </c>
      <c r="C18" t="s">
        <v>65</v>
      </c>
      <c r="D18" s="52">
        <f>VLOOKUP($A18,Tbl_Frames[],4,FALSE)*D12</f>
        <v>567000</v>
      </c>
      <c r="E18" s="52">
        <f>VLOOKUP($A18,Tbl_Frames[],4,FALSE)*E12</f>
        <v>567000</v>
      </c>
      <c r="F18" s="52"/>
      <c r="G18" s="52"/>
      <c r="H18" s="52"/>
      <c r="I18" s="55">
        <f t="shared" ref="I18:I20" si="16">SUM(E18:H18)</f>
        <v>567000</v>
      </c>
      <c r="K18" t="s">
        <v>19</v>
      </c>
      <c r="N18" s="1">
        <f>D12-N6</f>
        <v>0</v>
      </c>
      <c r="O18" s="1"/>
      <c r="P18" s="1"/>
      <c r="Q18" s="1"/>
      <c r="R18" s="1"/>
      <c r="S18" s="19"/>
    </row>
    <row r="19" spans="1:19" x14ac:dyDescent="0.25">
      <c r="A19" s="57" t="s">
        <v>67</v>
      </c>
      <c r="B19" s="57" t="s">
        <v>64</v>
      </c>
      <c r="C19" t="s">
        <v>65</v>
      </c>
      <c r="D19" s="53">
        <f>VLOOKUP($A19,Tbl_Frames[],4,FALSE)*D13</f>
        <v>297000.00000000006</v>
      </c>
      <c r="E19" s="53">
        <f>VLOOKUP($A19,Tbl_Frames[],4,FALSE)*E13</f>
        <v>297000.00000000006</v>
      </c>
      <c r="F19" s="53"/>
      <c r="G19" s="53"/>
      <c r="H19" s="53"/>
      <c r="I19" s="55">
        <f t="shared" si="16"/>
        <v>297000.00000000006</v>
      </c>
      <c r="K19" t="s">
        <v>20</v>
      </c>
      <c r="N19" s="1">
        <f>D13-N7</f>
        <v>0</v>
      </c>
      <c r="O19" s="1"/>
      <c r="P19" s="1"/>
      <c r="Q19" s="1"/>
      <c r="R19" s="1"/>
      <c r="S19" s="19"/>
    </row>
    <row r="20" spans="1:19" x14ac:dyDescent="0.25">
      <c r="A20" s="77" t="s">
        <v>54</v>
      </c>
      <c r="B20" s="77"/>
      <c r="C20" s="77"/>
      <c r="D20" s="79">
        <f>SUM(D17:D19)</f>
        <v>1564000</v>
      </c>
      <c r="E20" s="79">
        <f t="shared" ref="E20:H20" si="17">SUM(E17:E19)</f>
        <v>1564000</v>
      </c>
      <c r="F20" s="79">
        <f t="shared" si="17"/>
        <v>0</v>
      </c>
      <c r="G20" s="79">
        <f t="shared" si="17"/>
        <v>0</v>
      </c>
      <c r="H20" s="79">
        <f t="shared" si="17"/>
        <v>0</v>
      </c>
      <c r="I20" s="82">
        <f t="shared" si="16"/>
        <v>1564000</v>
      </c>
      <c r="K20" s="77" t="s">
        <v>54</v>
      </c>
      <c r="L20" s="77"/>
      <c r="M20" s="77"/>
      <c r="N20" s="83">
        <f>SUM(N17:N19)</f>
        <v>0</v>
      </c>
      <c r="O20" s="83"/>
      <c r="P20" s="83"/>
      <c r="Q20" s="83"/>
      <c r="R20" s="83"/>
      <c r="S20" s="83"/>
    </row>
    <row r="21" spans="1:19" x14ac:dyDescent="0.25">
      <c r="N21"/>
    </row>
    <row r="22" spans="1:19" x14ac:dyDescent="0.25">
      <c r="A22" s="77" t="s">
        <v>68</v>
      </c>
      <c r="B22" s="77"/>
      <c r="C22" s="77"/>
      <c r="D22" s="78" t="str">
        <f>_xlfn.CONCAT(D$1,D$2)</f>
        <v>2021IV</v>
      </c>
      <c r="E22" s="78" t="str">
        <f t="shared" ref="E22:H22" si="18">_xlfn.CONCAT(E$1,E$2)</f>
        <v>2022I</v>
      </c>
      <c r="F22" s="78" t="str">
        <f t="shared" si="18"/>
        <v>2022II</v>
      </c>
      <c r="G22" s="78" t="str">
        <f t="shared" si="18"/>
        <v>2022III</v>
      </c>
      <c r="H22" s="78" t="str">
        <f t="shared" si="18"/>
        <v>2022IV</v>
      </c>
      <c r="I22" s="78" t="str">
        <f t="shared" ref="I22" si="19">_xlfn.CONCAT(I$1,I$2)</f>
        <v>2022Total</v>
      </c>
      <c r="K22" s="77" t="s">
        <v>69</v>
      </c>
      <c r="L22" s="77"/>
      <c r="M22" s="77"/>
      <c r="N22" s="78" t="str">
        <f>_xlfn.CONCAT(N$1,N$2)</f>
        <v>2021IV</v>
      </c>
      <c r="O22" s="78" t="str">
        <f>_xlfn.CONCAT(O$1,O$2)</f>
        <v>2022I</v>
      </c>
      <c r="P22" s="78" t="str">
        <f>_xlfn.CONCAT(P$1,P$2)</f>
        <v>2022II</v>
      </c>
      <c r="Q22" s="78" t="str">
        <f>_xlfn.CONCAT(Q$1,Q$2)</f>
        <v>2022III</v>
      </c>
      <c r="R22" s="78" t="str">
        <f>_xlfn.CONCAT(R$1,R$2)</f>
        <v>2022IV</v>
      </c>
      <c r="S22" s="78" t="str">
        <f t="shared" ref="S22" si="20">_xlfn.CONCAT(S$1,S$2)</f>
        <v>2022Total</v>
      </c>
    </row>
    <row r="23" spans="1:19" x14ac:dyDescent="0.25">
      <c r="A23" t="s">
        <v>70</v>
      </c>
      <c r="B23" t="s">
        <v>64</v>
      </c>
      <c r="C23" t="s">
        <v>65</v>
      </c>
      <c r="D23" s="52">
        <f>VLOOKUP($A23,Tbl_PartsSets[],4,FALSE)*D11</f>
        <v>728000</v>
      </c>
      <c r="E23" s="52"/>
      <c r="F23" s="52"/>
      <c r="G23" s="52"/>
      <c r="H23" s="52"/>
      <c r="I23" s="55">
        <f>SUM(E23:H23)</f>
        <v>0</v>
      </c>
      <c r="K23" t="s">
        <v>18</v>
      </c>
      <c r="N23" s="3">
        <f>N17*'Cost prices bicycles'!$D10</f>
        <v>0</v>
      </c>
      <c r="O23" s="3"/>
      <c r="P23" s="3"/>
      <c r="Q23" s="3"/>
      <c r="R23" s="3"/>
      <c r="S23" s="22"/>
    </row>
    <row r="24" spans="1:19" x14ac:dyDescent="0.25">
      <c r="A24" t="s">
        <v>71</v>
      </c>
      <c r="B24" t="s">
        <v>64</v>
      </c>
      <c r="C24" t="s">
        <v>65</v>
      </c>
      <c r="D24" s="52">
        <f>VLOOKUP($A24,Tbl_PartsSets[],4,FALSE)*D12</f>
        <v>546000</v>
      </c>
      <c r="E24" s="52"/>
      <c r="F24" s="52"/>
      <c r="G24" s="52"/>
      <c r="H24" s="52"/>
      <c r="I24" s="55">
        <f t="shared" ref="I24:I26" si="21">SUM(E24:H24)</f>
        <v>0</v>
      </c>
      <c r="K24" t="s">
        <v>19</v>
      </c>
      <c r="N24" s="3">
        <f>N18*'Cost prices bicycles'!$I10</f>
        <v>0</v>
      </c>
      <c r="O24" s="3"/>
      <c r="P24" s="3"/>
      <c r="Q24" s="3"/>
      <c r="R24" s="3"/>
      <c r="S24" s="22"/>
    </row>
    <row r="25" spans="1:19" x14ac:dyDescent="0.25">
      <c r="A25" t="s">
        <v>72</v>
      </c>
      <c r="B25" t="s">
        <v>64</v>
      </c>
      <c r="C25" t="s">
        <v>65</v>
      </c>
      <c r="D25" s="52">
        <f>VLOOKUP($A25,Tbl_PartsSets[],4,FALSE)*D13</f>
        <v>214500.00000000003</v>
      </c>
      <c r="E25" s="52"/>
      <c r="F25" s="52"/>
      <c r="G25" s="52"/>
      <c r="H25" s="52"/>
      <c r="I25" s="55">
        <f t="shared" si="21"/>
        <v>0</v>
      </c>
      <c r="K25" t="s">
        <v>20</v>
      </c>
      <c r="N25" s="3">
        <f>N19*'Cost prices bicycles'!$N10</f>
        <v>0</v>
      </c>
      <c r="O25" s="3"/>
      <c r="P25" s="3"/>
      <c r="Q25" s="3"/>
      <c r="R25" s="3"/>
      <c r="S25" s="22"/>
    </row>
    <row r="26" spans="1:19" x14ac:dyDescent="0.25">
      <c r="A26" s="77" t="s">
        <v>54</v>
      </c>
      <c r="B26" s="77"/>
      <c r="C26" s="77"/>
      <c r="D26" s="79">
        <f>SUM(D22:D25)</f>
        <v>1488500</v>
      </c>
      <c r="E26" s="79">
        <f t="shared" ref="E26:G26" si="22">SUM(E22:E25)</f>
        <v>0</v>
      </c>
      <c r="F26" s="79">
        <f t="shared" si="22"/>
        <v>0</v>
      </c>
      <c r="G26" s="79">
        <f t="shared" si="22"/>
        <v>0</v>
      </c>
      <c r="H26" s="79">
        <f>SUM(H22:H25)</f>
        <v>0</v>
      </c>
      <c r="I26" s="82">
        <f t="shared" si="21"/>
        <v>0</v>
      </c>
      <c r="K26" s="77" t="s">
        <v>54</v>
      </c>
      <c r="L26" s="77"/>
      <c r="M26" s="77"/>
      <c r="N26" s="81">
        <f>SUM(N23:N25)</f>
        <v>0</v>
      </c>
      <c r="O26" s="81"/>
      <c r="P26" s="81"/>
      <c r="Q26" s="81"/>
      <c r="R26" s="81"/>
      <c r="S26" s="81"/>
    </row>
    <row r="27" spans="1:19" x14ac:dyDescent="0.25">
      <c r="O27" s="51"/>
    </row>
    <row r="28" spans="1:19" x14ac:dyDescent="0.25">
      <c r="A28" s="77" t="s">
        <v>73</v>
      </c>
      <c r="B28" s="77"/>
      <c r="C28" s="77"/>
      <c r="D28" s="78" t="str">
        <f>_xlfn.CONCAT(D$1,D$2)</f>
        <v>2021IV</v>
      </c>
      <c r="E28" s="78" t="str">
        <f t="shared" ref="E28:H28" si="23">_xlfn.CONCAT(E$1,E$2)</f>
        <v>2022I</v>
      </c>
      <c r="F28" s="78" t="str">
        <f t="shared" si="23"/>
        <v>2022II</v>
      </c>
      <c r="G28" s="78" t="str">
        <f t="shared" si="23"/>
        <v>2022III</v>
      </c>
      <c r="H28" s="78" t="str">
        <f t="shared" si="23"/>
        <v>2022IV</v>
      </c>
      <c r="I28" s="78" t="str">
        <f t="shared" ref="I28" si="24">_xlfn.CONCAT(I$1,I$2)</f>
        <v>2022Total</v>
      </c>
      <c r="K28" s="77" t="s">
        <v>74</v>
      </c>
      <c r="L28" s="77" t="s">
        <v>60</v>
      </c>
      <c r="M28" s="77" t="s">
        <v>61</v>
      </c>
      <c r="N28" s="78" t="str">
        <f>_xlfn.CONCAT(N$1,N$2)</f>
        <v>2021IV</v>
      </c>
      <c r="O28" s="78" t="str">
        <f>_xlfn.CONCAT(O$1,O$2)</f>
        <v>2022I</v>
      </c>
      <c r="P28" s="78" t="str">
        <f>_xlfn.CONCAT(P$1,P$2)</f>
        <v>2022II</v>
      </c>
      <c r="Q28" s="78" t="str">
        <f>_xlfn.CONCAT(Q$1,Q$2)</f>
        <v>2022III</v>
      </c>
      <c r="R28" s="78" t="str">
        <f>_xlfn.CONCAT(R$1,R$2)</f>
        <v>2022IV</v>
      </c>
      <c r="S28" s="78" t="str">
        <f t="shared" ref="S28" si="25">_xlfn.CONCAT(S$1,S$2)</f>
        <v>2022Total</v>
      </c>
    </row>
    <row r="29" spans="1:19" x14ac:dyDescent="0.25">
      <c r="A29" t="s">
        <v>75</v>
      </c>
      <c r="B29" t="s">
        <v>76</v>
      </c>
      <c r="C29" t="s">
        <v>77</v>
      </c>
      <c r="D29" s="52">
        <f>SUMIFS(Tbl_Loan1[Interest amount],Tbl_Loan1[Year],Budget!D$1,Tbl_Loan1[Quarter],Budget!D$2)</f>
        <v>5036.5286013496707</v>
      </c>
      <c r="E29" s="52"/>
      <c r="F29" s="52"/>
      <c r="G29" s="52"/>
      <c r="H29" s="52"/>
      <c r="K29" s="7" t="s">
        <v>78</v>
      </c>
      <c r="L29" t="s">
        <v>64</v>
      </c>
      <c r="M29" t="s">
        <v>65</v>
      </c>
      <c r="N29" s="54">
        <f>VLOOKUP($K29,Tbl_PackagingMaterials[],4,FALSE)*N8</f>
        <v>65500</v>
      </c>
      <c r="O29" s="54"/>
      <c r="P29" s="54"/>
      <c r="Q29" s="54"/>
      <c r="R29" s="54"/>
      <c r="S29" s="19"/>
    </row>
    <row r="30" spans="1:19" x14ac:dyDescent="0.25">
      <c r="A30" t="s">
        <v>79</v>
      </c>
      <c r="B30" t="s">
        <v>76</v>
      </c>
      <c r="C30" t="s">
        <v>77</v>
      </c>
      <c r="D30" s="52">
        <f>SUMIFS(Tbl_Loan2[Interest amount],Tbl_Loan2[Year],Budget!D$1,Tbl_Loan2[Quarter],Budget!D$2)</f>
        <v>459.37499999999739</v>
      </c>
      <c r="E30" s="52"/>
      <c r="F30" s="52"/>
      <c r="G30" s="52"/>
      <c r="H30" s="52"/>
      <c r="O30" s="51"/>
    </row>
    <row r="31" spans="1:19" x14ac:dyDescent="0.25">
      <c r="A31" t="s">
        <v>80</v>
      </c>
      <c r="B31" t="s">
        <v>76</v>
      </c>
      <c r="C31" t="s">
        <v>77</v>
      </c>
      <c r="D31" s="52">
        <f>SUMIFS(Tbl_Loan3[Interest amount],Tbl_Loan3[Year],Budget!D$1,Tbl_Loan3[Quarter],Budget!D$2)</f>
        <v>3632.8125</v>
      </c>
      <c r="E31" s="52"/>
      <c r="F31" s="52"/>
      <c r="G31" s="52"/>
      <c r="H31" s="52"/>
      <c r="K31" s="77" t="s">
        <v>81</v>
      </c>
      <c r="L31" s="77"/>
      <c r="M31" s="77"/>
      <c r="N31" s="78" t="str">
        <f>_xlfn.CONCAT(N$1,N$2)</f>
        <v>2021IV</v>
      </c>
      <c r="O31" s="78" t="str">
        <f>_xlfn.CONCAT(O$1,O$2)</f>
        <v>2022I</v>
      </c>
      <c r="P31" s="78" t="str">
        <f>_xlfn.CONCAT(P$1,P$2)</f>
        <v>2022II</v>
      </c>
      <c r="Q31" s="78" t="str">
        <f>_xlfn.CONCAT(Q$1,Q$2)</f>
        <v>2022III</v>
      </c>
      <c r="R31" s="78" t="str">
        <f>_xlfn.CONCAT(R$1,R$2)</f>
        <v>2022IV</v>
      </c>
      <c r="S31" s="78" t="str">
        <f t="shared" ref="S31" si="26">_xlfn.CONCAT(S$1,S$2)</f>
        <v>2022Total</v>
      </c>
    </row>
    <row r="32" spans="1:19" x14ac:dyDescent="0.25">
      <c r="A32" t="s">
        <v>82</v>
      </c>
      <c r="B32" t="s">
        <v>76</v>
      </c>
      <c r="C32" t="s">
        <v>77</v>
      </c>
      <c r="D32" s="52">
        <f>Ledgers!P56</f>
        <v>35912.441781828195</v>
      </c>
      <c r="E32" s="52"/>
      <c r="F32" s="52"/>
      <c r="G32" s="52"/>
      <c r="H32" s="52"/>
      <c r="K32" t="s">
        <v>18</v>
      </c>
      <c r="L32" t="s">
        <v>64</v>
      </c>
      <c r="M32" t="s">
        <v>77</v>
      </c>
      <c r="N32" s="52">
        <v>50000</v>
      </c>
      <c r="O32" s="52">
        <v>50000</v>
      </c>
      <c r="P32" s="52">
        <v>50000</v>
      </c>
      <c r="Q32" s="52">
        <v>50000</v>
      </c>
      <c r="R32" s="52">
        <v>50000</v>
      </c>
      <c r="S32" s="22">
        <f>SUM(R32:R32)</f>
        <v>50000</v>
      </c>
    </row>
    <row r="33" spans="1:19" x14ac:dyDescent="0.25">
      <c r="A33" s="77" t="s">
        <v>54</v>
      </c>
      <c r="B33" s="77"/>
      <c r="C33" s="77"/>
      <c r="D33" s="79">
        <f>SUM(D28:D32)</f>
        <v>45041.157883177861</v>
      </c>
      <c r="E33" s="79">
        <f t="shared" ref="E33:I33" si="27">SUM(E28:E32)</f>
        <v>0</v>
      </c>
      <c r="F33" s="79">
        <f t="shared" si="27"/>
        <v>0</v>
      </c>
      <c r="G33" s="79">
        <f t="shared" si="27"/>
        <v>0</v>
      </c>
      <c r="H33" s="79">
        <f t="shared" si="27"/>
        <v>0</v>
      </c>
      <c r="I33" s="79">
        <f t="shared" si="27"/>
        <v>0</v>
      </c>
      <c r="K33" t="s">
        <v>19</v>
      </c>
      <c r="L33" t="s">
        <v>64</v>
      </c>
      <c r="M33" t="s">
        <v>77</v>
      </c>
      <c r="N33" s="52">
        <v>50000</v>
      </c>
      <c r="O33" s="52">
        <v>50000</v>
      </c>
      <c r="P33" s="52">
        <v>50000</v>
      </c>
      <c r="Q33" s="52">
        <v>50000</v>
      </c>
      <c r="R33" s="52">
        <v>50000</v>
      </c>
      <c r="S33" s="22">
        <f>SUM(R33:R33)</f>
        <v>50000</v>
      </c>
    </row>
    <row r="34" spans="1:19" x14ac:dyDescent="0.25">
      <c r="D34" s="54"/>
      <c r="E34" s="54"/>
      <c r="F34" s="54"/>
      <c r="G34" s="54"/>
      <c r="H34" s="54"/>
      <c r="I34" s="54"/>
      <c r="K34" t="s">
        <v>20</v>
      </c>
      <c r="L34" t="s">
        <v>64</v>
      </c>
      <c r="M34" t="s">
        <v>77</v>
      </c>
      <c r="N34" s="52">
        <v>50000</v>
      </c>
      <c r="O34" s="52">
        <v>50000</v>
      </c>
      <c r="P34" s="52">
        <v>50000</v>
      </c>
      <c r="Q34" s="52">
        <v>50000</v>
      </c>
      <c r="R34" s="52">
        <v>50000</v>
      </c>
      <c r="S34" s="22">
        <f>SUM(R34:R34)</f>
        <v>50000</v>
      </c>
    </row>
    <row r="35" spans="1:19" x14ac:dyDescent="0.25">
      <c r="A35" s="77" t="s">
        <v>83</v>
      </c>
      <c r="B35" s="77"/>
      <c r="C35" s="77"/>
      <c r="D35" s="78" t="str">
        <f>_xlfn.CONCAT(D$1,D$2)</f>
        <v>2021IV</v>
      </c>
      <c r="E35" s="78" t="str">
        <f t="shared" ref="E35:H35" si="28">_xlfn.CONCAT(E$1,E$2)</f>
        <v>2022I</v>
      </c>
      <c r="F35" s="78" t="str">
        <f t="shared" si="28"/>
        <v>2022II</v>
      </c>
      <c r="G35" s="78" t="str">
        <f t="shared" si="28"/>
        <v>2022III</v>
      </c>
      <c r="H35" s="78" t="str">
        <f t="shared" si="28"/>
        <v>2022IV</v>
      </c>
      <c r="I35" s="78" t="str">
        <f t="shared" ref="I35" si="29">_xlfn.CONCAT(I$1,I$2)</f>
        <v>2022Total</v>
      </c>
      <c r="K35" s="77" t="s">
        <v>54</v>
      </c>
      <c r="L35" s="77"/>
      <c r="M35" s="77"/>
      <c r="N35" s="79">
        <f>SUM(N32:N34)</f>
        <v>150000</v>
      </c>
      <c r="O35" s="79">
        <f>SUM(O32:O34)</f>
        <v>150000</v>
      </c>
      <c r="P35" s="79">
        <f t="shared" ref="P35:Q35" si="30">SUM(P32:P34)</f>
        <v>150000</v>
      </c>
      <c r="Q35" s="79">
        <f t="shared" si="30"/>
        <v>150000</v>
      </c>
      <c r="R35" s="79">
        <f>SUM(R32:R34)</f>
        <v>150000</v>
      </c>
      <c r="S35" s="79">
        <f t="shared" ref="S35" si="31">SUM(S32:S34)</f>
        <v>150000</v>
      </c>
    </row>
    <row r="36" spans="1:19" x14ac:dyDescent="0.25">
      <c r="A36" t="s">
        <v>75</v>
      </c>
      <c r="D36" s="52">
        <f>SUMIF(Tbl_Loan1[Year Quarter],Budget!D35,Tbl_Loan1[Redemption amount])</f>
        <v>14321.012386573675</v>
      </c>
      <c r="E36" s="54"/>
      <c r="F36" s="54"/>
      <c r="G36" s="54"/>
      <c r="H36" s="54"/>
      <c r="I36" s="55">
        <f>SUM(E36:H36)</f>
        <v>0</v>
      </c>
      <c r="N36" s="54"/>
      <c r="O36" s="54"/>
      <c r="P36" s="54"/>
      <c r="Q36" s="54"/>
      <c r="R36" s="54"/>
      <c r="S36" s="54"/>
    </row>
    <row r="37" spans="1:19" x14ac:dyDescent="0.25">
      <c r="A37" t="s">
        <v>79</v>
      </c>
      <c r="D37" s="52">
        <f>SUMIFS(Tbl_Loan2[Redemption amount],Tbl_Loan2[Year],Budget!D$1,Tbl_Loan2[Quarter],Budget!D$2)</f>
        <v>8750</v>
      </c>
      <c r="E37" s="54"/>
      <c r="F37" s="54"/>
      <c r="G37" s="54"/>
      <c r="H37" s="54"/>
      <c r="I37" s="55">
        <f t="shared" ref="I37:I39" si="32">SUM(E37:H37)</f>
        <v>0</v>
      </c>
      <c r="K37" s="80"/>
      <c r="L37" s="80"/>
      <c r="M37" s="80"/>
      <c r="N37" s="78" t="str">
        <f>_xlfn.CONCAT(N$1,N$2)</f>
        <v>2021IV</v>
      </c>
      <c r="O37" s="78" t="str">
        <f>_xlfn.CONCAT(O$1,O$2)</f>
        <v>2022I</v>
      </c>
      <c r="P37" s="78" t="str">
        <f>_xlfn.CONCAT(P$1,P$2)</f>
        <v>2022II</v>
      </c>
      <c r="Q37" s="78" t="str">
        <f>_xlfn.CONCAT(Q$1,Q$2)</f>
        <v>2022III</v>
      </c>
      <c r="R37" s="78" t="str">
        <f>_xlfn.CONCAT(R$1,R$2)</f>
        <v>2022IV</v>
      </c>
      <c r="S37" s="78" t="str">
        <f t="shared" ref="S37" si="33">_xlfn.CONCAT(S$1,S$2)</f>
        <v>2022Total</v>
      </c>
    </row>
    <row r="38" spans="1:19" x14ac:dyDescent="0.25">
      <c r="A38" t="s">
        <v>80</v>
      </c>
      <c r="D38" s="52">
        <f>SUMIFS(Tbl_Loan3[Redemption amount],Tbl_Loan3[Year],Budget!D$1,Tbl_Loan3[Quarter],Budget!D$2)</f>
        <v>14062.5</v>
      </c>
      <c r="E38" s="54"/>
      <c r="F38" s="54"/>
      <c r="G38" s="54"/>
      <c r="H38" s="54"/>
      <c r="I38" s="55">
        <f t="shared" si="32"/>
        <v>0</v>
      </c>
      <c r="K38" t="s">
        <v>84</v>
      </c>
      <c r="N38" s="50">
        <f>Given!$B66</f>
        <v>337.5</v>
      </c>
      <c r="O38" s="50"/>
      <c r="P38" s="50"/>
      <c r="Q38" s="50"/>
      <c r="R38" s="50"/>
      <c r="S38" s="19"/>
    </row>
    <row r="39" spans="1:19" x14ac:dyDescent="0.25">
      <c r="A39" s="77" t="s">
        <v>54</v>
      </c>
      <c r="B39" s="77"/>
      <c r="C39" s="77"/>
      <c r="D39" s="79">
        <f>SUM(D36:D38)</f>
        <v>37133.512386573675</v>
      </c>
      <c r="E39" s="79">
        <f t="shared" ref="E39:H39" si="34">SUM(E36:E38)</f>
        <v>0</v>
      </c>
      <c r="F39" s="79">
        <f t="shared" si="34"/>
        <v>0</v>
      </c>
      <c r="G39" s="79">
        <f t="shared" si="34"/>
        <v>0</v>
      </c>
      <c r="H39" s="79">
        <f t="shared" si="34"/>
        <v>0</v>
      </c>
      <c r="I39" s="82">
        <f t="shared" si="32"/>
        <v>0</v>
      </c>
      <c r="K39" s="77" t="s">
        <v>85</v>
      </c>
      <c r="L39" s="80" t="s">
        <v>76</v>
      </c>
      <c r="M39" s="80" t="s">
        <v>65</v>
      </c>
      <c r="N39" s="79">
        <f>N38*Stock!$D$15</f>
        <v>8437.5</v>
      </c>
      <c r="O39" s="79"/>
      <c r="P39" s="79"/>
      <c r="Q39" s="79"/>
      <c r="R39" s="79"/>
      <c r="S39" s="79"/>
    </row>
    <row r="40" spans="1:19" x14ac:dyDescent="0.25">
      <c r="A40" s="7"/>
      <c r="B40" s="7"/>
      <c r="C40" s="7"/>
      <c r="D40" s="54"/>
      <c r="E40" s="54"/>
      <c r="F40" s="54"/>
      <c r="G40" s="54"/>
      <c r="H40" s="54"/>
      <c r="I40" s="54"/>
    </row>
    <row r="41" spans="1:19" x14ac:dyDescent="0.25">
      <c r="A41" s="77" t="s">
        <v>86</v>
      </c>
      <c r="B41" s="77"/>
      <c r="C41" s="77"/>
      <c r="D41" s="78" t="str">
        <f>_xlfn.CONCAT(D$1,D$2)</f>
        <v>2021IV</v>
      </c>
      <c r="E41" s="78" t="str">
        <f t="shared" ref="E41:H41" si="35">_xlfn.CONCAT(E$1,E$2)</f>
        <v>2022I</v>
      </c>
      <c r="F41" s="78" t="str">
        <f t="shared" si="35"/>
        <v>2022II</v>
      </c>
      <c r="G41" s="78" t="str">
        <f t="shared" si="35"/>
        <v>2022III</v>
      </c>
      <c r="H41" s="78" t="str">
        <f t="shared" si="35"/>
        <v>2022IV</v>
      </c>
      <c r="I41" s="78" t="str">
        <f t="shared" ref="I41" si="36">_xlfn.CONCAT(I$1,I$2)</f>
        <v>2022Total</v>
      </c>
    </row>
    <row r="42" spans="1:19" x14ac:dyDescent="0.25">
      <c r="A42" t="s">
        <v>87</v>
      </c>
      <c r="B42" t="s">
        <v>76</v>
      </c>
      <c r="C42" t="s">
        <v>77</v>
      </c>
      <c r="D42" s="52">
        <v>6000</v>
      </c>
      <c r="E42" s="52"/>
      <c r="F42" s="52"/>
      <c r="G42" s="52"/>
      <c r="H42" s="52"/>
      <c r="I42" s="54"/>
    </row>
    <row r="43" spans="1:19" x14ac:dyDescent="0.25">
      <c r="A43" t="s">
        <v>88</v>
      </c>
      <c r="B43" t="s">
        <v>76</v>
      </c>
      <c r="C43" t="s">
        <v>77</v>
      </c>
      <c r="D43" s="52">
        <v>4000</v>
      </c>
      <c r="E43" s="52"/>
      <c r="F43" s="52"/>
      <c r="G43" s="52"/>
      <c r="H43" s="52"/>
      <c r="I43" s="54"/>
    </row>
    <row r="44" spans="1:19" x14ac:dyDescent="0.25">
      <c r="A44" s="77" t="s">
        <v>54</v>
      </c>
      <c r="B44" s="77"/>
      <c r="C44" s="77"/>
      <c r="D44" s="79">
        <f t="shared" ref="D44:I44" si="37">SUM(D42:D43)</f>
        <v>10000</v>
      </c>
      <c r="E44" s="79">
        <f t="shared" si="37"/>
        <v>0</v>
      </c>
      <c r="F44" s="79">
        <f t="shared" si="37"/>
        <v>0</v>
      </c>
      <c r="G44" s="79">
        <f t="shared" si="37"/>
        <v>0</v>
      </c>
      <c r="H44" s="79">
        <f t="shared" si="37"/>
        <v>0</v>
      </c>
      <c r="I44" s="79">
        <f t="shared" si="37"/>
        <v>0</v>
      </c>
    </row>
    <row r="45" spans="1:19" x14ac:dyDescent="0.25">
      <c r="D45" s="52"/>
      <c r="E45" s="52"/>
      <c r="F45" s="52"/>
      <c r="G45" s="52"/>
      <c r="H45" s="52"/>
    </row>
    <row r="46" spans="1:19" x14ac:dyDescent="0.25">
      <c r="A46" s="77" t="s">
        <v>89</v>
      </c>
      <c r="B46" s="77"/>
      <c r="C46" s="80"/>
      <c r="D46" s="78" t="str">
        <f>_xlfn.CONCAT(D$1,D$2)</f>
        <v>2021IV</v>
      </c>
      <c r="E46" s="78" t="str">
        <f t="shared" ref="E46:H46" si="38">_xlfn.CONCAT(E$1,E$2)</f>
        <v>2022I</v>
      </c>
      <c r="F46" s="78" t="str">
        <f t="shared" si="38"/>
        <v>2022II</v>
      </c>
      <c r="G46" s="78" t="str">
        <f t="shared" si="38"/>
        <v>2022III</v>
      </c>
      <c r="H46" s="78" t="str">
        <f t="shared" si="38"/>
        <v>2022IV</v>
      </c>
      <c r="I46" s="78" t="str">
        <f t="shared" ref="I46" si="39">_xlfn.CONCAT(I$1,I$2)</f>
        <v>2022Total</v>
      </c>
    </row>
    <row r="47" spans="1:19" x14ac:dyDescent="0.25">
      <c r="A47" t="s">
        <v>90</v>
      </c>
      <c r="B47" t="s">
        <v>76</v>
      </c>
      <c r="C47" t="s">
        <v>77</v>
      </c>
      <c r="D47" s="52">
        <v>500</v>
      </c>
      <c r="E47" s="52"/>
      <c r="F47" s="52"/>
      <c r="G47" s="52"/>
      <c r="H47" s="52"/>
    </row>
    <row r="48" spans="1:19" x14ac:dyDescent="0.25">
      <c r="A48" s="57" t="s">
        <v>91</v>
      </c>
      <c r="B48" s="57" t="s">
        <v>76</v>
      </c>
      <c r="C48" s="57" t="s">
        <v>65</v>
      </c>
      <c r="D48" s="115">
        <v>1000</v>
      </c>
      <c r="E48" s="53"/>
      <c r="F48" s="53"/>
      <c r="G48" s="53"/>
      <c r="H48" s="53"/>
      <c r="I48" s="89"/>
    </row>
    <row r="49" spans="1:9" x14ac:dyDescent="0.25">
      <c r="A49" s="77" t="s">
        <v>54</v>
      </c>
      <c r="B49" s="77"/>
      <c r="C49" s="80"/>
      <c r="D49" s="79">
        <f>SUM(D47:D48)</f>
        <v>1500</v>
      </c>
      <c r="E49" s="79">
        <f t="shared" ref="E49:I49" si="40">SUM(E47:E48)</f>
        <v>0</v>
      </c>
      <c r="F49" s="79">
        <f t="shared" si="40"/>
        <v>0</v>
      </c>
      <c r="G49" s="79">
        <f t="shared" si="40"/>
        <v>0</v>
      </c>
      <c r="H49" s="79">
        <f t="shared" si="40"/>
        <v>0</v>
      </c>
      <c r="I49" s="79">
        <f t="shared" si="40"/>
        <v>0</v>
      </c>
    </row>
    <row r="51" spans="1:9" x14ac:dyDescent="0.25">
      <c r="A51" s="77" t="s">
        <v>92</v>
      </c>
      <c r="B51" s="77"/>
      <c r="C51" s="77"/>
      <c r="D51" s="78" t="str">
        <f>_xlfn.CONCAT(D$1,D$2)</f>
        <v>2021IV</v>
      </c>
      <c r="E51" s="78" t="str">
        <f t="shared" ref="E51:H51" si="41">_xlfn.CONCAT(E$1,E$2)</f>
        <v>2022I</v>
      </c>
      <c r="F51" s="78" t="str">
        <f t="shared" si="41"/>
        <v>2022II</v>
      </c>
      <c r="G51" s="78" t="str">
        <f t="shared" si="41"/>
        <v>2022III</v>
      </c>
      <c r="H51" s="78" t="str">
        <f t="shared" si="41"/>
        <v>2022IV</v>
      </c>
      <c r="I51" s="78" t="str">
        <f t="shared" ref="I51" si="42">_xlfn.CONCAT(I$1,I$2)</f>
        <v>2022Total</v>
      </c>
    </row>
    <row r="52" spans="1:9" x14ac:dyDescent="0.25">
      <c r="A52" t="s">
        <v>93</v>
      </c>
      <c r="B52" t="s">
        <v>64</v>
      </c>
      <c r="C52" t="s">
        <v>65</v>
      </c>
      <c r="D52" s="116">
        <f>D20+D26</f>
        <v>3052500</v>
      </c>
      <c r="E52" s="3"/>
      <c r="F52" s="3"/>
      <c r="G52" s="3"/>
      <c r="H52" s="3"/>
    </row>
    <row r="53" spans="1:9" x14ac:dyDescent="0.25">
      <c r="A53" t="s">
        <v>94</v>
      </c>
      <c r="B53" t="s">
        <v>64</v>
      </c>
      <c r="C53" t="s">
        <v>77</v>
      </c>
      <c r="D53" s="3">
        <f>'Fixed Assets'!H6/4</f>
        <v>12656.25</v>
      </c>
      <c r="E53" s="3"/>
      <c r="F53" s="3"/>
      <c r="G53" s="3"/>
      <c r="H53" s="52"/>
    </row>
    <row r="54" spans="1:9" x14ac:dyDescent="0.25">
      <c r="A54" t="s">
        <v>95</v>
      </c>
      <c r="B54" t="s">
        <v>64</v>
      </c>
      <c r="C54" t="s">
        <v>77</v>
      </c>
      <c r="D54" s="3">
        <f>'Departments and FTE'!C78</f>
        <v>1600884</v>
      </c>
      <c r="E54" s="3"/>
      <c r="F54" s="3"/>
      <c r="G54" s="3"/>
      <c r="H54" s="52"/>
    </row>
    <row r="55" spans="1:9" x14ac:dyDescent="0.25">
      <c r="A55" s="77" t="s">
        <v>54</v>
      </c>
      <c r="B55" s="77"/>
      <c r="C55" s="80"/>
      <c r="D55" s="81">
        <f>SUM(D53:D54)</f>
        <v>1613540.25</v>
      </c>
      <c r="E55" s="81">
        <f t="shared" ref="E55:I55" si="43">SUM(E53:E54)</f>
        <v>0</v>
      </c>
      <c r="F55" s="81">
        <f t="shared" si="43"/>
        <v>0</v>
      </c>
      <c r="G55" s="81">
        <f t="shared" si="43"/>
        <v>0</v>
      </c>
      <c r="H55" s="81">
        <f t="shared" si="43"/>
        <v>0</v>
      </c>
      <c r="I55" s="81">
        <f t="shared" si="43"/>
        <v>0</v>
      </c>
    </row>
    <row r="56" spans="1:9" x14ac:dyDescent="0.25">
      <c r="D56"/>
      <c r="E56"/>
      <c r="F56"/>
      <c r="G56"/>
    </row>
    <row r="57" spans="1:9" x14ac:dyDescent="0.25">
      <c r="A57" s="77" t="s">
        <v>96</v>
      </c>
      <c r="B57" s="77"/>
      <c r="C57" s="80"/>
      <c r="D57" s="78" t="str">
        <f>_xlfn.CONCAT(D$1,D$2)</f>
        <v>2021IV</v>
      </c>
      <c r="E57" s="78" t="str">
        <f t="shared" ref="E57:H57" si="44">_xlfn.CONCAT(E$1,E$2)</f>
        <v>2022I</v>
      </c>
      <c r="F57" s="78" t="str">
        <f t="shared" si="44"/>
        <v>2022II</v>
      </c>
      <c r="G57" s="78" t="str">
        <f t="shared" si="44"/>
        <v>2022III</v>
      </c>
      <c r="H57" s="78" t="str">
        <f t="shared" si="44"/>
        <v>2022IV</v>
      </c>
      <c r="I57" s="78" t="str">
        <f t="shared" ref="I57" si="45">_xlfn.CONCAT(I$1,I$2)</f>
        <v>2022Total</v>
      </c>
    </row>
    <row r="58" spans="1:9" x14ac:dyDescent="0.25">
      <c r="A58" t="s">
        <v>97</v>
      </c>
      <c r="B58" t="s">
        <v>76</v>
      </c>
      <c r="C58" t="s">
        <v>77</v>
      </c>
      <c r="D58" s="3">
        <f>D33</f>
        <v>45041.157883177861</v>
      </c>
      <c r="E58" s="3"/>
      <c r="F58" s="3"/>
      <c r="G58" s="3"/>
      <c r="H58" s="52"/>
    </row>
    <row r="59" spans="1:9" x14ac:dyDescent="0.25">
      <c r="A59" t="s">
        <v>86</v>
      </c>
      <c r="B59" t="s">
        <v>76</v>
      </c>
      <c r="C59" t="s">
        <v>77</v>
      </c>
      <c r="D59" s="3">
        <f>D44</f>
        <v>10000</v>
      </c>
      <c r="E59" s="3"/>
      <c r="F59" s="3"/>
      <c r="G59" s="3"/>
      <c r="H59" s="3"/>
    </row>
    <row r="60" spans="1:9" x14ac:dyDescent="0.25">
      <c r="A60" t="s">
        <v>98</v>
      </c>
      <c r="B60" t="s">
        <v>76</v>
      </c>
      <c r="C60" t="s">
        <v>77</v>
      </c>
      <c r="D60" s="3">
        <f>D47</f>
        <v>500</v>
      </c>
      <c r="E60" s="3"/>
      <c r="F60" s="3"/>
      <c r="G60" s="3"/>
      <c r="H60" s="3"/>
    </row>
    <row r="61" spans="1:9" x14ac:dyDescent="0.25">
      <c r="A61" t="s">
        <v>99</v>
      </c>
      <c r="B61" t="s">
        <v>76</v>
      </c>
      <c r="C61" t="s">
        <v>65</v>
      </c>
      <c r="D61" s="3">
        <f>D48</f>
        <v>1000</v>
      </c>
      <c r="E61" s="3"/>
      <c r="F61" s="3"/>
      <c r="G61" s="3"/>
      <c r="H61" s="3"/>
    </row>
    <row r="62" spans="1:9" x14ac:dyDescent="0.25">
      <c r="A62" t="s">
        <v>100</v>
      </c>
      <c r="B62" t="s">
        <v>76</v>
      </c>
      <c r="C62" t="s">
        <v>77</v>
      </c>
      <c r="D62" s="3">
        <f>(Tbl_FixedAssets[[#Totals],[Annual depreciation]]-'Fixed Assets'!H6)/4</f>
        <v>21917.5</v>
      </c>
      <c r="E62" s="3"/>
      <c r="F62" s="3"/>
      <c r="G62" s="3"/>
      <c r="H62" s="52"/>
    </row>
    <row r="63" spans="1:9" x14ac:dyDescent="0.25">
      <c r="A63" t="s">
        <v>101</v>
      </c>
      <c r="B63" t="s">
        <v>76</v>
      </c>
      <c r="C63" t="s">
        <v>77</v>
      </c>
      <c r="D63" s="3">
        <f>'Departments and FTE'!C80-'Departments and FTE'!C78-'Departments and FTE'!C79</f>
        <v>152182.80000000005</v>
      </c>
      <c r="E63" s="3"/>
      <c r="F63" s="3"/>
      <c r="G63" s="3"/>
      <c r="H63" s="52"/>
    </row>
    <row r="64" spans="1:9" x14ac:dyDescent="0.25">
      <c r="A64" s="77" t="s">
        <v>54</v>
      </c>
      <c r="B64" s="77"/>
      <c r="C64" s="77"/>
      <c r="D64" s="81">
        <f>SUM(D58:D63)</f>
        <v>230641.45788317791</v>
      </c>
      <c r="E64" s="81">
        <f t="shared" ref="E64:I64" si="46">SUM(E58:E63)</f>
        <v>0</v>
      </c>
      <c r="F64" s="81">
        <f t="shared" si="46"/>
        <v>0</v>
      </c>
      <c r="G64" s="81">
        <f t="shared" si="46"/>
        <v>0</v>
      </c>
      <c r="H64" s="81">
        <f t="shared" si="46"/>
        <v>0</v>
      </c>
      <c r="I64" s="81">
        <f t="shared" si="46"/>
        <v>0</v>
      </c>
    </row>
    <row r="65" spans="1:9" x14ac:dyDescent="0.25">
      <c r="D65"/>
      <c r="E65"/>
      <c r="F65"/>
      <c r="G65"/>
    </row>
    <row r="66" spans="1:9" x14ac:dyDescent="0.25">
      <c r="A66" s="77" t="s">
        <v>102</v>
      </c>
      <c r="B66" s="77"/>
      <c r="C66" s="77"/>
      <c r="D66" s="78" t="str">
        <f>_xlfn.CONCAT(D$1,D$2)</f>
        <v>2021IV</v>
      </c>
      <c r="E66" s="78" t="str">
        <f t="shared" ref="E66:H66" si="47">_xlfn.CONCAT(E$1,E$2)</f>
        <v>2022I</v>
      </c>
      <c r="F66" s="78" t="str">
        <f t="shared" si="47"/>
        <v>2022II</v>
      </c>
      <c r="G66" s="78" t="str">
        <f t="shared" si="47"/>
        <v>2022III</v>
      </c>
      <c r="H66" s="78" t="str">
        <f t="shared" si="47"/>
        <v>2022IV</v>
      </c>
      <c r="I66" s="78" t="str">
        <f t="shared" ref="I66" si="48">_xlfn.CONCAT(I$1,I$2)</f>
        <v>2022Total</v>
      </c>
    </row>
    <row r="67" spans="1:9" x14ac:dyDescent="0.25">
      <c r="A67" t="s">
        <v>74</v>
      </c>
      <c r="B67" t="s">
        <v>64</v>
      </c>
      <c r="C67" t="s">
        <v>65</v>
      </c>
      <c r="D67" s="52">
        <f>N29</f>
        <v>65500</v>
      </c>
      <c r="E67" s="52"/>
      <c r="F67" s="52"/>
      <c r="G67" s="52"/>
      <c r="H67" s="52"/>
    </row>
    <row r="68" spans="1:9" x14ac:dyDescent="0.25">
      <c r="A68" t="s">
        <v>81</v>
      </c>
      <c r="B68" t="s">
        <v>64</v>
      </c>
      <c r="C68" t="s">
        <v>77</v>
      </c>
      <c r="D68" s="52">
        <f>N35</f>
        <v>150000</v>
      </c>
      <c r="E68" s="52"/>
      <c r="F68" s="52"/>
      <c r="G68" s="52"/>
      <c r="H68" s="52"/>
    </row>
    <row r="69" spans="1:9" x14ac:dyDescent="0.25">
      <c r="A69" s="77" t="s">
        <v>54</v>
      </c>
      <c r="B69" s="77"/>
      <c r="C69" s="80"/>
      <c r="D69" s="79">
        <f>SUM(D67:D68)</f>
        <v>215500</v>
      </c>
      <c r="E69" s="79">
        <f t="shared" ref="E69:I69" si="49">SUM(E67:E68)</f>
        <v>0</v>
      </c>
      <c r="F69" s="79">
        <f t="shared" si="49"/>
        <v>0</v>
      </c>
      <c r="G69" s="79">
        <f t="shared" si="49"/>
        <v>0</v>
      </c>
      <c r="H69" s="79">
        <f t="shared" si="49"/>
        <v>0</v>
      </c>
      <c r="I69" s="79">
        <f t="shared" si="49"/>
        <v>0</v>
      </c>
    </row>
    <row r="71" spans="1:9" x14ac:dyDescent="0.25">
      <c r="A71" s="77" t="s">
        <v>103</v>
      </c>
      <c r="B71" s="77"/>
      <c r="C71" s="77"/>
      <c r="D71" s="78" t="str">
        <f>_xlfn.CONCAT(D$1,D$2)</f>
        <v>2021IV</v>
      </c>
      <c r="E71" s="78" t="str">
        <f t="shared" ref="E71:H71" si="50">_xlfn.CONCAT(E$1,E$2)</f>
        <v>2022I</v>
      </c>
      <c r="F71" s="78" t="str">
        <f t="shared" si="50"/>
        <v>2022II</v>
      </c>
      <c r="G71" s="78" t="str">
        <f t="shared" si="50"/>
        <v>2022III</v>
      </c>
      <c r="H71" s="78" t="str">
        <f t="shared" si="50"/>
        <v>2022IV</v>
      </c>
      <c r="I71" s="78" t="str">
        <f t="shared" ref="I71" si="51">_xlfn.CONCAT(I$1,I$2)</f>
        <v>2022Total</v>
      </c>
    </row>
    <row r="72" spans="1:9" x14ac:dyDescent="0.25">
      <c r="A72" t="s">
        <v>104</v>
      </c>
      <c r="B72" t="s">
        <v>76</v>
      </c>
      <c r="C72" t="s">
        <v>77</v>
      </c>
      <c r="D72" s="52">
        <f>'Departments and FTE'!C79</f>
        <v>138348</v>
      </c>
      <c r="E72" s="52"/>
      <c r="F72" s="52"/>
      <c r="G72" s="52"/>
      <c r="H72" s="52"/>
    </row>
    <row r="73" spans="1:9" x14ac:dyDescent="0.25">
      <c r="A73" t="s">
        <v>85</v>
      </c>
      <c r="B73" t="s">
        <v>76</v>
      </c>
      <c r="C73" s="57" t="s">
        <v>65</v>
      </c>
      <c r="D73" s="52">
        <f>N39</f>
        <v>8437.5</v>
      </c>
      <c r="E73" s="52"/>
      <c r="F73" s="52"/>
      <c r="G73" s="52"/>
      <c r="H73" s="52"/>
    </row>
    <row r="74" spans="1:9" x14ac:dyDescent="0.25">
      <c r="A74" s="77" t="s">
        <v>54</v>
      </c>
      <c r="B74" s="77"/>
      <c r="C74" s="80"/>
      <c r="D74" s="79">
        <f>SUM(D72:D73)</f>
        <v>146785.5</v>
      </c>
      <c r="E74" s="79">
        <f t="shared" ref="E74:I74" si="52">SUM(E72:E73)</f>
        <v>0</v>
      </c>
      <c r="F74" s="79">
        <f t="shared" si="52"/>
        <v>0</v>
      </c>
      <c r="G74" s="79">
        <f t="shared" si="52"/>
        <v>0</v>
      </c>
      <c r="H74" s="79">
        <f t="shared" si="52"/>
        <v>0</v>
      </c>
      <c r="I74" s="79">
        <f t="shared" si="52"/>
        <v>0</v>
      </c>
    </row>
    <row r="76" spans="1:9" x14ac:dyDescent="0.25">
      <c r="D76" s="56"/>
      <c r="E76" s="56"/>
      <c r="F76" s="56"/>
      <c r="G76" s="56"/>
      <c r="H76" s="56"/>
    </row>
    <row r="79" spans="1:9" x14ac:dyDescent="0.25">
      <c r="D79" s="52"/>
    </row>
  </sheetData>
  <pageMargins left="0.7" right="0.7" top="0.75" bottom="0.75" header="0.3" footer="0.3"/>
  <pageSetup paperSize="9" orientation="portrait" horizontalDpi="0" verticalDpi="0" r:id="rId1"/>
  <ignoredErrors>
    <ignoredError sqref="D30" formula="1"/>
    <ignoredError sqref="I5:I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A4DB-09DC-4CEA-A36F-6436550C77A6}">
  <sheetPr>
    <tabColor rgb="FF92D050"/>
  </sheetPr>
  <dimension ref="A1:Q52"/>
  <sheetViews>
    <sheetView topLeftCell="E1" zoomScaleNormal="100" workbookViewId="0">
      <selection activeCell="I15" sqref="I15"/>
    </sheetView>
  </sheetViews>
  <sheetFormatPr defaultColWidth="9.109375" defaultRowHeight="13.2" x14ac:dyDescent="0.25"/>
  <cols>
    <col min="1" max="1" width="34" style="37" bestFit="1" customWidth="1"/>
    <col min="2" max="3" width="11.6640625" style="43" bestFit="1" customWidth="1"/>
    <col min="4" max="4" width="12.44140625" style="43" bestFit="1" customWidth="1"/>
    <col min="5" max="5" width="11.33203125" style="43" bestFit="1" customWidth="1"/>
    <col min="6" max="7" width="9.109375" style="43"/>
    <col min="8" max="8" width="34" style="43" customWidth="1"/>
    <col min="9" max="10" width="10.6640625" style="43" bestFit="1" customWidth="1"/>
    <col min="11" max="11" width="34" style="43" bestFit="1" customWidth="1"/>
    <col min="12" max="13" width="10.6640625" style="43" bestFit="1" customWidth="1"/>
    <col min="14" max="14" width="9.109375" style="37"/>
    <col min="15" max="15" width="18" style="37" bestFit="1" customWidth="1"/>
    <col min="16" max="16384" width="9.109375" style="37"/>
  </cols>
  <sheetData>
    <row r="1" spans="1:17" s="75" customFormat="1" ht="13.8" thickBot="1" x14ac:dyDescent="0.3">
      <c r="A1" s="76" t="s">
        <v>105</v>
      </c>
      <c r="B1" s="40">
        <f>Lists!G2</f>
        <v>44469</v>
      </c>
      <c r="C1" s="76">
        <v>44561</v>
      </c>
      <c r="H1" s="76" t="s">
        <v>106</v>
      </c>
      <c r="I1" s="76"/>
      <c r="J1" s="40" t="s">
        <v>107</v>
      </c>
      <c r="K1" s="90"/>
      <c r="L1" s="90"/>
      <c r="M1" s="92" t="s">
        <v>108</v>
      </c>
    </row>
    <row r="2" spans="1:17" s="41" customFormat="1" x14ac:dyDescent="0.25">
      <c r="A2" s="41" t="s">
        <v>109</v>
      </c>
      <c r="B2" s="42"/>
      <c r="C2" s="42"/>
      <c r="D2" s="42"/>
      <c r="E2" s="42"/>
      <c r="F2" s="42"/>
      <c r="G2" s="42"/>
      <c r="H2" s="75"/>
      <c r="I2" s="95">
        <f>C1</f>
        <v>44561</v>
      </c>
      <c r="J2" s="95">
        <f>B1</f>
        <v>44469</v>
      </c>
      <c r="K2" s="98"/>
      <c r="L2" s="95">
        <f>I2</f>
        <v>44561</v>
      </c>
      <c r="M2" s="95">
        <f>J2</f>
        <v>44469</v>
      </c>
    </row>
    <row r="3" spans="1:17" x14ac:dyDescent="0.25">
      <c r="A3" s="37" t="s">
        <v>110</v>
      </c>
      <c r="B3" s="43">
        <f>Ledgers!F3</f>
        <v>1200000</v>
      </c>
      <c r="C3" s="43">
        <f>Ledgers!F9</f>
        <v>1192500</v>
      </c>
      <c r="H3" s="41" t="s">
        <v>109</v>
      </c>
      <c r="I3" s="75"/>
      <c r="J3" s="42"/>
      <c r="K3" s="96"/>
      <c r="L3" s="42"/>
      <c r="M3" s="42"/>
    </row>
    <row r="4" spans="1:17" x14ac:dyDescent="0.25">
      <c r="A4" s="37" t="s">
        <v>111</v>
      </c>
      <c r="B4" s="43">
        <f>Ledgers!F13</f>
        <v>157760</v>
      </c>
      <c r="C4" s="43">
        <f>Ledgers!F19</f>
        <v>156230</v>
      </c>
      <c r="H4" s="37" t="s">
        <v>110</v>
      </c>
      <c r="I4" s="43">
        <f>C3</f>
        <v>1192500</v>
      </c>
      <c r="J4" s="43">
        <f>B3</f>
        <v>1200000</v>
      </c>
      <c r="K4" s="45" t="s">
        <v>112</v>
      </c>
      <c r="L4" s="42">
        <f>C25</f>
        <v>1337718.9524371773</v>
      </c>
      <c r="M4" s="42">
        <f>B25</f>
        <v>1468254.8871903555</v>
      </c>
      <c r="O4" s="43">
        <f>M4-L4</f>
        <v>130535.93475317815</v>
      </c>
    </row>
    <row r="5" spans="1:17" x14ac:dyDescent="0.25">
      <c r="A5" s="37" t="s">
        <v>113</v>
      </c>
      <c r="B5" s="43">
        <f>Ledgers!F23</f>
        <v>195000</v>
      </c>
      <c r="C5" s="43">
        <f>Ledgers!F29</f>
        <v>192375</v>
      </c>
      <c r="H5" s="37" t="s">
        <v>111</v>
      </c>
      <c r="I5" s="43">
        <f>C4</f>
        <v>156230</v>
      </c>
      <c r="J5" s="43">
        <f>B4</f>
        <v>157760</v>
      </c>
      <c r="K5" s="45"/>
      <c r="L5" s="42"/>
      <c r="M5" s="42"/>
    </row>
    <row r="6" spans="1:17" x14ac:dyDescent="0.25">
      <c r="A6" s="37" t="s">
        <v>114</v>
      </c>
      <c r="B6" s="43">
        <f>Ledgers!F33</f>
        <v>126000</v>
      </c>
      <c r="C6" s="43">
        <f>Ledgers!F39</f>
        <v>119000</v>
      </c>
      <c r="H6" s="37" t="s">
        <v>113</v>
      </c>
      <c r="I6" s="43">
        <f t="shared" ref="I6:I10" si="0">C5</f>
        <v>192375</v>
      </c>
      <c r="J6" s="43">
        <f t="shared" ref="J6:J10" si="1">B5</f>
        <v>195000</v>
      </c>
      <c r="K6" s="44"/>
      <c r="L6" s="37"/>
    </row>
    <row r="7" spans="1:17" x14ac:dyDescent="0.25">
      <c r="A7" s="37" t="s">
        <v>115</v>
      </c>
      <c r="B7" s="43">
        <f>Ledgers!F53</f>
        <v>348750</v>
      </c>
      <c r="C7" s="43">
        <f>Ledgers!F59</f>
        <v>336093.75</v>
      </c>
      <c r="H7" s="37" t="s">
        <v>114</v>
      </c>
      <c r="I7" s="43">
        <f t="shared" si="0"/>
        <v>119000</v>
      </c>
      <c r="J7" s="43">
        <f t="shared" si="1"/>
        <v>126000</v>
      </c>
      <c r="K7" s="45" t="s">
        <v>116</v>
      </c>
      <c r="L7" s="41"/>
    </row>
    <row r="8" spans="1:17" x14ac:dyDescent="0.25">
      <c r="A8" s="37" t="s">
        <v>117</v>
      </c>
      <c r="B8" s="43">
        <f>Ledgers!F43</f>
        <v>6300</v>
      </c>
      <c r="C8" s="43">
        <f>Ledgers!F49</f>
        <v>5287.5</v>
      </c>
      <c r="H8" s="37" t="s">
        <v>115</v>
      </c>
      <c r="I8" s="43">
        <f t="shared" si="0"/>
        <v>336093.75</v>
      </c>
      <c r="J8" s="43">
        <f t="shared" si="1"/>
        <v>348750</v>
      </c>
      <c r="K8" s="44" t="s">
        <v>75</v>
      </c>
      <c r="L8" s="43">
        <f>C28</f>
        <v>936673.76542307111</v>
      </c>
      <c r="M8" s="43">
        <f>B28</f>
        <v>950994.77780964482</v>
      </c>
    </row>
    <row r="9" spans="1:17" x14ac:dyDescent="0.25">
      <c r="A9" s="37" t="s">
        <v>118</v>
      </c>
      <c r="B9" s="46">
        <f>Ledgers!F63</f>
        <v>23000</v>
      </c>
      <c r="C9" s="46">
        <f>Ledgers!F69</f>
        <v>20750</v>
      </c>
      <c r="H9" s="37" t="s">
        <v>117</v>
      </c>
      <c r="I9" s="43">
        <f t="shared" si="0"/>
        <v>5287.5</v>
      </c>
      <c r="J9" s="43">
        <f t="shared" si="1"/>
        <v>6300</v>
      </c>
      <c r="K9" s="44" t="s">
        <v>79</v>
      </c>
      <c r="L9" s="43">
        <f t="shared" ref="L9:L10" si="2">C29</f>
        <v>34999.999999999767</v>
      </c>
      <c r="M9" s="43">
        <f t="shared" ref="M9:M10" si="3">B29</f>
        <v>43749.999999999767</v>
      </c>
      <c r="O9" s="37" t="s">
        <v>119</v>
      </c>
    </row>
    <row r="10" spans="1:17" x14ac:dyDescent="0.25">
      <c r="B10" s="42">
        <f>SUM(B3:B9)</f>
        <v>2056810</v>
      </c>
      <c r="C10" s="42">
        <f>SUM(C3:C9)</f>
        <v>2022236.25</v>
      </c>
      <c r="H10" s="37" t="s">
        <v>118</v>
      </c>
      <c r="I10" s="46">
        <f t="shared" si="0"/>
        <v>20750</v>
      </c>
      <c r="J10" s="97">
        <f t="shared" si="1"/>
        <v>23000</v>
      </c>
      <c r="K10" s="44" t="s">
        <v>80</v>
      </c>
      <c r="L10" s="46">
        <f t="shared" si="2"/>
        <v>281250</v>
      </c>
      <c r="M10" s="46">
        <f t="shared" si="3"/>
        <v>295312.5</v>
      </c>
      <c r="O10" s="124">
        <f>L13+L15+L16-961687.6</f>
        <v>-324163.89988483826</v>
      </c>
    </row>
    <row r="11" spans="1:17" x14ac:dyDescent="0.25">
      <c r="A11" s="41" t="s">
        <v>120</v>
      </c>
      <c r="H11" s="37"/>
      <c r="I11" s="42">
        <f>SUM(I4:I10)</f>
        <v>2022236.25</v>
      </c>
      <c r="J11" s="42">
        <f>SUM(J4:J10)</f>
        <v>2056810</v>
      </c>
      <c r="K11" s="44"/>
      <c r="L11" s="42">
        <f>SUM(L8:L10)</f>
        <v>1252923.7654230709</v>
      </c>
      <c r="M11" s="42">
        <f>SUM(M8:M10)</f>
        <v>1290057.2778096446</v>
      </c>
    </row>
    <row r="12" spans="1:17" x14ac:dyDescent="0.25">
      <c r="A12" s="37" t="s">
        <v>1</v>
      </c>
      <c r="B12" s="43">
        <f>Ledgers!F73</f>
        <v>350000</v>
      </c>
      <c r="C12" s="43">
        <f>Ledgers!F77</f>
        <v>854738.5455216663</v>
      </c>
      <c r="H12" s="41" t="s">
        <v>120</v>
      </c>
      <c r="I12" s="41"/>
      <c r="K12" s="45" t="s">
        <v>121</v>
      </c>
      <c r="L12" s="41"/>
      <c r="O12" s="125">
        <f>2072995+O10</f>
        <v>1748831.1001151619</v>
      </c>
    </row>
    <row r="13" spans="1:17" x14ac:dyDescent="0.25">
      <c r="A13" s="37" t="s">
        <v>122</v>
      </c>
      <c r="B13" s="43">
        <f>Ledgers!F81</f>
        <v>567000</v>
      </c>
      <c r="C13" s="43">
        <f>Ledgers!F85</f>
        <v>567000</v>
      </c>
      <c r="H13" s="37" t="s">
        <v>1</v>
      </c>
      <c r="I13" s="43">
        <f>C12</f>
        <v>854738.5455216663</v>
      </c>
      <c r="J13" s="43">
        <f>B12</f>
        <v>350000</v>
      </c>
      <c r="K13" s="44" t="s">
        <v>5</v>
      </c>
      <c r="L13" s="43">
        <f>C33</f>
        <v>260536.45833333349</v>
      </c>
      <c r="M13" s="43">
        <f>B33</f>
        <v>1026450</v>
      </c>
    </row>
    <row r="14" spans="1:17" x14ac:dyDescent="0.25">
      <c r="A14" s="37" t="s">
        <v>123</v>
      </c>
      <c r="B14" s="43">
        <f>Ledgers!F89</f>
        <v>513500</v>
      </c>
      <c r="C14" s="43">
        <f>Ledgers!F93</f>
        <v>513500</v>
      </c>
      <c r="H14" s="37" t="s">
        <v>122</v>
      </c>
      <c r="I14" s="43">
        <f>C13</f>
        <v>567000</v>
      </c>
      <c r="J14" s="43">
        <f t="shared" ref="J14:J19" si="4">B13</f>
        <v>567000</v>
      </c>
      <c r="K14" s="44" t="s">
        <v>124</v>
      </c>
      <c r="L14" s="118">
        <f>C34</f>
        <v>2072995.3425462553</v>
      </c>
      <c r="M14" s="117">
        <f>B34</f>
        <v>800000</v>
      </c>
    </row>
    <row r="15" spans="1:17" x14ac:dyDescent="0.25">
      <c r="A15" s="37" t="s">
        <v>125</v>
      </c>
      <c r="B15" s="43">
        <f>Ledgers!F97+Ledgers!F105</f>
        <v>60000</v>
      </c>
      <c r="C15" s="43">
        <f>Ledgers!F101+Ledgers!F109</f>
        <v>59999.999999999993</v>
      </c>
      <c r="H15" s="37" t="s">
        <v>123</v>
      </c>
      <c r="I15" s="43">
        <f t="shared" ref="I15:I19" si="5">C14</f>
        <v>513500</v>
      </c>
      <c r="J15" s="43">
        <f t="shared" si="4"/>
        <v>513500</v>
      </c>
      <c r="K15" s="44" t="s">
        <v>126</v>
      </c>
      <c r="L15" s="43">
        <f t="shared" ref="L15:L17" si="6">C35</f>
        <v>35912.441781828195</v>
      </c>
      <c r="M15" s="43">
        <f t="shared" ref="M15:M17" si="7">B35</f>
        <v>20000</v>
      </c>
      <c r="O15" s="43">
        <f>M8-L8</f>
        <v>14321.012386573711</v>
      </c>
      <c r="Q15" s="43">
        <f>L8-O15</f>
        <v>922352.75303649739</v>
      </c>
    </row>
    <row r="16" spans="1:17" x14ac:dyDescent="0.25">
      <c r="A16" s="37" t="s">
        <v>18</v>
      </c>
      <c r="B16" s="43">
        <f>Ledgers!F113</f>
        <v>416547.03749999998</v>
      </c>
      <c r="C16" s="43">
        <f>Ledgers!F117</f>
        <v>416547.03750000009</v>
      </c>
      <c r="H16" s="37" t="s">
        <v>125</v>
      </c>
      <c r="I16" s="43">
        <f t="shared" si="5"/>
        <v>59999.999999999993</v>
      </c>
      <c r="J16" s="43">
        <f t="shared" si="4"/>
        <v>60000</v>
      </c>
      <c r="K16" s="44" t="s">
        <v>127</v>
      </c>
      <c r="L16" s="43">
        <f t="shared" si="6"/>
        <v>341074.8</v>
      </c>
      <c r="M16" s="43">
        <f t="shared" si="7"/>
        <v>341074.8</v>
      </c>
    </row>
    <row r="17" spans="1:17" x14ac:dyDescent="0.25">
      <c r="A17" s="37" t="s">
        <v>19</v>
      </c>
      <c r="B17" s="43">
        <f>Ledgers!F121</f>
        <v>598565.85250000004</v>
      </c>
      <c r="C17" s="43">
        <f>Ledgers!F125</f>
        <v>598565.85250000027</v>
      </c>
      <c r="F17" s="42"/>
      <c r="H17" s="37" t="s">
        <v>18</v>
      </c>
      <c r="I17" s="43">
        <f t="shared" si="5"/>
        <v>416547.03750000009</v>
      </c>
      <c r="J17" s="43">
        <f t="shared" si="4"/>
        <v>416547.03749999998</v>
      </c>
      <c r="K17" s="44" t="s">
        <v>128</v>
      </c>
      <c r="L17" s="119">
        <f t="shared" si="6"/>
        <v>344520</v>
      </c>
      <c r="M17" s="46">
        <f t="shared" si="7"/>
        <v>229680</v>
      </c>
      <c r="O17" s="43">
        <f>M9-L9</f>
        <v>8750</v>
      </c>
      <c r="Q17" s="43">
        <f>L9-O17</f>
        <v>26249.999999999767</v>
      </c>
    </row>
    <row r="18" spans="1:17" s="41" customFormat="1" x14ac:dyDescent="0.25">
      <c r="A18" s="37" t="s">
        <v>20</v>
      </c>
      <c r="B18" s="46">
        <f>Ledgers!F129</f>
        <v>613094.07499999995</v>
      </c>
      <c r="C18" s="46">
        <f>Ledgers!F133</f>
        <v>613094.07499999995</v>
      </c>
      <c r="D18" s="42"/>
      <c r="E18" s="43"/>
      <c r="F18" s="43"/>
      <c r="G18" s="42"/>
      <c r="H18" s="37" t="s">
        <v>19</v>
      </c>
      <c r="I18" s="43">
        <f t="shared" si="5"/>
        <v>598565.85250000027</v>
      </c>
      <c r="J18" s="43">
        <f t="shared" si="4"/>
        <v>598565.85250000004</v>
      </c>
      <c r="K18" s="44"/>
      <c r="L18" s="42">
        <f>SUM(L13:L17)</f>
        <v>3055039.0426614168</v>
      </c>
      <c r="M18" s="42">
        <f>SUM(M13:M17)</f>
        <v>2417204.7999999998</v>
      </c>
    </row>
    <row r="19" spans="1:17" s="41" customFormat="1" x14ac:dyDescent="0.25">
      <c r="B19" s="42">
        <f>SUM(B12:B18)</f>
        <v>3118706.9649999999</v>
      </c>
      <c r="C19" s="42">
        <f>SUM(C12:C18)</f>
        <v>3623445.5105216671</v>
      </c>
      <c r="D19" s="42"/>
      <c r="E19" s="43"/>
      <c r="F19" s="43"/>
      <c r="G19" s="42"/>
      <c r="H19" s="37" t="s">
        <v>20</v>
      </c>
      <c r="I19" s="46">
        <f t="shared" si="5"/>
        <v>613094.07499999995</v>
      </c>
      <c r="J19" s="97">
        <f t="shared" si="4"/>
        <v>613094.07499999995</v>
      </c>
      <c r="K19" s="45"/>
      <c r="M19" s="42"/>
      <c r="O19" s="42">
        <f>M10-L10</f>
        <v>14062.5</v>
      </c>
      <c r="Q19" s="42">
        <f>L10-O19</f>
        <v>267187.5</v>
      </c>
    </row>
    <row r="20" spans="1:17" s="41" customFormat="1" ht="13.8" thickBot="1" x14ac:dyDescent="0.3">
      <c r="B20" s="43"/>
      <c r="C20" s="43"/>
      <c r="D20" s="42"/>
      <c r="E20" s="43"/>
      <c r="F20" s="43"/>
      <c r="G20" s="42"/>
      <c r="I20" s="42">
        <f>SUM(I13:I19)</f>
        <v>3623445.5105216671</v>
      </c>
      <c r="J20" s="42">
        <f>SUM(J13:J19)</f>
        <v>3118706.9649999999</v>
      </c>
      <c r="K20" s="91"/>
      <c r="L20" s="43"/>
      <c r="M20" s="43"/>
    </row>
    <row r="21" spans="1:17" s="41" customFormat="1" ht="13.8" thickBot="1" x14ac:dyDescent="0.3">
      <c r="A21" s="41" t="s">
        <v>129</v>
      </c>
      <c r="B21" s="47">
        <f>B10+B19</f>
        <v>5175516.9649999999</v>
      </c>
      <c r="C21" s="47">
        <f>C10+C19</f>
        <v>5645681.7605216671</v>
      </c>
      <c r="D21" s="42"/>
      <c r="E21" s="43"/>
      <c r="F21" s="43"/>
      <c r="G21" s="42"/>
      <c r="J21" s="43"/>
      <c r="K21" s="91"/>
      <c r="L21" s="43"/>
      <c r="M21" s="43"/>
    </row>
    <row r="22" spans="1:17" s="41" customFormat="1" ht="14.4" thickTop="1" thickBot="1" x14ac:dyDescent="0.3">
      <c r="B22" s="42"/>
      <c r="C22" s="42"/>
      <c r="D22" s="42"/>
      <c r="E22" s="43"/>
      <c r="F22" s="43"/>
      <c r="G22" s="42"/>
      <c r="H22" s="41" t="s">
        <v>129</v>
      </c>
      <c r="I22" s="47">
        <f>I20+I11</f>
        <v>5645681.7605216671</v>
      </c>
      <c r="J22" s="47">
        <f>J20+J11</f>
        <v>5175516.9649999999</v>
      </c>
      <c r="K22" s="41" t="s">
        <v>130</v>
      </c>
      <c r="L22" s="47">
        <f>L18+L11+L4</f>
        <v>5645681.7605216652</v>
      </c>
      <c r="M22" s="47">
        <f>M18+M11+M4</f>
        <v>5175516.9649999999</v>
      </c>
    </row>
    <row r="23" spans="1:17" s="41" customFormat="1" ht="14.4" thickTop="1" thickBot="1" x14ac:dyDescent="0.3">
      <c r="A23" s="38" t="s">
        <v>131</v>
      </c>
      <c r="B23" s="39"/>
      <c r="C23" s="39"/>
      <c r="D23" s="42"/>
      <c r="E23" s="43"/>
      <c r="F23" s="43"/>
      <c r="G23" s="42"/>
      <c r="H23" s="42"/>
      <c r="I23" s="42"/>
      <c r="J23" s="42"/>
      <c r="K23" s="42"/>
      <c r="L23" s="42"/>
      <c r="M23" s="42"/>
    </row>
    <row r="24" spans="1:17" s="41" customFormat="1" x14ac:dyDescent="0.25">
      <c r="B24" s="42"/>
      <c r="C24" s="42"/>
      <c r="D24" s="42"/>
      <c r="E24" s="43"/>
      <c r="F24" s="43"/>
      <c r="G24" s="42"/>
      <c r="H24" s="42"/>
      <c r="I24" s="42"/>
      <c r="J24" s="42"/>
      <c r="K24" s="42"/>
      <c r="L24" s="42"/>
      <c r="M24" s="42"/>
    </row>
    <row r="25" spans="1:17" s="41" customFormat="1" x14ac:dyDescent="0.25">
      <c r="A25" s="45" t="s">
        <v>112</v>
      </c>
      <c r="B25" s="42">
        <f>B21-B31-B38</f>
        <v>1468254.8871903555</v>
      </c>
      <c r="C25" s="42">
        <f>Ledgers!P9</f>
        <v>1337718.9524371773</v>
      </c>
      <c r="D25" s="42"/>
      <c r="E25" s="43"/>
      <c r="F25" s="43"/>
      <c r="G25" s="42"/>
      <c r="H25" s="42"/>
      <c r="I25" s="42"/>
      <c r="J25" s="42"/>
      <c r="K25" s="42"/>
      <c r="L25" s="42"/>
      <c r="M25" s="42"/>
    </row>
    <row r="26" spans="1:17" s="41" customFormat="1" x14ac:dyDescent="0.25">
      <c r="A26" s="44"/>
      <c r="B26" s="43"/>
      <c r="C26" s="42"/>
      <c r="D26" s="42"/>
      <c r="E26" s="43"/>
      <c r="F26" s="43"/>
      <c r="G26" s="42"/>
      <c r="H26" s="42" t="s">
        <v>132</v>
      </c>
      <c r="I26" s="42"/>
      <c r="J26" s="42"/>
      <c r="K26" s="42"/>
      <c r="L26" s="42"/>
      <c r="M26" s="42"/>
    </row>
    <row r="27" spans="1:17" s="41" customFormat="1" x14ac:dyDescent="0.25">
      <c r="A27" s="45" t="s">
        <v>116</v>
      </c>
      <c r="B27" s="43"/>
      <c r="C27" s="42"/>
      <c r="D27" s="42"/>
      <c r="E27" s="43"/>
      <c r="F27" s="43"/>
      <c r="G27" s="42"/>
      <c r="H27" s="42"/>
      <c r="I27" s="42"/>
      <c r="J27" s="42"/>
      <c r="K27" s="42"/>
      <c r="L27" s="42"/>
      <c r="M27" s="42"/>
    </row>
    <row r="28" spans="1:17" s="41" customFormat="1" x14ac:dyDescent="0.25">
      <c r="A28" s="44" t="s">
        <v>75</v>
      </c>
      <c r="B28" s="43">
        <f>Ledgers!P13</f>
        <v>950994.77780964482</v>
      </c>
      <c r="C28" s="43">
        <f>Ledgers!P15</f>
        <v>936673.76542307111</v>
      </c>
      <c r="D28" s="42"/>
      <c r="E28" s="43"/>
      <c r="F28" s="43"/>
      <c r="G28" s="42"/>
      <c r="H28" s="42"/>
      <c r="I28" s="42"/>
      <c r="J28" s="42"/>
      <c r="K28" s="42"/>
      <c r="L28" s="42"/>
      <c r="M28" s="42"/>
    </row>
    <row r="29" spans="1:17" s="41" customFormat="1" x14ac:dyDescent="0.25">
      <c r="A29" s="44" t="s">
        <v>79</v>
      </c>
      <c r="B29" s="43">
        <f>Ledgers!P19</f>
        <v>43749.999999999767</v>
      </c>
      <c r="C29" s="43">
        <f>Ledgers!P21</f>
        <v>34999.999999999767</v>
      </c>
      <c r="D29" s="42"/>
      <c r="E29" s="43"/>
      <c r="F29" s="43"/>
      <c r="G29" s="42"/>
      <c r="H29" s="42">
        <f>I13-J13</f>
        <v>504738.5455216663</v>
      </c>
      <c r="I29" s="42">
        <f>J8-I8</f>
        <v>12656.25</v>
      </c>
      <c r="J29" s="42"/>
      <c r="K29" s="42"/>
      <c r="L29" s="42"/>
      <c r="M29" s="42"/>
    </row>
    <row r="30" spans="1:17" s="41" customFormat="1" x14ac:dyDescent="0.25">
      <c r="A30" s="44" t="s">
        <v>80</v>
      </c>
      <c r="B30" s="46">
        <f>Ledgers!P25</f>
        <v>295312.5</v>
      </c>
      <c r="C30" s="46">
        <f>Ledgers!P27</f>
        <v>281250</v>
      </c>
      <c r="D30" s="42"/>
      <c r="E30" s="43"/>
      <c r="F30" s="43"/>
      <c r="G30" s="42"/>
      <c r="H30" s="42">
        <f>J4-I4</f>
        <v>7500</v>
      </c>
      <c r="I30" s="42"/>
      <c r="J30" s="42"/>
      <c r="K30" s="42"/>
      <c r="L30" s="42"/>
      <c r="M30" s="42"/>
    </row>
    <row r="31" spans="1:17" s="41" customFormat="1" x14ac:dyDescent="0.25">
      <c r="A31" s="44"/>
      <c r="B31" s="42">
        <f>SUM(B28:B30)</f>
        <v>1290057.2778096446</v>
      </c>
      <c r="C31" s="42">
        <f>SUM(C28:C30)</f>
        <v>1252923.7654230709</v>
      </c>
      <c r="D31" s="42"/>
      <c r="E31" s="43"/>
      <c r="F31" s="43"/>
      <c r="G31" s="42"/>
      <c r="H31" s="42">
        <f>J5-I5</f>
        <v>1530</v>
      </c>
      <c r="I31" s="42"/>
      <c r="J31" s="42"/>
      <c r="K31" s="42">
        <f>I14*0.25</f>
        <v>141750</v>
      </c>
      <c r="L31" s="42"/>
      <c r="M31" s="42"/>
    </row>
    <row r="32" spans="1:17" s="41" customFormat="1" x14ac:dyDescent="0.25">
      <c r="A32" s="45" t="s">
        <v>121</v>
      </c>
      <c r="B32" s="43"/>
      <c r="C32" s="42"/>
      <c r="D32" s="42"/>
      <c r="E32" s="43"/>
      <c r="F32" s="43"/>
      <c r="G32" s="42"/>
      <c r="H32" s="42">
        <f>J6-I6</f>
        <v>2625</v>
      </c>
      <c r="I32" s="42"/>
      <c r="J32" s="42"/>
      <c r="K32" s="42">
        <f>I15*0.25</f>
        <v>128375</v>
      </c>
      <c r="L32" s="42"/>
      <c r="M32" s="42"/>
    </row>
    <row r="33" spans="1:13" s="41" customFormat="1" x14ac:dyDescent="0.25">
      <c r="A33" s="44" t="s">
        <v>5</v>
      </c>
      <c r="B33" s="43">
        <f>Ledgers!P47</f>
        <v>1026450</v>
      </c>
      <c r="C33" s="43">
        <f>Ledgers!P51</f>
        <v>260536.45833333349</v>
      </c>
      <c r="D33" s="42"/>
      <c r="E33" s="43"/>
      <c r="F33" s="43"/>
      <c r="G33" s="42"/>
      <c r="H33" s="42">
        <f>J7-I7</f>
        <v>7000</v>
      </c>
      <c r="I33" s="42"/>
      <c r="J33" s="42"/>
      <c r="K33" s="42">
        <f>K31+K32</f>
        <v>270125</v>
      </c>
      <c r="L33" s="42"/>
      <c r="M33" s="42"/>
    </row>
    <row r="34" spans="1:13" s="41" customFormat="1" x14ac:dyDescent="0.25">
      <c r="A34" s="44" t="s">
        <v>124</v>
      </c>
      <c r="B34" s="43">
        <f>Given!B7</f>
        <v>800000</v>
      </c>
      <c r="C34" s="103">
        <f>-'Liquidity Budget'!B24</f>
        <v>2072995.3425462553</v>
      </c>
      <c r="D34" s="42"/>
      <c r="E34" s="43"/>
      <c r="F34" s="43"/>
      <c r="G34" s="42"/>
      <c r="H34" s="42"/>
      <c r="I34" s="42"/>
      <c r="J34" s="42"/>
      <c r="K34" s="42"/>
      <c r="L34" s="42"/>
      <c r="M34" s="42"/>
    </row>
    <row r="35" spans="1:13" s="41" customFormat="1" x14ac:dyDescent="0.25">
      <c r="A35" s="44" t="s">
        <v>126</v>
      </c>
      <c r="B35" s="43">
        <f>Ledgers!P55</f>
        <v>20000</v>
      </c>
      <c r="C35" s="43">
        <f>Ledgers!P59</f>
        <v>35912.441781828195</v>
      </c>
      <c r="D35" s="42"/>
      <c r="E35" s="43"/>
      <c r="F35" s="43"/>
      <c r="G35" s="42"/>
      <c r="H35" s="42"/>
      <c r="I35" s="42"/>
      <c r="J35" s="42"/>
      <c r="K35" s="42"/>
      <c r="L35" s="42"/>
      <c r="M35" s="42"/>
    </row>
    <row r="36" spans="1:13" s="41" customFormat="1" x14ac:dyDescent="0.25">
      <c r="A36" s="44" t="s">
        <v>127</v>
      </c>
      <c r="B36" s="43">
        <f>Ledgers!P39</f>
        <v>341074.8</v>
      </c>
      <c r="C36" s="43">
        <f>Ledgers!P43</f>
        <v>341074.8</v>
      </c>
      <c r="D36" s="42"/>
      <c r="E36" s="43"/>
      <c r="F36" s="43"/>
      <c r="G36" s="42"/>
      <c r="H36" s="42"/>
      <c r="I36" s="42"/>
      <c r="J36" s="42"/>
      <c r="K36" s="42"/>
      <c r="L36" s="42"/>
      <c r="M36" s="42"/>
    </row>
    <row r="37" spans="1:13" s="41" customFormat="1" x14ac:dyDescent="0.25">
      <c r="A37" s="44" t="s">
        <v>128</v>
      </c>
      <c r="B37" s="46">
        <f>Ledgers!P31</f>
        <v>229680</v>
      </c>
      <c r="C37" s="46">
        <f>Ledgers!P35</f>
        <v>344520</v>
      </c>
      <c r="D37" s="42"/>
      <c r="E37" s="43"/>
      <c r="F37" s="43"/>
      <c r="G37" s="42"/>
      <c r="H37" s="42"/>
      <c r="I37" s="42"/>
      <c r="J37" s="42"/>
      <c r="K37" s="42"/>
      <c r="L37" s="42"/>
      <c r="M37" s="42"/>
    </row>
    <row r="38" spans="1:13" s="41" customFormat="1" x14ac:dyDescent="0.25">
      <c r="A38" s="44"/>
      <c r="B38" s="42">
        <f>SUM(B33:B37)</f>
        <v>2417204.7999999998</v>
      </c>
      <c r="C38" s="42">
        <f>SUM(C33:C37)</f>
        <v>3055039.0426614168</v>
      </c>
      <c r="D38" s="42"/>
      <c r="E38" s="43"/>
      <c r="F38" s="43"/>
      <c r="G38" s="42"/>
      <c r="H38" s="42"/>
      <c r="I38" s="42"/>
      <c r="J38" s="42"/>
      <c r="K38" s="42"/>
      <c r="L38" s="42"/>
      <c r="M38" s="42"/>
    </row>
    <row r="39" spans="1:13" s="41" customFormat="1" ht="13.8" thickBot="1" x14ac:dyDescent="0.3">
      <c r="A39" s="44"/>
      <c r="B39" s="43"/>
      <c r="C39" s="42"/>
      <c r="D39" s="42"/>
      <c r="E39" s="43"/>
      <c r="F39" s="43"/>
      <c r="G39" s="42"/>
      <c r="H39" s="42"/>
      <c r="I39" s="42"/>
      <c r="J39" s="42"/>
      <c r="K39" s="42"/>
      <c r="L39" s="42"/>
      <c r="M39" s="42"/>
    </row>
    <row r="40" spans="1:13" s="41" customFormat="1" ht="13.8" thickBot="1" x14ac:dyDescent="0.3">
      <c r="A40" s="41" t="s">
        <v>130</v>
      </c>
      <c r="B40" s="47">
        <f>B38+B31+B25</f>
        <v>5175516.9649999999</v>
      </c>
      <c r="C40" s="47">
        <f>C38+C31+C25</f>
        <v>5645681.7605216652</v>
      </c>
      <c r="D40" s="42"/>
      <c r="E40" s="43"/>
      <c r="F40" s="43"/>
      <c r="G40" s="42"/>
      <c r="H40" s="42"/>
      <c r="I40" s="42"/>
      <c r="J40" s="42"/>
      <c r="K40" s="42"/>
      <c r="L40" s="42"/>
      <c r="M40" s="42"/>
    </row>
    <row r="41" spans="1:13" s="41" customFormat="1" ht="13.8" thickTop="1" x14ac:dyDescent="0.25">
      <c r="B41" s="42"/>
      <c r="C41" s="42"/>
      <c r="D41" s="42"/>
      <c r="E41" s="43"/>
      <c r="F41" s="43"/>
      <c r="G41" s="42"/>
      <c r="H41" s="42"/>
      <c r="I41" s="42"/>
      <c r="J41" s="42"/>
      <c r="K41" s="42"/>
      <c r="L41" s="42"/>
      <c r="M41" s="42"/>
    </row>
    <row r="42" spans="1:13" s="41" customFormat="1" x14ac:dyDescent="0.25">
      <c r="A42" s="41" t="s">
        <v>133</v>
      </c>
      <c r="B42" s="42">
        <f>B21-B40</f>
        <v>0</v>
      </c>
      <c r="C42" s="42">
        <f>C21-C40</f>
        <v>0</v>
      </c>
      <c r="D42" s="42"/>
      <c r="E42" s="43"/>
      <c r="F42" s="43"/>
      <c r="G42" s="42"/>
      <c r="H42" s="42"/>
      <c r="I42" s="42"/>
      <c r="J42" s="42"/>
      <c r="K42" s="42"/>
      <c r="L42" s="42"/>
      <c r="M42" s="42"/>
    </row>
    <row r="43" spans="1:13" x14ac:dyDescent="0.25">
      <c r="A43" s="41"/>
      <c r="B43" s="42"/>
      <c r="C43" s="42"/>
      <c r="H43" s="42"/>
      <c r="I43" s="42"/>
      <c r="J43" s="42"/>
      <c r="K43" s="42"/>
      <c r="L43" s="42"/>
      <c r="M43" s="42"/>
    </row>
    <row r="44" spans="1:13" x14ac:dyDescent="0.25">
      <c r="A44" s="37" t="s">
        <v>134</v>
      </c>
      <c r="B44" s="43">
        <f>B19-B38</f>
        <v>701502.16500000004</v>
      </c>
      <c r="C44" s="43">
        <f>C19-C38</f>
        <v>568406.46786025027</v>
      </c>
      <c r="H44" s="42"/>
      <c r="I44" s="42"/>
      <c r="J44" s="42"/>
      <c r="K44" s="42"/>
      <c r="L44" s="42"/>
      <c r="M44" s="42"/>
    </row>
    <row r="45" spans="1:13" x14ac:dyDescent="0.25">
      <c r="A45" s="37" t="s">
        <v>135</v>
      </c>
      <c r="B45" s="58">
        <f>B19/B38</f>
        <v>1.2902121346937587</v>
      </c>
      <c r="C45" s="58">
        <f>C19/C38</f>
        <v>1.1860553858470755</v>
      </c>
      <c r="K45" s="42"/>
      <c r="L45" s="42"/>
      <c r="M45" s="42"/>
    </row>
    <row r="46" spans="1:13" x14ac:dyDescent="0.25">
      <c r="A46" s="37" t="s">
        <v>136</v>
      </c>
      <c r="B46" s="58">
        <f>B12/B38</f>
        <v>0.14479534377889702</v>
      </c>
      <c r="C46" s="58">
        <f>C12/C38</f>
        <v>0.2797799090570886</v>
      </c>
      <c r="K46" s="42"/>
      <c r="L46" s="42"/>
      <c r="M46" s="42"/>
    </row>
    <row r="47" spans="1:13" x14ac:dyDescent="0.25">
      <c r="K47" s="42"/>
      <c r="L47" s="42"/>
      <c r="M47" s="42"/>
    </row>
    <row r="48" spans="1:13" x14ac:dyDescent="0.25">
      <c r="A48" s="37" t="s">
        <v>137</v>
      </c>
      <c r="C48" s="43">
        <f>(B25+C25)/2</f>
        <v>1402986.9198137664</v>
      </c>
    </row>
    <row r="49" spans="1:3" x14ac:dyDescent="0.25">
      <c r="A49" s="37" t="s">
        <v>138</v>
      </c>
      <c r="C49" s="43">
        <f>C50-C48</f>
        <v>4007612.4429470664</v>
      </c>
    </row>
    <row r="50" spans="1:3" x14ac:dyDescent="0.25">
      <c r="A50" s="37" t="s">
        <v>139</v>
      </c>
      <c r="C50" s="43">
        <f>(B40+C40)/2</f>
        <v>5410599.3627608325</v>
      </c>
    </row>
    <row r="52" spans="1:3" x14ac:dyDescent="0.25">
      <c r="A52" s="37" t="s">
        <v>140</v>
      </c>
      <c r="B52" s="58">
        <f>(B31+B38)/B40</f>
        <v>0.71630758876464129</v>
      </c>
      <c r="C52" s="58">
        <f>(C31+C38)/C40</f>
        <v>0.76305448851343494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B81D2-2603-4AF6-9938-384921AFCD2B}">
  <sheetPr>
    <tabColor rgb="FF92D050"/>
  </sheetPr>
  <dimension ref="A1:P122"/>
  <sheetViews>
    <sheetView topLeftCell="A95" workbookViewId="0">
      <selection activeCell="L118" sqref="L118"/>
    </sheetView>
  </sheetViews>
  <sheetFormatPr defaultColWidth="8.6640625" defaultRowHeight="13.2" x14ac:dyDescent="0.25"/>
  <cols>
    <col min="1" max="1" width="26.109375" bestFit="1" customWidth="1"/>
    <col min="2" max="2" width="10.6640625" bestFit="1" customWidth="1"/>
    <col min="4" max="4" width="14.109375" customWidth="1"/>
    <col min="5" max="5" width="21.109375" style="23" bestFit="1" customWidth="1"/>
    <col min="6" max="6" width="14.6640625" style="24" bestFit="1" customWidth="1"/>
    <col min="7" max="7" width="18.44140625" style="23" hidden="1" customWidth="1"/>
    <col min="8" max="8" width="17.6640625" style="23" hidden="1" customWidth="1"/>
    <col min="9" max="9" width="13.6640625" style="23" bestFit="1" customWidth="1"/>
    <col min="10" max="10" width="11.33203125" style="23" customWidth="1"/>
    <col min="11" max="11" width="15.109375" style="23" bestFit="1" customWidth="1"/>
    <col min="12" max="12" width="14.44140625" style="24" bestFit="1" customWidth="1"/>
    <col min="13" max="13" width="16.44140625" style="25" bestFit="1" customWidth="1"/>
    <col min="14" max="14" width="18.6640625" style="25" bestFit="1" customWidth="1"/>
    <col min="15" max="15" width="13" style="24" bestFit="1" customWidth="1"/>
    <col min="16" max="16" width="12.6640625" customWidth="1"/>
  </cols>
  <sheetData>
    <row r="1" spans="1:16" x14ac:dyDescent="0.25">
      <c r="A1" t="s">
        <v>141</v>
      </c>
      <c r="B1" s="3">
        <f>'Liabilities Long'!G3</f>
        <v>350000</v>
      </c>
      <c r="D1" t="s">
        <v>142</v>
      </c>
      <c r="E1" s="24" t="s">
        <v>143</v>
      </c>
      <c r="F1" s="24" t="s">
        <v>144</v>
      </c>
      <c r="G1" s="24" t="s">
        <v>145</v>
      </c>
      <c r="H1" s="24" t="s">
        <v>146</v>
      </c>
      <c r="I1" s="24" t="s">
        <v>11</v>
      </c>
      <c r="J1" s="24" t="s">
        <v>10</v>
      </c>
      <c r="K1" s="24" t="s">
        <v>147</v>
      </c>
      <c r="L1" s="24" t="s">
        <v>148</v>
      </c>
      <c r="M1" s="25" t="s">
        <v>149</v>
      </c>
      <c r="N1" s="25" t="s">
        <v>150</v>
      </c>
      <c r="O1" s="24" t="s">
        <v>151</v>
      </c>
      <c r="P1" t="s">
        <v>152</v>
      </c>
    </row>
    <row r="2" spans="1:16" x14ac:dyDescent="0.25">
      <c r="A2" t="s">
        <v>153</v>
      </c>
      <c r="B2">
        <f>'Liabilities Long'!I3</f>
        <v>10</v>
      </c>
      <c r="D2" t="str">
        <f>_xlfn.CONCAT(Tbl_Loan2[[#This Row],[Maandnummer ]],Tbl_Loan2[[#This Row],[Year]])</f>
        <v>12013</v>
      </c>
      <c r="E2" s="23">
        <v>1</v>
      </c>
      <c r="F2" s="28">
        <v>41299</v>
      </c>
      <c r="G2" s="23">
        <f>MONTH(Tbl_Loan2[[#This Row],[Payment date]])</f>
        <v>1</v>
      </c>
      <c r="H2" s="23" t="str">
        <f>VLOOKUP(Tbl_Loan2[[#This Row],[Maandnummer ]],Tbl_Months[],2,FALSE)</f>
        <v>January</v>
      </c>
      <c r="I2" s="23" t="str">
        <f>VLOOKUP(Tbl_Loan2[[#This Row],[Maandnummer ]],Tbl_Months[],3,FALSE)</f>
        <v>I</v>
      </c>
      <c r="J2" s="23">
        <f>YEAR(Tbl_Loan2[[#This Row],[Payment date]])</f>
        <v>2013</v>
      </c>
      <c r="K2" s="23" t="str">
        <f>_xlfn.CONCAT(Tbl_Loan2[[#This Row],[Year]],Tbl_Loan2[[#This Row],[Quarter]])</f>
        <v>2013I</v>
      </c>
      <c r="L2" s="25">
        <f t="shared" ref="L2:L33" si="0">IF(O1="Residual debt",B$1,O1)</f>
        <v>350000</v>
      </c>
      <c r="M2" s="25">
        <f>B$5*Tbl_Loan2[[#This Row],[Initial debt]]</f>
        <v>1312.5</v>
      </c>
      <c r="N2" s="25">
        <f t="shared" ref="N2:N33" si="1">B$8</f>
        <v>2916.6666666666665</v>
      </c>
      <c r="O2" s="25">
        <f>MAX(0,Tbl_Loan2[[#This Row],[Initial debt]]-Tbl_Loan2[[#This Row],[Redemption amount]])</f>
        <v>347083.33333333331</v>
      </c>
      <c r="P2" s="25">
        <f>Tbl_Loan2[[#This Row],[Interest amount]]+Tbl_Loan2[[#This Row],[Redemption amount]]</f>
        <v>4229.1666666666661</v>
      </c>
    </row>
    <row r="3" spans="1:16" x14ac:dyDescent="0.25">
      <c r="A3" t="s">
        <v>154</v>
      </c>
      <c r="B3">
        <f>Tbl_LTL[[#This Row],[Duration in months]]</f>
        <v>120</v>
      </c>
      <c r="D3" t="str">
        <f>_xlfn.CONCAT(Tbl_Loan2[[#This Row],[Maandnummer ]],Tbl_Loan2[[#This Row],[Year]])</f>
        <v>22013</v>
      </c>
      <c r="E3" s="23">
        <f>E2+1</f>
        <v>2</v>
      </c>
      <c r="F3" s="28">
        <v>41330</v>
      </c>
      <c r="G3" s="23">
        <f>MONTH(Tbl_Loan2[[#This Row],[Payment date]])</f>
        <v>2</v>
      </c>
      <c r="H3" s="23" t="str">
        <f>VLOOKUP(Tbl_Loan2[[#This Row],[Maandnummer ]],Tbl_Months[],2,FALSE)</f>
        <v>February</v>
      </c>
      <c r="I3" s="23" t="str">
        <f>VLOOKUP(Tbl_Loan2[[#This Row],[Maandnummer ]],Tbl_Months[],3,FALSE)</f>
        <v>I</v>
      </c>
      <c r="J3" s="23">
        <f>YEAR(Tbl_Loan2[[#This Row],[Payment date]])</f>
        <v>2013</v>
      </c>
      <c r="K3" s="23" t="str">
        <f>_xlfn.CONCAT(Tbl_Loan2[[#This Row],[Year]],Tbl_Loan2[[#This Row],[Quarter]])</f>
        <v>2013I</v>
      </c>
      <c r="L3" s="25">
        <f t="shared" si="0"/>
        <v>347083.33333333331</v>
      </c>
      <c r="M3" s="25">
        <f>B$5*Tbl_Loan2[[#This Row],[Initial debt]]</f>
        <v>1301.5624999999998</v>
      </c>
      <c r="N3" s="25">
        <f t="shared" si="1"/>
        <v>2916.6666666666665</v>
      </c>
      <c r="O3" s="25">
        <f>MAX(0,Tbl_Loan2[[#This Row],[Initial debt]]-Tbl_Loan2[[#This Row],[Redemption amount]])</f>
        <v>344166.66666666663</v>
      </c>
      <c r="P3" s="25">
        <f>Tbl_Loan2[[#This Row],[Interest amount]]+Tbl_Loan2[[#This Row],[Redemption amount]]</f>
        <v>4218.2291666666661</v>
      </c>
    </row>
    <row r="4" spans="1:16" x14ac:dyDescent="0.25">
      <c r="A4" t="s">
        <v>155</v>
      </c>
      <c r="B4" s="11">
        <f>'Liabilities Long'!H3</f>
        <v>4.4999999999999998E-2</v>
      </c>
      <c r="D4" t="str">
        <f>_xlfn.CONCAT(Tbl_Loan2[[#This Row],[Maandnummer ]],Tbl_Loan2[[#This Row],[Year]])</f>
        <v>32013</v>
      </c>
      <c r="E4" s="23">
        <f>E3+1</f>
        <v>3</v>
      </c>
      <c r="F4" s="28">
        <v>41358</v>
      </c>
      <c r="G4" s="23">
        <f>MONTH(Tbl_Loan2[[#This Row],[Payment date]])</f>
        <v>3</v>
      </c>
      <c r="H4" s="23" t="str">
        <f>VLOOKUP(Tbl_Loan2[[#This Row],[Maandnummer ]],Tbl_Months[],2,FALSE)</f>
        <v>March</v>
      </c>
      <c r="I4" s="23" t="str">
        <f>VLOOKUP(Tbl_Loan2[[#This Row],[Maandnummer ]],Tbl_Months[],3,FALSE)</f>
        <v>I</v>
      </c>
      <c r="J4" s="23">
        <f>YEAR(Tbl_Loan2[[#This Row],[Payment date]])</f>
        <v>2013</v>
      </c>
      <c r="K4" s="23" t="str">
        <f>_xlfn.CONCAT(Tbl_Loan2[[#This Row],[Year]],Tbl_Loan2[[#This Row],[Quarter]])</f>
        <v>2013I</v>
      </c>
      <c r="L4" s="25">
        <f t="shared" si="0"/>
        <v>344166.66666666663</v>
      </c>
      <c r="M4" s="25">
        <f>B$5*Tbl_Loan2[[#This Row],[Initial debt]]</f>
        <v>1290.6249999999998</v>
      </c>
      <c r="N4" s="25">
        <f t="shared" si="1"/>
        <v>2916.6666666666665</v>
      </c>
      <c r="O4" s="25">
        <f>MAX(0,Tbl_Loan2[[#This Row],[Initial debt]]-Tbl_Loan2[[#This Row],[Redemption amount]])</f>
        <v>341249.99999999994</v>
      </c>
      <c r="P4" s="25">
        <f>Tbl_Loan2[[#This Row],[Interest amount]]+Tbl_Loan2[[#This Row],[Redemption amount]]</f>
        <v>4207.2916666666661</v>
      </c>
    </row>
    <row r="5" spans="1:16" x14ac:dyDescent="0.25">
      <c r="A5" t="s">
        <v>156</v>
      </c>
      <c r="B5" s="13">
        <f>B4/12</f>
        <v>3.7499999999999999E-3</v>
      </c>
      <c r="D5" t="str">
        <f>_xlfn.CONCAT(Tbl_Loan2[[#This Row],[Maandnummer ]],Tbl_Loan2[[#This Row],[Year]])</f>
        <v>42013</v>
      </c>
      <c r="E5" s="23">
        <f t="shared" ref="E5:E68" si="2">E4+1</f>
        <v>4</v>
      </c>
      <c r="F5" s="28">
        <v>41389</v>
      </c>
      <c r="G5" s="23">
        <f>MONTH(Tbl_Loan2[[#This Row],[Payment date]])</f>
        <v>4</v>
      </c>
      <c r="H5" s="23" t="str">
        <f>VLOOKUP(Tbl_Loan2[[#This Row],[Maandnummer ]],Tbl_Months[],2,FALSE)</f>
        <v>April</v>
      </c>
      <c r="I5" s="23" t="str">
        <f>VLOOKUP(Tbl_Loan2[[#This Row],[Maandnummer ]],Tbl_Months[],3,FALSE)</f>
        <v>II</v>
      </c>
      <c r="J5" s="23">
        <f>YEAR(Tbl_Loan2[[#This Row],[Payment date]])</f>
        <v>2013</v>
      </c>
      <c r="K5" s="23" t="str">
        <f>_xlfn.CONCAT(Tbl_Loan2[[#This Row],[Year]],Tbl_Loan2[[#This Row],[Quarter]])</f>
        <v>2013II</v>
      </c>
      <c r="L5" s="25">
        <f t="shared" si="0"/>
        <v>341249.99999999994</v>
      </c>
      <c r="M5" s="25">
        <f>B$5*Tbl_Loan2[[#This Row],[Initial debt]]</f>
        <v>1279.6874999999998</v>
      </c>
      <c r="N5" s="25">
        <f t="shared" si="1"/>
        <v>2916.6666666666665</v>
      </c>
      <c r="O5" s="25">
        <f>MAX(0,Tbl_Loan2[[#This Row],[Initial debt]]-Tbl_Loan2[[#This Row],[Redemption amount]])</f>
        <v>338333.33333333326</v>
      </c>
      <c r="P5" s="25">
        <f>Tbl_Loan2[[#This Row],[Interest amount]]+Tbl_Loan2[[#This Row],[Redemption amount]]</f>
        <v>4196.3541666666661</v>
      </c>
    </row>
    <row r="6" spans="1:16" x14ac:dyDescent="0.25">
      <c r="B6" s="14"/>
      <c r="D6" t="str">
        <f>_xlfn.CONCAT(Tbl_Loan2[[#This Row],[Maandnummer ]],Tbl_Loan2[[#This Row],[Year]])</f>
        <v>52013</v>
      </c>
      <c r="E6" s="23">
        <f t="shared" si="2"/>
        <v>5</v>
      </c>
      <c r="F6" s="28">
        <v>41419</v>
      </c>
      <c r="G6" s="23">
        <f>MONTH(Tbl_Loan2[[#This Row],[Payment date]])</f>
        <v>5</v>
      </c>
      <c r="H6" s="23" t="str">
        <f>VLOOKUP(Tbl_Loan2[[#This Row],[Maandnummer ]],Tbl_Months[],2,FALSE)</f>
        <v>May</v>
      </c>
      <c r="I6" s="23" t="str">
        <f>VLOOKUP(Tbl_Loan2[[#This Row],[Maandnummer ]],Tbl_Months[],3,FALSE)</f>
        <v>II</v>
      </c>
      <c r="J6" s="23">
        <f>YEAR(Tbl_Loan2[[#This Row],[Payment date]])</f>
        <v>2013</v>
      </c>
      <c r="K6" s="23" t="str">
        <f>_xlfn.CONCAT(Tbl_Loan2[[#This Row],[Year]],Tbl_Loan2[[#This Row],[Quarter]])</f>
        <v>2013II</v>
      </c>
      <c r="L6" s="25">
        <f t="shared" si="0"/>
        <v>338333.33333333326</v>
      </c>
      <c r="M6" s="25">
        <f>B$5*Tbl_Loan2[[#This Row],[Initial debt]]</f>
        <v>1268.7499999999998</v>
      </c>
      <c r="N6" s="25">
        <f t="shared" si="1"/>
        <v>2916.6666666666665</v>
      </c>
      <c r="O6" s="25">
        <f>MAX(0,Tbl_Loan2[[#This Row],[Initial debt]]-Tbl_Loan2[[#This Row],[Redemption amount]])</f>
        <v>335416.66666666657</v>
      </c>
      <c r="P6" s="25">
        <f>Tbl_Loan2[[#This Row],[Interest amount]]+Tbl_Loan2[[#This Row],[Redemption amount]]</f>
        <v>4185.4166666666661</v>
      </c>
    </row>
    <row r="7" spans="1:16" x14ac:dyDescent="0.25">
      <c r="A7" t="s">
        <v>157</v>
      </c>
      <c r="B7" s="6">
        <f>B1/B2</f>
        <v>35000</v>
      </c>
      <c r="D7" t="str">
        <f>_xlfn.CONCAT(Tbl_Loan2[[#This Row],[Maandnummer ]],Tbl_Loan2[[#This Row],[Year]])</f>
        <v>62013</v>
      </c>
      <c r="E7" s="23">
        <f t="shared" si="2"/>
        <v>6</v>
      </c>
      <c r="F7" s="28">
        <v>41450</v>
      </c>
      <c r="G7" s="23">
        <f>MONTH(Tbl_Loan2[[#This Row],[Payment date]])</f>
        <v>6</v>
      </c>
      <c r="H7" s="23" t="str">
        <f>VLOOKUP(Tbl_Loan2[[#This Row],[Maandnummer ]],Tbl_Months[],2,FALSE)</f>
        <v>June</v>
      </c>
      <c r="I7" s="23" t="str">
        <f>VLOOKUP(Tbl_Loan2[[#This Row],[Maandnummer ]],Tbl_Months[],3,FALSE)</f>
        <v>II</v>
      </c>
      <c r="J7" s="23">
        <f>YEAR(Tbl_Loan2[[#This Row],[Payment date]])</f>
        <v>2013</v>
      </c>
      <c r="K7" s="23" t="str">
        <f>_xlfn.CONCAT(Tbl_Loan2[[#This Row],[Year]],Tbl_Loan2[[#This Row],[Quarter]])</f>
        <v>2013II</v>
      </c>
      <c r="L7" s="25">
        <f t="shared" si="0"/>
        <v>335416.66666666657</v>
      </c>
      <c r="M7" s="25">
        <f>B$5*Tbl_Loan2[[#This Row],[Initial debt]]</f>
        <v>1257.8124999999995</v>
      </c>
      <c r="N7" s="25">
        <f t="shared" si="1"/>
        <v>2916.6666666666665</v>
      </c>
      <c r="O7" s="25">
        <f>MAX(0,Tbl_Loan2[[#This Row],[Initial debt]]-Tbl_Loan2[[#This Row],[Redemption amount]])</f>
        <v>332499.99999999988</v>
      </c>
      <c r="P7" s="25">
        <f>Tbl_Loan2[[#This Row],[Interest amount]]+Tbl_Loan2[[#This Row],[Redemption amount]]</f>
        <v>4174.4791666666661</v>
      </c>
    </row>
    <row r="8" spans="1:16" x14ac:dyDescent="0.25">
      <c r="A8" t="s">
        <v>158</v>
      </c>
      <c r="B8" s="6">
        <f>B1/B3</f>
        <v>2916.6666666666665</v>
      </c>
      <c r="D8" t="str">
        <f>_xlfn.CONCAT(Tbl_Loan2[[#This Row],[Maandnummer ]],Tbl_Loan2[[#This Row],[Year]])</f>
        <v>72013</v>
      </c>
      <c r="E8" s="23">
        <f t="shared" si="2"/>
        <v>7</v>
      </c>
      <c r="F8" s="28">
        <v>41480</v>
      </c>
      <c r="G8" s="23">
        <f>MONTH(Tbl_Loan2[[#This Row],[Payment date]])</f>
        <v>7</v>
      </c>
      <c r="H8" s="23" t="str">
        <f>VLOOKUP(Tbl_Loan2[[#This Row],[Maandnummer ]],Tbl_Months[],2,FALSE)</f>
        <v>July</v>
      </c>
      <c r="I8" s="23" t="str">
        <f>VLOOKUP(Tbl_Loan2[[#This Row],[Maandnummer ]],Tbl_Months[],3,FALSE)</f>
        <v>III</v>
      </c>
      <c r="J8" s="23">
        <f>YEAR(Tbl_Loan2[[#This Row],[Payment date]])</f>
        <v>2013</v>
      </c>
      <c r="K8" s="23" t="str">
        <f>_xlfn.CONCAT(Tbl_Loan2[[#This Row],[Year]],Tbl_Loan2[[#This Row],[Quarter]])</f>
        <v>2013III</v>
      </c>
      <c r="L8" s="25">
        <f t="shared" si="0"/>
        <v>332499.99999999988</v>
      </c>
      <c r="M8" s="25">
        <f>B$5*Tbl_Loan2[[#This Row],[Initial debt]]</f>
        <v>1246.8749999999995</v>
      </c>
      <c r="N8" s="25">
        <f t="shared" si="1"/>
        <v>2916.6666666666665</v>
      </c>
      <c r="O8" s="25">
        <f>MAX(0,Tbl_Loan2[[#This Row],[Initial debt]]-Tbl_Loan2[[#This Row],[Redemption amount]])</f>
        <v>329583.3333333332</v>
      </c>
      <c r="P8" s="25">
        <f>Tbl_Loan2[[#This Row],[Interest amount]]+Tbl_Loan2[[#This Row],[Redemption amount]]</f>
        <v>4163.5416666666661</v>
      </c>
    </row>
    <row r="9" spans="1:16" x14ac:dyDescent="0.25">
      <c r="D9" t="str">
        <f>_xlfn.CONCAT(Tbl_Loan2[[#This Row],[Maandnummer ]],Tbl_Loan2[[#This Row],[Year]])</f>
        <v>82013</v>
      </c>
      <c r="E9" s="23">
        <f t="shared" si="2"/>
        <v>8</v>
      </c>
      <c r="F9" s="28">
        <v>41511</v>
      </c>
      <c r="G9" s="23">
        <f>MONTH(Tbl_Loan2[[#This Row],[Payment date]])</f>
        <v>8</v>
      </c>
      <c r="H9" s="23" t="str">
        <f>VLOOKUP(Tbl_Loan2[[#This Row],[Maandnummer ]],Tbl_Months[],2,FALSE)</f>
        <v>August</v>
      </c>
      <c r="I9" s="23" t="str">
        <f>VLOOKUP(Tbl_Loan2[[#This Row],[Maandnummer ]],Tbl_Months[],3,FALSE)</f>
        <v>III</v>
      </c>
      <c r="J9" s="23">
        <f>YEAR(Tbl_Loan2[[#This Row],[Payment date]])</f>
        <v>2013</v>
      </c>
      <c r="K9" s="23" t="str">
        <f>_xlfn.CONCAT(Tbl_Loan2[[#This Row],[Year]],Tbl_Loan2[[#This Row],[Quarter]])</f>
        <v>2013III</v>
      </c>
      <c r="L9" s="25">
        <f t="shared" si="0"/>
        <v>329583.3333333332</v>
      </c>
      <c r="M9" s="25">
        <f>B$5*Tbl_Loan2[[#This Row],[Initial debt]]</f>
        <v>1235.9374999999995</v>
      </c>
      <c r="N9" s="25">
        <f t="shared" si="1"/>
        <v>2916.6666666666665</v>
      </c>
      <c r="O9" s="25">
        <f>MAX(0,Tbl_Loan2[[#This Row],[Initial debt]]-Tbl_Loan2[[#This Row],[Redemption amount]])</f>
        <v>326666.66666666651</v>
      </c>
      <c r="P9" s="25">
        <f>Tbl_Loan2[[#This Row],[Interest amount]]+Tbl_Loan2[[#This Row],[Redemption amount]]</f>
        <v>4152.6041666666661</v>
      </c>
    </row>
    <row r="10" spans="1:16" x14ac:dyDescent="0.25">
      <c r="D10" t="str">
        <f>_xlfn.CONCAT(Tbl_Loan2[[#This Row],[Maandnummer ]],Tbl_Loan2[[#This Row],[Year]])</f>
        <v>92013</v>
      </c>
      <c r="E10" s="23">
        <f t="shared" si="2"/>
        <v>9</v>
      </c>
      <c r="F10" s="28">
        <v>41542</v>
      </c>
      <c r="G10" s="23">
        <f>MONTH(Tbl_Loan2[[#This Row],[Payment date]])</f>
        <v>9</v>
      </c>
      <c r="H10" s="23" t="str">
        <f>VLOOKUP(Tbl_Loan2[[#This Row],[Maandnummer ]],Tbl_Months[],2,FALSE)</f>
        <v>September</v>
      </c>
      <c r="I10" s="23" t="str">
        <f>VLOOKUP(Tbl_Loan2[[#This Row],[Maandnummer ]],Tbl_Months[],3,FALSE)</f>
        <v>III</v>
      </c>
      <c r="J10" s="23">
        <f>YEAR(Tbl_Loan2[[#This Row],[Payment date]])</f>
        <v>2013</v>
      </c>
      <c r="K10" s="23" t="str">
        <f>_xlfn.CONCAT(Tbl_Loan2[[#This Row],[Year]],Tbl_Loan2[[#This Row],[Quarter]])</f>
        <v>2013III</v>
      </c>
      <c r="L10" s="25">
        <f t="shared" si="0"/>
        <v>326666.66666666651</v>
      </c>
      <c r="M10" s="25">
        <f>B$5*Tbl_Loan2[[#This Row],[Initial debt]]</f>
        <v>1224.9999999999993</v>
      </c>
      <c r="N10" s="25">
        <f t="shared" si="1"/>
        <v>2916.6666666666665</v>
      </c>
      <c r="O10" s="25">
        <f>MAX(0,Tbl_Loan2[[#This Row],[Initial debt]]-Tbl_Loan2[[#This Row],[Redemption amount]])</f>
        <v>323749.99999999983</v>
      </c>
      <c r="P10" s="25">
        <f>Tbl_Loan2[[#This Row],[Interest amount]]+Tbl_Loan2[[#This Row],[Redemption amount]]</f>
        <v>4141.6666666666661</v>
      </c>
    </row>
    <row r="11" spans="1:16" x14ac:dyDescent="0.25">
      <c r="D11" t="str">
        <f>_xlfn.CONCAT(Tbl_Loan2[[#This Row],[Maandnummer ]],Tbl_Loan2[[#This Row],[Year]])</f>
        <v>102013</v>
      </c>
      <c r="E11" s="23">
        <f t="shared" si="2"/>
        <v>10</v>
      </c>
      <c r="F11" s="28">
        <v>41572</v>
      </c>
      <c r="G11" s="23">
        <f>MONTH(Tbl_Loan2[[#This Row],[Payment date]])</f>
        <v>10</v>
      </c>
      <c r="H11" s="23" t="str">
        <f>VLOOKUP(Tbl_Loan2[[#This Row],[Maandnummer ]],Tbl_Months[],2,FALSE)</f>
        <v>October</v>
      </c>
      <c r="I11" s="23" t="str">
        <f>VLOOKUP(Tbl_Loan2[[#This Row],[Maandnummer ]],Tbl_Months[],3,FALSE)</f>
        <v>IV</v>
      </c>
      <c r="J11" s="23">
        <f>YEAR(Tbl_Loan2[[#This Row],[Payment date]])</f>
        <v>2013</v>
      </c>
      <c r="K11" s="23" t="str">
        <f>_xlfn.CONCAT(Tbl_Loan2[[#This Row],[Year]],Tbl_Loan2[[#This Row],[Quarter]])</f>
        <v>2013IV</v>
      </c>
      <c r="L11" s="25">
        <f t="shared" si="0"/>
        <v>323749.99999999983</v>
      </c>
      <c r="M11" s="25">
        <f>B$5*Tbl_Loan2[[#This Row],[Initial debt]]</f>
        <v>1214.0624999999993</v>
      </c>
      <c r="N11" s="25">
        <f t="shared" si="1"/>
        <v>2916.6666666666665</v>
      </c>
      <c r="O11" s="25">
        <f>MAX(0,Tbl_Loan2[[#This Row],[Initial debt]]-Tbl_Loan2[[#This Row],[Redemption amount]])</f>
        <v>320833.33333333314</v>
      </c>
      <c r="P11" s="25">
        <f>Tbl_Loan2[[#This Row],[Interest amount]]+Tbl_Loan2[[#This Row],[Redemption amount]]</f>
        <v>4130.7291666666661</v>
      </c>
    </row>
    <row r="12" spans="1:16" x14ac:dyDescent="0.25">
      <c r="D12" t="str">
        <f>_xlfn.CONCAT(Tbl_Loan2[[#This Row],[Maandnummer ]],Tbl_Loan2[[#This Row],[Year]])</f>
        <v>112013</v>
      </c>
      <c r="E12" s="23">
        <f t="shared" si="2"/>
        <v>11</v>
      </c>
      <c r="F12" s="28">
        <v>41603</v>
      </c>
      <c r="G12" s="23">
        <f>MONTH(Tbl_Loan2[[#This Row],[Payment date]])</f>
        <v>11</v>
      </c>
      <c r="H12" s="23" t="str">
        <f>VLOOKUP(Tbl_Loan2[[#This Row],[Maandnummer ]],Tbl_Months[],2,FALSE)</f>
        <v>November</v>
      </c>
      <c r="I12" s="23" t="str">
        <f>VLOOKUP(Tbl_Loan2[[#This Row],[Maandnummer ]],Tbl_Months[],3,FALSE)</f>
        <v>IV</v>
      </c>
      <c r="J12" s="23">
        <f>YEAR(Tbl_Loan2[[#This Row],[Payment date]])</f>
        <v>2013</v>
      </c>
      <c r="K12" s="23" t="str">
        <f>_xlfn.CONCAT(Tbl_Loan2[[#This Row],[Year]],Tbl_Loan2[[#This Row],[Quarter]])</f>
        <v>2013IV</v>
      </c>
      <c r="L12" s="25">
        <f t="shared" si="0"/>
        <v>320833.33333333314</v>
      </c>
      <c r="M12" s="25">
        <f>B$5*Tbl_Loan2[[#This Row],[Initial debt]]</f>
        <v>1203.1249999999993</v>
      </c>
      <c r="N12" s="25">
        <f t="shared" si="1"/>
        <v>2916.6666666666665</v>
      </c>
      <c r="O12" s="25">
        <f>MAX(0,Tbl_Loan2[[#This Row],[Initial debt]]-Tbl_Loan2[[#This Row],[Redemption amount]])</f>
        <v>317916.66666666645</v>
      </c>
      <c r="P12" s="25">
        <f>Tbl_Loan2[[#This Row],[Interest amount]]+Tbl_Loan2[[#This Row],[Redemption amount]]</f>
        <v>4119.7916666666661</v>
      </c>
    </row>
    <row r="13" spans="1:16" x14ac:dyDescent="0.25">
      <c r="B13" s="6"/>
      <c r="D13" t="str">
        <f>_xlfn.CONCAT(Tbl_Loan2[[#This Row],[Maandnummer ]],Tbl_Loan2[[#This Row],[Year]])</f>
        <v>122013</v>
      </c>
      <c r="E13" s="23">
        <f t="shared" si="2"/>
        <v>12</v>
      </c>
      <c r="F13" s="28">
        <v>41633</v>
      </c>
      <c r="G13" s="23">
        <f>MONTH(Tbl_Loan2[[#This Row],[Payment date]])</f>
        <v>12</v>
      </c>
      <c r="H13" s="23" t="str">
        <f>VLOOKUP(Tbl_Loan2[[#This Row],[Maandnummer ]],Tbl_Months[],2,FALSE)</f>
        <v>December</v>
      </c>
      <c r="I13" s="23" t="str">
        <f>VLOOKUP(Tbl_Loan2[[#This Row],[Maandnummer ]],Tbl_Months[],3,FALSE)</f>
        <v>IV</v>
      </c>
      <c r="J13" s="23">
        <f>YEAR(Tbl_Loan2[[#This Row],[Payment date]])</f>
        <v>2013</v>
      </c>
      <c r="K13" s="23" t="str">
        <f>_xlfn.CONCAT(Tbl_Loan2[[#This Row],[Year]],Tbl_Loan2[[#This Row],[Quarter]])</f>
        <v>2013IV</v>
      </c>
      <c r="L13" s="25">
        <f t="shared" si="0"/>
        <v>317916.66666666645</v>
      </c>
      <c r="M13" s="25">
        <f>B$5*Tbl_Loan2[[#This Row],[Initial debt]]</f>
        <v>1192.1874999999991</v>
      </c>
      <c r="N13" s="25">
        <f t="shared" si="1"/>
        <v>2916.6666666666665</v>
      </c>
      <c r="O13" s="25">
        <f>MAX(0,Tbl_Loan2[[#This Row],[Initial debt]]-Tbl_Loan2[[#This Row],[Redemption amount]])</f>
        <v>314999.99999999977</v>
      </c>
      <c r="P13" s="25">
        <f>Tbl_Loan2[[#This Row],[Interest amount]]+Tbl_Loan2[[#This Row],[Redemption amount]]</f>
        <v>4108.8541666666661</v>
      </c>
    </row>
    <row r="14" spans="1:16" x14ac:dyDescent="0.25">
      <c r="D14" t="str">
        <f>_xlfn.CONCAT(Tbl_Loan2[[#This Row],[Maandnummer ]],Tbl_Loan2[[#This Row],[Year]])</f>
        <v>12014</v>
      </c>
      <c r="E14" s="23">
        <f t="shared" si="2"/>
        <v>13</v>
      </c>
      <c r="F14" s="28">
        <v>41664</v>
      </c>
      <c r="G14" s="23">
        <f>MONTH(Tbl_Loan2[[#This Row],[Payment date]])</f>
        <v>1</v>
      </c>
      <c r="H14" s="23" t="str">
        <f>VLOOKUP(Tbl_Loan2[[#This Row],[Maandnummer ]],Tbl_Months[],2,FALSE)</f>
        <v>January</v>
      </c>
      <c r="I14" s="23" t="str">
        <f>VLOOKUP(Tbl_Loan2[[#This Row],[Maandnummer ]],Tbl_Months[],3,FALSE)</f>
        <v>I</v>
      </c>
      <c r="J14" s="23">
        <f>YEAR(Tbl_Loan2[[#This Row],[Payment date]])</f>
        <v>2014</v>
      </c>
      <c r="K14" s="23" t="str">
        <f>_xlfn.CONCAT(Tbl_Loan2[[#This Row],[Year]],Tbl_Loan2[[#This Row],[Quarter]])</f>
        <v>2014I</v>
      </c>
      <c r="L14" s="25">
        <f t="shared" si="0"/>
        <v>314999.99999999977</v>
      </c>
      <c r="M14" s="25">
        <f>B$5*Tbl_Loan2[[#This Row],[Initial debt]]</f>
        <v>1181.2499999999991</v>
      </c>
      <c r="N14" s="25">
        <f t="shared" si="1"/>
        <v>2916.6666666666665</v>
      </c>
      <c r="O14" s="25">
        <f>MAX(0,Tbl_Loan2[[#This Row],[Initial debt]]-Tbl_Loan2[[#This Row],[Redemption amount]])</f>
        <v>312083.33333333308</v>
      </c>
      <c r="P14" s="25">
        <f>Tbl_Loan2[[#This Row],[Interest amount]]+Tbl_Loan2[[#This Row],[Redemption amount]]</f>
        <v>4097.9166666666661</v>
      </c>
    </row>
    <row r="15" spans="1:16" x14ac:dyDescent="0.25">
      <c r="D15" t="str">
        <f>_xlfn.CONCAT(Tbl_Loan2[[#This Row],[Maandnummer ]],Tbl_Loan2[[#This Row],[Year]])</f>
        <v>22014</v>
      </c>
      <c r="E15" s="23">
        <f t="shared" si="2"/>
        <v>14</v>
      </c>
      <c r="F15" s="28">
        <v>41695</v>
      </c>
      <c r="G15" s="23">
        <f>MONTH(Tbl_Loan2[[#This Row],[Payment date]])</f>
        <v>2</v>
      </c>
      <c r="H15" s="23" t="str">
        <f>VLOOKUP(Tbl_Loan2[[#This Row],[Maandnummer ]],Tbl_Months[],2,FALSE)</f>
        <v>February</v>
      </c>
      <c r="I15" s="23" t="str">
        <f>VLOOKUP(Tbl_Loan2[[#This Row],[Maandnummer ]],Tbl_Months[],3,FALSE)</f>
        <v>I</v>
      </c>
      <c r="J15" s="23">
        <f>YEAR(Tbl_Loan2[[#This Row],[Payment date]])</f>
        <v>2014</v>
      </c>
      <c r="K15" s="23" t="str">
        <f>_xlfn.CONCAT(Tbl_Loan2[[#This Row],[Year]],Tbl_Loan2[[#This Row],[Quarter]])</f>
        <v>2014I</v>
      </c>
      <c r="L15" s="25">
        <f t="shared" si="0"/>
        <v>312083.33333333308</v>
      </c>
      <c r="M15" s="25">
        <f>B$5*Tbl_Loan2[[#This Row],[Initial debt]]</f>
        <v>1170.3124999999991</v>
      </c>
      <c r="N15" s="25">
        <f t="shared" si="1"/>
        <v>2916.6666666666665</v>
      </c>
      <c r="O15" s="25">
        <f>MAX(0,Tbl_Loan2[[#This Row],[Initial debt]]-Tbl_Loan2[[#This Row],[Redemption amount]])</f>
        <v>309166.6666666664</v>
      </c>
      <c r="P15" s="25">
        <f>Tbl_Loan2[[#This Row],[Interest amount]]+Tbl_Loan2[[#This Row],[Redemption amount]]</f>
        <v>4086.9791666666656</v>
      </c>
    </row>
    <row r="16" spans="1:16" x14ac:dyDescent="0.25">
      <c r="D16" t="str">
        <f>_xlfn.CONCAT(Tbl_Loan2[[#This Row],[Maandnummer ]],Tbl_Loan2[[#This Row],[Year]])</f>
        <v>32014</v>
      </c>
      <c r="E16" s="23">
        <f t="shared" si="2"/>
        <v>15</v>
      </c>
      <c r="F16" s="28">
        <v>41723</v>
      </c>
      <c r="G16" s="23">
        <f>MONTH(Tbl_Loan2[[#This Row],[Payment date]])</f>
        <v>3</v>
      </c>
      <c r="H16" s="23" t="str">
        <f>VLOOKUP(Tbl_Loan2[[#This Row],[Maandnummer ]],Tbl_Months[],2,FALSE)</f>
        <v>March</v>
      </c>
      <c r="I16" s="23" t="str">
        <f>VLOOKUP(Tbl_Loan2[[#This Row],[Maandnummer ]],Tbl_Months[],3,FALSE)</f>
        <v>I</v>
      </c>
      <c r="J16" s="23">
        <f>YEAR(Tbl_Loan2[[#This Row],[Payment date]])</f>
        <v>2014</v>
      </c>
      <c r="K16" s="23" t="str">
        <f>_xlfn.CONCAT(Tbl_Loan2[[#This Row],[Year]],Tbl_Loan2[[#This Row],[Quarter]])</f>
        <v>2014I</v>
      </c>
      <c r="L16" s="25">
        <f t="shared" si="0"/>
        <v>309166.6666666664</v>
      </c>
      <c r="M16" s="25">
        <f>B$5*Tbl_Loan2[[#This Row],[Initial debt]]</f>
        <v>1159.3749999999989</v>
      </c>
      <c r="N16" s="25">
        <f t="shared" si="1"/>
        <v>2916.6666666666665</v>
      </c>
      <c r="O16" s="25">
        <f>MAX(0,Tbl_Loan2[[#This Row],[Initial debt]]-Tbl_Loan2[[#This Row],[Redemption amount]])</f>
        <v>306249.99999999971</v>
      </c>
      <c r="P16" s="25">
        <f>Tbl_Loan2[[#This Row],[Interest amount]]+Tbl_Loan2[[#This Row],[Redemption amount]]</f>
        <v>4076.0416666666652</v>
      </c>
    </row>
    <row r="17" spans="4:16" x14ac:dyDescent="0.25">
      <c r="D17" t="str">
        <f>_xlfn.CONCAT(Tbl_Loan2[[#This Row],[Maandnummer ]],Tbl_Loan2[[#This Row],[Year]])</f>
        <v>42014</v>
      </c>
      <c r="E17" s="23">
        <f t="shared" si="2"/>
        <v>16</v>
      </c>
      <c r="F17" s="28">
        <v>41754</v>
      </c>
      <c r="G17" s="23">
        <f>MONTH(Tbl_Loan2[[#This Row],[Payment date]])</f>
        <v>4</v>
      </c>
      <c r="H17" s="23" t="str">
        <f>VLOOKUP(Tbl_Loan2[[#This Row],[Maandnummer ]],Tbl_Months[],2,FALSE)</f>
        <v>April</v>
      </c>
      <c r="I17" s="23" t="str">
        <f>VLOOKUP(Tbl_Loan2[[#This Row],[Maandnummer ]],Tbl_Months[],3,FALSE)</f>
        <v>II</v>
      </c>
      <c r="J17" s="23">
        <f>YEAR(Tbl_Loan2[[#This Row],[Payment date]])</f>
        <v>2014</v>
      </c>
      <c r="K17" s="23" t="str">
        <f>_xlfn.CONCAT(Tbl_Loan2[[#This Row],[Year]],Tbl_Loan2[[#This Row],[Quarter]])</f>
        <v>2014II</v>
      </c>
      <c r="L17" s="25">
        <f t="shared" si="0"/>
        <v>306249.99999999971</v>
      </c>
      <c r="M17" s="25">
        <f>B$5*Tbl_Loan2[[#This Row],[Initial debt]]</f>
        <v>1148.4374999999989</v>
      </c>
      <c r="N17" s="25">
        <f t="shared" si="1"/>
        <v>2916.6666666666665</v>
      </c>
      <c r="O17" s="25">
        <f>MAX(0,Tbl_Loan2[[#This Row],[Initial debt]]-Tbl_Loan2[[#This Row],[Redemption amount]])</f>
        <v>303333.33333333302</v>
      </c>
      <c r="P17" s="25">
        <f>Tbl_Loan2[[#This Row],[Interest amount]]+Tbl_Loan2[[#This Row],[Redemption amount]]</f>
        <v>4065.1041666666652</v>
      </c>
    </row>
    <row r="18" spans="4:16" x14ac:dyDescent="0.25">
      <c r="D18" t="str">
        <f>_xlfn.CONCAT(Tbl_Loan2[[#This Row],[Maandnummer ]],Tbl_Loan2[[#This Row],[Year]])</f>
        <v>52014</v>
      </c>
      <c r="E18" s="23">
        <f t="shared" si="2"/>
        <v>17</v>
      </c>
      <c r="F18" s="28">
        <v>41784</v>
      </c>
      <c r="G18" s="23">
        <f>MONTH(Tbl_Loan2[[#This Row],[Payment date]])</f>
        <v>5</v>
      </c>
      <c r="H18" s="23" t="str">
        <f>VLOOKUP(Tbl_Loan2[[#This Row],[Maandnummer ]],Tbl_Months[],2,FALSE)</f>
        <v>May</v>
      </c>
      <c r="I18" s="23" t="str">
        <f>VLOOKUP(Tbl_Loan2[[#This Row],[Maandnummer ]],Tbl_Months[],3,FALSE)</f>
        <v>II</v>
      </c>
      <c r="J18" s="23">
        <f>YEAR(Tbl_Loan2[[#This Row],[Payment date]])</f>
        <v>2014</v>
      </c>
      <c r="K18" s="23" t="str">
        <f>_xlfn.CONCAT(Tbl_Loan2[[#This Row],[Year]],Tbl_Loan2[[#This Row],[Quarter]])</f>
        <v>2014II</v>
      </c>
      <c r="L18" s="25">
        <f t="shared" si="0"/>
        <v>303333.33333333302</v>
      </c>
      <c r="M18" s="25">
        <f>B$5*Tbl_Loan2[[#This Row],[Initial debt]]</f>
        <v>1137.4999999999989</v>
      </c>
      <c r="N18" s="25">
        <f t="shared" si="1"/>
        <v>2916.6666666666665</v>
      </c>
      <c r="O18" s="25">
        <f>MAX(0,Tbl_Loan2[[#This Row],[Initial debt]]-Tbl_Loan2[[#This Row],[Redemption amount]])</f>
        <v>300416.66666666634</v>
      </c>
      <c r="P18" s="25">
        <f>Tbl_Loan2[[#This Row],[Interest amount]]+Tbl_Loan2[[#This Row],[Redemption amount]]</f>
        <v>4054.1666666666652</v>
      </c>
    </row>
    <row r="19" spans="4:16" x14ac:dyDescent="0.25">
      <c r="D19" t="str">
        <f>_xlfn.CONCAT(Tbl_Loan2[[#This Row],[Maandnummer ]],Tbl_Loan2[[#This Row],[Year]])</f>
        <v>62014</v>
      </c>
      <c r="E19" s="23">
        <f t="shared" si="2"/>
        <v>18</v>
      </c>
      <c r="F19" s="28">
        <v>41815</v>
      </c>
      <c r="G19" s="23">
        <f>MONTH(Tbl_Loan2[[#This Row],[Payment date]])</f>
        <v>6</v>
      </c>
      <c r="H19" s="23" t="str">
        <f>VLOOKUP(Tbl_Loan2[[#This Row],[Maandnummer ]],Tbl_Months[],2,FALSE)</f>
        <v>June</v>
      </c>
      <c r="I19" s="23" t="str">
        <f>VLOOKUP(Tbl_Loan2[[#This Row],[Maandnummer ]],Tbl_Months[],3,FALSE)</f>
        <v>II</v>
      </c>
      <c r="J19" s="23">
        <f>YEAR(Tbl_Loan2[[#This Row],[Payment date]])</f>
        <v>2014</v>
      </c>
      <c r="K19" s="23" t="str">
        <f>_xlfn.CONCAT(Tbl_Loan2[[#This Row],[Year]],Tbl_Loan2[[#This Row],[Quarter]])</f>
        <v>2014II</v>
      </c>
      <c r="L19" s="25">
        <f t="shared" si="0"/>
        <v>300416.66666666634</v>
      </c>
      <c r="M19" s="25">
        <f>B$5*Tbl_Loan2[[#This Row],[Initial debt]]</f>
        <v>1126.5624999999986</v>
      </c>
      <c r="N19" s="25">
        <f t="shared" si="1"/>
        <v>2916.6666666666665</v>
      </c>
      <c r="O19" s="25">
        <f>MAX(0,Tbl_Loan2[[#This Row],[Initial debt]]-Tbl_Loan2[[#This Row],[Redemption amount]])</f>
        <v>297499.99999999965</v>
      </c>
      <c r="P19" s="25">
        <f>Tbl_Loan2[[#This Row],[Interest amount]]+Tbl_Loan2[[#This Row],[Redemption amount]]</f>
        <v>4043.2291666666652</v>
      </c>
    </row>
    <row r="20" spans="4:16" x14ac:dyDescent="0.25">
      <c r="D20" t="str">
        <f>_xlfn.CONCAT(Tbl_Loan2[[#This Row],[Maandnummer ]],Tbl_Loan2[[#This Row],[Year]])</f>
        <v>72014</v>
      </c>
      <c r="E20" s="23">
        <f t="shared" si="2"/>
        <v>19</v>
      </c>
      <c r="F20" s="28">
        <v>41845</v>
      </c>
      <c r="G20" s="23">
        <f>MONTH(Tbl_Loan2[[#This Row],[Payment date]])</f>
        <v>7</v>
      </c>
      <c r="H20" s="23" t="str">
        <f>VLOOKUP(Tbl_Loan2[[#This Row],[Maandnummer ]],Tbl_Months[],2,FALSE)</f>
        <v>July</v>
      </c>
      <c r="I20" s="23" t="str">
        <f>VLOOKUP(Tbl_Loan2[[#This Row],[Maandnummer ]],Tbl_Months[],3,FALSE)</f>
        <v>III</v>
      </c>
      <c r="J20" s="23">
        <f>YEAR(Tbl_Loan2[[#This Row],[Payment date]])</f>
        <v>2014</v>
      </c>
      <c r="K20" s="23" t="str">
        <f>_xlfn.CONCAT(Tbl_Loan2[[#This Row],[Year]],Tbl_Loan2[[#This Row],[Quarter]])</f>
        <v>2014III</v>
      </c>
      <c r="L20" s="25">
        <f t="shared" si="0"/>
        <v>297499.99999999965</v>
      </c>
      <c r="M20" s="25">
        <f>B$5*Tbl_Loan2[[#This Row],[Initial debt]]</f>
        <v>1115.6249999999986</v>
      </c>
      <c r="N20" s="25">
        <f t="shared" si="1"/>
        <v>2916.6666666666665</v>
      </c>
      <c r="O20" s="25">
        <f>MAX(0,Tbl_Loan2[[#This Row],[Initial debt]]-Tbl_Loan2[[#This Row],[Redemption amount]])</f>
        <v>294583.33333333296</v>
      </c>
      <c r="P20" s="25">
        <f>Tbl_Loan2[[#This Row],[Interest amount]]+Tbl_Loan2[[#This Row],[Redemption amount]]</f>
        <v>4032.2916666666652</v>
      </c>
    </row>
    <row r="21" spans="4:16" x14ac:dyDescent="0.25">
      <c r="D21" t="str">
        <f>_xlfn.CONCAT(Tbl_Loan2[[#This Row],[Maandnummer ]],Tbl_Loan2[[#This Row],[Year]])</f>
        <v>82014</v>
      </c>
      <c r="E21" s="23">
        <f t="shared" si="2"/>
        <v>20</v>
      </c>
      <c r="F21" s="28">
        <v>41876</v>
      </c>
      <c r="G21" s="23">
        <f>MONTH(Tbl_Loan2[[#This Row],[Payment date]])</f>
        <v>8</v>
      </c>
      <c r="H21" s="23" t="str">
        <f>VLOOKUP(Tbl_Loan2[[#This Row],[Maandnummer ]],Tbl_Months[],2,FALSE)</f>
        <v>August</v>
      </c>
      <c r="I21" s="23" t="str">
        <f>VLOOKUP(Tbl_Loan2[[#This Row],[Maandnummer ]],Tbl_Months[],3,FALSE)</f>
        <v>III</v>
      </c>
      <c r="J21" s="23">
        <f>YEAR(Tbl_Loan2[[#This Row],[Payment date]])</f>
        <v>2014</v>
      </c>
      <c r="K21" s="23" t="str">
        <f>_xlfn.CONCAT(Tbl_Loan2[[#This Row],[Year]],Tbl_Loan2[[#This Row],[Quarter]])</f>
        <v>2014III</v>
      </c>
      <c r="L21" s="25">
        <f t="shared" si="0"/>
        <v>294583.33333333296</v>
      </c>
      <c r="M21" s="25">
        <f>B$5*Tbl_Loan2[[#This Row],[Initial debt]]</f>
        <v>1104.6874999999986</v>
      </c>
      <c r="N21" s="25">
        <f t="shared" si="1"/>
        <v>2916.6666666666665</v>
      </c>
      <c r="O21" s="25">
        <f>MAX(0,Tbl_Loan2[[#This Row],[Initial debt]]-Tbl_Loan2[[#This Row],[Redemption amount]])</f>
        <v>291666.66666666628</v>
      </c>
      <c r="P21" s="25">
        <f>Tbl_Loan2[[#This Row],[Interest amount]]+Tbl_Loan2[[#This Row],[Redemption amount]]</f>
        <v>4021.3541666666652</v>
      </c>
    </row>
    <row r="22" spans="4:16" x14ac:dyDescent="0.25">
      <c r="D22" t="str">
        <f>_xlfn.CONCAT(Tbl_Loan2[[#This Row],[Maandnummer ]],Tbl_Loan2[[#This Row],[Year]])</f>
        <v>92014</v>
      </c>
      <c r="E22" s="23">
        <f t="shared" si="2"/>
        <v>21</v>
      </c>
      <c r="F22" s="28">
        <v>41907</v>
      </c>
      <c r="G22" s="23">
        <f>MONTH(Tbl_Loan2[[#This Row],[Payment date]])</f>
        <v>9</v>
      </c>
      <c r="H22" s="23" t="str">
        <f>VLOOKUP(Tbl_Loan2[[#This Row],[Maandnummer ]],Tbl_Months[],2,FALSE)</f>
        <v>September</v>
      </c>
      <c r="I22" s="23" t="str">
        <f>VLOOKUP(Tbl_Loan2[[#This Row],[Maandnummer ]],Tbl_Months[],3,FALSE)</f>
        <v>III</v>
      </c>
      <c r="J22" s="23">
        <f>YEAR(Tbl_Loan2[[#This Row],[Payment date]])</f>
        <v>2014</v>
      </c>
      <c r="K22" s="23" t="str">
        <f>_xlfn.CONCAT(Tbl_Loan2[[#This Row],[Year]],Tbl_Loan2[[#This Row],[Quarter]])</f>
        <v>2014III</v>
      </c>
      <c r="L22" s="25">
        <f t="shared" si="0"/>
        <v>291666.66666666628</v>
      </c>
      <c r="M22" s="25">
        <f>B$5*Tbl_Loan2[[#This Row],[Initial debt]]</f>
        <v>1093.7499999999984</v>
      </c>
      <c r="N22" s="25">
        <f t="shared" si="1"/>
        <v>2916.6666666666665</v>
      </c>
      <c r="O22" s="25">
        <f>MAX(0,Tbl_Loan2[[#This Row],[Initial debt]]-Tbl_Loan2[[#This Row],[Redemption amount]])</f>
        <v>288749.99999999959</v>
      </c>
      <c r="P22" s="25">
        <f>Tbl_Loan2[[#This Row],[Interest amount]]+Tbl_Loan2[[#This Row],[Redemption amount]]</f>
        <v>4010.4166666666652</v>
      </c>
    </row>
    <row r="23" spans="4:16" x14ac:dyDescent="0.25">
      <c r="D23" t="str">
        <f>_xlfn.CONCAT(Tbl_Loan2[[#This Row],[Maandnummer ]],Tbl_Loan2[[#This Row],[Year]])</f>
        <v>102014</v>
      </c>
      <c r="E23" s="23">
        <f t="shared" si="2"/>
        <v>22</v>
      </c>
      <c r="F23" s="28">
        <v>41937</v>
      </c>
      <c r="G23" s="23">
        <f>MONTH(Tbl_Loan2[[#This Row],[Payment date]])</f>
        <v>10</v>
      </c>
      <c r="H23" s="23" t="str">
        <f>VLOOKUP(Tbl_Loan2[[#This Row],[Maandnummer ]],Tbl_Months[],2,FALSE)</f>
        <v>October</v>
      </c>
      <c r="I23" s="23" t="str">
        <f>VLOOKUP(Tbl_Loan2[[#This Row],[Maandnummer ]],Tbl_Months[],3,FALSE)</f>
        <v>IV</v>
      </c>
      <c r="J23" s="23">
        <f>YEAR(Tbl_Loan2[[#This Row],[Payment date]])</f>
        <v>2014</v>
      </c>
      <c r="K23" s="23" t="str">
        <f>_xlfn.CONCAT(Tbl_Loan2[[#This Row],[Year]],Tbl_Loan2[[#This Row],[Quarter]])</f>
        <v>2014IV</v>
      </c>
      <c r="L23" s="25">
        <f t="shared" si="0"/>
        <v>288749.99999999959</v>
      </c>
      <c r="M23" s="25">
        <f>B$5*Tbl_Loan2[[#This Row],[Initial debt]]</f>
        <v>1082.8124999999984</v>
      </c>
      <c r="N23" s="25">
        <f t="shared" si="1"/>
        <v>2916.6666666666665</v>
      </c>
      <c r="O23" s="25">
        <f>MAX(0,Tbl_Loan2[[#This Row],[Initial debt]]-Tbl_Loan2[[#This Row],[Redemption amount]])</f>
        <v>285833.33333333291</v>
      </c>
      <c r="P23" s="25">
        <f>Tbl_Loan2[[#This Row],[Interest amount]]+Tbl_Loan2[[#This Row],[Redemption amount]]</f>
        <v>3999.4791666666652</v>
      </c>
    </row>
    <row r="24" spans="4:16" x14ac:dyDescent="0.25">
      <c r="D24" t="str">
        <f>_xlfn.CONCAT(Tbl_Loan2[[#This Row],[Maandnummer ]],Tbl_Loan2[[#This Row],[Year]])</f>
        <v>112014</v>
      </c>
      <c r="E24" s="23">
        <f t="shared" si="2"/>
        <v>23</v>
      </c>
      <c r="F24" s="28">
        <v>41968</v>
      </c>
      <c r="G24" s="23">
        <f>MONTH(Tbl_Loan2[[#This Row],[Payment date]])</f>
        <v>11</v>
      </c>
      <c r="H24" s="23" t="str">
        <f>VLOOKUP(Tbl_Loan2[[#This Row],[Maandnummer ]],Tbl_Months[],2,FALSE)</f>
        <v>November</v>
      </c>
      <c r="I24" s="23" t="str">
        <f>VLOOKUP(Tbl_Loan2[[#This Row],[Maandnummer ]],Tbl_Months[],3,FALSE)</f>
        <v>IV</v>
      </c>
      <c r="J24" s="23">
        <f>YEAR(Tbl_Loan2[[#This Row],[Payment date]])</f>
        <v>2014</v>
      </c>
      <c r="K24" s="23" t="str">
        <f>_xlfn.CONCAT(Tbl_Loan2[[#This Row],[Year]],Tbl_Loan2[[#This Row],[Quarter]])</f>
        <v>2014IV</v>
      </c>
      <c r="L24" s="25">
        <f t="shared" si="0"/>
        <v>285833.33333333291</v>
      </c>
      <c r="M24" s="25">
        <f>B$5*Tbl_Loan2[[#This Row],[Initial debt]]</f>
        <v>1071.8749999999984</v>
      </c>
      <c r="N24" s="25">
        <f t="shared" si="1"/>
        <v>2916.6666666666665</v>
      </c>
      <c r="O24" s="25">
        <f>MAX(0,Tbl_Loan2[[#This Row],[Initial debt]]-Tbl_Loan2[[#This Row],[Redemption amount]])</f>
        <v>282916.66666666622</v>
      </c>
      <c r="P24" s="25">
        <f>Tbl_Loan2[[#This Row],[Interest amount]]+Tbl_Loan2[[#This Row],[Redemption amount]]</f>
        <v>3988.5416666666652</v>
      </c>
    </row>
    <row r="25" spans="4:16" x14ac:dyDescent="0.25">
      <c r="D25" t="str">
        <f>_xlfn.CONCAT(Tbl_Loan2[[#This Row],[Maandnummer ]],Tbl_Loan2[[#This Row],[Year]])</f>
        <v>122014</v>
      </c>
      <c r="E25" s="23">
        <f t="shared" si="2"/>
        <v>24</v>
      </c>
      <c r="F25" s="28">
        <v>41998</v>
      </c>
      <c r="G25" s="23">
        <f>MONTH(Tbl_Loan2[[#This Row],[Payment date]])</f>
        <v>12</v>
      </c>
      <c r="H25" s="23" t="str">
        <f>VLOOKUP(Tbl_Loan2[[#This Row],[Maandnummer ]],Tbl_Months[],2,FALSE)</f>
        <v>December</v>
      </c>
      <c r="I25" s="23" t="str">
        <f>VLOOKUP(Tbl_Loan2[[#This Row],[Maandnummer ]],Tbl_Months[],3,FALSE)</f>
        <v>IV</v>
      </c>
      <c r="J25" s="23">
        <f>YEAR(Tbl_Loan2[[#This Row],[Payment date]])</f>
        <v>2014</v>
      </c>
      <c r="K25" s="23" t="str">
        <f>_xlfn.CONCAT(Tbl_Loan2[[#This Row],[Year]],Tbl_Loan2[[#This Row],[Quarter]])</f>
        <v>2014IV</v>
      </c>
      <c r="L25" s="25">
        <f t="shared" si="0"/>
        <v>282916.66666666622</v>
      </c>
      <c r="M25" s="25">
        <f>B$5*Tbl_Loan2[[#This Row],[Initial debt]]</f>
        <v>1060.9374999999982</v>
      </c>
      <c r="N25" s="25">
        <f t="shared" si="1"/>
        <v>2916.6666666666665</v>
      </c>
      <c r="O25" s="25">
        <f>MAX(0,Tbl_Loan2[[#This Row],[Initial debt]]-Tbl_Loan2[[#This Row],[Redemption amount]])</f>
        <v>279999.99999999953</v>
      </c>
      <c r="P25" s="25">
        <f>Tbl_Loan2[[#This Row],[Interest amount]]+Tbl_Loan2[[#This Row],[Redemption amount]]</f>
        <v>3977.6041666666647</v>
      </c>
    </row>
    <row r="26" spans="4:16" x14ac:dyDescent="0.25">
      <c r="D26" t="str">
        <f>_xlfn.CONCAT(Tbl_Loan2[[#This Row],[Maandnummer ]],Tbl_Loan2[[#This Row],[Year]])</f>
        <v>12015</v>
      </c>
      <c r="E26" s="23">
        <f t="shared" si="2"/>
        <v>25</v>
      </c>
      <c r="F26" s="28">
        <v>42029</v>
      </c>
      <c r="G26" s="23">
        <f>MONTH(Tbl_Loan2[[#This Row],[Payment date]])</f>
        <v>1</v>
      </c>
      <c r="H26" s="23" t="str">
        <f>VLOOKUP(Tbl_Loan2[[#This Row],[Maandnummer ]],Tbl_Months[],2,FALSE)</f>
        <v>January</v>
      </c>
      <c r="I26" s="23" t="str">
        <f>VLOOKUP(Tbl_Loan2[[#This Row],[Maandnummer ]],Tbl_Months[],3,FALSE)</f>
        <v>I</v>
      </c>
      <c r="J26" s="23">
        <f>YEAR(Tbl_Loan2[[#This Row],[Payment date]])</f>
        <v>2015</v>
      </c>
      <c r="K26" s="23" t="str">
        <f>_xlfn.CONCAT(Tbl_Loan2[[#This Row],[Year]],Tbl_Loan2[[#This Row],[Quarter]])</f>
        <v>2015I</v>
      </c>
      <c r="L26" s="25">
        <f t="shared" si="0"/>
        <v>279999.99999999953</v>
      </c>
      <c r="M26" s="25">
        <f>B$5*Tbl_Loan2[[#This Row],[Initial debt]]</f>
        <v>1049.9999999999982</v>
      </c>
      <c r="N26" s="25">
        <f t="shared" si="1"/>
        <v>2916.6666666666665</v>
      </c>
      <c r="O26" s="25">
        <f>MAX(0,Tbl_Loan2[[#This Row],[Initial debt]]-Tbl_Loan2[[#This Row],[Redemption amount]])</f>
        <v>277083.33333333285</v>
      </c>
      <c r="P26" s="25">
        <f>Tbl_Loan2[[#This Row],[Interest amount]]+Tbl_Loan2[[#This Row],[Redemption amount]]</f>
        <v>3966.6666666666647</v>
      </c>
    </row>
    <row r="27" spans="4:16" x14ac:dyDescent="0.25">
      <c r="D27" t="str">
        <f>_xlfn.CONCAT(Tbl_Loan2[[#This Row],[Maandnummer ]],Tbl_Loan2[[#This Row],[Year]])</f>
        <v>22015</v>
      </c>
      <c r="E27" s="23">
        <f t="shared" si="2"/>
        <v>26</v>
      </c>
      <c r="F27" s="28">
        <v>42060</v>
      </c>
      <c r="G27" s="23">
        <f>MONTH(Tbl_Loan2[[#This Row],[Payment date]])</f>
        <v>2</v>
      </c>
      <c r="H27" s="23" t="str">
        <f>VLOOKUP(Tbl_Loan2[[#This Row],[Maandnummer ]],Tbl_Months[],2,FALSE)</f>
        <v>February</v>
      </c>
      <c r="I27" s="23" t="str">
        <f>VLOOKUP(Tbl_Loan2[[#This Row],[Maandnummer ]],Tbl_Months[],3,FALSE)</f>
        <v>I</v>
      </c>
      <c r="J27" s="23">
        <f>YEAR(Tbl_Loan2[[#This Row],[Payment date]])</f>
        <v>2015</v>
      </c>
      <c r="K27" s="23" t="str">
        <f>_xlfn.CONCAT(Tbl_Loan2[[#This Row],[Year]],Tbl_Loan2[[#This Row],[Quarter]])</f>
        <v>2015I</v>
      </c>
      <c r="L27" s="25">
        <f t="shared" si="0"/>
        <v>277083.33333333285</v>
      </c>
      <c r="M27" s="25">
        <f>B$5*Tbl_Loan2[[#This Row],[Initial debt]]</f>
        <v>1039.0624999999982</v>
      </c>
      <c r="N27" s="25">
        <f t="shared" si="1"/>
        <v>2916.6666666666665</v>
      </c>
      <c r="O27" s="25">
        <f>MAX(0,Tbl_Loan2[[#This Row],[Initial debt]]-Tbl_Loan2[[#This Row],[Redemption amount]])</f>
        <v>274166.66666666616</v>
      </c>
      <c r="P27" s="25">
        <f>Tbl_Loan2[[#This Row],[Interest amount]]+Tbl_Loan2[[#This Row],[Redemption amount]]</f>
        <v>3955.7291666666647</v>
      </c>
    </row>
    <row r="28" spans="4:16" x14ac:dyDescent="0.25">
      <c r="D28" t="str">
        <f>_xlfn.CONCAT(Tbl_Loan2[[#This Row],[Maandnummer ]],Tbl_Loan2[[#This Row],[Year]])</f>
        <v>32015</v>
      </c>
      <c r="E28" s="23">
        <f t="shared" si="2"/>
        <v>27</v>
      </c>
      <c r="F28" s="28">
        <v>42088</v>
      </c>
      <c r="G28" s="23">
        <f>MONTH(Tbl_Loan2[[#This Row],[Payment date]])</f>
        <v>3</v>
      </c>
      <c r="H28" s="23" t="str">
        <f>VLOOKUP(Tbl_Loan2[[#This Row],[Maandnummer ]],Tbl_Months[],2,FALSE)</f>
        <v>March</v>
      </c>
      <c r="I28" s="23" t="str">
        <f>VLOOKUP(Tbl_Loan2[[#This Row],[Maandnummer ]],Tbl_Months[],3,FALSE)</f>
        <v>I</v>
      </c>
      <c r="J28" s="23">
        <f>YEAR(Tbl_Loan2[[#This Row],[Payment date]])</f>
        <v>2015</v>
      </c>
      <c r="K28" s="23" t="str">
        <f>_xlfn.CONCAT(Tbl_Loan2[[#This Row],[Year]],Tbl_Loan2[[#This Row],[Quarter]])</f>
        <v>2015I</v>
      </c>
      <c r="L28" s="25">
        <f t="shared" si="0"/>
        <v>274166.66666666616</v>
      </c>
      <c r="M28" s="25">
        <f>B$5*Tbl_Loan2[[#This Row],[Initial debt]]</f>
        <v>1028.1249999999982</v>
      </c>
      <c r="N28" s="25">
        <f t="shared" si="1"/>
        <v>2916.6666666666665</v>
      </c>
      <c r="O28" s="25">
        <f>MAX(0,Tbl_Loan2[[#This Row],[Initial debt]]-Tbl_Loan2[[#This Row],[Redemption amount]])</f>
        <v>271249.99999999948</v>
      </c>
      <c r="P28" s="25">
        <f>Tbl_Loan2[[#This Row],[Interest amount]]+Tbl_Loan2[[#This Row],[Redemption amount]]</f>
        <v>3944.7916666666647</v>
      </c>
    </row>
    <row r="29" spans="4:16" x14ac:dyDescent="0.25">
      <c r="D29" t="str">
        <f>_xlfn.CONCAT(Tbl_Loan2[[#This Row],[Maandnummer ]],Tbl_Loan2[[#This Row],[Year]])</f>
        <v>42015</v>
      </c>
      <c r="E29" s="23">
        <f t="shared" si="2"/>
        <v>28</v>
      </c>
      <c r="F29" s="28">
        <v>42119</v>
      </c>
      <c r="G29" s="23">
        <f>MONTH(Tbl_Loan2[[#This Row],[Payment date]])</f>
        <v>4</v>
      </c>
      <c r="H29" s="23" t="str">
        <f>VLOOKUP(Tbl_Loan2[[#This Row],[Maandnummer ]],Tbl_Months[],2,FALSE)</f>
        <v>April</v>
      </c>
      <c r="I29" s="23" t="str">
        <f>VLOOKUP(Tbl_Loan2[[#This Row],[Maandnummer ]],Tbl_Months[],3,FALSE)</f>
        <v>II</v>
      </c>
      <c r="J29" s="23">
        <f>YEAR(Tbl_Loan2[[#This Row],[Payment date]])</f>
        <v>2015</v>
      </c>
      <c r="K29" s="23" t="str">
        <f>_xlfn.CONCAT(Tbl_Loan2[[#This Row],[Year]],Tbl_Loan2[[#This Row],[Quarter]])</f>
        <v>2015II</v>
      </c>
      <c r="L29" s="25">
        <f t="shared" si="0"/>
        <v>271249.99999999948</v>
      </c>
      <c r="M29" s="25">
        <f>B$5*Tbl_Loan2[[#This Row],[Initial debt]]</f>
        <v>1017.187499999998</v>
      </c>
      <c r="N29" s="25">
        <f t="shared" si="1"/>
        <v>2916.6666666666665</v>
      </c>
      <c r="O29" s="25">
        <f>MAX(0,Tbl_Loan2[[#This Row],[Initial debt]]-Tbl_Loan2[[#This Row],[Redemption amount]])</f>
        <v>268333.33333333279</v>
      </c>
      <c r="P29" s="25">
        <f>Tbl_Loan2[[#This Row],[Interest amount]]+Tbl_Loan2[[#This Row],[Redemption amount]]</f>
        <v>3933.8541666666642</v>
      </c>
    </row>
    <row r="30" spans="4:16" x14ac:dyDescent="0.25">
      <c r="D30" t="str">
        <f>_xlfn.CONCAT(Tbl_Loan2[[#This Row],[Maandnummer ]],Tbl_Loan2[[#This Row],[Year]])</f>
        <v>52015</v>
      </c>
      <c r="E30" s="23">
        <f t="shared" si="2"/>
        <v>29</v>
      </c>
      <c r="F30" s="28">
        <v>42149</v>
      </c>
      <c r="G30" s="23">
        <f>MONTH(Tbl_Loan2[[#This Row],[Payment date]])</f>
        <v>5</v>
      </c>
      <c r="H30" s="23" t="str">
        <f>VLOOKUP(Tbl_Loan2[[#This Row],[Maandnummer ]],Tbl_Months[],2,FALSE)</f>
        <v>May</v>
      </c>
      <c r="I30" s="23" t="str">
        <f>VLOOKUP(Tbl_Loan2[[#This Row],[Maandnummer ]],Tbl_Months[],3,FALSE)</f>
        <v>II</v>
      </c>
      <c r="J30" s="23">
        <f>YEAR(Tbl_Loan2[[#This Row],[Payment date]])</f>
        <v>2015</v>
      </c>
      <c r="K30" s="23" t="str">
        <f>_xlfn.CONCAT(Tbl_Loan2[[#This Row],[Year]],Tbl_Loan2[[#This Row],[Quarter]])</f>
        <v>2015II</v>
      </c>
      <c r="L30" s="25">
        <f t="shared" si="0"/>
        <v>268333.33333333279</v>
      </c>
      <c r="M30" s="25">
        <f>B$5*Tbl_Loan2[[#This Row],[Initial debt]]</f>
        <v>1006.249999999998</v>
      </c>
      <c r="N30" s="25">
        <f t="shared" si="1"/>
        <v>2916.6666666666665</v>
      </c>
      <c r="O30" s="25">
        <f>MAX(0,Tbl_Loan2[[#This Row],[Initial debt]]-Tbl_Loan2[[#This Row],[Redemption amount]])</f>
        <v>265416.6666666661</v>
      </c>
      <c r="P30" s="25">
        <f>Tbl_Loan2[[#This Row],[Interest amount]]+Tbl_Loan2[[#This Row],[Redemption amount]]</f>
        <v>3922.9166666666642</v>
      </c>
    </row>
    <row r="31" spans="4:16" x14ac:dyDescent="0.25">
      <c r="D31" t="str">
        <f>_xlfn.CONCAT(Tbl_Loan2[[#This Row],[Maandnummer ]],Tbl_Loan2[[#This Row],[Year]])</f>
        <v>62015</v>
      </c>
      <c r="E31" s="23">
        <f t="shared" si="2"/>
        <v>30</v>
      </c>
      <c r="F31" s="28">
        <v>42180</v>
      </c>
      <c r="G31" s="23">
        <f>MONTH(Tbl_Loan2[[#This Row],[Payment date]])</f>
        <v>6</v>
      </c>
      <c r="H31" s="23" t="str">
        <f>VLOOKUP(Tbl_Loan2[[#This Row],[Maandnummer ]],Tbl_Months[],2,FALSE)</f>
        <v>June</v>
      </c>
      <c r="I31" s="23" t="str">
        <f>VLOOKUP(Tbl_Loan2[[#This Row],[Maandnummer ]],Tbl_Months[],3,FALSE)</f>
        <v>II</v>
      </c>
      <c r="J31" s="23">
        <f>YEAR(Tbl_Loan2[[#This Row],[Payment date]])</f>
        <v>2015</v>
      </c>
      <c r="K31" s="23" t="str">
        <f>_xlfn.CONCAT(Tbl_Loan2[[#This Row],[Year]],Tbl_Loan2[[#This Row],[Quarter]])</f>
        <v>2015II</v>
      </c>
      <c r="L31" s="25">
        <f t="shared" si="0"/>
        <v>265416.6666666661</v>
      </c>
      <c r="M31" s="25">
        <f>B$5*Tbl_Loan2[[#This Row],[Initial debt]]</f>
        <v>995.31249999999784</v>
      </c>
      <c r="N31" s="25">
        <f t="shared" si="1"/>
        <v>2916.6666666666665</v>
      </c>
      <c r="O31" s="25">
        <f>MAX(0,Tbl_Loan2[[#This Row],[Initial debt]]-Tbl_Loan2[[#This Row],[Redemption amount]])</f>
        <v>262499.99999999942</v>
      </c>
      <c r="P31" s="25">
        <f>Tbl_Loan2[[#This Row],[Interest amount]]+Tbl_Loan2[[#This Row],[Redemption amount]]</f>
        <v>3911.9791666666642</v>
      </c>
    </row>
    <row r="32" spans="4:16" x14ac:dyDescent="0.25">
      <c r="D32" t="str">
        <f>_xlfn.CONCAT(Tbl_Loan2[[#This Row],[Maandnummer ]],Tbl_Loan2[[#This Row],[Year]])</f>
        <v>72015</v>
      </c>
      <c r="E32" s="23">
        <f t="shared" si="2"/>
        <v>31</v>
      </c>
      <c r="F32" s="28">
        <v>42210</v>
      </c>
      <c r="G32" s="23">
        <f>MONTH(Tbl_Loan2[[#This Row],[Payment date]])</f>
        <v>7</v>
      </c>
      <c r="H32" s="23" t="str">
        <f>VLOOKUP(Tbl_Loan2[[#This Row],[Maandnummer ]],Tbl_Months[],2,FALSE)</f>
        <v>July</v>
      </c>
      <c r="I32" s="23" t="str">
        <f>VLOOKUP(Tbl_Loan2[[#This Row],[Maandnummer ]],Tbl_Months[],3,FALSE)</f>
        <v>III</v>
      </c>
      <c r="J32" s="23">
        <f>YEAR(Tbl_Loan2[[#This Row],[Payment date]])</f>
        <v>2015</v>
      </c>
      <c r="K32" s="23" t="str">
        <f>_xlfn.CONCAT(Tbl_Loan2[[#This Row],[Year]],Tbl_Loan2[[#This Row],[Quarter]])</f>
        <v>2015III</v>
      </c>
      <c r="L32" s="25">
        <f t="shared" si="0"/>
        <v>262499.99999999942</v>
      </c>
      <c r="M32" s="25">
        <f>B$5*Tbl_Loan2[[#This Row],[Initial debt]]</f>
        <v>984.37499999999773</v>
      </c>
      <c r="N32" s="25">
        <f t="shared" si="1"/>
        <v>2916.6666666666665</v>
      </c>
      <c r="O32" s="25">
        <f>MAX(0,Tbl_Loan2[[#This Row],[Initial debt]]-Tbl_Loan2[[#This Row],[Redemption amount]])</f>
        <v>259583.33333333276</v>
      </c>
      <c r="P32" s="25">
        <f>Tbl_Loan2[[#This Row],[Interest amount]]+Tbl_Loan2[[#This Row],[Redemption amount]]</f>
        <v>3901.0416666666642</v>
      </c>
    </row>
    <row r="33" spans="4:16" x14ac:dyDescent="0.25">
      <c r="D33" t="str">
        <f>_xlfn.CONCAT(Tbl_Loan2[[#This Row],[Maandnummer ]],Tbl_Loan2[[#This Row],[Year]])</f>
        <v>82015</v>
      </c>
      <c r="E33" s="23">
        <f t="shared" si="2"/>
        <v>32</v>
      </c>
      <c r="F33" s="28">
        <v>42241</v>
      </c>
      <c r="G33" s="23">
        <f>MONTH(Tbl_Loan2[[#This Row],[Payment date]])</f>
        <v>8</v>
      </c>
      <c r="H33" s="23" t="str">
        <f>VLOOKUP(Tbl_Loan2[[#This Row],[Maandnummer ]],Tbl_Months[],2,FALSE)</f>
        <v>August</v>
      </c>
      <c r="I33" s="23" t="str">
        <f>VLOOKUP(Tbl_Loan2[[#This Row],[Maandnummer ]],Tbl_Months[],3,FALSE)</f>
        <v>III</v>
      </c>
      <c r="J33" s="23">
        <f>YEAR(Tbl_Loan2[[#This Row],[Payment date]])</f>
        <v>2015</v>
      </c>
      <c r="K33" s="23" t="str">
        <f>_xlfn.CONCAT(Tbl_Loan2[[#This Row],[Year]],Tbl_Loan2[[#This Row],[Quarter]])</f>
        <v>2015III</v>
      </c>
      <c r="L33" s="25">
        <f t="shared" si="0"/>
        <v>259583.33333333276</v>
      </c>
      <c r="M33" s="25">
        <f>B$5*Tbl_Loan2[[#This Row],[Initial debt]]</f>
        <v>973.43749999999784</v>
      </c>
      <c r="N33" s="25">
        <f t="shared" si="1"/>
        <v>2916.6666666666665</v>
      </c>
      <c r="O33" s="25">
        <f>MAX(0,Tbl_Loan2[[#This Row],[Initial debt]]-Tbl_Loan2[[#This Row],[Redemption amount]])</f>
        <v>256666.6666666661</v>
      </c>
      <c r="P33" s="25">
        <f>Tbl_Loan2[[#This Row],[Interest amount]]+Tbl_Loan2[[#This Row],[Redemption amount]]</f>
        <v>3890.1041666666642</v>
      </c>
    </row>
    <row r="34" spans="4:16" x14ac:dyDescent="0.25">
      <c r="D34" t="str">
        <f>_xlfn.CONCAT(Tbl_Loan2[[#This Row],[Maandnummer ]],Tbl_Loan2[[#This Row],[Year]])</f>
        <v>92015</v>
      </c>
      <c r="E34" s="23">
        <f t="shared" si="2"/>
        <v>33</v>
      </c>
      <c r="F34" s="28">
        <v>42272</v>
      </c>
      <c r="G34" s="23">
        <f>MONTH(Tbl_Loan2[[#This Row],[Payment date]])</f>
        <v>9</v>
      </c>
      <c r="H34" s="23" t="str">
        <f>VLOOKUP(Tbl_Loan2[[#This Row],[Maandnummer ]],Tbl_Months[],2,FALSE)</f>
        <v>September</v>
      </c>
      <c r="I34" s="23" t="str">
        <f>VLOOKUP(Tbl_Loan2[[#This Row],[Maandnummer ]],Tbl_Months[],3,FALSE)</f>
        <v>III</v>
      </c>
      <c r="J34" s="23">
        <f>YEAR(Tbl_Loan2[[#This Row],[Payment date]])</f>
        <v>2015</v>
      </c>
      <c r="K34" s="23" t="str">
        <f>_xlfn.CONCAT(Tbl_Loan2[[#This Row],[Year]],Tbl_Loan2[[#This Row],[Quarter]])</f>
        <v>2015III</v>
      </c>
      <c r="L34" s="25">
        <f t="shared" ref="L34:L65" si="3">IF(O33="Residual debt",B$1,O33)</f>
        <v>256666.6666666661</v>
      </c>
      <c r="M34" s="25">
        <f>B$5*Tbl_Loan2[[#This Row],[Initial debt]]</f>
        <v>962.49999999999784</v>
      </c>
      <c r="N34" s="25">
        <f t="shared" ref="N34:N65" si="4">B$8</f>
        <v>2916.6666666666665</v>
      </c>
      <c r="O34" s="25">
        <f>MAX(0,Tbl_Loan2[[#This Row],[Initial debt]]-Tbl_Loan2[[#This Row],[Redemption amount]])</f>
        <v>253749.99999999945</v>
      </c>
      <c r="P34" s="25">
        <f>Tbl_Loan2[[#This Row],[Interest amount]]+Tbl_Loan2[[#This Row],[Redemption amount]]</f>
        <v>3879.1666666666642</v>
      </c>
    </row>
    <row r="35" spans="4:16" x14ac:dyDescent="0.25">
      <c r="D35" t="str">
        <f>_xlfn.CONCAT(Tbl_Loan2[[#This Row],[Maandnummer ]],Tbl_Loan2[[#This Row],[Year]])</f>
        <v>102015</v>
      </c>
      <c r="E35" s="23">
        <f t="shared" si="2"/>
        <v>34</v>
      </c>
      <c r="F35" s="28">
        <v>42302</v>
      </c>
      <c r="G35" s="23">
        <f>MONTH(Tbl_Loan2[[#This Row],[Payment date]])</f>
        <v>10</v>
      </c>
      <c r="H35" s="23" t="str">
        <f>VLOOKUP(Tbl_Loan2[[#This Row],[Maandnummer ]],Tbl_Months[],2,FALSE)</f>
        <v>October</v>
      </c>
      <c r="I35" s="23" t="str">
        <f>VLOOKUP(Tbl_Loan2[[#This Row],[Maandnummer ]],Tbl_Months[],3,FALSE)</f>
        <v>IV</v>
      </c>
      <c r="J35" s="23">
        <f>YEAR(Tbl_Loan2[[#This Row],[Payment date]])</f>
        <v>2015</v>
      </c>
      <c r="K35" s="23" t="str">
        <f>_xlfn.CONCAT(Tbl_Loan2[[#This Row],[Year]],Tbl_Loan2[[#This Row],[Quarter]])</f>
        <v>2015IV</v>
      </c>
      <c r="L35" s="25">
        <f t="shared" si="3"/>
        <v>253749.99999999945</v>
      </c>
      <c r="M35" s="25">
        <f>B$5*Tbl_Loan2[[#This Row],[Initial debt]]</f>
        <v>951.56249999999784</v>
      </c>
      <c r="N35" s="25">
        <f t="shared" si="4"/>
        <v>2916.6666666666665</v>
      </c>
      <c r="O35" s="25">
        <f>MAX(0,Tbl_Loan2[[#This Row],[Initial debt]]-Tbl_Loan2[[#This Row],[Redemption amount]])</f>
        <v>250833.33333333279</v>
      </c>
      <c r="P35" s="25">
        <f>Tbl_Loan2[[#This Row],[Interest amount]]+Tbl_Loan2[[#This Row],[Redemption amount]]</f>
        <v>3868.2291666666642</v>
      </c>
    </row>
    <row r="36" spans="4:16" x14ac:dyDescent="0.25">
      <c r="D36" t="str">
        <f>_xlfn.CONCAT(Tbl_Loan2[[#This Row],[Maandnummer ]],Tbl_Loan2[[#This Row],[Year]])</f>
        <v>112015</v>
      </c>
      <c r="E36" s="23">
        <f t="shared" si="2"/>
        <v>35</v>
      </c>
      <c r="F36" s="28">
        <v>42333</v>
      </c>
      <c r="G36" s="23">
        <f>MONTH(Tbl_Loan2[[#This Row],[Payment date]])</f>
        <v>11</v>
      </c>
      <c r="H36" s="23" t="str">
        <f>VLOOKUP(Tbl_Loan2[[#This Row],[Maandnummer ]],Tbl_Months[],2,FALSE)</f>
        <v>November</v>
      </c>
      <c r="I36" s="23" t="str">
        <f>VLOOKUP(Tbl_Loan2[[#This Row],[Maandnummer ]],Tbl_Months[],3,FALSE)</f>
        <v>IV</v>
      </c>
      <c r="J36" s="23">
        <f>YEAR(Tbl_Loan2[[#This Row],[Payment date]])</f>
        <v>2015</v>
      </c>
      <c r="K36" s="23" t="str">
        <f>_xlfn.CONCAT(Tbl_Loan2[[#This Row],[Year]],Tbl_Loan2[[#This Row],[Quarter]])</f>
        <v>2015IV</v>
      </c>
      <c r="L36" s="25">
        <f t="shared" si="3"/>
        <v>250833.33333333279</v>
      </c>
      <c r="M36" s="25">
        <f>B$5*Tbl_Loan2[[#This Row],[Initial debt]]</f>
        <v>940.62499999999795</v>
      </c>
      <c r="N36" s="25">
        <f t="shared" si="4"/>
        <v>2916.6666666666665</v>
      </c>
      <c r="O36" s="25">
        <f>MAX(0,Tbl_Loan2[[#This Row],[Initial debt]]-Tbl_Loan2[[#This Row],[Redemption amount]])</f>
        <v>247916.66666666613</v>
      </c>
      <c r="P36" s="25">
        <f>Tbl_Loan2[[#This Row],[Interest amount]]+Tbl_Loan2[[#This Row],[Redemption amount]]</f>
        <v>3857.2916666666642</v>
      </c>
    </row>
    <row r="37" spans="4:16" x14ac:dyDescent="0.25">
      <c r="D37" t="str">
        <f>_xlfn.CONCAT(Tbl_Loan2[[#This Row],[Maandnummer ]],Tbl_Loan2[[#This Row],[Year]])</f>
        <v>122015</v>
      </c>
      <c r="E37" s="23">
        <f t="shared" si="2"/>
        <v>36</v>
      </c>
      <c r="F37" s="28">
        <v>42363</v>
      </c>
      <c r="G37" s="23">
        <f>MONTH(Tbl_Loan2[[#This Row],[Payment date]])</f>
        <v>12</v>
      </c>
      <c r="H37" s="23" t="str">
        <f>VLOOKUP(Tbl_Loan2[[#This Row],[Maandnummer ]],Tbl_Months[],2,FALSE)</f>
        <v>December</v>
      </c>
      <c r="I37" s="23" t="str">
        <f>VLOOKUP(Tbl_Loan2[[#This Row],[Maandnummer ]],Tbl_Months[],3,FALSE)</f>
        <v>IV</v>
      </c>
      <c r="J37" s="23">
        <f>YEAR(Tbl_Loan2[[#This Row],[Payment date]])</f>
        <v>2015</v>
      </c>
      <c r="K37" s="23" t="str">
        <f>_xlfn.CONCAT(Tbl_Loan2[[#This Row],[Year]],Tbl_Loan2[[#This Row],[Quarter]])</f>
        <v>2015IV</v>
      </c>
      <c r="L37" s="25">
        <f t="shared" si="3"/>
        <v>247916.66666666613</v>
      </c>
      <c r="M37" s="25">
        <f>B$5*Tbl_Loan2[[#This Row],[Initial debt]]</f>
        <v>929.68749999999795</v>
      </c>
      <c r="N37" s="25">
        <f t="shared" si="4"/>
        <v>2916.6666666666665</v>
      </c>
      <c r="O37" s="25">
        <f>MAX(0,Tbl_Loan2[[#This Row],[Initial debt]]-Tbl_Loan2[[#This Row],[Redemption amount]])</f>
        <v>244999.99999999948</v>
      </c>
      <c r="P37" s="25">
        <f>Tbl_Loan2[[#This Row],[Interest amount]]+Tbl_Loan2[[#This Row],[Redemption amount]]</f>
        <v>3846.3541666666642</v>
      </c>
    </row>
    <row r="38" spans="4:16" x14ac:dyDescent="0.25">
      <c r="D38" t="str">
        <f>_xlfn.CONCAT(Tbl_Loan2[[#This Row],[Maandnummer ]],Tbl_Loan2[[#This Row],[Year]])</f>
        <v>12016</v>
      </c>
      <c r="E38" s="23">
        <f t="shared" si="2"/>
        <v>37</v>
      </c>
      <c r="F38" s="28">
        <v>42394</v>
      </c>
      <c r="G38" s="23">
        <f>MONTH(Tbl_Loan2[[#This Row],[Payment date]])</f>
        <v>1</v>
      </c>
      <c r="H38" s="23" t="str">
        <f>VLOOKUP(Tbl_Loan2[[#This Row],[Maandnummer ]],Tbl_Months[],2,FALSE)</f>
        <v>January</v>
      </c>
      <c r="I38" s="23" t="str">
        <f>VLOOKUP(Tbl_Loan2[[#This Row],[Maandnummer ]],Tbl_Months[],3,FALSE)</f>
        <v>I</v>
      </c>
      <c r="J38" s="23">
        <f>YEAR(Tbl_Loan2[[#This Row],[Payment date]])</f>
        <v>2016</v>
      </c>
      <c r="K38" s="23" t="str">
        <f>_xlfn.CONCAT(Tbl_Loan2[[#This Row],[Year]],Tbl_Loan2[[#This Row],[Quarter]])</f>
        <v>2016I</v>
      </c>
      <c r="L38" s="25">
        <f t="shared" si="3"/>
        <v>244999.99999999948</v>
      </c>
      <c r="M38" s="25">
        <f>B$5*Tbl_Loan2[[#This Row],[Initial debt]]</f>
        <v>918.74999999999795</v>
      </c>
      <c r="N38" s="25">
        <f t="shared" si="4"/>
        <v>2916.6666666666665</v>
      </c>
      <c r="O38" s="25">
        <f>MAX(0,Tbl_Loan2[[#This Row],[Initial debt]]-Tbl_Loan2[[#This Row],[Redemption amount]])</f>
        <v>242083.33333333282</v>
      </c>
      <c r="P38" s="25">
        <f>Tbl_Loan2[[#This Row],[Interest amount]]+Tbl_Loan2[[#This Row],[Redemption amount]]</f>
        <v>3835.4166666666642</v>
      </c>
    </row>
    <row r="39" spans="4:16" x14ac:dyDescent="0.25">
      <c r="D39" t="str">
        <f>_xlfn.CONCAT(Tbl_Loan2[[#This Row],[Maandnummer ]],Tbl_Loan2[[#This Row],[Year]])</f>
        <v>22016</v>
      </c>
      <c r="E39" s="23">
        <f t="shared" si="2"/>
        <v>38</v>
      </c>
      <c r="F39" s="28">
        <v>42425</v>
      </c>
      <c r="G39" s="23">
        <f>MONTH(Tbl_Loan2[[#This Row],[Payment date]])</f>
        <v>2</v>
      </c>
      <c r="H39" s="23" t="str">
        <f>VLOOKUP(Tbl_Loan2[[#This Row],[Maandnummer ]],Tbl_Months[],2,FALSE)</f>
        <v>February</v>
      </c>
      <c r="I39" s="23" t="str">
        <f>VLOOKUP(Tbl_Loan2[[#This Row],[Maandnummer ]],Tbl_Months[],3,FALSE)</f>
        <v>I</v>
      </c>
      <c r="J39" s="23">
        <f>YEAR(Tbl_Loan2[[#This Row],[Payment date]])</f>
        <v>2016</v>
      </c>
      <c r="K39" s="23" t="str">
        <f>_xlfn.CONCAT(Tbl_Loan2[[#This Row],[Year]],Tbl_Loan2[[#This Row],[Quarter]])</f>
        <v>2016I</v>
      </c>
      <c r="L39" s="25">
        <f t="shared" si="3"/>
        <v>242083.33333333282</v>
      </c>
      <c r="M39" s="25">
        <f>B$5*Tbl_Loan2[[#This Row],[Initial debt]]</f>
        <v>907.81249999999807</v>
      </c>
      <c r="N39" s="25">
        <f t="shared" si="4"/>
        <v>2916.6666666666665</v>
      </c>
      <c r="O39" s="25">
        <f>MAX(0,Tbl_Loan2[[#This Row],[Initial debt]]-Tbl_Loan2[[#This Row],[Redemption amount]])</f>
        <v>239166.66666666616</v>
      </c>
      <c r="P39" s="25">
        <f>Tbl_Loan2[[#This Row],[Interest amount]]+Tbl_Loan2[[#This Row],[Redemption amount]]</f>
        <v>3824.4791666666647</v>
      </c>
    </row>
    <row r="40" spans="4:16" x14ac:dyDescent="0.25">
      <c r="D40" t="str">
        <f>_xlfn.CONCAT(Tbl_Loan2[[#This Row],[Maandnummer ]],Tbl_Loan2[[#This Row],[Year]])</f>
        <v>32016</v>
      </c>
      <c r="E40" s="23">
        <f t="shared" si="2"/>
        <v>39</v>
      </c>
      <c r="F40" s="28">
        <v>42454</v>
      </c>
      <c r="G40" s="23">
        <f>MONTH(Tbl_Loan2[[#This Row],[Payment date]])</f>
        <v>3</v>
      </c>
      <c r="H40" s="23" t="str">
        <f>VLOOKUP(Tbl_Loan2[[#This Row],[Maandnummer ]],Tbl_Months[],2,FALSE)</f>
        <v>March</v>
      </c>
      <c r="I40" s="23" t="str">
        <f>VLOOKUP(Tbl_Loan2[[#This Row],[Maandnummer ]],Tbl_Months[],3,FALSE)</f>
        <v>I</v>
      </c>
      <c r="J40" s="23">
        <f>YEAR(Tbl_Loan2[[#This Row],[Payment date]])</f>
        <v>2016</v>
      </c>
      <c r="K40" s="23" t="str">
        <f>_xlfn.CONCAT(Tbl_Loan2[[#This Row],[Year]],Tbl_Loan2[[#This Row],[Quarter]])</f>
        <v>2016I</v>
      </c>
      <c r="L40" s="25">
        <f t="shared" si="3"/>
        <v>239166.66666666616</v>
      </c>
      <c r="M40" s="25">
        <f>B$5*Tbl_Loan2[[#This Row],[Initial debt]]</f>
        <v>896.87499999999807</v>
      </c>
      <c r="N40" s="25">
        <f t="shared" si="4"/>
        <v>2916.6666666666665</v>
      </c>
      <c r="O40" s="25">
        <f>MAX(0,Tbl_Loan2[[#This Row],[Initial debt]]-Tbl_Loan2[[#This Row],[Redemption amount]])</f>
        <v>236249.99999999951</v>
      </c>
      <c r="P40" s="25">
        <f>Tbl_Loan2[[#This Row],[Interest amount]]+Tbl_Loan2[[#This Row],[Redemption amount]]</f>
        <v>3813.5416666666647</v>
      </c>
    </row>
    <row r="41" spans="4:16" x14ac:dyDescent="0.25">
      <c r="D41" t="str">
        <f>_xlfn.CONCAT(Tbl_Loan2[[#This Row],[Maandnummer ]],Tbl_Loan2[[#This Row],[Year]])</f>
        <v>42016</v>
      </c>
      <c r="E41" s="23">
        <f t="shared" si="2"/>
        <v>40</v>
      </c>
      <c r="F41" s="28">
        <v>42485</v>
      </c>
      <c r="G41" s="23">
        <f>MONTH(Tbl_Loan2[[#This Row],[Payment date]])</f>
        <v>4</v>
      </c>
      <c r="H41" s="23" t="str">
        <f>VLOOKUP(Tbl_Loan2[[#This Row],[Maandnummer ]],Tbl_Months[],2,FALSE)</f>
        <v>April</v>
      </c>
      <c r="I41" s="23" t="str">
        <f>VLOOKUP(Tbl_Loan2[[#This Row],[Maandnummer ]],Tbl_Months[],3,FALSE)</f>
        <v>II</v>
      </c>
      <c r="J41" s="23">
        <f>YEAR(Tbl_Loan2[[#This Row],[Payment date]])</f>
        <v>2016</v>
      </c>
      <c r="K41" s="23" t="str">
        <f>_xlfn.CONCAT(Tbl_Loan2[[#This Row],[Year]],Tbl_Loan2[[#This Row],[Quarter]])</f>
        <v>2016II</v>
      </c>
      <c r="L41" s="25">
        <f t="shared" si="3"/>
        <v>236249.99999999951</v>
      </c>
      <c r="M41" s="25">
        <f>B$5*Tbl_Loan2[[#This Row],[Initial debt]]</f>
        <v>885.93749999999807</v>
      </c>
      <c r="N41" s="25">
        <f t="shared" si="4"/>
        <v>2916.6666666666665</v>
      </c>
      <c r="O41" s="25">
        <f>MAX(0,Tbl_Loan2[[#This Row],[Initial debt]]-Tbl_Loan2[[#This Row],[Redemption amount]])</f>
        <v>233333.33333333285</v>
      </c>
      <c r="P41" s="25">
        <f>Tbl_Loan2[[#This Row],[Interest amount]]+Tbl_Loan2[[#This Row],[Redemption amount]]</f>
        <v>3802.6041666666647</v>
      </c>
    </row>
    <row r="42" spans="4:16" x14ac:dyDescent="0.25">
      <c r="D42" t="str">
        <f>_xlfn.CONCAT(Tbl_Loan2[[#This Row],[Maandnummer ]],Tbl_Loan2[[#This Row],[Year]])</f>
        <v>52016</v>
      </c>
      <c r="E42" s="23">
        <f t="shared" si="2"/>
        <v>41</v>
      </c>
      <c r="F42" s="28">
        <v>42515</v>
      </c>
      <c r="G42" s="23">
        <f>MONTH(Tbl_Loan2[[#This Row],[Payment date]])</f>
        <v>5</v>
      </c>
      <c r="H42" s="23" t="str">
        <f>VLOOKUP(Tbl_Loan2[[#This Row],[Maandnummer ]],Tbl_Months[],2,FALSE)</f>
        <v>May</v>
      </c>
      <c r="I42" s="23" t="str">
        <f>VLOOKUP(Tbl_Loan2[[#This Row],[Maandnummer ]],Tbl_Months[],3,FALSE)</f>
        <v>II</v>
      </c>
      <c r="J42" s="23">
        <f>YEAR(Tbl_Loan2[[#This Row],[Payment date]])</f>
        <v>2016</v>
      </c>
      <c r="K42" s="23" t="str">
        <f>_xlfn.CONCAT(Tbl_Loan2[[#This Row],[Year]],Tbl_Loan2[[#This Row],[Quarter]])</f>
        <v>2016II</v>
      </c>
      <c r="L42" s="25">
        <f t="shared" si="3"/>
        <v>233333.33333333285</v>
      </c>
      <c r="M42" s="25">
        <f>B$5*Tbl_Loan2[[#This Row],[Initial debt]]</f>
        <v>874.99999999999818</v>
      </c>
      <c r="N42" s="25">
        <f t="shared" si="4"/>
        <v>2916.6666666666665</v>
      </c>
      <c r="O42" s="25">
        <f>MAX(0,Tbl_Loan2[[#This Row],[Initial debt]]-Tbl_Loan2[[#This Row],[Redemption amount]])</f>
        <v>230416.66666666619</v>
      </c>
      <c r="P42" s="25">
        <f>Tbl_Loan2[[#This Row],[Interest amount]]+Tbl_Loan2[[#This Row],[Redemption amount]]</f>
        <v>3791.6666666666647</v>
      </c>
    </row>
    <row r="43" spans="4:16" x14ac:dyDescent="0.25">
      <c r="D43" t="str">
        <f>_xlfn.CONCAT(Tbl_Loan2[[#This Row],[Maandnummer ]],Tbl_Loan2[[#This Row],[Year]])</f>
        <v>62016</v>
      </c>
      <c r="E43" s="23">
        <f t="shared" si="2"/>
        <v>42</v>
      </c>
      <c r="F43" s="28">
        <v>42546</v>
      </c>
      <c r="G43" s="23">
        <f>MONTH(Tbl_Loan2[[#This Row],[Payment date]])</f>
        <v>6</v>
      </c>
      <c r="H43" s="23" t="str">
        <f>VLOOKUP(Tbl_Loan2[[#This Row],[Maandnummer ]],Tbl_Months[],2,FALSE)</f>
        <v>June</v>
      </c>
      <c r="I43" s="23" t="str">
        <f>VLOOKUP(Tbl_Loan2[[#This Row],[Maandnummer ]],Tbl_Months[],3,FALSE)</f>
        <v>II</v>
      </c>
      <c r="J43" s="23">
        <f>YEAR(Tbl_Loan2[[#This Row],[Payment date]])</f>
        <v>2016</v>
      </c>
      <c r="K43" s="23" t="str">
        <f>_xlfn.CONCAT(Tbl_Loan2[[#This Row],[Year]],Tbl_Loan2[[#This Row],[Quarter]])</f>
        <v>2016II</v>
      </c>
      <c r="L43" s="25">
        <f t="shared" si="3"/>
        <v>230416.66666666619</v>
      </c>
      <c r="M43" s="25">
        <f>B$5*Tbl_Loan2[[#This Row],[Initial debt]]</f>
        <v>864.06249999999818</v>
      </c>
      <c r="N43" s="25">
        <f t="shared" si="4"/>
        <v>2916.6666666666665</v>
      </c>
      <c r="O43" s="25">
        <f>MAX(0,Tbl_Loan2[[#This Row],[Initial debt]]-Tbl_Loan2[[#This Row],[Redemption amount]])</f>
        <v>227499.99999999953</v>
      </c>
      <c r="P43" s="25">
        <f>Tbl_Loan2[[#This Row],[Interest amount]]+Tbl_Loan2[[#This Row],[Redemption amount]]</f>
        <v>3780.7291666666647</v>
      </c>
    </row>
    <row r="44" spans="4:16" x14ac:dyDescent="0.25">
      <c r="D44" t="str">
        <f>_xlfn.CONCAT(Tbl_Loan2[[#This Row],[Maandnummer ]],Tbl_Loan2[[#This Row],[Year]])</f>
        <v>72016</v>
      </c>
      <c r="E44" s="23">
        <f t="shared" si="2"/>
        <v>43</v>
      </c>
      <c r="F44" s="28">
        <v>42576</v>
      </c>
      <c r="G44" s="23">
        <f>MONTH(Tbl_Loan2[[#This Row],[Payment date]])</f>
        <v>7</v>
      </c>
      <c r="H44" s="23" t="str">
        <f>VLOOKUP(Tbl_Loan2[[#This Row],[Maandnummer ]],Tbl_Months[],2,FALSE)</f>
        <v>July</v>
      </c>
      <c r="I44" s="23" t="str">
        <f>VLOOKUP(Tbl_Loan2[[#This Row],[Maandnummer ]],Tbl_Months[],3,FALSE)</f>
        <v>III</v>
      </c>
      <c r="J44" s="23">
        <f>YEAR(Tbl_Loan2[[#This Row],[Payment date]])</f>
        <v>2016</v>
      </c>
      <c r="K44" s="23" t="str">
        <f>_xlfn.CONCAT(Tbl_Loan2[[#This Row],[Year]],Tbl_Loan2[[#This Row],[Quarter]])</f>
        <v>2016III</v>
      </c>
      <c r="L44" s="25">
        <f t="shared" si="3"/>
        <v>227499.99999999953</v>
      </c>
      <c r="M44" s="25">
        <f>B$5*Tbl_Loan2[[#This Row],[Initial debt]]</f>
        <v>853.12499999999818</v>
      </c>
      <c r="N44" s="25">
        <f t="shared" si="4"/>
        <v>2916.6666666666665</v>
      </c>
      <c r="O44" s="25">
        <f>MAX(0,Tbl_Loan2[[#This Row],[Initial debt]]-Tbl_Loan2[[#This Row],[Redemption amount]])</f>
        <v>224583.33333333288</v>
      </c>
      <c r="P44" s="25">
        <f>Tbl_Loan2[[#This Row],[Interest amount]]+Tbl_Loan2[[#This Row],[Redemption amount]]</f>
        <v>3769.7916666666647</v>
      </c>
    </row>
    <row r="45" spans="4:16" x14ac:dyDescent="0.25">
      <c r="D45" t="str">
        <f>_xlfn.CONCAT(Tbl_Loan2[[#This Row],[Maandnummer ]],Tbl_Loan2[[#This Row],[Year]])</f>
        <v>82016</v>
      </c>
      <c r="E45" s="23">
        <f t="shared" si="2"/>
        <v>44</v>
      </c>
      <c r="F45" s="28">
        <v>42607</v>
      </c>
      <c r="G45" s="23">
        <f>MONTH(Tbl_Loan2[[#This Row],[Payment date]])</f>
        <v>8</v>
      </c>
      <c r="H45" s="23" t="str">
        <f>VLOOKUP(Tbl_Loan2[[#This Row],[Maandnummer ]],Tbl_Months[],2,FALSE)</f>
        <v>August</v>
      </c>
      <c r="I45" s="23" t="str">
        <f>VLOOKUP(Tbl_Loan2[[#This Row],[Maandnummer ]],Tbl_Months[],3,FALSE)</f>
        <v>III</v>
      </c>
      <c r="J45" s="23">
        <f>YEAR(Tbl_Loan2[[#This Row],[Payment date]])</f>
        <v>2016</v>
      </c>
      <c r="K45" s="23" t="str">
        <f>_xlfn.CONCAT(Tbl_Loan2[[#This Row],[Year]],Tbl_Loan2[[#This Row],[Quarter]])</f>
        <v>2016III</v>
      </c>
      <c r="L45" s="25">
        <f t="shared" si="3"/>
        <v>224583.33333333288</v>
      </c>
      <c r="M45" s="25">
        <f>B$5*Tbl_Loan2[[#This Row],[Initial debt]]</f>
        <v>842.18749999999829</v>
      </c>
      <c r="N45" s="25">
        <f t="shared" si="4"/>
        <v>2916.6666666666665</v>
      </c>
      <c r="O45" s="25">
        <f>MAX(0,Tbl_Loan2[[#This Row],[Initial debt]]-Tbl_Loan2[[#This Row],[Redemption amount]])</f>
        <v>221666.66666666622</v>
      </c>
      <c r="P45" s="25">
        <f>Tbl_Loan2[[#This Row],[Interest amount]]+Tbl_Loan2[[#This Row],[Redemption amount]]</f>
        <v>3758.8541666666647</v>
      </c>
    </row>
    <row r="46" spans="4:16" x14ac:dyDescent="0.25">
      <c r="D46" t="str">
        <f>_xlfn.CONCAT(Tbl_Loan2[[#This Row],[Maandnummer ]],Tbl_Loan2[[#This Row],[Year]])</f>
        <v>92016</v>
      </c>
      <c r="E46" s="23">
        <f t="shared" si="2"/>
        <v>45</v>
      </c>
      <c r="F46" s="28">
        <v>42638</v>
      </c>
      <c r="G46" s="23">
        <f>MONTH(Tbl_Loan2[[#This Row],[Payment date]])</f>
        <v>9</v>
      </c>
      <c r="H46" s="23" t="str">
        <f>VLOOKUP(Tbl_Loan2[[#This Row],[Maandnummer ]],Tbl_Months[],2,FALSE)</f>
        <v>September</v>
      </c>
      <c r="I46" s="23" t="str">
        <f>VLOOKUP(Tbl_Loan2[[#This Row],[Maandnummer ]],Tbl_Months[],3,FALSE)</f>
        <v>III</v>
      </c>
      <c r="J46" s="23">
        <f>YEAR(Tbl_Loan2[[#This Row],[Payment date]])</f>
        <v>2016</v>
      </c>
      <c r="K46" s="23" t="str">
        <f>_xlfn.CONCAT(Tbl_Loan2[[#This Row],[Year]],Tbl_Loan2[[#This Row],[Quarter]])</f>
        <v>2016III</v>
      </c>
      <c r="L46" s="25">
        <f t="shared" si="3"/>
        <v>221666.66666666622</v>
      </c>
      <c r="M46" s="25">
        <f>B$5*Tbl_Loan2[[#This Row],[Initial debt]]</f>
        <v>831.24999999999829</v>
      </c>
      <c r="N46" s="25">
        <f t="shared" si="4"/>
        <v>2916.6666666666665</v>
      </c>
      <c r="O46" s="25">
        <f>MAX(0,Tbl_Loan2[[#This Row],[Initial debt]]-Tbl_Loan2[[#This Row],[Redemption amount]])</f>
        <v>218749.99999999956</v>
      </c>
      <c r="P46" s="25">
        <f>Tbl_Loan2[[#This Row],[Interest amount]]+Tbl_Loan2[[#This Row],[Redemption amount]]</f>
        <v>3747.9166666666647</v>
      </c>
    </row>
    <row r="47" spans="4:16" x14ac:dyDescent="0.25">
      <c r="D47" t="str">
        <f>_xlfn.CONCAT(Tbl_Loan2[[#This Row],[Maandnummer ]],Tbl_Loan2[[#This Row],[Year]])</f>
        <v>102016</v>
      </c>
      <c r="E47" s="23">
        <f t="shared" si="2"/>
        <v>46</v>
      </c>
      <c r="F47" s="28">
        <v>42668</v>
      </c>
      <c r="G47" s="23">
        <f>MONTH(Tbl_Loan2[[#This Row],[Payment date]])</f>
        <v>10</v>
      </c>
      <c r="H47" s="23" t="str">
        <f>VLOOKUP(Tbl_Loan2[[#This Row],[Maandnummer ]],Tbl_Months[],2,FALSE)</f>
        <v>October</v>
      </c>
      <c r="I47" s="23" t="str">
        <f>VLOOKUP(Tbl_Loan2[[#This Row],[Maandnummer ]],Tbl_Months[],3,FALSE)</f>
        <v>IV</v>
      </c>
      <c r="J47" s="23">
        <f>YEAR(Tbl_Loan2[[#This Row],[Payment date]])</f>
        <v>2016</v>
      </c>
      <c r="K47" s="23" t="str">
        <f>_xlfn.CONCAT(Tbl_Loan2[[#This Row],[Year]],Tbl_Loan2[[#This Row],[Quarter]])</f>
        <v>2016IV</v>
      </c>
      <c r="L47" s="25">
        <f t="shared" si="3"/>
        <v>218749.99999999956</v>
      </c>
      <c r="M47" s="25">
        <f>B$5*Tbl_Loan2[[#This Row],[Initial debt]]</f>
        <v>820.31249999999829</v>
      </c>
      <c r="N47" s="25">
        <f t="shared" si="4"/>
        <v>2916.6666666666665</v>
      </c>
      <c r="O47" s="25">
        <f>MAX(0,Tbl_Loan2[[#This Row],[Initial debt]]-Tbl_Loan2[[#This Row],[Redemption amount]])</f>
        <v>215833.33333333291</v>
      </c>
      <c r="P47" s="25">
        <f>Tbl_Loan2[[#This Row],[Interest amount]]+Tbl_Loan2[[#This Row],[Redemption amount]]</f>
        <v>3736.9791666666647</v>
      </c>
    </row>
    <row r="48" spans="4:16" x14ac:dyDescent="0.25">
      <c r="D48" t="str">
        <f>_xlfn.CONCAT(Tbl_Loan2[[#This Row],[Maandnummer ]],Tbl_Loan2[[#This Row],[Year]])</f>
        <v>112016</v>
      </c>
      <c r="E48" s="23">
        <f t="shared" si="2"/>
        <v>47</v>
      </c>
      <c r="F48" s="28">
        <v>42699</v>
      </c>
      <c r="G48" s="23">
        <f>MONTH(Tbl_Loan2[[#This Row],[Payment date]])</f>
        <v>11</v>
      </c>
      <c r="H48" s="23" t="str">
        <f>VLOOKUP(Tbl_Loan2[[#This Row],[Maandnummer ]],Tbl_Months[],2,FALSE)</f>
        <v>November</v>
      </c>
      <c r="I48" s="23" t="str">
        <f>VLOOKUP(Tbl_Loan2[[#This Row],[Maandnummer ]],Tbl_Months[],3,FALSE)</f>
        <v>IV</v>
      </c>
      <c r="J48" s="23">
        <f>YEAR(Tbl_Loan2[[#This Row],[Payment date]])</f>
        <v>2016</v>
      </c>
      <c r="K48" s="23" t="str">
        <f>_xlfn.CONCAT(Tbl_Loan2[[#This Row],[Year]],Tbl_Loan2[[#This Row],[Quarter]])</f>
        <v>2016IV</v>
      </c>
      <c r="L48" s="25">
        <f t="shared" si="3"/>
        <v>215833.33333333291</v>
      </c>
      <c r="M48" s="25">
        <f>B$5*Tbl_Loan2[[#This Row],[Initial debt]]</f>
        <v>809.37499999999841</v>
      </c>
      <c r="N48" s="25">
        <f t="shared" si="4"/>
        <v>2916.6666666666665</v>
      </c>
      <c r="O48" s="25">
        <f>MAX(0,Tbl_Loan2[[#This Row],[Initial debt]]-Tbl_Loan2[[#This Row],[Redemption amount]])</f>
        <v>212916.66666666625</v>
      </c>
      <c r="P48" s="25">
        <f>Tbl_Loan2[[#This Row],[Interest amount]]+Tbl_Loan2[[#This Row],[Redemption amount]]</f>
        <v>3726.0416666666652</v>
      </c>
    </row>
    <row r="49" spans="4:16" x14ac:dyDescent="0.25">
      <c r="D49" t="str">
        <f>_xlfn.CONCAT(Tbl_Loan2[[#This Row],[Maandnummer ]],Tbl_Loan2[[#This Row],[Year]])</f>
        <v>122016</v>
      </c>
      <c r="E49" s="23">
        <f t="shared" si="2"/>
        <v>48</v>
      </c>
      <c r="F49" s="28">
        <v>42729</v>
      </c>
      <c r="G49" s="23">
        <f>MONTH(Tbl_Loan2[[#This Row],[Payment date]])</f>
        <v>12</v>
      </c>
      <c r="H49" s="23" t="str">
        <f>VLOOKUP(Tbl_Loan2[[#This Row],[Maandnummer ]],Tbl_Months[],2,FALSE)</f>
        <v>December</v>
      </c>
      <c r="I49" s="23" t="str">
        <f>VLOOKUP(Tbl_Loan2[[#This Row],[Maandnummer ]],Tbl_Months[],3,FALSE)</f>
        <v>IV</v>
      </c>
      <c r="J49" s="23">
        <f>YEAR(Tbl_Loan2[[#This Row],[Payment date]])</f>
        <v>2016</v>
      </c>
      <c r="K49" s="23" t="str">
        <f>_xlfn.CONCAT(Tbl_Loan2[[#This Row],[Year]],Tbl_Loan2[[#This Row],[Quarter]])</f>
        <v>2016IV</v>
      </c>
      <c r="L49" s="25">
        <f t="shared" si="3"/>
        <v>212916.66666666625</v>
      </c>
      <c r="M49" s="25">
        <f>B$5*Tbl_Loan2[[#This Row],[Initial debt]]</f>
        <v>798.43749999999841</v>
      </c>
      <c r="N49" s="25">
        <f t="shared" si="4"/>
        <v>2916.6666666666665</v>
      </c>
      <c r="O49" s="25">
        <f>MAX(0,Tbl_Loan2[[#This Row],[Initial debt]]-Tbl_Loan2[[#This Row],[Redemption amount]])</f>
        <v>209999.99999999959</v>
      </c>
      <c r="P49" s="25">
        <f>Tbl_Loan2[[#This Row],[Interest amount]]+Tbl_Loan2[[#This Row],[Redemption amount]]</f>
        <v>3715.1041666666652</v>
      </c>
    </row>
    <row r="50" spans="4:16" x14ac:dyDescent="0.25">
      <c r="D50" t="str">
        <f>_xlfn.CONCAT(Tbl_Loan2[[#This Row],[Maandnummer ]],Tbl_Loan2[[#This Row],[Year]])</f>
        <v>12017</v>
      </c>
      <c r="E50" s="23">
        <f t="shared" si="2"/>
        <v>49</v>
      </c>
      <c r="F50" s="28">
        <v>42760</v>
      </c>
      <c r="G50" s="23">
        <f>MONTH(Tbl_Loan2[[#This Row],[Payment date]])</f>
        <v>1</v>
      </c>
      <c r="H50" s="23" t="str">
        <f>VLOOKUP(Tbl_Loan2[[#This Row],[Maandnummer ]],Tbl_Months[],2,FALSE)</f>
        <v>January</v>
      </c>
      <c r="I50" s="23" t="str">
        <f>VLOOKUP(Tbl_Loan2[[#This Row],[Maandnummer ]],Tbl_Months[],3,FALSE)</f>
        <v>I</v>
      </c>
      <c r="J50" s="23">
        <f>YEAR(Tbl_Loan2[[#This Row],[Payment date]])</f>
        <v>2017</v>
      </c>
      <c r="K50" s="23" t="str">
        <f>_xlfn.CONCAT(Tbl_Loan2[[#This Row],[Year]],Tbl_Loan2[[#This Row],[Quarter]])</f>
        <v>2017I</v>
      </c>
      <c r="L50" s="25">
        <f t="shared" si="3"/>
        <v>209999.99999999959</v>
      </c>
      <c r="M50" s="25">
        <f>B$5*Tbl_Loan2[[#This Row],[Initial debt]]</f>
        <v>787.49999999999841</v>
      </c>
      <c r="N50" s="25">
        <f t="shared" si="4"/>
        <v>2916.6666666666665</v>
      </c>
      <c r="O50" s="25">
        <f>MAX(0,Tbl_Loan2[[#This Row],[Initial debt]]-Tbl_Loan2[[#This Row],[Redemption amount]])</f>
        <v>207083.33333333294</v>
      </c>
      <c r="P50" s="25">
        <f>Tbl_Loan2[[#This Row],[Interest amount]]+Tbl_Loan2[[#This Row],[Redemption amount]]</f>
        <v>3704.1666666666652</v>
      </c>
    </row>
    <row r="51" spans="4:16" x14ac:dyDescent="0.25">
      <c r="D51" t="str">
        <f>_xlfn.CONCAT(Tbl_Loan2[[#This Row],[Maandnummer ]],Tbl_Loan2[[#This Row],[Year]])</f>
        <v>22017</v>
      </c>
      <c r="E51" s="23">
        <f t="shared" si="2"/>
        <v>50</v>
      </c>
      <c r="F51" s="28">
        <v>42791</v>
      </c>
      <c r="G51" s="23">
        <f>MONTH(Tbl_Loan2[[#This Row],[Payment date]])</f>
        <v>2</v>
      </c>
      <c r="H51" s="23" t="str">
        <f>VLOOKUP(Tbl_Loan2[[#This Row],[Maandnummer ]],Tbl_Months[],2,FALSE)</f>
        <v>February</v>
      </c>
      <c r="I51" s="23" t="str">
        <f>VLOOKUP(Tbl_Loan2[[#This Row],[Maandnummer ]],Tbl_Months[],3,FALSE)</f>
        <v>I</v>
      </c>
      <c r="J51" s="23">
        <f>YEAR(Tbl_Loan2[[#This Row],[Payment date]])</f>
        <v>2017</v>
      </c>
      <c r="K51" s="23" t="str">
        <f>_xlfn.CONCAT(Tbl_Loan2[[#This Row],[Year]],Tbl_Loan2[[#This Row],[Quarter]])</f>
        <v>2017I</v>
      </c>
      <c r="L51" s="25">
        <f t="shared" si="3"/>
        <v>207083.33333333294</v>
      </c>
      <c r="M51" s="25">
        <f>B$5*Tbl_Loan2[[#This Row],[Initial debt]]</f>
        <v>776.56249999999852</v>
      </c>
      <c r="N51" s="25">
        <f t="shared" si="4"/>
        <v>2916.6666666666665</v>
      </c>
      <c r="O51" s="25">
        <f>MAX(0,Tbl_Loan2[[#This Row],[Initial debt]]-Tbl_Loan2[[#This Row],[Redemption amount]])</f>
        <v>204166.66666666628</v>
      </c>
      <c r="P51" s="25">
        <f>Tbl_Loan2[[#This Row],[Interest amount]]+Tbl_Loan2[[#This Row],[Redemption amount]]</f>
        <v>3693.2291666666652</v>
      </c>
    </row>
    <row r="52" spans="4:16" x14ac:dyDescent="0.25">
      <c r="D52" t="str">
        <f>_xlfn.CONCAT(Tbl_Loan2[[#This Row],[Maandnummer ]],Tbl_Loan2[[#This Row],[Year]])</f>
        <v>32017</v>
      </c>
      <c r="E52" s="23">
        <f t="shared" si="2"/>
        <v>51</v>
      </c>
      <c r="F52" s="28">
        <v>42819</v>
      </c>
      <c r="G52" s="23">
        <f>MONTH(Tbl_Loan2[[#This Row],[Payment date]])</f>
        <v>3</v>
      </c>
      <c r="H52" s="23" t="str">
        <f>VLOOKUP(Tbl_Loan2[[#This Row],[Maandnummer ]],Tbl_Months[],2,FALSE)</f>
        <v>March</v>
      </c>
      <c r="I52" s="23" t="str">
        <f>VLOOKUP(Tbl_Loan2[[#This Row],[Maandnummer ]],Tbl_Months[],3,FALSE)</f>
        <v>I</v>
      </c>
      <c r="J52" s="23">
        <f>YEAR(Tbl_Loan2[[#This Row],[Payment date]])</f>
        <v>2017</v>
      </c>
      <c r="K52" s="23" t="str">
        <f>_xlfn.CONCAT(Tbl_Loan2[[#This Row],[Year]],Tbl_Loan2[[#This Row],[Quarter]])</f>
        <v>2017I</v>
      </c>
      <c r="L52" s="25">
        <f t="shared" si="3"/>
        <v>204166.66666666628</v>
      </c>
      <c r="M52" s="25">
        <f>B$5*Tbl_Loan2[[#This Row],[Initial debt]]</f>
        <v>765.62499999999852</v>
      </c>
      <c r="N52" s="25">
        <f t="shared" si="4"/>
        <v>2916.6666666666665</v>
      </c>
      <c r="O52" s="25">
        <f>MAX(0,Tbl_Loan2[[#This Row],[Initial debt]]-Tbl_Loan2[[#This Row],[Redemption amount]])</f>
        <v>201249.99999999962</v>
      </c>
      <c r="P52" s="25">
        <f>Tbl_Loan2[[#This Row],[Interest amount]]+Tbl_Loan2[[#This Row],[Redemption amount]]</f>
        <v>3682.2916666666652</v>
      </c>
    </row>
    <row r="53" spans="4:16" x14ac:dyDescent="0.25">
      <c r="D53" t="str">
        <f>_xlfn.CONCAT(Tbl_Loan2[[#This Row],[Maandnummer ]],Tbl_Loan2[[#This Row],[Year]])</f>
        <v>42017</v>
      </c>
      <c r="E53" s="23">
        <f t="shared" si="2"/>
        <v>52</v>
      </c>
      <c r="F53" s="28">
        <v>42850</v>
      </c>
      <c r="G53" s="23">
        <f>MONTH(Tbl_Loan2[[#This Row],[Payment date]])</f>
        <v>4</v>
      </c>
      <c r="H53" s="23" t="str">
        <f>VLOOKUP(Tbl_Loan2[[#This Row],[Maandnummer ]],Tbl_Months[],2,FALSE)</f>
        <v>April</v>
      </c>
      <c r="I53" s="23" t="str">
        <f>VLOOKUP(Tbl_Loan2[[#This Row],[Maandnummer ]],Tbl_Months[],3,FALSE)</f>
        <v>II</v>
      </c>
      <c r="J53" s="23">
        <f>YEAR(Tbl_Loan2[[#This Row],[Payment date]])</f>
        <v>2017</v>
      </c>
      <c r="K53" s="23" t="str">
        <f>_xlfn.CONCAT(Tbl_Loan2[[#This Row],[Year]],Tbl_Loan2[[#This Row],[Quarter]])</f>
        <v>2017II</v>
      </c>
      <c r="L53" s="25">
        <f t="shared" si="3"/>
        <v>201249.99999999962</v>
      </c>
      <c r="M53" s="25">
        <f>B$5*Tbl_Loan2[[#This Row],[Initial debt]]</f>
        <v>754.68749999999852</v>
      </c>
      <c r="N53" s="25">
        <f t="shared" si="4"/>
        <v>2916.6666666666665</v>
      </c>
      <c r="O53" s="25">
        <f>MAX(0,Tbl_Loan2[[#This Row],[Initial debt]]-Tbl_Loan2[[#This Row],[Redemption amount]])</f>
        <v>198333.33333333296</v>
      </c>
      <c r="P53" s="25">
        <f>Tbl_Loan2[[#This Row],[Interest amount]]+Tbl_Loan2[[#This Row],[Redemption amount]]</f>
        <v>3671.3541666666652</v>
      </c>
    </row>
    <row r="54" spans="4:16" x14ac:dyDescent="0.25">
      <c r="D54" t="str">
        <f>_xlfn.CONCAT(Tbl_Loan2[[#This Row],[Maandnummer ]],Tbl_Loan2[[#This Row],[Year]])</f>
        <v>52017</v>
      </c>
      <c r="E54" s="23">
        <f t="shared" si="2"/>
        <v>53</v>
      </c>
      <c r="F54" s="28">
        <v>42880</v>
      </c>
      <c r="G54" s="23">
        <f>MONTH(Tbl_Loan2[[#This Row],[Payment date]])</f>
        <v>5</v>
      </c>
      <c r="H54" s="23" t="str">
        <f>VLOOKUP(Tbl_Loan2[[#This Row],[Maandnummer ]],Tbl_Months[],2,FALSE)</f>
        <v>May</v>
      </c>
      <c r="I54" s="23" t="str">
        <f>VLOOKUP(Tbl_Loan2[[#This Row],[Maandnummer ]],Tbl_Months[],3,FALSE)</f>
        <v>II</v>
      </c>
      <c r="J54" s="23">
        <f>YEAR(Tbl_Loan2[[#This Row],[Payment date]])</f>
        <v>2017</v>
      </c>
      <c r="K54" s="23" t="str">
        <f>_xlfn.CONCAT(Tbl_Loan2[[#This Row],[Year]],Tbl_Loan2[[#This Row],[Quarter]])</f>
        <v>2017II</v>
      </c>
      <c r="L54" s="25">
        <f t="shared" si="3"/>
        <v>198333.33333333296</v>
      </c>
      <c r="M54" s="25">
        <f>B$5*Tbl_Loan2[[#This Row],[Initial debt]]</f>
        <v>743.74999999999864</v>
      </c>
      <c r="N54" s="25">
        <f t="shared" si="4"/>
        <v>2916.6666666666665</v>
      </c>
      <c r="O54" s="25">
        <f>MAX(0,Tbl_Loan2[[#This Row],[Initial debt]]-Tbl_Loan2[[#This Row],[Redemption amount]])</f>
        <v>195416.66666666631</v>
      </c>
      <c r="P54" s="25">
        <f>Tbl_Loan2[[#This Row],[Interest amount]]+Tbl_Loan2[[#This Row],[Redemption amount]]</f>
        <v>3660.4166666666652</v>
      </c>
    </row>
    <row r="55" spans="4:16" x14ac:dyDescent="0.25">
      <c r="D55" t="str">
        <f>_xlfn.CONCAT(Tbl_Loan2[[#This Row],[Maandnummer ]],Tbl_Loan2[[#This Row],[Year]])</f>
        <v>62017</v>
      </c>
      <c r="E55" s="23">
        <f t="shared" si="2"/>
        <v>54</v>
      </c>
      <c r="F55" s="28">
        <v>42911</v>
      </c>
      <c r="G55" s="23">
        <f>MONTH(Tbl_Loan2[[#This Row],[Payment date]])</f>
        <v>6</v>
      </c>
      <c r="H55" s="23" t="str">
        <f>VLOOKUP(Tbl_Loan2[[#This Row],[Maandnummer ]],Tbl_Months[],2,FALSE)</f>
        <v>June</v>
      </c>
      <c r="I55" s="23" t="str">
        <f>VLOOKUP(Tbl_Loan2[[#This Row],[Maandnummer ]],Tbl_Months[],3,FALSE)</f>
        <v>II</v>
      </c>
      <c r="J55" s="23">
        <f>YEAR(Tbl_Loan2[[#This Row],[Payment date]])</f>
        <v>2017</v>
      </c>
      <c r="K55" s="23" t="str">
        <f>_xlfn.CONCAT(Tbl_Loan2[[#This Row],[Year]],Tbl_Loan2[[#This Row],[Quarter]])</f>
        <v>2017II</v>
      </c>
      <c r="L55" s="25">
        <f t="shared" si="3"/>
        <v>195416.66666666631</v>
      </c>
      <c r="M55" s="25">
        <f>B$5*Tbl_Loan2[[#This Row],[Initial debt]]</f>
        <v>732.81249999999864</v>
      </c>
      <c r="N55" s="25">
        <f t="shared" si="4"/>
        <v>2916.6666666666665</v>
      </c>
      <c r="O55" s="25">
        <f>MAX(0,Tbl_Loan2[[#This Row],[Initial debt]]-Tbl_Loan2[[#This Row],[Redemption amount]])</f>
        <v>192499.99999999965</v>
      </c>
      <c r="P55" s="25">
        <f>Tbl_Loan2[[#This Row],[Interest amount]]+Tbl_Loan2[[#This Row],[Redemption amount]]</f>
        <v>3649.4791666666652</v>
      </c>
    </row>
    <row r="56" spans="4:16" x14ac:dyDescent="0.25">
      <c r="D56" t="str">
        <f>_xlfn.CONCAT(Tbl_Loan2[[#This Row],[Maandnummer ]],Tbl_Loan2[[#This Row],[Year]])</f>
        <v>72017</v>
      </c>
      <c r="E56" s="23">
        <f t="shared" si="2"/>
        <v>55</v>
      </c>
      <c r="F56" s="28">
        <v>42941</v>
      </c>
      <c r="G56" s="23">
        <f>MONTH(Tbl_Loan2[[#This Row],[Payment date]])</f>
        <v>7</v>
      </c>
      <c r="H56" s="23" t="str">
        <f>VLOOKUP(Tbl_Loan2[[#This Row],[Maandnummer ]],Tbl_Months[],2,FALSE)</f>
        <v>July</v>
      </c>
      <c r="I56" s="23" t="str">
        <f>VLOOKUP(Tbl_Loan2[[#This Row],[Maandnummer ]],Tbl_Months[],3,FALSE)</f>
        <v>III</v>
      </c>
      <c r="J56" s="23">
        <f>YEAR(Tbl_Loan2[[#This Row],[Payment date]])</f>
        <v>2017</v>
      </c>
      <c r="K56" s="23" t="str">
        <f>_xlfn.CONCAT(Tbl_Loan2[[#This Row],[Year]],Tbl_Loan2[[#This Row],[Quarter]])</f>
        <v>2017III</v>
      </c>
      <c r="L56" s="25">
        <f t="shared" si="3"/>
        <v>192499.99999999965</v>
      </c>
      <c r="M56" s="25">
        <f>B$5*Tbl_Loan2[[#This Row],[Initial debt]]</f>
        <v>721.87499999999864</v>
      </c>
      <c r="N56" s="25">
        <f t="shared" si="4"/>
        <v>2916.6666666666665</v>
      </c>
      <c r="O56" s="25">
        <f>MAX(0,Tbl_Loan2[[#This Row],[Initial debt]]-Tbl_Loan2[[#This Row],[Redemption amount]])</f>
        <v>189583.33333333299</v>
      </c>
      <c r="P56" s="25">
        <f>Tbl_Loan2[[#This Row],[Interest amount]]+Tbl_Loan2[[#This Row],[Redemption amount]]</f>
        <v>3638.5416666666652</v>
      </c>
    </row>
    <row r="57" spans="4:16" x14ac:dyDescent="0.25">
      <c r="D57" t="str">
        <f>_xlfn.CONCAT(Tbl_Loan2[[#This Row],[Maandnummer ]],Tbl_Loan2[[#This Row],[Year]])</f>
        <v>82017</v>
      </c>
      <c r="E57" s="23">
        <f t="shared" si="2"/>
        <v>56</v>
      </c>
      <c r="F57" s="28">
        <v>42972</v>
      </c>
      <c r="G57" s="23">
        <f>MONTH(Tbl_Loan2[[#This Row],[Payment date]])</f>
        <v>8</v>
      </c>
      <c r="H57" s="23" t="str">
        <f>VLOOKUP(Tbl_Loan2[[#This Row],[Maandnummer ]],Tbl_Months[],2,FALSE)</f>
        <v>August</v>
      </c>
      <c r="I57" s="23" t="str">
        <f>VLOOKUP(Tbl_Loan2[[#This Row],[Maandnummer ]],Tbl_Months[],3,FALSE)</f>
        <v>III</v>
      </c>
      <c r="J57" s="23">
        <f>YEAR(Tbl_Loan2[[#This Row],[Payment date]])</f>
        <v>2017</v>
      </c>
      <c r="K57" s="23" t="str">
        <f>_xlfn.CONCAT(Tbl_Loan2[[#This Row],[Year]],Tbl_Loan2[[#This Row],[Quarter]])</f>
        <v>2017III</v>
      </c>
      <c r="L57" s="25">
        <f t="shared" si="3"/>
        <v>189583.33333333299</v>
      </c>
      <c r="M57" s="25">
        <f>B$5*Tbl_Loan2[[#This Row],[Initial debt]]</f>
        <v>710.93749999999875</v>
      </c>
      <c r="N57" s="25">
        <f t="shared" si="4"/>
        <v>2916.6666666666665</v>
      </c>
      <c r="O57" s="25">
        <f>MAX(0,Tbl_Loan2[[#This Row],[Initial debt]]-Tbl_Loan2[[#This Row],[Redemption amount]])</f>
        <v>186666.66666666634</v>
      </c>
      <c r="P57" s="25">
        <f>Tbl_Loan2[[#This Row],[Interest amount]]+Tbl_Loan2[[#This Row],[Redemption amount]]</f>
        <v>3627.6041666666652</v>
      </c>
    </row>
    <row r="58" spans="4:16" x14ac:dyDescent="0.25">
      <c r="D58" t="str">
        <f>_xlfn.CONCAT(Tbl_Loan2[[#This Row],[Maandnummer ]],Tbl_Loan2[[#This Row],[Year]])</f>
        <v>92017</v>
      </c>
      <c r="E58" s="23">
        <f t="shared" si="2"/>
        <v>57</v>
      </c>
      <c r="F58" s="28">
        <v>43003</v>
      </c>
      <c r="G58" s="23">
        <f>MONTH(Tbl_Loan2[[#This Row],[Payment date]])</f>
        <v>9</v>
      </c>
      <c r="H58" s="23" t="str">
        <f>VLOOKUP(Tbl_Loan2[[#This Row],[Maandnummer ]],Tbl_Months[],2,FALSE)</f>
        <v>September</v>
      </c>
      <c r="I58" s="23" t="str">
        <f>VLOOKUP(Tbl_Loan2[[#This Row],[Maandnummer ]],Tbl_Months[],3,FALSE)</f>
        <v>III</v>
      </c>
      <c r="J58" s="23">
        <f>YEAR(Tbl_Loan2[[#This Row],[Payment date]])</f>
        <v>2017</v>
      </c>
      <c r="K58" s="23" t="str">
        <f>_xlfn.CONCAT(Tbl_Loan2[[#This Row],[Year]],Tbl_Loan2[[#This Row],[Quarter]])</f>
        <v>2017III</v>
      </c>
      <c r="L58" s="25">
        <f t="shared" si="3"/>
        <v>186666.66666666634</v>
      </c>
      <c r="M58" s="25">
        <f>B$5*Tbl_Loan2[[#This Row],[Initial debt]]</f>
        <v>699.99999999999875</v>
      </c>
      <c r="N58" s="25">
        <f t="shared" si="4"/>
        <v>2916.6666666666665</v>
      </c>
      <c r="O58" s="25">
        <f>MAX(0,Tbl_Loan2[[#This Row],[Initial debt]]-Tbl_Loan2[[#This Row],[Redemption amount]])</f>
        <v>183749.99999999968</v>
      </c>
      <c r="P58" s="25">
        <f>Tbl_Loan2[[#This Row],[Interest amount]]+Tbl_Loan2[[#This Row],[Redemption amount]]</f>
        <v>3616.6666666666652</v>
      </c>
    </row>
    <row r="59" spans="4:16" x14ac:dyDescent="0.25">
      <c r="D59" t="str">
        <f>_xlfn.CONCAT(Tbl_Loan2[[#This Row],[Maandnummer ]],Tbl_Loan2[[#This Row],[Year]])</f>
        <v>102017</v>
      </c>
      <c r="E59" s="23">
        <f t="shared" si="2"/>
        <v>58</v>
      </c>
      <c r="F59" s="28">
        <v>43033</v>
      </c>
      <c r="G59" s="23">
        <f>MONTH(Tbl_Loan2[[#This Row],[Payment date]])</f>
        <v>10</v>
      </c>
      <c r="H59" s="23" t="str">
        <f>VLOOKUP(Tbl_Loan2[[#This Row],[Maandnummer ]],Tbl_Months[],2,FALSE)</f>
        <v>October</v>
      </c>
      <c r="I59" s="23" t="str">
        <f>VLOOKUP(Tbl_Loan2[[#This Row],[Maandnummer ]],Tbl_Months[],3,FALSE)</f>
        <v>IV</v>
      </c>
      <c r="J59" s="23">
        <f>YEAR(Tbl_Loan2[[#This Row],[Payment date]])</f>
        <v>2017</v>
      </c>
      <c r="K59" s="23" t="str">
        <f>_xlfn.CONCAT(Tbl_Loan2[[#This Row],[Year]],Tbl_Loan2[[#This Row],[Quarter]])</f>
        <v>2017IV</v>
      </c>
      <c r="L59" s="25">
        <f t="shared" si="3"/>
        <v>183749.99999999968</v>
      </c>
      <c r="M59" s="25">
        <f>B$5*Tbl_Loan2[[#This Row],[Initial debt]]</f>
        <v>689.06249999999875</v>
      </c>
      <c r="N59" s="25">
        <f t="shared" si="4"/>
        <v>2916.6666666666665</v>
      </c>
      <c r="O59" s="25">
        <f>MAX(0,Tbl_Loan2[[#This Row],[Initial debt]]-Tbl_Loan2[[#This Row],[Redemption amount]])</f>
        <v>180833.33333333302</v>
      </c>
      <c r="P59" s="25">
        <f>Tbl_Loan2[[#This Row],[Interest amount]]+Tbl_Loan2[[#This Row],[Redemption amount]]</f>
        <v>3605.7291666666652</v>
      </c>
    </row>
    <row r="60" spans="4:16" x14ac:dyDescent="0.25">
      <c r="D60" t="str">
        <f>_xlfn.CONCAT(Tbl_Loan2[[#This Row],[Maandnummer ]],Tbl_Loan2[[#This Row],[Year]])</f>
        <v>112017</v>
      </c>
      <c r="E60" s="23">
        <f t="shared" si="2"/>
        <v>59</v>
      </c>
      <c r="F60" s="28">
        <v>43064</v>
      </c>
      <c r="G60" s="23">
        <f>MONTH(Tbl_Loan2[[#This Row],[Payment date]])</f>
        <v>11</v>
      </c>
      <c r="H60" s="23" t="str">
        <f>VLOOKUP(Tbl_Loan2[[#This Row],[Maandnummer ]],Tbl_Months[],2,FALSE)</f>
        <v>November</v>
      </c>
      <c r="I60" s="23" t="str">
        <f>VLOOKUP(Tbl_Loan2[[#This Row],[Maandnummer ]],Tbl_Months[],3,FALSE)</f>
        <v>IV</v>
      </c>
      <c r="J60" s="23">
        <f>YEAR(Tbl_Loan2[[#This Row],[Payment date]])</f>
        <v>2017</v>
      </c>
      <c r="K60" s="23" t="str">
        <f>_xlfn.CONCAT(Tbl_Loan2[[#This Row],[Year]],Tbl_Loan2[[#This Row],[Quarter]])</f>
        <v>2017IV</v>
      </c>
      <c r="L60" s="25">
        <f t="shared" si="3"/>
        <v>180833.33333333302</v>
      </c>
      <c r="M60" s="25">
        <f>B$5*Tbl_Loan2[[#This Row],[Initial debt]]</f>
        <v>678.12499999999886</v>
      </c>
      <c r="N60" s="25">
        <f t="shared" si="4"/>
        <v>2916.6666666666665</v>
      </c>
      <c r="O60" s="25">
        <f>MAX(0,Tbl_Loan2[[#This Row],[Initial debt]]-Tbl_Loan2[[#This Row],[Redemption amount]])</f>
        <v>177916.66666666637</v>
      </c>
      <c r="P60" s="25">
        <f>Tbl_Loan2[[#This Row],[Interest amount]]+Tbl_Loan2[[#This Row],[Redemption amount]]</f>
        <v>3594.7916666666652</v>
      </c>
    </row>
    <row r="61" spans="4:16" x14ac:dyDescent="0.25">
      <c r="D61" t="str">
        <f>_xlfn.CONCAT(Tbl_Loan2[[#This Row],[Maandnummer ]],Tbl_Loan2[[#This Row],[Year]])</f>
        <v>122017</v>
      </c>
      <c r="E61" s="23">
        <f t="shared" si="2"/>
        <v>60</v>
      </c>
      <c r="F61" s="28">
        <v>43094</v>
      </c>
      <c r="G61" s="23">
        <f>MONTH(Tbl_Loan2[[#This Row],[Payment date]])</f>
        <v>12</v>
      </c>
      <c r="H61" s="23" t="str">
        <f>VLOOKUP(Tbl_Loan2[[#This Row],[Maandnummer ]],Tbl_Months[],2,FALSE)</f>
        <v>December</v>
      </c>
      <c r="I61" s="23" t="str">
        <f>VLOOKUP(Tbl_Loan2[[#This Row],[Maandnummer ]],Tbl_Months[],3,FALSE)</f>
        <v>IV</v>
      </c>
      <c r="J61" s="23">
        <f>YEAR(Tbl_Loan2[[#This Row],[Payment date]])</f>
        <v>2017</v>
      </c>
      <c r="K61" s="23" t="str">
        <f>_xlfn.CONCAT(Tbl_Loan2[[#This Row],[Year]],Tbl_Loan2[[#This Row],[Quarter]])</f>
        <v>2017IV</v>
      </c>
      <c r="L61" s="25">
        <f t="shared" si="3"/>
        <v>177916.66666666637</v>
      </c>
      <c r="M61" s="25">
        <f>B$5*Tbl_Loan2[[#This Row],[Initial debt]]</f>
        <v>667.18749999999886</v>
      </c>
      <c r="N61" s="25">
        <f t="shared" si="4"/>
        <v>2916.6666666666665</v>
      </c>
      <c r="O61" s="25">
        <f>MAX(0,Tbl_Loan2[[#This Row],[Initial debt]]-Tbl_Loan2[[#This Row],[Redemption amount]])</f>
        <v>174999.99999999971</v>
      </c>
      <c r="P61" s="25">
        <f>Tbl_Loan2[[#This Row],[Interest amount]]+Tbl_Loan2[[#This Row],[Redemption amount]]</f>
        <v>3583.8541666666652</v>
      </c>
    </row>
    <row r="62" spans="4:16" x14ac:dyDescent="0.25">
      <c r="D62" t="str">
        <f>_xlfn.CONCAT(Tbl_Loan2[[#This Row],[Maandnummer ]],Tbl_Loan2[[#This Row],[Year]])</f>
        <v>12018</v>
      </c>
      <c r="E62" s="23">
        <f t="shared" si="2"/>
        <v>61</v>
      </c>
      <c r="F62" s="28">
        <v>43125</v>
      </c>
      <c r="G62" s="23">
        <f>MONTH(Tbl_Loan2[[#This Row],[Payment date]])</f>
        <v>1</v>
      </c>
      <c r="H62" s="23" t="str">
        <f>VLOOKUP(Tbl_Loan2[[#This Row],[Maandnummer ]],Tbl_Months[],2,FALSE)</f>
        <v>January</v>
      </c>
      <c r="I62" s="23" t="str">
        <f>VLOOKUP(Tbl_Loan2[[#This Row],[Maandnummer ]],Tbl_Months[],3,FALSE)</f>
        <v>I</v>
      </c>
      <c r="J62" s="23">
        <f>YEAR(Tbl_Loan2[[#This Row],[Payment date]])</f>
        <v>2018</v>
      </c>
      <c r="K62" s="23" t="str">
        <f>_xlfn.CONCAT(Tbl_Loan2[[#This Row],[Year]],Tbl_Loan2[[#This Row],[Quarter]])</f>
        <v>2018I</v>
      </c>
      <c r="L62" s="25">
        <f t="shared" si="3"/>
        <v>174999.99999999971</v>
      </c>
      <c r="M62" s="25">
        <f>B$5*Tbl_Loan2[[#This Row],[Initial debt]]</f>
        <v>656.24999999999886</v>
      </c>
      <c r="N62" s="25">
        <f t="shared" si="4"/>
        <v>2916.6666666666665</v>
      </c>
      <c r="O62" s="25">
        <f>MAX(0,Tbl_Loan2[[#This Row],[Initial debt]]-Tbl_Loan2[[#This Row],[Redemption amount]])</f>
        <v>172083.33333333305</v>
      </c>
      <c r="P62" s="25">
        <f>Tbl_Loan2[[#This Row],[Interest amount]]+Tbl_Loan2[[#This Row],[Redemption amount]]</f>
        <v>3572.9166666666652</v>
      </c>
    </row>
    <row r="63" spans="4:16" x14ac:dyDescent="0.25">
      <c r="D63" t="str">
        <f>_xlfn.CONCAT(Tbl_Loan2[[#This Row],[Maandnummer ]],Tbl_Loan2[[#This Row],[Year]])</f>
        <v>22018</v>
      </c>
      <c r="E63" s="23">
        <f t="shared" si="2"/>
        <v>62</v>
      </c>
      <c r="F63" s="28">
        <v>43156</v>
      </c>
      <c r="G63" s="23">
        <f>MONTH(Tbl_Loan2[[#This Row],[Payment date]])</f>
        <v>2</v>
      </c>
      <c r="H63" s="23" t="str">
        <f>VLOOKUP(Tbl_Loan2[[#This Row],[Maandnummer ]],Tbl_Months[],2,FALSE)</f>
        <v>February</v>
      </c>
      <c r="I63" s="23" t="str">
        <f>VLOOKUP(Tbl_Loan2[[#This Row],[Maandnummer ]],Tbl_Months[],3,FALSE)</f>
        <v>I</v>
      </c>
      <c r="J63" s="23">
        <f>YEAR(Tbl_Loan2[[#This Row],[Payment date]])</f>
        <v>2018</v>
      </c>
      <c r="K63" s="23" t="str">
        <f>_xlfn.CONCAT(Tbl_Loan2[[#This Row],[Year]],Tbl_Loan2[[#This Row],[Quarter]])</f>
        <v>2018I</v>
      </c>
      <c r="L63" s="25">
        <f t="shared" si="3"/>
        <v>172083.33333333305</v>
      </c>
      <c r="M63" s="25">
        <f>B$5*Tbl_Loan2[[#This Row],[Initial debt]]</f>
        <v>645.31249999999898</v>
      </c>
      <c r="N63" s="25">
        <f t="shared" si="4"/>
        <v>2916.6666666666665</v>
      </c>
      <c r="O63" s="25">
        <f>MAX(0,Tbl_Loan2[[#This Row],[Initial debt]]-Tbl_Loan2[[#This Row],[Redemption amount]])</f>
        <v>169166.6666666664</v>
      </c>
      <c r="P63" s="25">
        <f>Tbl_Loan2[[#This Row],[Interest amount]]+Tbl_Loan2[[#This Row],[Redemption amount]]</f>
        <v>3561.9791666666656</v>
      </c>
    </row>
    <row r="64" spans="4:16" x14ac:dyDescent="0.25">
      <c r="D64" t="str">
        <f>_xlfn.CONCAT(Tbl_Loan2[[#This Row],[Maandnummer ]],Tbl_Loan2[[#This Row],[Year]])</f>
        <v>32018</v>
      </c>
      <c r="E64" s="23">
        <f t="shared" si="2"/>
        <v>63</v>
      </c>
      <c r="F64" s="28">
        <v>43184</v>
      </c>
      <c r="G64" s="23">
        <f>MONTH(Tbl_Loan2[[#This Row],[Payment date]])</f>
        <v>3</v>
      </c>
      <c r="H64" s="23" t="str">
        <f>VLOOKUP(Tbl_Loan2[[#This Row],[Maandnummer ]],Tbl_Months[],2,FALSE)</f>
        <v>March</v>
      </c>
      <c r="I64" s="23" t="str">
        <f>VLOOKUP(Tbl_Loan2[[#This Row],[Maandnummer ]],Tbl_Months[],3,FALSE)</f>
        <v>I</v>
      </c>
      <c r="J64" s="23">
        <f>YEAR(Tbl_Loan2[[#This Row],[Payment date]])</f>
        <v>2018</v>
      </c>
      <c r="K64" s="23" t="str">
        <f>_xlfn.CONCAT(Tbl_Loan2[[#This Row],[Year]],Tbl_Loan2[[#This Row],[Quarter]])</f>
        <v>2018I</v>
      </c>
      <c r="L64" s="25">
        <f t="shared" si="3"/>
        <v>169166.6666666664</v>
      </c>
      <c r="M64" s="25">
        <f>B$5*Tbl_Loan2[[#This Row],[Initial debt]]</f>
        <v>634.37499999999898</v>
      </c>
      <c r="N64" s="25">
        <f t="shared" si="4"/>
        <v>2916.6666666666665</v>
      </c>
      <c r="O64" s="25">
        <f>MAX(0,Tbl_Loan2[[#This Row],[Initial debt]]-Tbl_Loan2[[#This Row],[Redemption amount]])</f>
        <v>166249.99999999974</v>
      </c>
      <c r="P64" s="25">
        <f>Tbl_Loan2[[#This Row],[Interest amount]]+Tbl_Loan2[[#This Row],[Redemption amount]]</f>
        <v>3551.0416666666656</v>
      </c>
    </row>
    <row r="65" spans="4:16" x14ac:dyDescent="0.25">
      <c r="D65" t="str">
        <f>_xlfn.CONCAT(Tbl_Loan2[[#This Row],[Maandnummer ]],Tbl_Loan2[[#This Row],[Year]])</f>
        <v>42018</v>
      </c>
      <c r="E65" s="23">
        <f t="shared" si="2"/>
        <v>64</v>
      </c>
      <c r="F65" s="28">
        <v>43215</v>
      </c>
      <c r="G65" s="23">
        <f>MONTH(Tbl_Loan2[[#This Row],[Payment date]])</f>
        <v>4</v>
      </c>
      <c r="H65" s="23" t="str">
        <f>VLOOKUP(Tbl_Loan2[[#This Row],[Maandnummer ]],Tbl_Months[],2,FALSE)</f>
        <v>April</v>
      </c>
      <c r="I65" s="23" t="str">
        <f>VLOOKUP(Tbl_Loan2[[#This Row],[Maandnummer ]],Tbl_Months[],3,FALSE)</f>
        <v>II</v>
      </c>
      <c r="J65" s="23">
        <f>YEAR(Tbl_Loan2[[#This Row],[Payment date]])</f>
        <v>2018</v>
      </c>
      <c r="K65" s="23" t="str">
        <f>_xlfn.CONCAT(Tbl_Loan2[[#This Row],[Year]],Tbl_Loan2[[#This Row],[Quarter]])</f>
        <v>2018II</v>
      </c>
      <c r="L65" s="25">
        <f t="shared" si="3"/>
        <v>166249.99999999974</v>
      </c>
      <c r="M65" s="25">
        <f>B$5*Tbl_Loan2[[#This Row],[Initial debt]]</f>
        <v>623.43749999999898</v>
      </c>
      <c r="N65" s="25">
        <f t="shared" si="4"/>
        <v>2916.6666666666665</v>
      </c>
      <c r="O65" s="25">
        <f>MAX(0,Tbl_Loan2[[#This Row],[Initial debt]]-Tbl_Loan2[[#This Row],[Redemption amount]])</f>
        <v>163333.33333333308</v>
      </c>
      <c r="P65" s="25">
        <f>Tbl_Loan2[[#This Row],[Interest amount]]+Tbl_Loan2[[#This Row],[Redemption amount]]</f>
        <v>3540.1041666666656</v>
      </c>
    </row>
    <row r="66" spans="4:16" x14ac:dyDescent="0.25">
      <c r="D66" t="str">
        <f>_xlfn.CONCAT(Tbl_Loan2[[#This Row],[Maandnummer ]],Tbl_Loan2[[#This Row],[Year]])</f>
        <v>52018</v>
      </c>
      <c r="E66" s="23">
        <f t="shared" si="2"/>
        <v>65</v>
      </c>
      <c r="F66" s="28">
        <v>43245</v>
      </c>
      <c r="G66" s="23">
        <f>MONTH(Tbl_Loan2[[#This Row],[Payment date]])</f>
        <v>5</v>
      </c>
      <c r="H66" s="23" t="str">
        <f>VLOOKUP(Tbl_Loan2[[#This Row],[Maandnummer ]],Tbl_Months[],2,FALSE)</f>
        <v>May</v>
      </c>
      <c r="I66" s="23" t="str">
        <f>VLOOKUP(Tbl_Loan2[[#This Row],[Maandnummer ]],Tbl_Months[],3,FALSE)</f>
        <v>II</v>
      </c>
      <c r="J66" s="23">
        <f>YEAR(Tbl_Loan2[[#This Row],[Payment date]])</f>
        <v>2018</v>
      </c>
      <c r="K66" s="23" t="str">
        <f>_xlfn.CONCAT(Tbl_Loan2[[#This Row],[Year]],Tbl_Loan2[[#This Row],[Quarter]])</f>
        <v>2018II</v>
      </c>
      <c r="L66" s="25">
        <f t="shared" ref="L66:L97" si="5">IF(O65="Residual debt",B$1,O65)</f>
        <v>163333.33333333308</v>
      </c>
      <c r="M66" s="25">
        <f>B$5*Tbl_Loan2[[#This Row],[Initial debt]]</f>
        <v>612.49999999999898</v>
      </c>
      <c r="N66" s="25">
        <f t="shared" ref="N66:N97" si="6">B$8</f>
        <v>2916.6666666666665</v>
      </c>
      <c r="O66" s="25">
        <f>MAX(0,Tbl_Loan2[[#This Row],[Initial debt]]-Tbl_Loan2[[#This Row],[Redemption amount]])</f>
        <v>160416.66666666642</v>
      </c>
      <c r="P66" s="25">
        <f>Tbl_Loan2[[#This Row],[Interest amount]]+Tbl_Loan2[[#This Row],[Redemption amount]]</f>
        <v>3529.1666666666656</v>
      </c>
    </row>
    <row r="67" spans="4:16" x14ac:dyDescent="0.25">
      <c r="D67" t="str">
        <f>_xlfn.CONCAT(Tbl_Loan2[[#This Row],[Maandnummer ]],Tbl_Loan2[[#This Row],[Year]])</f>
        <v>62018</v>
      </c>
      <c r="E67" s="23">
        <f t="shared" si="2"/>
        <v>66</v>
      </c>
      <c r="F67" s="28">
        <v>43276</v>
      </c>
      <c r="G67" s="23">
        <f>MONTH(Tbl_Loan2[[#This Row],[Payment date]])</f>
        <v>6</v>
      </c>
      <c r="H67" s="23" t="str">
        <f>VLOOKUP(Tbl_Loan2[[#This Row],[Maandnummer ]],Tbl_Months[],2,FALSE)</f>
        <v>June</v>
      </c>
      <c r="I67" s="23" t="str">
        <f>VLOOKUP(Tbl_Loan2[[#This Row],[Maandnummer ]],Tbl_Months[],3,FALSE)</f>
        <v>II</v>
      </c>
      <c r="J67" s="23">
        <f>YEAR(Tbl_Loan2[[#This Row],[Payment date]])</f>
        <v>2018</v>
      </c>
      <c r="K67" s="23" t="str">
        <f>_xlfn.CONCAT(Tbl_Loan2[[#This Row],[Year]],Tbl_Loan2[[#This Row],[Quarter]])</f>
        <v>2018II</v>
      </c>
      <c r="L67" s="25">
        <f t="shared" si="5"/>
        <v>160416.66666666642</v>
      </c>
      <c r="M67" s="25">
        <f>B$5*Tbl_Loan2[[#This Row],[Initial debt]]</f>
        <v>601.56249999999909</v>
      </c>
      <c r="N67" s="25">
        <f t="shared" si="6"/>
        <v>2916.6666666666665</v>
      </c>
      <c r="O67" s="25">
        <f>MAX(0,Tbl_Loan2[[#This Row],[Initial debt]]-Tbl_Loan2[[#This Row],[Redemption amount]])</f>
        <v>157499.99999999977</v>
      </c>
      <c r="P67" s="25">
        <f>Tbl_Loan2[[#This Row],[Interest amount]]+Tbl_Loan2[[#This Row],[Redemption amount]]</f>
        <v>3518.2291666666656</v>
      </c>
    </row>
    <row r="68" spans="4:16" x14ac:dyDescent="0.25">
      <c r="D68" t="str">
        <f>_xlfn.CONCAT(Tbl_Loan2[[#This Row],[Maandnummer ]],Tbl_Loan2[[#This Row],[Year]])</f>
        <v>72018</v>
      </c>
      <c r="E68" s="23">
        <f t="shared" si="2"/>
        <v>67</v>
      </c>
      <c r="F68" s="28">
        <v>43306</v>
      </c>
      <c r="G68" s="23">
        <f>MONTH(Tbl_Loan2[[#This Row],[Payment date]])</f>
        <v>7</v>
      </c>
      <c r="H68" s="23" t="str">
        <f>VLOOKUP(Tbl_Loan2[[#This Row],[Maandnummer ]],Tbl_Months[],2,FALSE)</f>
        <v>July</v>
      </c>
      <c r="I68" s="23" t="str">
        <f>VLOOKUP(Tbl_Loan2[[#This Row],[Maandnummer ]],Tbl_Months[],3,FALSE)</f>
        <v>III</v>
      </c>
      <c r="J68" s="23">
        <f>YEAR(Tbl_Loan2[[#This Row],[Payment date]])</f>
        <v>2018</v>
      </c>
      <c r="K68" s="23" t="str">
        <f>_xlfn.CONCAT(Tbl_Loan2[[#This Row],[Year]],Tbl_Loan2[[#This Row],[Quarter]])</f>
        <v>2018III</v>
      </c>
      <c r="L68" s="25">
        <f t="shared" si="5"/>
        <v>157499.99999999977</v>
      </c>
      <c r="M68" s="25">
        <f>B$5*Tbl_Loan2[[#This Row],[Initial debt]]</f>
        <v>590.62499999999909</v>
      </c>
      <c r="N68" s="25">
        <f t="shared" si="6"/>
        <v>2916.6666666666665</v>
      </c>
      <c r="O68" s="25">
        <f>MAX(0,Tbl_Loan2[[#This Row],[Initial debt]]-Tbl_Loan2[[#This Row],[Redemption amount]])</f>
        <v>154583.33333333311</v>
      </c>
      <c r="P68" s="25">
        <f>Tbl_Loan2[[#This Row],[Interest amount]]+Tbl_Loan2[[#This Row],[Redemption amount]]</f>
        <v>3507.2916666666656</v>
      </c>
    </row>
    <row r="69" spans="4:16" x14ac:dyDescent="0.25">
      <c r="D69" t="str">
        <f>_xlfn.CONCAT(Tbl_Loan2[[#This Row],[Maandnummer ]],Tbl_Loan2[[#This Row],[Year]])</f>
        <v>82018</v>
      </c>
      <c r="E69" s="23">
        <f t="shared" ref="E69:E121" si="7">E68+1</f>
        <v>68</v>
      </c>
      <c r="F69" s="28">
        <v>43337</v>
      </c>
      <c r="G69" s="23">
        <f>MONTH(Tbl_Loan2[[#This Row],[Payment date]])</f>
        <v>8</v>
      </c>
      <c r="H69" s="23" t="str">
        <f>VLOOKUP(Tbl_Loan2[[#This Row],[Maandnummer ]],Tbl_Months[],2,FALSE)</f>
        <v>August</v>
      </c>
      <c r="I69" s="23" t="str">
        <f>VLOOKUP(Tbl_Loan2[[#This Row],[Maandnummer ]],Tbl_Months[],3,FALSE)</f>
        <v>III</v>
      </c>
      <c r="J69" s="23">
        <f>YEAR(Tbl_Loan2[[#This Row],[Payment date]])</f>
        <v>2018</v>
      </c>
      <c r="K69" s="23" t="str">
        <f>_xlfn.CONCAT(Tbl_Loan2[[#This Row],[Year]],Tbl_Loan2[[#This Row],[Quarter]])</f>
        <v>2018III</v>
      </c>
      <c r="L69" s="25">
        <f t="shared" si="5"/>
        <v>154583.33333333311</v>
      </c>
      <c r="M69" s="25">
        <f>B$5*Tbl_Loan2[[#This Row],[Initial debt]]</f>
        <v>579.68749999999909</v>
      </c>
      <c r="N69" s="25">
        <f t="shared" si="6"/>
        <v>2916.6666666666665</v>
      </c>
      <c r="O69" s="25">
        <f>MAX(0,Tbl_Loan2[[#This Row],[Initial debt]]-Tbl_Loan2[[#This Row],[Redemption amount]])</f>
        <v>151666.66666666645</v>
      </c>
      <c r="P69" s="25">
        <f>Tbl_Loan2[[#This Row],[Interest amount]]+Tbl_Loan2[[#This Row],[Redemption amount]]</f>
        <v>3496.3541666666656</v>
      </c>
    </row>
    <row r="70" spans="4:16" x14ac:dyDescent="0.25">
      <c r="D70" t="str">
        <f>_xlfn.CONCAT(Tbl_Loan2[[#This Row],[Maandnummer ]],Tbl_Loan2[[#This Row],[Year]])</f>
        <v>92018</v>
      </c>
      <c r="E70" s="23">
        <f t="shared" si="7"/>
        <v>69</v>
      </c>
      <c r="F70" s="28">
        <v>43368</v>
      </c>
      <c r="G70" s="23">
        <f>MONTH(Tbl_Loan2[[#This Row],[Payment date]])</f>
        <v>9</v>
      </c>
      <c r="H70" s="23" t="str">
        <f>VLOOKUP(Tbl_Loan2[[#This Row],[Maandnummer ]],Tbl_Months[],2,FALSE)</f>
        <v>September</v>
      </c>
      <c r="I70" s="23" t="str">
        <f>VLOOKUP(Tbl_Loan2[[#This Row],[Maandnummer ]],Tbl_Months[],3,FALSE)</f>
        <v>III</v>
      </c>
      <c r="J70" s="23">
        <f>YEAR(Tbl_Loan2[[#This Row],[Payment date]])</f>
        <v>2018</v>
      </c>
      <c r="K70" s="23" t="str">
        <f>_xlfn.CONCAT(Tbl_Loan2[[#This Row],[Year]],Tbl_Loan2[[#This Row],[Quarter]])</f>
        <v>2018III</v>
      </c>
      <c r="L70" s="25">
        <f t="shared" si="5"/>
        <v>151666.66666666645</v>
      </c>
      <c r="M70" s="25">
        <f>B$5*Tbl_Loan2[[#This Row],[Initial debt]]</f>
        <v>568.7499999999992</v>
      </c>
      <c r="N70" s="25">
        <f t="shared" si="6"/>
        <v>2916.6666666666665</v>
      </c>
      <c r="O70" s="25">
        <f>MAX(0,Tbl_Loan2[[#This Row],[Initial debt]]-Tbl_Loan2[[#This Row],[Redemption amount]])</f>
        <v>148749.9999999998</v>
      </c>
      <c r="P70" s="25">
        <f>Tbl_Loan2[[#This Row],[Interest amount]]+Tbl_Loan2[[#This Row],[Redemption amount]]</f>
        <v>3485.4166666666656</v>
      </c>
    </row>
    <row r="71" spans="4:16" x14ac:dyDescent="0.25">
      <c r="D71" t="str">
        <f>_xlfn.CONCAT(Tbl_Loan2[[#This Row],[Maandnummer ]],Tbl_Loan2[[#This Row],[Year]])</f>
        <v>102018</v>
      </c>
      <c r="E71" s="23">
        <f t="shared" si="7"/>
        <v>70</v>
      </c>
      <c r="F71" s="28">
        <v>43398</v>
      </c>
      <c r="G71" s="23">
        <f>MONTH(Tbl_Loan2[[#This Row],[Payment date]])</f>
        <v>10</v>
      </c>
      <c r="H71" s="23" t="str">
        <f>VLOOKUP(Tbl_Loan2[[#This Row],[Maandnummer ]],Tbl_Months[],2,FALSE)</f>
        <v>October</v>
      </c>
      <c r="I71" s="23" t="str">
        <f>VLOOKUP(Tbl_Loan2[[#This Row],[Maandnummer ]],Tbl_Months[],3,FALSE)</f>
        <v>IV</v>
      </c>
      <c r="J71" s="23">
        <f>YEAR(Tbl_Loan2[[#This Row],[Payment date]])</f>
        <v>2018</v>
      </c>
      <c r="K71" s="23" t="str">
        <f>_xlfn.CONCAT(Tbl_Loan2[[#This Row],[Year]],Tbl_Loan2[[#This Row],[Quarter]])</f>
        <v>2018IV</v>
      </c>
      <c r="L71" s="25">
        <f t="shared" si="5"/>
        <v>148749.9999999998</v>
      </c>
      <c r="M71" s="25">
        <f>B$5*Tbl_Loan2[[#This Row],[Initial debt]]</f>
        <v>557.8124999999992</v>
      </c>
      <c r="N71" s="25">
        <f t="shared" si="6"/>
        <v>2916.6666666666665</v>
      </c>
      <c r="O71" s="25">
        <f>MAX(0,Tbl_Loan2[[#This Row],[Initial debt]]-Tbl_Loan2[[#This Row],[Redemption amount]])</f>
        <v>145833.33333333314</v>
      </c>
      <c r="P71" s="25">
        <f>Tbl_Loan2[[#This Row],[Interest amount]]+Tbl_Loan2[[#This Row],[Redemption amount]]</f>
        <v>3474.4791666666656</v>
      </c>
    </row>
    <row r="72" spans="4:16" x14ac:dyDescent="0.25">
      <c r="D72" t="str">
        <f>_xlfn.CONCAT(Tbl_Loan2[[#This Row],[Maandnummer ]],Tbl_Loan2[[#This Row],[Year]])</f>
        <v>112018</v>
      </c>
      <c r="E72" s="23">
        <f t="shared" si="7"/>
        <v>71</v>
      </c>
      <c r="F72" s="28">
        <v>43429</v>
      </c>
      <c r="G72" s="23">
        <f>MONTH(Tbl_Loan2[[#This Row],[Payment date]])</f>
        <v>11</v>
      </c>
      <c r="H72" s="23" t="str">
        <f>VLOOKUP(Tbl_Loan2[[#This Row],[Maandnummer ]],Tbl_Months[],2,FALSE)</f>
        <v>November</v>
      </c>
      <c r="I72" s="23" t="str">
        <f>VLOOKUP(Tbl_Loan2[[#This Row],[Maandnummer ]],Tbl_Months[],3,FALSE)</f>
        <v>IV</v>
      </c>
      <c r="J72" s="23">
        <f>YEAR(Tbl_Loan2[[#This Row],[Payment date]])</f>
        <v>2018</v>
      </c>
      <c r="K72" s="23" t="str">
        <f>_xlfn.CONCAT(Tbl_Loan2[[#This Row],[Year]],Tbl_Loan2[[#This Row],[Quarter]])</f>
        <v>2018IV</v>
      </c>
      <c r="L72" s="25">
        <f t="shared" si="5"/>
        <v>145833.33333333314</v>
      </c>
      <c r="M72" s="25">
        <f>B$5*Tbl_Loan2[[#This Row],[Initial debt]]</f>
        <v>546.8749999999992</v>
      </c>
      <c r="N72" s="25">
        <f t="shared" si="6"/>
        <v>2916.6666666666665</v>
      </c>
      <c r="O72" s="25">
        <f>MAX(0,Tbl_Loan2[[#This Row],[Initial debt]]-Tbl_Loan2[[#This Row],[Redemption amount]])</f>
        <v>142916.66666666648</v>
      </c>
      <c r="P72" s="25">
        <f>Tbl_Loan2[[#This Row],[Interest amount]]+Tbl_Loan2[[#This Row],[Redemption amount]]</f>
        <v>3463.5416666666656</v>
      </c>
    </row>
    <row r="73" spans="4:16" x14ac:dyDescent="0.25">
      <c r="D73" t="str">
        <f>_xlfn.CONCAT(Tbl_Loan2[[#This Row],[Maandnummer ]],Tbl_Loan2[[#This Row],[Year]])</f>
        <v>122018</v>
      </c>
      <c r="E73" s="23">
        <f t="shared" si="7"/>
        <v>72</v>
      </c>
      <c r="F73" s="28">
        <v>43459</v>
      </c>
      <c r="G73" s="23">
        <f>MONTH(Tbl_Loan2[[#This Row],[Payment date]])</f>
        <v>12</v>
      </c>
      <c r="H73" s="23" t="str">
        <f>VLOOKUP(Tbl_Loan2[[#This Row],[Maandnummer ]],Tbl_Months[],2,FALSE)</f>
        <v>December</v>
      </c>
      <c r="I73" s="23" t="str">
        <f>VLOOKUP(Tbl_Loan2[[#This Row],[Maandnummer ]],Tbl_Months[],3,FALSE)</f>
        <v>IV</v>
      </c>
      <c r="J73" s="23">
        <f>YEAR(Tbl_Loan2[[#This Row],[Payment date]])</f>
        <v>2018</v>
      </c>
      <c r="K73" s="23" t="str">
        <f>_xlfn.CONCAT(Tbl_Loan2[[#This Row],[Year]],Tbl_Loan2[[#This Row],[Quarter]])</f>
        <v>2018IV</v>
      </c>
      <c r="L73" s="25">
        <f t="shared" si="5"/>
        <v>142916.66666666648</v>
      </c>
      <c r="M73" s="25">
        <f>B$5*Tbl_Loan2[[#This Row],[Initial debt]]</f>
        <v>535.93749999999932</v>
      </c>
      <c r="N73" s="25">
        <f t="shared" si="6"/>
        <v>2916.6666666666665</v>
      </c>
      <c r="O73" s="25">
        <f>MAX(0,Tbl_Loan2[[#This Row],[Initial debt]]-Tbl_Loan2[[#This Row],[Redemption amount]])</f>
        <v>139999.99999999983</v>
      </c>
      <c r="P73" s="25">
        <f>Tbl_Loan2[[#This Row],[Interest amount]]+Tbl_Loan2[[#This Row],[Redemption amount]]</f>
        <v>3452.6041666666661</v>
      </c>
    </row>
    <row r="74" spans="4:16" x14ac:dyDescent="0.25">
      <c r="D74" t="str">
        <f>_xlfn.CONCAT(Tbl_Loan2[[#This Row],[Maandnummer ]],Tbl_Loan2[[#This Row],[Year]])</f>
        <v>12019</v>
      </c>
      <c r="E74" s="23">
        <f t="shared" si="7"/>
        <v>73</v>
      </c>
      <c r="F74" s="28">
        <v>43490</v>
      </c>
      <c r="G74" s="23">
        <f>MONTH(Tbl_Loan2[[#This Row],[Payment date]])</f>
        <v>1</v>
      </c>
      <c r="H74" s="23" t="str">
        <f>VLOOKUP(Tbl_Loan2[[#This Row],[Maandnummer ]],Tbl_Months[],2,FALSE)</f>
        <v>January</v>
      </c>
      <c r="I74" s="23" t="str">
        <f>VLOOKUP(Tbl_Loan2[[#This Row],[Maandnummer ]],Tbl_Months[],3,FALSE)</f>
        <v>I</v>
      </c>
      <c r="J74" s="23">
        <f>YEAR(Tbl_Loan2[[#This Row],[Payment date]])</f>
        <v>2019</v>
      </c>
      <c r="K74" s="23" t="str">
        <f>_xlfn.CONCAT(Tbl_Loan2[[#This Row],[Year]],Tbl_Loan2[[#This Row],[Quarter]])</f>
        <v>2019I</v>
      </c>
      <c r="L74" s="25">
        <f t="shared" si="5"/>
        <v>139999.99999999983</v>
      </c>
      <c r="M74" s="25">
        <f>B$5*Tbl_Loan2[[#This Row],[Initial debt]]</f>
        <v>524.99999999999932</v>
      </c>
      <c r="N74" s="25">
        <f t="shared" si="6"/>
        <v>2916.6666666666665</v>
      </c>
      <c r="O74" s="25">
        <f>MAX(0,Tbl_Loan2[[#This Row],[Initial debt]]-Tbl_Loan2[[#This Row],[Redemption amount]])</f>
        <v>137083.33333333317</v>
      </c>
      <c r="P74" s="25">
        <f>Tbl_Loan2[[#This Row],[Interest amount]]+Tbl_Loan2[[#This Row],[Redemption amount]]</f>
        <v>3441.6666666666661</v>
      </c>
    </row>
    <row r="75" spans="4:16" x14ac:dyDescent="0.25">
      <c r="D75" t="str">
        <f>_xlfn.CONCAT(Tbl_Loan2[[#This Row],[Maandnummer ]],Tbl_Loan2[[#This Row],[Year]])</f>
        <v>22019</v>
      </c>
      <c r="E75" s="23">
        <f t="shared" si="7"/>
        <v>74</v>
      </c>
      <c r="F75" s="28">
        <v>43521</v>
      </c>
      <c r="G75" s="23">
        <f>MONTH(Tbl_Loan2[[#This Row],[Payment date]])</f>
        <v>2</v>
      </c>
      <c r="H75" s="23" t="str">
        <f>VLOOKUP(Tbl_Loan2[[#This Row],[Maandnummer ]],Tbl_Months[],2,FALSE)</f>
        <v>February</v>
      </c>
      <c r="I75" s="23" t="str">
        <f>VLOOKUP(Tbl_Loan2[[#This Row],[Maandnummer ]],Tbl_Months[],3,FALSE)</f>
        <v>I</v>
      </c>
      <c r="J75" s="23">
        <f>YEAR(Tbl_Loan2[[#This Row],[Payment date]])</f>
        <v>2019</v>
      </c>
      <c r="K75" s="23" t="str">
        <f>_xlfn.CONCAT(Tbl_Loan2[[#This Row],[Year]],Tbl_Loan2[[#This Row],[Quarter]])</f>
        <v>2019I</v>
      </c>
      <c r="L75" s="25">
        <f t="shared" si="5"/>
        <v>137083.33333333317</v>
      </c>
      <c r="M75" s="25">
        <f>B$5*Tbl_Loan2[[#This Row],[Initial debt]]</f>
        <v>514.06249999999932</v>
      </c>
      <c r="N75" s="25">
        <f t="shared" si="6"/>
        <v>2916.6666666666665</v>
      </c>
      <c r="O75" s="25">
        <f>MAX(0,Tbl_Loan2[[#This Row],[Initial debt]]-Tbl_Loan2[[#This Row],[Redemption amount]])</f>
        <v>134166.66666666651</v>
      </c>
      <c r="P75" s="25">
        <f>Tbl_Loan2[[#This Row],[Interest amount]]+Tbl_Loan2[[#This Row],[Redemption amount]]</f>
        <v>3430.7291666666661</v>
      </c>
    </row>
    <row r="76" spans="4:16" x14ac:dyDescent="0.25">
      <c r="D76" t="str">
        <f>_xlfn.CONCAT(Tbl_Loan2[[#This Row],[Maandnummer ]],Tbl_Loan2[[#This Row],[Year]])</f>
        <v>32019</v>
      </c>
      <c r="E76" s="23">
        <f t="shared" si="7"/>
        <v>75</v>
      </c>
      <c r="F76" s="28">
        <v>43549</v>
      </c>
      <c r="G76" s="23">
        <f>MONTH(Tbl_Loan2[[#This Row],[Payment date]])</f>
        <v>3</v>
      </c>
      <c r="H76" s="23" t="str">
        <f>VLOOKUP(Tbl_Loan2[[#This Row],[Maandnummer ]],Tbl_Months[],2,FALSE)</f>
        <v>March</v>
      </c>
      <c r="I76" s="23" t="str">
        <f>VLOOKUP(Tbl_Loan2[[#This Row],[Maandnummer ]],Tbl_Months[],3,FALSE)</f>
        <v>I</v>
      </c>
      <c r="J76" s="23">
        <f>YEAR(Tbl_Loan2[[#This Row],[Payment date]])</f>
        <v>2019</v>
      </c>
      <c r="K76" s="23" t="str">
        <f>_xlfn.CONCAT(Tbl_Loan2[[#This Row],[Year]],Tbl_Loan2[[#This Row],[Quarter]])</f>
        <v>2019I</v>
      </c>
      <c r="L76" s="25">
        <f t="shared" si="5"/>
        <v>134166.66666666651</v>
      </c>
      <c r="M76" s="25">
        <f>B$5*Tbl_Loan2[[#This Row],[Initial debt]]</f>
        <v>503.12499999999937</v>
      </c>
      <c r="N76" s="25">
        <f t="shared" si="6"/>
        <v>2916.6666666666665</v>
      </c>
      <c r="O76" s="25">
        <f>MAX(0,Tbl_Loan2[[#This Row],[Initial debt]]-Tbl_Loan2[[#This Row],[Redemption amount]])</f>
        <v>131249.99999999985</v>
      </c>
      <c r="P76" s="25">
        <f>Tbl_Loan2[[#This Row],[Interest amount]]+Tbl_Loan2[[#This Row],[Redemption amount]]</f>
        <v>3419.7916666666661</v>
      </c>
    </row>
    <row r="77" spans="4:16" x14ac:dyDescent="0.25">
      <c r="D77" t="str">
        <f>_xlfn.CONCAT(Tbl_Loan2[[#This Row],[Maandnummer ]],Tbl_Loan2[[#This Row],[Year]])</f>
        <v>42019</v>
      </c>
      <c r="E77" s="23">
        <f t="shared" si="7"/>
        <v>76</v>
      </c>
      <c r="F77" s="28">
        <v>43580</v>
      </c>
      <c r="G77" s="23">
        <f>MONTH(Tbl_Loan2[[#This Row],[Payment date]])</f>
        <v>4</v>
      </c>
      <c r="H77" s="23" t="str">
        <f>VLOOKUP(Tbl_Loan2[[#This Row],[Maandnummer ]],Tbl_Months[],2,FALSE)</f>
        <v>April</v>
      </c>
      <c r="I77" s="23" t="str">
        <f>VLOOKUP(Tbl_Loan2[[#This Row],[Maandnummer ]],Tbl_Months[],3,FALSE)</f>
        <v>II</v>
      </c>
      <c r="J77" s="23">
        <f>YEAR(Tbl_Loan2[[#This Row],[Payment date]])</f>
        <v>2019</v>
      </c>
      <c r="K77" s="23" t="str">
        <f>_xlfn.CONCAT(Tbl_Loan2[[#This Row],[Year]],Tbl_Loan2[[#This Row],[Quarter]])</f>
        <v>2019II</v>
      </c>
      <c r="L77" s="25">
        <f t="shared" si="5"/>
        <v>131249.99999999985</v>
      </c>
      <c r="M77" s="25">
        <f>B$5*Tbl_Loan2[[#This Row],[Initial debt]]</f>
        <v>492.18749999999943</v>
      </c>
      <c r="N77" s="25">
        <f t="shared" si="6"/>
        <v>2916.6666666666665</v>
      </c>
      <c r="O77" s="25">
        <f>MAX(0,Tbl_Loan2[[#This Row],[Initial debt]]-Tbl_Loan2[[#This Row],[Redemption amount]])</f>
        <v>128333.33333333318</v>
      </c>
      <c r="P77" s="25">
        <f>Tbl_Loan2[[#This Row],[Interest amount]]+Tbl_Loan2[[#This Row],[Redemption amount]]</f>
        <v>3408.8541666666661</v>
      </c>
    </row>
    <row r="78" spans="4:16" x14ac:dyDescent="0.25">
      <c r="D78" t="str">
        <f>_xlfn.CONCAT(Tbl_Loan2[[#This Row],[Maandnummer ]],Tbl_Loan2[[#This Row],[Year]])</f>
        <v>52019</v>
      </c>
      <c r="E78" s="23">
        <f t="shared" si="7"/>
        <v>77</v>
      </c>
      <c r="F78" s="28">
        <v>43610</v>
      </c>
      <c r="G78" s="23">
        <f>MONTH(Tbl_Loan2[[#This Row],[Payment date]])</f>
        <v>5</v>
      </c>
      <c r="H78" s="23" t="str">
        <f>VLOOKUP(Tbl_Loan2[[#This Row],[Maandnummer ]],Tbl_Months[],2,FALSE)</f>
        <v>May</v>
      </c>
      <c r="I78" s="23" t="str">
        <f>VLOOKUP(Tbl_Loan2[[#This Row],[Maandnummer ]],Tbl_Months[],3,FALSE)</f>
        <v>II</v>
      </c>
      <c r="J78" s="23">
        <f>YEAR(Tbl_Loan2[[#This Row],[Payment date]])</f>
        <v>2019</v>
      </c>
      <c r="K78" s="23" t="str">
        <f>_xlfn.CONCAT(Tbl_Loan2[[#This Row],[Year]],Tbl_Loan2[[#This Row],[Quarter]])</f>
        <v>2019II</v>
      </c>
      <c r="L78" s="25">
        <f t="shared" si="5"/>
        <v>128333.33333333318</v>
      </c>
      <c r="M78" s="25">
        <f>B$5*Tbl_Loan2[[#This Row],[Initial debt]]</f>
        <v>481.24999999999943</v>
      </c>
      <c r="N78" s="25">
        <f t="shared" si="6"/>
        <v>2916.6666666666665</v>
      </c>
      <c r="O78" s="25">
        <f>MAX(0,Tbl_Loan2[[#This Row],[Initial debt]]-Tbl_Loan2[[#This Row],[Redemption amount]])</f>
        <v>125416.66666666651</v>
      </c>
      <c r="P78" s="25">
        <f>Tbl_Loan2[[#This Row],[Interest amount]]+Tbl_Loan2[[#This Row],[Redemption amount]]</f>
        <v>3397.9166666666661</v>
      </c>
    </row>
    <row r="79" spans="4:16" x14ac:dyDescent="0.25">
      <c r="D79" t="str">
        <f>_xlfn.CONCAT(Tbl_Loan2[[#This Row],[Maandnummer ]],Tbl_Loan2[[#This Row],[Year]])</f>
        <v>62019</v>
      </c>
      <c r="E79" s="23">
        <f t="shared" si="7"/>
        <v>78</v>
      </c>
      <c r="F79" s="28">
        <v>43641</v>
      </c>
      <c r="G79" s="23">
        <f>MONTH(Tbl_Loan2[[#This Row],[Payment date]])</f>
        <v>6</v>
      </c>
      <c r="H79" s="23" t="str">
        <f>VLOOKUP(Tbl_Loan2[[#This Row],[Maandnummer ]],Tbl_Months[],2,FALSE)</f>
        <v>June</v>
      </c>
      <c r="I79" s="23" t="str">
        <f>VLOOKUP(Tbl_Loan2[[#This Row],[Maandnummer ]],Tbl_Months[],3,FALSE)</f>
        <v>II</v>
      </c>
      <c r="J79" s="23">
        <f>YEAR(Tbl_Loan2[[#This Row],[Payment date]])</f>
        <v>2019</v>
      </c>
      <c r="K79" s="23" t="str">
        <f>_xlfn.CONCAT(Tbl_Loan2[[#This Row],[Year]],Tbl_Loan2[[#This Row],[Quarter]])</f>
        <v>2019II</v>
      </c>
      <c r="L79" s="25">
        <f t="shared" si="5"/>
        <v>125416.66666666651</v>
      </c>
      <c r="M79" s="25">
        <f>B$5*Tbl_Loan2[[#This Row],[Initial debt]]</f>
        <v>470.31249999999937</v>
      </c>
      <c r="N79" s="25">
        <f t="shared" si="6"/>
        <v>2916.6666666666665</v>
      </c>
      <c r="O79" s="25">
        <f>MAX(0,Tbl_Loan2[[#This Row],[Initial debt]]-Tbl_Loan2[[#This Row],[Redemption amount]])</f>
        <v>122499.99999999984</v>
      </c>
      <c r="P79" s="25">
        <f>Tbl_Loan2[[#This Row],[Interest amount]]+Tbl_Loan2[[#This Row],[Redemption amount]]</f>
        <v>3386.9791666666661</v>
      </c>
    </row>
    <row r="80" spans="4:16" x14ac:dyDescent="0.25">
      <c r="D80" t="str">
        <f>_xlfn.CONCAT(Tbl_Loan2[[#This Row],[Maandnummer ]],Tbl_Loan2[[#This Row],[Year]])</f>
        <v>72019</v>
      </c>
      <c r="E80" s="23">
        <f t="shared" si="7"/>
        <v>79</v>
      </c>
      <c r="F80" s="28">
        <v>43671</v>
      </c>
      <c r="G80" s="23">
        <f>MONTH(Tbl_Loan2[[#This Row],[Payment date]])</f>
        <v>7</v>
      </c>
      <c r="H80" s="23" t="str">
        <f>VLOOKUP(Tbl_Loan2[[#This Row],[Maandnummer ]],Tbl_Months[],2,FALSE)</f>
        <v>July</v>
      </c>
      <c r="I80" s="23" t="str">
        <f>VLOOKUP(Tbl_Loan2[[#This Row],[Maandnummer ]],Tbl_Months[],3,FALSE)</f>
        <v>III</v>
      </c>
      <c r="J80" s="23">
        <f>YEAR(Tbl_Loan2[[#This Row],[Payment date]])</f>
        <v>2019</v>
      </c>
      <c r="K80" s="23" t="str">
        <f>_xlfn.CONCAT(Tbl_Loan2[[#This Row],[Year]],Tbl_Loan2[[#This Row],[Quarter]])</f>
        <v>2019III</v>
      </c>
      <c r="L80" s="25">
        <f t="shared" si="5"/>
        <v>122499.99999999984</v>
      </c>
      <c r="M80" s="25">
        <f>B$5*Tbl_Loan2[[#This Row],[Initial debt]]</f>
        <v>459.37499999999937</v>
      </c>
      <c r="N80" s="25">
        <f t="shared" si="6"/>
        <v>2916.6666666666665</v>
      </c>
      <c r="O80" s="25">
        <f>MAX(0,Tbl_Loan2[[#This Row],[Initial debt]]-Tbl_Loan2[[#This Row],[Redemption amount]])</f>
        <v>119583.33333333317</v>
      </c>
      <c r="P80" s="25">
        <f>Tbl_Loan2[[#This Row],[Interest amount]]+Tbl_Loan2[[#This Row],[Redemption amount]]</f>
        <v>3376.0416666666661</v>
      </c>
    </row>
    <row r="81" spans="4:16" x14ac:dyDescent="0.25">
      <c r="D81" t="str">
        <f>_xlfn.CONCAT(Tbl_Loan2[[#This Row],[Maandnummer ]],Tbl_Loan2[[#This Row],[Year]])</f>
        <v>82019</v>
      </c>
      <c r="E81" s="23">
        <f t="shared" si="7"/>
        <v>80</v>
      </c>
      <c r="F81" s="28">
        <v>43702</v>
      </c>
      <c r="G81" s="23">
        <f>MONTH(Tbl_Loan2[[#This Row],[Payment date]])</f>
        <v>8</v>
      </c>
      <c r="H81" s="23" t="str">
        <f>VLOOKUP(Tbl_Loan2[[#This Row],[Maandnummer ]],Tbl_Months[],2,FALSE)</f>
        <v>August</v>
      </c>
      <c r="I81" s="23" t="str">
        <f>VLOOKUP(Tbl_Loan2[[#This Row],[Maandnummer ]],Tbl_Months[],3,FALSE)</f>
        <v>III</v>
      </c>
      <c r="J81" s="23">
        <f>YEAR(Tbl_Loan2[[#This Row],[Payment date]])</f>
        <v>2019</v>
      </c>
      <c r="K81" s="23" t="str">
        <f>_xlfn.CONCAT(Tbl_Loan2[[#This Row],[Year]],Tbl_Loan2[[#This Row],[Quarter]])</f>
        <v>2019III</v>
      </c>
      <c r="L81" s="25">
        <f t="shared" si="5"/>
        <v>119583.33333333317</v>
      </c>
      <c r="M81" s="25">
        <f>B$5*Tbl_Loan2[[#This Row],[Initial debt]]</f>
        <v>448.43749999999937</v>
      </c>
      <c r="N81" s="25">
        <f t="shared" si="6"/>
        <v>2916.6666666666665</v>
      </c>
      <c r="O81" s="25">
        <f>MAX(0,Tbl_Loan2[[#This Row],[Initial debt]]-Tbl_Loan2[[#This Row],[Redemption amount]])</f>
        <v>116666.6666666665</v>
      </c>
      <c r="P81" s="25">
        <f>Tbl_Loan2[[#This Row],[Interest amount]]+Tbl_Loan2[[#This Row],[Redemption amount]]</f>
        <v>3365.1041666666661</v>
      </c>
    </row>
    <row r="82" spans="4:16" x14ac:dyDescent="0.25">
      <c r="D82" t="str">
        <f>_xlfn.CONCAT(Tbl_Loan2[[#This Row],[Maandnummer ]],Tbl_Loan2[[#This Row],[Year]])</f>
        <v>92019</v>
      </c>
      <c r="E82" s="23">
        <f t="shared" si="7"/>
        <v>81</v>
      </c>
      <c r="F82" s="28">
        <v>43733</v>
      </c>
      <c r="G82" s="23">
        <f>MONTH(Tbl_Loan2[[#This Row],[Payment date]])</f>
        <v>9</v>
      </c>
      <c r="H82" s="23" t="str">
        <f>VLOOKUP(Tbl_Loan2[[#This Row],[Maandnummer ]],Tbl_Months[],2,FALSE)</f>
        <v>September</v>
      </c>
      <c r="I82" s="23" t="str">
        <f>VLOOKUP(Tbl_Loan2[[#This Row],[Maandnummer ]],Tbl_Months[],3,FALSE)</f>
        <v>III</v>
      </c>
      <c r="J82" s="23">
        <f>YEAR(Tbl_Loan2[[#This Row],[Payment date]])</f>
        <v>2019</v>
      </c>
      <c r="K82" s="23" t="str">
        <f>_xlfn.CONCAT(Tbl_Loan2[[#This Row],[Year]],Tbl_Loan2[[#This Row],[Quarter]])</f>
        <v>2019III</v>
      </c>
      <c r="L82" s="25">
        <f t="shared" si="5"/>
        <v>116666.6666666665</v>
      </c>
      <c r="M82" s="25">
        <f>B$5*Tbl_Loan2[[#This Row],[Initial debt]]</f>
        <v>437.49999999999937</v>
      </c>
      <c r="N82" s="25">
        <f t="shared" si="6"/>
        <v>2916.6666666666665</v>
      </c>
      <c r="O82" s="25">
        <f>MAX(0,Tbl_Loan2[[#This Row],[Initial debt]]-Tbl_Loan2[[#This Row],[Redemption amount]])</f>
        <v>113749.99999999983</v>
      </c>
      <c r="P82" s="25">
        <f>Tbl_Loan2[[#This Row],[Interest amount]]+Tbl_Loan2[[#This Row],[Redemption amount]]</f>
        <v>3354.1666666666661</v>
      </c>
    </row>
    <row r="83" spans="4:16" x14ac:dyDescent="0.25">
      <c r="D83" t="str">
        <f>_xlfn.CONCAT(Tbl_Loan2[[#This Row],[Maandnummer ]],Tbl_Loan2[[#This Row],[Year]])</f>
        <v>102019</v>
      </c>
      <c r="E83" s="23">
        <f t="shared" si="7"/>
        <v>82</v>
      </c>
      <c r="F83" s="28">
        <v>43763</v>
      </c>
      <c r="G83" s="23">
        <f>MONTH(Tbl_Loan2[[#This Row],[Payment date]])</f>
        <v>10</v>
      </c>
      <c r="H83" s="23" t="str">
        <f>VLOOKUP(Tbl_Loan2[[#This Row],[Maandnummer ]],Tbl_Months[],2,FALSE)</f>
        <v>October</v>
      </c>
      <c r="I83" s="23" t="str">
        <f>VLOOKUP(Tbl_Loan2[[#This Row],[Maandnummer ]],Tbl_Months[],3,FALSE)</f>
        <v>IV</v>
      </c>
      <c r="J83" s="23">
        <f>YEAR(Tbl_Loan2[[#This Row],[Payment date]])</f>
        <v>2019</v>
      </c>
      <c r="K83" s="23" t="str">
        <f>_xlfn.CONCAT(Tbl_Loan2[[#This Row],[Year]],Tbl_Loan2[[#This Row],[Quarter]])</f>
        <v>2019IV</v>
      </c>
      <c r="L83" s="25">
        <f t="shared" si="5"/>
        <v>113749.99999999983</v>
      </c>
      <c r="M83" s="25">
        <f>B$5*Tbl_Loan2[[#This Row],[Initial debt]]</f>
        <v>426.56249999999932</v>
      </c>
      <c r="N83" s="25">
        <f t="shared" si="6"/>
        <v>2916.6666666666665</v>
      </c>
      <c r="O83" s="25">
        <f>MAX(0,Tbl_Loan2[[#This Row],[Initial debt]]-Tbl_Loan2[[#This Row],[Redemption amount]])</f>
        <v>110833.33333333315</v>
      </c>
      <c r="P83" s="25">
        <f>Tbl_Loan2[[#This Row],[Interest amount]]+Tbl_Loan2[[#This Row],[Redemption amount]]</f>
        <v>3343.2291666666661</v>
      </c>
    </row>
    <row r="84" spans="4:16" x14ac:dyDescent="0.25">
      <c r="D84" t="str">
        <f>_xlfn.CONCAT(Tbl_Loan2[[#This Row],[Maandnummer ]],Tbl_Loan2[[#This Row],[Year]])</f>
        <v>112019</v>
      </c>
      <c r="E84" s="23">
        <f t="shared" si="7"/>
        <v>83</v>
      </c>
      <c r="F84" s="28">
        <v>43794</v>
      </c>
      <c r="G84" s="23">
        <f>MONTH(Tbl_Loan2[[#This Row],[Payment date]])</f>
        <v>11</v>
      </c>
      <c r="H84" s="23" t="str">
        <f>VLOOKUP(Tbl_Loan2[[#This Row],[Maandnummer ]],Tbl_Months[],2,FALSE)</f>
        <v>November</v>
      </c>
      <c r="I84" s="23" t="str">
        <f>VLOOKUP(Tbl_Loan2[[#This Row],[Maandnummer ]],Tbl_Months[],3,FALSE)</f>
        <v>IV</v>
      </c>
      <c r="J84" s="23">
        <f>YEAR(Tbl_Loan2[[#This Row],[Payment date]])</f>
        <v>2019</v>
      </c>
      <c r="K84" s="23" t="str">
        <f>_xlfn.CONCAT(Tbl_Loan2[[#This Row],[Year]],Tbl_Loan2[[#This Row],[Quarter]])</f>
        <v>2019IV</v>
      </c>
      <c r="L84" s="25">
        <f t="shared" si="5"/>
        <v>110833.33333333315</v>
      </c>
      <c r="M84" s="25">
        <f>B$5*Tbl_Loan2[[#This Row],[Initial debt]]</f>
        <v>415.62499999999932</v>
      </c>
      <c r="N84" s="25">
        <f t="shared" si="6"/>
        <v>2916.6666666666665</v>
      </c>
      <c r="O84" s="25">
        <f>MAX(0,Tbl_Loan2[[#This Row],[Initial debt]]-Tbl_Loan2[[#This Row],[Redemption amount]])</f>
        <v>107916.66666666648</v>
      </c>
      <c r="P84" s="25">
        <f>Tbl_Loan2[[#This Row],[Interest amount]]+Tbl_Loan2[[#This Row],[Redemption amount]]</f>
        <v>3332.2916666666661</v>
      </c>
    </row>
    <row r="85" spans="4:16" x14ac:dyDescent="0.25">
      <c r="D85" t="str">
        <f>_xlfn.CONCAT(Tbl_Loan2[[#This Row],[Maandnummer ]],Tbl_Loan2[[#This Row],[Year]])</f>
        <v>122019</v>
      </c>
      <c r="E85" s="23">
        <f t="shared" si="7"/>
        <v>84</v>
      </c>
      <c r="F85" s="28">
        <v>43824</v>
      </c>
      <c r="G85" s="23">
        <f>MONTH(Tbl_Loan2[[#This Row],[Payment date]])</f>
        <v>12</v>
      </c>
      <c r="H85" s="23" t="str">
        <f>VLOOKUP(Tbl_Loan2[[#This Row],[Maandnummer ]],Tbl_Months[],2,FALSE)</f>
        <v>December</v>
      </c>
      <c r="I85" s="23" t="str">
        <f>VLOOKUP(Tbl_Loan2[[#This Row],[Maandnummer ]],Tbl_Months[],3,FALSE)</f>
        <v>IV</v>
      </c>
      <c r="J85" s="23">
        <f>YEAR(Tbl_Loan2[[#This Row],[Payment date]])</f>
        <v>2019</v>
      </c>
      <c r="K85" s="23" t="str">
        <f>_xlfn.CONCAT(Tbl_Loan2[[#This Row],[Year]],Tbl_Loan2[[#This Row],[Quarter]])</f>
        <v>2019IV</v>
      </c>
      <c r="L85" s="25">
        <f t="shared" si="5"/>
        <v>107916.66666666648</v>
      </c>
      <c r="M85" s="25">
        <f>B$5*Tbl_Loan2[[#This Row],[Initial debt]]</f>
        <v>404.68749999999932</v>
      </c>
      <c r="N85" s="25">
        <f t="shared" si="6"/>
        <v>2916.6666666666665</v>
      </c>
      <c r="O85" s="25">
        <f>MAX(0,Tbl_Loan2[[#This Row],[Initial debt]]-Tbl_Loan2[[#This Row],[Redemption amount]])</f>
        <v>104999.99999999981</v>
      </c>
      <c r="P85" s="25">
        <f>Tbl_Loan2[[#This Row],[Interest amount]]+Tbl_Loan2[[#This Row],[Redemption amount]]</f>
        <v>3321.3541666666661</v>
      </c>
    </row>
    <row r="86" spans="4:16" x14ac:dyDescent="0.25">
      <c r="D86" t="str">
        <f>_xlfn.CONCAT(Tbl_Loan2[[#This Row],[Maandnummer ]],Tbl_Loan2[[#This Row],[Year]])</f>
        <v>12020</v>
      </c>
      <c r="E86" s="23">
        <f t="shared" si="7"/>
        <v>85</v>
      </c>
      <c r="F86" s="28">
        <v>43855</v>
      </c>
      <c r="G86" s="23">
        <f>MONTH(Tbl_Loan2[[#This Row],[Payment date]])</f>
        <v>1</v>
      </c>
      <c r="H86" s="23" t="str">
        <f>VLOOKUP(Tbl_Loan2[[#This Row],[Maandnummer ]],Tbl_Months[],2,FALSE)</f>
        <v>January</v>
      </c>
      <c r="I86" s="23" t="str">
        <f>VLOOKUP(Tbl_Loan2[[#This Row],[Maandnummer ]],Tbl_Months[],3,FALSE)</f>
        <v>I</v>
      </c>
      <c r="J86" s="23">
        <f>YEAR(Tbl_Loan2[[#This Row],[Payment date]])</f>
        <v>2020</v>
      </c>
      <c r="K86" s="23" t="str">
        <f>_xlfn.CONCAT(Tbl_Loan2[[#This Row],[Year]],Tbl_Loan2[[#This Row],[Quarter]])</f>
        <v>2020I</v>
      </c>
      <c r="L86" s="25">
        <f t="shared" si="5"/>
        <v>104999.99999999981</v>
      </c>
      <c r="M86" s="25">
        <f>B$5*Tbl_Loan2[[#This Row],[Initial debt]]</f>
        <v>393.74999999999926</v>
      </c>
      <c r="N86" s="25">
        <f t="shared" si="6"/>
        <v>2916.6666666666665</v>
      </c>
      <c r="O86" s="25">
        <f>MAX(0,Tbl_Loan2[[#This Row],[Initial debt]]-Tbl_Loan2[[#This Row],[Redemption amount]])</f>
        <v>102083.33333333314</v>
      </c>
      <c r="P86" s="25">
        <f>Tbl_Loan2[[#This Row],[Interest amount]]+Tbl_Loan2[[#This Row],[Redemption amount]]</f>
        <v>3310.4166666666656</v>
      </c>
    </row>
    <row r="87" spans="4:16" x14ac:dyDescent="0.25">
      <c r="D87" t="str">
        <f>_xlfn.CONCAT(Tbl_Loan2[[#This Row],[Maandnummer ]],Tbl_Loan2[[#This Row],[Year]])</f>
        <v>22020</v>
      </c>
      <c r="E87" s="23">
        <f t="shared" si="7"/>
        <v>86</v>
      </c>
      <c r="F87" s="28">
        <v>43886</v>
      </c>
      <c r="G87" s="23">
        <f>MONTH(Tbl_Loan2[[#This Row],[Payment date]])</f>
        <v>2</v>
      </c>
      <c r="H87" s="23" t="str">
        <f>VLOOKUP(Tbl_Loan2[[#This Row],[Maandnummer ]],Tbl_Months[],2,FALSE)</f>
        <v>February</v>
      </c>
      <c r="I87" s="23" t="str">
        <f>VLOOKUP(Tbl_Loan2[[#This Row],[Maandnummer ]],Tbl_Months[],3,FALSE)</f>
        <v>I</v>
      </c>
      <c r="J87" s="23">
        <f>YEAR(Tbl_Loan2[[#This Row],[Payment date]])</f>
        <v>2020</v>
      </c>
      <c r="K87" s="23" t="str">
        <f>_xlfn.CONCAT(Tbl_Loan2[[#This Row],[Year]],Tbl_Loan2[[#This Row],[Quarter]])</f>
        <v>2020I</v>
      </c>
      <c r="L87" s="25">
        <f t="shared" si="5"/>
        <v>102083.33333333314</v>
      </c>
      <c r="M87" s="25">
        <f>B$5*Tbl_Loan2[[#This Row],[Initial debt]]</f>
        <v>382.81249999999926</v>
      </c>
      <c r="N87" s="25">
        <f t="shared" si="6"/>
        <v>2916.6666666666665</v>
      </c>
      <c r="O87" s="25">
        <f>MAX(0,Tbl_Loan2[[#This Row],[Initial debt]]-Tbl_Loan2[[#This Row],[Redemption amount]])</f>
        <v>99166.666666666468</v>
      </c>
      <c r="P87" s="25">
        <f>Tbl_Loan2[[#This Row],[Interest amount]]+Tbl_Loan2[[#This Row],[Redemption amount]]</f>
        <v>3299.4791666666656</v>
      </c>
    </row>
    <row r="88" spans="4:16" x14ac:dyDescent="0.25">
      <c r="D88" t="str">
        <f>_xlfn.CONCAT(Tbl_Loan2[[#This Row],[Maandnummer ]],Tbl_Loan2[[#This Row],[Year]])</f>
        <v>32020</v>
      </c>
      <c r="E88" s="23">
        <f t="shared" si="7"/>
        <v>87</v>
      </c>
      <c r="F88" s="28">
        <v>43915</v>
      </c>
      <c r="G88" s="23">
        <f>MONTH(Tbl_Loan2[[#This Row],[Payment date]])</f>
        <v>3</v>
      </c>
      <c r="H88" s="23" t="str">
        <f>VLOOKUP(Tbl_Loan2[[#This Row],[Maandnummer ]],Tbl_Months[],2,FALSE)</f>
        <v>March</v>
      </c>
      <c r="I88" s="23" t="str">
        <f>VLOOKUP(Tbl_Loan2[[#This Row],[Maandnummer ]],Tbl_Months[],3,FALSE)</f>
        <v>I</v>
      </c>
      <c r="J88" s="23">
        <f>YEAR(Tbl_Loan2[[#This Row],[Payment date]])</f>
        <v>2020</v>
      </c>
      <c r="K88" s="23" t="str">
        <f>_xlfn.CONCAT(Tbl_Loan2[[#This Row],[Year]],Tbl_Loan2[[#This Row],[Quarter]])</f>
        <v>2020I</v>
      </c>
      <c r="L88" s="25">
        <f t="shared" si="5"/>
        <v>99166.666666666468</v>
      </c>
      <c r="M88" s="25">
        <f>B$5*Tbl_Loan2[[#This Row],[Initial debt]]</f>
        <v>371.87499999999926</v>
      </c>
      <c r="N88" s="25">
        <f t="shared" si="6"/>
        <v>2916.6666666666665</v>
      </c>
      <c r="O88" s="25">
        <f>MAX(0,Tbl_Loan2[[#This Row],[Initial debt]]-Tbl_Loan2[[#This Row],[Redemption amount]])</f>
        <v>96249.999999999796</v>
      </c>
      <c r="P88" s="25">
        <f>Tbl_Loan2[[#This Row],[Interest amount]]+Tbl_Loan2[[#This Row],[Redemption amount]]</f>
        <v>3288.5416666666656</v>
      </c>
    </row>
    <row r="89" spans="4:16" x14ac:dyDescent="0.25">
      <c r="D89" t="str">
        <f>_xlfn.CONCAT(Tbl_Loan2[[#This Row],[Maandnummer ]],Tbl_Loan2[[#This Row],[Year]])</f>
        <v>42020</v>
      </c>
      <c r="E89" s="23">
        <f t="shared" si="7"/>
        <v>88</v>
      </c>
      <c r="F89" s="28">
        <v>43946</v>
      </c>
      <c r="G89" s="23">
        <f>MONTH(Tbl_Loan2[[#This Row],[Payment date]])</f>
        <v>4</v>
      </c>
      <c r="H89" s="23" t="str">
        <f>VLOOKUP(Tbl_Loan2[[#This Row],[Maandnummer ]],Tbl_Months[],2,FALSE)</f>
        <v>April</v>
      </c>
      <c r="I89" s="23" t="str">
        <f>VLOOKUP(Tbl_Loan2[[#This Row],[Maandnummer ]],Tbl_Months[],3,FALSE)</f>
        <v>II</v>
      </c>
      <c r="J89" s="23">
        <f>YEAR(Tbl_Loan2[[#This Row],[Payment date]])</f>
        <v>2020</v>
      </c>
      <c r="K89" s="23" t="str">
        <f>_xlfn.CONCAT(Tbl_Loan2[[#This Row],[Year]],Tbl_Loan2[[#This Row],[Quarter]])</f>
        <v>2020II</v>
      </c>
      <c r="L89" s="25">
        <f t="shared" si="5"/>
        <v>96249.999999999796</v>
      </c>
      <c r="M89" s="25">
        <f>B$5*Tbl_Loan2[[#This Row],[Initial debt]]</f>
        <v>360.9374999999992</v>
      </c>
      <c r="N89" s="25">
        <f t="shared" si="6"/>
        <v>2916.6666666666665</v>
      </c>
      <c r="O89" s="25">
        <f>MAX(0,Tbl_Loan2[[#This Row],[Initial debt]]-Tbl_Loan2[[#This Row],[Redemption amount]])</f>
        <v>93333.333333333125</v>
      </c>
      <c r="P89" s="25">
        <f>Tbl_Loan2[[#This Row],[Interest amount]]+Tbl_Loan2[[#This Row],[Redemption amount]]</f>
        <v>3277.6041666666656</v>
      </c>
    </row>
    <row r="90" spans="4:16" x14ac:dyDescent="0.25">
      <c r="D90" t="str">
        <f>_xlfn.CONCAT(Tbl_Loan2[[#This Row],[Maandnummer ]],Tbl_Loan2[[#This Row],[Year]])</f>
        <v>52020</v>
      </c>
      <c r="E90" s="23">
        <f t="shared" si="7"/>
        <v>89</v>
      </c>
      <c r="F90" s="28">
        <v>43976</v>
      </c>
      <c r="G90" s="23">
        <f>MONTH(Tbl_Loan2[[#This Row],[Payment date]])</f>
        <v>5</v>
      </c>
      <c r="H90" s="23" t="str">
        <f>VLOOKUP(Tbl_Loan2[[#This Row],[Maandnummer ]],Tbl_Months[],2,FALSE)</f>
        <v>May</v>
      </c>
      <c r="I90" s="23" t="str">
        <f>VLOOKUP(Tbl_Loan2[[#This Row],[Maandnummer ]],Tbl_Months[],3,FALSE)</f>
        <v>II</v>
      </c>
      <c r="J90" s="23">
        <f>YEAR(Tbl_Loan2[[#This Row],[Payment date]])</f>
        <v>2020</v>
      </c>
      <c r="K90" s="23" t="str">
        <f>_xlfn.CONCAT(Tbl_Loan2[[#This Row],[Year]],Tbl_Loan2[[#This Row],[Quarter]])</f>
        <v>2020II</v>
      </c>
      <c r="L90" s="25">
        <f t="shared" si="5"/>
        <v>93333.333333333125</v>
      </c>
      <c r="M90" s="25">
        <f>B$5*Tbl_Loan2[[#This Row],[Initial debt]]</f>
        <v>349.9999999999992</v>
      </c>
      <c r="N90" s="25">
        <f t="shared" si="6"/>
        <v>2916.6666666666665</v>
      </c>
      <c r="O90" s="25">
        <f>MAX(0,Tbl_Loan2[[#This Row],[Initial debt]]-Tbl_Loan2[[#This Row],[Redemption amount]])</f>
        <v>90416.666666666453</v>
      </c>
      <c r="P90" s="25">
        <f>Tbl_Loan2[[#This Row],[Interest amount]]+Tbl_Loan2[[#This Row],[Redemption amount]]</f>
        <v>3266.6666666666656</v>
      </c>
    </row>
    <row r="91" spans="4:16" x14ac:dyDescent="0.25">
      <c r="D91" t="str">
        <f>_xlfn.CONCAT(Tbl_Loan2[[#This Row],[Maandnummer ]],Tbl_Loan2[[#This Row],[Year]])</f>
        <v>62020</v>
      </c>
      <c r="E91" s="23">
        <f t="shared" si="7"/>
        <v>90</v>
      </c>
      <c r="F91" s="28">
        <v>44007</v>
      </c>
      <c r="G91" s="23">
        <f>MONTH(Tbl_Loan2[[#This Row],[Payment date]])</f>
        <v>6</v>
      </c>
      <c r="H91" s="23" t="str">
        <f>VLOOKUP(Tbl_Loan2[[#This Row],[Maandnummer ]],Tbl_Months[],2,FALSE)</f>
        <v>June</v>
      </c>
      <c r="I91" s="23" t="str">
        <f>VLOOKUP(Tbl_Loan2[[#This Row],[Maandnummer ]],Tbl_Months[],3,FALSE)</f>
        <v>II</v>
      </c>
      <c r="J91" s="23">
        <f>YEAR(Tbl_Loan2[[#This Row],[Payment date]])</f>
        <v>2020</v>
      </c>
      <c r="K91" s="23" t="str">
        <f>_xlfn.CONCAT(Tbl_Loan2[[#This Row],[Year]],Tbl_Loan2[[#This Row],[Quarter]])</f>
        <v>2020II</v>
      </c>
      <c r="L91" s="25">
        <f t="shared" si="5"/>
        <v>90416.666666666453</v>
      </c>
      <c r="M91" s="25">
        <f>B$5*Tbl_Loan2[[#This Row],[Initial debt]]</f>
        <v>339.0624999999992</v>
      </c>
      <c r="N91" s="25">
        <f t="shared" si="6"/>
        <v>2916.6666666666665</v>
      </c>
      <c r="O91" s="25">
        <f>MAX(0,Tbl_Loan2[[#This Row],[Initial debt]]-Tbl_Loan2[[#This Row],[Redemption amount]])</f>
        <v>87499.999999999782</v>
      </c>
      <c r="P91" s="25">
        <f>Tbl_Loan2[[#This Row],[Interest amount]]+Tbl_Loan2[[#This Row],[Redemption amount]]</f>
        <v>3255.7291666666656</v>
      </c>
    </row>
    <row r="92" spans="4:16" x14ac:dyDescent="0.25">
      <c r="D92" t="str">
        <f>_xlfn.CONCAT(Tbl_Loan2[[#This Row],[Maandnummer ]],Tbl_Loan2[[#This Row],[Year]])</f>
        <v>72020</v>
      </c>
      <c r="E92" s="23">
        <f t="shared" si="7"/>
        <v>91</v>
      </c>
      <c r="F92" s="28">
        <v>44037</v>
      </c>
      <c r="G92" s="23">
        <f>MONTH(Tbl_Loan2[[#This Row],[Payment date]])</f>
        <v>7</v>
      </c>
      <c r="H92" s="23" t="str">
        <f>VLOOKUP(Tbl_Loan2[[#This Row],[Maandnummer ]],Tbl_Months[],2,FALSE)</f>
        <v>July</v>
      </c>
      <c r="I92" s="23" t="str">
        <f>VLOOKUP(Tbl_Loan2[[#This Row],[Maandnummer ]],Tbl_Months[],3,FALSE)</f>
        <v>III</v>
      </c>
      <c r="J92" s="23">
        <f>YEAR(Tbl_Loan2[[#This Row],[Payment date]])</f>
        <v>2020</v>
      </c>
      <c r="K92" s="23" t="str">
        <f>_xlfn.CONCAT(Tbl_Loan2[[#This Row],[Year]],Tbl_Loan2[[#This Row],[Quarter]])</f>
        <v>2020III</v>
      </c>
      <c r="L92" s="25">
        <f t="shared" si="5"/>
        <v>87499.999999999782</v>
      </c>
      <c r="M92" s="25">
        <f>B$5*Tbl_Loan2[[#This Row],[Initial debt]]</f>
        <v>328.12499999999915</v>
      </c>
      <c r="N92" s="25">
        <f t="shared" si="6"/>
        <v>2916.6666666666665</v>
      </c>
      <c r="O92" s="25">
        <f>MAX(0,Tbl_Loan2[[#This Row],[Initial debt]]-Tbl_Loan2[[#This Row],[Redemption amount]])</f>
        <v>84583.33333333311</v>
      </c>
      <c r="P92" s="25">
        <f>Tbl_Loan2[[#This Row],[Interest amount]]+Tbl_Loan2[[#This Row],[Redemption amount]]</f>
        <v>3244.7916666666656</v>
      </c>
    </row>
    <row r="93" spans="4:16" x14ac:dyDescent="0.25">
      <c r="D93" t="str">
        <f>_xlfn.CONCAT(Tbl_Loan2[[#This Row],[Maandnummer ]],Tbl_Loan2[[#This Row],[Year]])</f>
        <v>82020</v>
      </c>
      <c r="E93" s="23">
        <f t="shared" si="7"/>
        <v>92</v>
      </c>
      <c r="F93" s="28">
        <v>44068</v>
      </c>
      <c r="G93" s="23">
        <f>MONTH(Tbl_Loan2[[#This Row],[Payment date]])</f>
        <v>8</v>
      </c>
      <c r="H93" s="23" t="str">
        <f>VLOOKUP(Tbl_Loan2[[#This Row],[Maandnummer ]],Tbl_Months[],2,FALSE)</f>
        <v>August</v>
      </c>
      <c r="I93" s="23" t="str">
        <f>VLOOKUP(Tbl_Loan2[[#This Row],[Maandnummer ]],Tbl_Months[],3,FALSE)</f>
        <v>III</v>
      </c>
      <c r="J93" s="23">
        <f>YEAR(Tbl_Loan2[[#This Row],[Payment date]])</f>
        <v>2020</v>
      </c>
      <c r="K93" s="23" t="str">
        <f>_xlfn.CONCAT(Tbl_Loan2[[#This Row],[Year]],Tbl_Loan2[[#This Row],[Quarter]])</f>
        <v>2020III</v>
      </c>
      <c r="L93" s="25">
        <f t="shared" si="5"/>
        <v>84583.33333333311</v>
      </c>
      <c r="M93" s="25">
        <f>B$5*Tbl_Loan2[[#This Row],[Initial debt]]</f>
        <v>317.18749999999915</v>
      </c>
      <c r="N93" s="25">
        <f t="shared" si="6"/>
        <v>2916.6666666666665</v>
      </c>
      <c r="O93" s="25">
        <f>MAX(0,Tbl_Loan2[[#This Row],[Initial debt]]-Tbl_Loan2[[#This Row],[Redemption amount]])</f>
        <v>81666.666666666439</v>
      </c>
      <c r="P93" s="25">
        <f>Tbl_Loan2[[#This Row],[Interest amount]]+Tbl_Loan2[[#This Row],[Redemption amount]]</f>
        <v>3233.8541666666656</v>
      </c>
    </row>
    <row r="94" spans="4:16" x14ac:dyDescent="0.25">
      <c r="D94" t="str">
        <f>_xlfn.CONCAT(Tbl_Loan2[[#This Row],[Maandnummer ]],Tbl_Loan2[[#This Row],[Year]])</f>
        <v>92020</v>
      </c>
      <c r="E94" s="23">
        <f t="shared" si="7"/>
        <v>93</v>
      </c>
      <c r="F94" s="28">
        <v>44099</v>
      </c>
      <c r="G94" s="23">
        <f>MONTH(Tbl_Loan2[[#This Row],[Payment date]])</f>
        <v>9</v>
      </c>
      <c r="H94" s="23" t="str">
        <f>VLOOKUP(Tbl_Loan2[[#This Row],[Maandnummer ]],Tbl_Months[],2,FALSE)</f>
        <v>September</v>
      </c>
      <c r="I94" s="23" t="str">
        <f>VLOOKUP(Tbl_Loan2[[#This Row],[Maandnummer ]],Tbl_Months[],3,FALSE)</f>
        <v>III</v>
      </c>
      <c r="J94" s="23">
        <f>YEAR(Tbl_Loan2[[#This Row],[Payment date]])</f>
        <v>2020</v>
      </c>
      <c r="K94" s="23" t="str">
        <f>_xlfn.CONCAT(Tbl_Loan2[[#This Row],[Year]],Tbl_Loan2[[#This Row],[Quarter]])</f>
        <v>2020III</v>
      </c>
      <c r="L94" s="25">
        <f t="shared" si="5"/>
        <v>81666.666666666439</v>
      </c>
      <c r="M94" s="25">
        <f>B$5*Tbl_Loan2[[#This Row],[Initial debt]]</f>
        <v>306.24999999999915</v>
      </c>
      <c r="N94" s="25">
        <f t="shared" si="6"/>
        <v>2916.6666666666665</v>
      </c>
      <c r="O94" s="25">
        <f>MAX(0,Tbl_Loan2[[#This Row],[Initial debt]]-Tbl_Loan2[[#This Row],[Redemption amount]])</f>
        <v>78749.999999999767</v>
      </c>
      <c r="P94" s="25">
        <f>Tbl_Loan2[[#This Row],[Interest amount]]+Tbl_Loan2[[#This Row],[Redemption amount]]</f>
        <v>3222.9166666666656</v>
      </c>
    </row>
    <row r="95" spans="4:16" x14ac:dyDescent="0.25">
      <c r="D95" t="str">
        <f>_xlfn.CONCAT(Tbl_Loan2[[#This Row],[Maandnummer ]],Tbl_Loan2[[#This Row],[Year]])</f>
        <v>102020</v>
      </c>
      <c r="E95" s="23">
        <f t="shared" si="7"/>
        <v>94</v>
      </c>
      <c r="F95" s="28">
        <v>44129</v>
      </c>
      <c r="G95" s="23">
        <f>MONTH(Tbl_Loan2[[#This Row],[Payment date]])</f>
        <v>10</v>
      </c>
      <c r="H95" s="23" t="str">
        <f>VLOOKUP(Tbl_Loan2[[#This Row],[Maandnummer ]],Tbl_Months[],2,FALSE)</f>
        <v>October</v>
      </c>
      <c r="I95" s="23" t="str">
        <f>VLOOKUP(Tbl_Loan2[[#This Row],[Maandnummer ]],Tbl_Months[],3,FALSE)</f>
        <v>IV</v>
      </c>
      <c r="J95" s="23">
        <f>YEAR(Tbl_Loan2[[#This Row],[Payment date]])</f>
        <v>2020</v>
      </c>
      <c r="K95" s="23" t="str">
        <f>_xlfn.CONCAT(Tbl_Loan2[[#This Row],[Year]],Tbl_Loan2[[#This Row],[Quarter]])</f>
        <v>2020IV</v>
      </c>
      <c r="L95" s="25">
        <f t="shared" si="5"/>
        <v>78749.999999999767</v>
      </c>
      <c r="M95" s="25">
        <f>B$5*Tbl_Loan2[[#This Row],[Initial debt]]</f>
        <v>295.31249999999909</v>
      </c>
      <c r="N95" s="25">
        <f t="shared" si="6"/>
        <v>2916.6666666666665</v>
      </c>
      <c r="O95" s="25">
        <f>MAX(0,Tbl_Loan2[[#This Row],[Initial debt]]-Tbl_Loan2[[#This Row],[Redemption amount]])</f>
        <v>75833.333333333096</v>
      </c>
      <c r="P95" s="25">
        <f>Tbl_Loan2[[#This Row],[Interest amount]]+Tbl_Loan2[[#This Row],[Redemption amount]]</f>
        <v>3211.9791666666656</v>
      </c>
    </row>
    <row r="96" spans="4:16" x14ac:dyDescent="0.25">
      <c r="D96" t="str">
        <f>_xlfn.CONCAT(Tbl_Loan2[[#This Row],[Maandnummer ]],Tbl_Loan2[[#This Row],[Year]])</f>
        <v>112020</v>
      </c>
      <c r="E96" s="23">
        <f t="shared" si="7"/>
        <v>95</v>
      </c>
      <c r="F96" s="28">
        <v>44160</v>
      </c>
      <c r="G96" s="23">
        <f>MONTH(Tbl_Loan2[[#This Row],[Payment date]])</f>
        <v>11</v>
      </c>
      <c r="H96" s="23" t="str">
        <f>VLOOKUP(Tbl_Loan2[[#This Row],[Maandnummer ]],Tbl_Months[],2,FALSE)</f>
        <v>November</v>
      </c>
      <c r="I96" s="23" t="str">
        <f>VLOOKUP(Tbl_Loan2[[#This Row],[Maandnummer ]],Tbl_Months[],3,FALSE)</f>
        <v>IV</v>
      </c>
      <c r="J96" s="23">
        <f>YEAR(Tbl_Loan2[[#This Row],[Payment date]])</f>
        <v>2020</v>
      </c>
      <c r="K96" s="23" t="str">
        <f>_xlfn.CONCAT(Tbl_Loan2[[#This Row],[Year]],Tbl_Loan2[[#This Row],[Quarter]])</f>
        <v>2020IV</v>
      </c>
      <c r="L96" s="25">
        <f t="shared" si="5"/>
        <v>75833.333333333096</v>
      </c>
      <c r="M96" s="25">
        <f>B$5*Tbl_Loan2[[#This Row],[Initial debt]]</f>
        <v>284.37499999999909</v>
      </c>
      <c r="N96" s="25">
        <f t="shared" si="6"/>
        <v>2916.6666666666665</v>
      </c>
      <c r="O96" s="25">
        <f>MAX(0,Tbl_Loan2[[#This Row],[Initial debt]]-Tbl_Loan2[[#This Row],[Redemption amount]])</f>
        <v>72916.666666666424</v>
      </c>
      <c r="P96" s="25">
        <f>Tbl_Loan2[[#This Row],[Interest amount]]+Tbl_Loan2[[#This Row],[Redemption amount]]</f>
        <v>3201.0416666666656</v>
      </c>
    </row>
    <row r="97" spans="4:16" x14ac:dyDescent="0.25">
      <c r="D97" t="str">
        <f>_xlfn.CONCAT(Tbl_Loan2[[#This Row],[Maandnummer ]],Tbl_Loan2[[#This Row],[Year]])</f>
        <v>122020</v>
      </c>
      <c r="E97" s="23">
        <f t="shared" si="7"/>
        <v>96</v>
      </c>
      <c r="F97" s="28">
        <v>44190</v>
      </c>
      <c r="G97" s="23">
        <f>MONTH(Tbl_Loan2[[#This Row],[Payment date]])</f>
        <v>12</v>
      </c>
      <c r="H97" s="23" t="str">
        <f>VLOOKUP(Tbl_Loan2[[#This Row],[Maandnummer ]],Tbl_Months[],2,FALSE)</f>
        <v>December</v>
      </c>
      <c r="I97" s="23" t="str">
        <f>VLOOKUP(Tbl_Loan2[[#This Row],[Maandnummer ]],Tbl_Months[],3,FALSE)</f>
        <v>IV</v>
      </c>
      <c r="J97" s="23">
        <f>YEAR(Tbl_Loan2[[#This Row],[Payment date]])</f>
        <v>2020</v>
      </c>
      <c r="K97" s="23" t="str">
        <f>_xlfn.CONCAT(Tbl_Loan2[[#This Row],[Year]],Tbl_Loan2[[#This Row],[Quarter]])</f>
        <v>2020IV</v>
      </c>
      <c r="L97" s="25">
        <f t="shared" si="5"/>
        <v>72916.666666666424</v>
      </c>
      <c r="M97" s="25">
        <f>B$5*Tbl_Loan2[[#This Row],[Initial debt]]</f>
        <v>273.43749999999909</v>
      </c>
      <c r="N97" s="25">
        <f t="shared" si="6"/>
        <v>2916.6666666666665</v>
      </c>
      <c r="O97" s="25">
        <f>MAX(0,Tbl_Loan2[[#This Row],[Initial debt]]-Tbl_Loan2[[#This Row],[Redemption amount]])</f>
        <v>69999.999999999753</v>
      </c>
      <c r="P97" s="25">
        <f>Tbl_Loan2[[#This Row],[Interest amount]]+Tbl_Loan2[[#This Row],[Redemption amount]]</f>
        <v>3190.1041666666656</v>
      </c>
    </row>
    <row r="98" spans="4:16" x14ac:dyDescent="0.25">
      <c r="D98" t="str">
        <f>_xlfn.CONCAT(Tbl_Loan2[[#This Row],[Maandnummer ]],Tbl_Loan2[[#This Row],[Year]])</f>
        <v>12021</v>
      </c>
      <c r="E98" s="23">
        <f t="shared" si="7"/>
        <v>97</v>
      </c>
      <c r="F98" s="28">
        <v>44221</v>
      </c>
      <c r="G98" s="23">
        <f>MONTH(Tbl_Loan2[[#This Row],[Payment date]])</f>
        <v>1</v>
      </c>
      <c r="H98" s="23" t="str">
        <f>VLOOKUP(Tbl_Loan2[[#This Row],[Maandnummer ]],Tbl_Months[],2,FALSE)</f>
        <v>January</v>
      </c>
      <c r="I98" s="23" t="str">
        <f>VLOOKUP(Tbl_Loan2[[#This Row],[Maandnummer ]],Tbl_Months[],3,FALSE)</f>
        <v>I</v>
      </c>
      <c r="J98" s="23">
        <f>YEAR(Tbl_Loan2[[#This Row],[Payment date]])</f>
        <v>2021</v>
      </c>
      <c r="K98" s="23" t="str">
        <f>_xlfn.CONCAT(Tbl_Loan2[[#This Row],[Year]],Tbl_Loan2[[#This Row],[Quarter]])</f>
        <v>2021I</v>
      </c>
      <c r="L98" s="25">
        <f t="shared" ref="L98:L121" si="8">IF(O97="Residual debt",B$1,O97)</f>
        <v>69999.999999999753</v>
      </c>
      <c r="M98" s="25">
        <f>B$5*Tbl_Loan2[[#This Row],[Initial debt]]</f>
        <v>262.49999999999909</v>
      </c>
      <c r="N98" s="25">
        <f t="shared" ref="N98:N121" si="9">B$8</f>
        <v>2916.6666666666665</v>
      </c>
      <c r="O98" s="25">
        <f>MAX(0,Tbl_Loan2[[#This Row],[Initial debt]]-Tbl_Loan2[[#This Row],[Redemption amount]])</f>
        <v>67083.333333333081</v>
      </c>
      <c r="P98" s="25">
        <f>Tbl_Loan2[[#This Row],[Interest amount]]+Tbl_Loan2[[#This Row],[Redemption amount]]</f>
        <v>3179.1666666666656</v>
      </c>
    </row>
    <row r="99" spans="4:16" x14ac:dyDescent="0.25">
      <c r="D99" t="str">
        <f>_xlfn.CONCAT(Tbl_Loan2[[#This Row],[Maandnummer ]],Tbl_Loan2[[#This Row],[Year]])</f>
        <v>22021</v>
      </c>
      <c r="E99" s="23">
        <f t="shared" si="7"/>
        <v>98</v>
      </c>
      <c r="F99" s="28">
        <v>44252</v>
      </c>
      <c r="G99" s="23">
        <f>MONTH(Tbl_Loan2[[#This Row],[Payment date]])</f>
        <v>2</v>
      </c>
      <c r="H99" s="23" t="str">
        <f>VLOOKUP(Tbl_Loan2[[#This Row],[Maandnummer ]],Tbl_Months[],2,FALSE)</f>
        <v>February</v>
      </c>
      <c r="I99" s="23" t="str">
        <f>VLOOKUP(Tbl_Loan2[[#This Row],[Maandnummer ]],Tbl_Months[],3,FALSE)</f>
        <v>I</v>
      </c>
      <c r="J99" s="23">
        <f>YEAR(Tbl_Loan2[[#This Row],[Payment date]])</f>
        <v>2021</v>
      </c>
      <c r="K99" s="23" t="str">
        <f>_xlfn.CONCAT(Tbl_Loan2[[#This Row],[Year]],Tbl_Loan2[[#This Row],[Quarter]])</f>
        <v>2021I</v>
      </c>
      <c r="L99" s="25">
        <f t="shared" si="8"/>
        <v>67083.333333333081</v>
      </c>
      <c r="M99" s="25">
        <f>B$5*Tbl_Loan2[[#This Row],[Initial debt]]</f>
        <v>251.56249999999903</v>
      </c>
      <c r="N99" s="25">
        <f t="shared" si="9"/>
        <v>2916.6666666666665</v>
      </c>
      <c r="O99" s="25">
        <f>MAX(0,Tbl_Loan2[[#This Row],[Initial debt]]-Tbl_Loan2[[#This Row],[Redemption amount]])</f>
        <v>64166.666666666417</v>
      </c>
      <c r="P99" s="25">
        <f>Tbl_Loan2[[#This Row],[Interest amount]]+Tbl_Loan2[[#This Row],[Redemption amount]]</f>
        <v>3168.2291666666656</v>
      </c>
    </row>
    <row r="100" spans="4:16" x14ac:dyDescent="0.25">
      <c r="D100" t="str">
        <f>_xlfn.CONCAT(Tbl_Loan2[[#This Row],[Maandnummer ]],Tbl_Loan2[[#This Row],[Year]])</f>
        <v>32021</v>
      </c>
      <c r="E100" s="23">
        <f t="shared" si="7"/>
        <v>99</v>
      </c>
      <c r="F100" s="28">
        <v>44280</v>
      </c>
      <c r="G100" s="23">
        <f>MONTH(Tbl_Loan2[[#This Row],[Payment date]])</f>
        <v>3</v>
      </c>
      <c r="H100" s="23" t="str">
        <f>VLOOKUP(Tbl_Loan2[[#This Row],[Maandnummer ]],Tbl_Months[],2,FALSE)</f>
        <v>March</v>
      </c>
      <c r="I100" s="23" t="str">
        <f>VLOOKUP(Tbl_Loan2[[#This Row],[Maandnummer ]],Tbl_Months[],3,FALSE)</f>
        <v>I</v>
      </c>
      <c r="J100" s="23">
        <f>YEAR(Tbl_Loan2[[#This Row],[Payment date]])</f>
        <v>2021</v>
      </c>
      <c r="K100" s="23" t="str">
        <f>_xlfn.CONCAT(Tbl_Loan2[[#This Row],[Year]],Tbl_Loan2[[#This Row],[Quarter]])</f>
        <v>2021I</v>
      </c>
      <c r="L100" s="25">
        <f t="shared" si="8"/>
        <v>64166.666666666417</v>
      </c>
      <c r="M100" s="25">
        <f>B$5*Tbl_Loan2[[#This Row],[Initial debt]]</f>
        <v>240.62499999999906</v>
      </c>
      <c r="N100" s="25">
        <f t="shared" si="9"/>
        <v>2916.6666666666665</v>
      </c>
      <c r="O100" s="25">
        <f>MAX(0,Tbl_Loan2[[#This Row],[Initial debt]]-Tbl_Loan2[[#This Row],[Redemption amount]])</f>
        <v>61249.999999999753</v>
      </c>
      <c r="P100" s="25">
        <f>Tbl_Loan2[[#This Row],[Interest amount]]+Tbl_Loan2[[#This Row],[Redemption amount]]</f>
        <v>3157.2916666666656</v>
      </c>
    </row>
    <row r="101" spans="4:16" x14ac:dyDescent="0.25">
      <c r="D101" t="str">
        <f>_xlfn.CONCAT(Tbl_Loan2[[#This Row],[Maandnummer ]],Tbl_Loan2[[#This Row],[Year]])</f>
        <v>42021</v>
      </c>
      <c r="E101" s="23">
        <f t="shared" si="7"/>
        <v>100</v>
      </c>
      <c r="F101" s="28">
        <v>44311</v>
      </c>
      <c r="G101" s="23">
        <f>MONTH(Tbl_Loan2[[#This Row],[Payment date]])</f>
        <v>4</v>
      </c>
      <c r="H101" s="23" t="str">
        <f>VLOOKUP(Tbl_Loan2[[#This Row],[Maandnummer ]],Tbl_Months[],2,FALSE)</f>
        <v>April</v>
      </c>
      <c r="I101" s="23" t="str">
        <f>VLOOKUP(Tbl_Loan2[[#This Row],[Maandnummer ]],Tbl_Months[],3,FALSE)</f>
        <v>II</v>
      </c>
      <c r="J101" s="23">
        <f>YEAR(Tbl_Loan2[[#This Row],[Payment date]])</f>
        <v>2021</v>
      </c>
      <c r="K101" s="23" t="str">
        <f>_xlfn.CONCAT(Tbl_Loan2[[#This Row],[Year]],Tbl_Loan2[[#This Row],[Quarter]])</f>
        <v>2021II</v>
      </c>
      <c r="L101" s="25">
        <f t="shared" si="8"/>
        <v>61249.999999999753</v>
      </c>
      <c r="M101" s="25">
        <f>B$5*Tbl_Loan2[[#This Row],[Initial debt]]</f>
        <v>229.68749999999906</v>
      </c>
      <c r="N101" s="25">
        <f t="shared" si="9"/>
        <v>2916.6666666666665</v>
      </c>
      <c r="O101" s="25">
        <f>MAX(0,Tbl_Loan2[[#This Row],[Initial debt]]-Tbl_Loan2[[#This Row],[Redemption amount]])</f>
        <v>58333.333333333088</v>
      </c>
      <c r="P101" s="25">
        <f>Tbl_Loan2[[#This Row],[Interest amount]]+Tbl_Loan2[[#This Row],[Redemption amount]]</f>
        <v>3146.3541666666656</v>
      </c>
    </row>
    <row r="102" spans="4:16" x14ac:dyDescent="0.25">
      <c r="D102" t="str">
        <f>_xlfn.CONCAT(Tbl_Loan2[[#This Row],[Maandnummer ]],Tbl_Loan2[[#This Row],[Year]])</f>
        <v>52021</v>
      </c>
      <c r="E102" s="23">
        <f t="shared" si="7"/>
        <v>101</v>
      </c>
      <c r="F102" s="28">
        <v>44341</v>
      </c>
      <c r="G102" s="23">
        <f>MONTH(Tbl_Loan2[[#This Row],[Payment date]])</f>
        <v>5</v>
      </c>
      <c r="H102" s="23" t="str">
        <f>VLOOKUP(Tbl_Loan2[[#This Row],[Maandnummer ]],Tbl_Months[],2,FALSE)</f>
        <v>May</v>
      </c>
      <c r="I102" s="23" t="str">
        <f>VLOOKUP(Tbl_Loan2[[#This Row],[Maandnummer ]],Tbl_Months[],3,FALSE)</f>
        <v>II</v>
      </c>
      <c r="J102" s="23">
        <f>YEAR(Tbl_Loan2[[#This Row],[Payment date]])</f>
        <v>2021</v>
      </c>
      <c r="K102" s="23" t="str">
        <f>_xlfn.CONCAT(Tbl_Loan2[[#This Row],[Year]],Tbl_Loan2[[#This Row],[Quarter]])</f>
        <v>2021II</v>
      </c>
      <c r="L102" s="25">
        <f t="shared" si="8"/>
        <v>58333.333333333088</v>
      </c>
      <c r="M102" s="25">
        <f>B$5*Tbl_Loan2[[#This Row],[Initial debt]]</f>
        <v>218.74999999999906</v>
      </c>
      <c r="N102" s="25">
        <f t="shared" si="9"/>
        <v>2916.6666666666665</v>
      </c>
      <c r="O102" s="25">
        <f>MAX(0,Tbl_Loan2[[#This Row],[Initial debt]]-Tbl_Loan2[[#This Row],[Redemption amount]])</f>
        <v>55416.666666666424</v>
      </c>
      <c r="P102" s="25">
        <f>Tbl_Loan2[[#This Row],[Interest amount]]+Tbl_Loan2[[#This Row],[Redemption amount]]</f>
        <v>3135.4166666666656</v>
      </c>
    </row>
    <row r="103" spans="4:16" x14ac:dyDescent="0.25">
      <c r="D103" t="str">
        <f>_xlfn.CONCAT(Tbl_Loan2[[#This Row],[Maandnummer ]],Tbl_Loan2[[#This Row],[Year]])</f>
        <v>62021</v>
      </c>
      <c r="E103" s="23">
        <f t="shared" si="7"/>
        <v>102</v>
      </c>
      <c r="F103" s="28">
        <v>44372</v>
      </c>
      <c r="G103" s="23">
        <f>MONTH(Tbl_Loan2[[#This Row],[Payment date]])</f>
        <v>6</v>
      </c>
      <c r="H103" s="23" t="str">
        <f>VLOOKUP(Tbl_Loan2[[#This Row],[Maandnummer ]],Tbl_Months[],2,FALSE)</f>
        <v>June</v>
      </c>
      <c r="I103" s="23" t="str">
        <f>VLOOKUP(Tbl_Loan2[[#This Row],[Maandnummer ]],Tbl_Months[],3,FALSE)</f>
        <v>II</v>
      </c>
      <c r="J103" s="23">
        <f>YEAR(Tbl_Loan2[[#This Row],[Payment date]])</f>
        <v>2021</v>
      </c>
      <c r="K103" s="23" t="str">
        <f>_xlfn.CONCAT(Tbl_Loan2[[#This Row],[Year]],Tbl_Loan2[[#This Row],[Quarter]])</f>
        <v>2021II</v>
      </c>
      <c r="L103" s="25">
        <f t="shared" si="8"/>
        <v>55416.666666666424</v>
      </c>
      <c r="M103" s="25">
        <f>B$5*Tbl_Loan2[[#This Row],[Initial debt]]</f>
        <v>207.81249999999909</v>
      </c>
      <c r="N103" s="25">
        <f t="shared" si="9"/>
        <v>2916.6666666666665</v>
      </c>
      <c r="O103" s="25">
        <f>MAX(0,Tbl_Loan2[[#This Row],[Initial debt]]-Tbl_Loan2[[#This Row],[Redemption amount]])</f>
        <v>52499.99999999976</v>
      </c>
      <c r="P103" s="25">
        <f>Tbl_Loan2[[#This Row],[Interest amount]]+Tbl_Loan2[[#This Row],[Redemption amount]]</f>
        <v>3124.4791666666656</v>
      </c>
    </row>
    <row r="104" spans="4:16" x14ac:dyDescent="0.25">
      <c r="D104" t="str">
        <f>_xlfn.CONCAT(Tbl_Loan2[[#This Row],[Maandnummer ]],Tbl_Loan2[[#This Row],[Year]])</f>
        <v>72021</v>
      </c>
      <c r="E104" s="23">
        <f t="shared" si="7"/>
        <v>103</v>
      </c>
      <c r="F104" s="28">
        <v>44402</v>
      </c>
      <c r="G104" s="23">
        <f>MONTH(Tbl_Loan2[[#This Row],[Payment date]])</f>
        <v>7</v>
      </c>
      <c r="H104" s="23" t="str">
        <f>VLOOKUP(Tbl_Loan2[[#This Row],[Maandnummer ]],Tbl_Months[],2,FALSE)</f>
        <v>July</v>
      </c>
      <c r="I104" s="23" t="str">
        <f>VLOOKUP(Tbl_Loan2[[#This Row],[Maandnummer ]],Tbl_Months[],3,FALSE)</f>
        <v>III</v>
      </c>
      <c r="J104" s="23">
        <f>YEAR(Tbl_Loan2[[#This Row],[Payment date]])</f>
        <v>2021</v>
      </c>
      <c r="K104" s="23" t="str">
        <f>_xlfn.CONCAT(Tbl_Loan2[[#This Row],[Year]],Tbl_Loan2[[#This Row],[Quarter]])</f>
        <v>2021III</v>
      </c>
      <c r="L104" s="25">
        <f t="shared" si="8"/>
        <v>52499.99999999976</v>
      </c>
      <c r="M104" s="25">
        <f>B$5*Tbl_Loan2[[#This Row],[Initial debt]]</f>
        <v>196.87499999999909</v>
      </c>
      <c r="N104" s="25">
        <f t="shared" si="9"/>
        <v>2916.6666666666665</v>
      </c>
      <c r="O104" s="25">
        <f>MAX(0,Tbl_Loan2[[#This Row],[Initial debt]]-Tbl_Loan2[[#This Row],[Redemption amount]])</f>
        <v>49583.333333333096</v>
      </c>
      <c r="P104" s="25">
        <f>Tbl_Loan2[[#This Row],[Interest amount]]+Tbl_Loan2[[#This Row],[Redemption amount]]</f>
        <v>3113.5416666666656</v>
      </c>
    </row>
    <row r="105" spans="4:16" x14ac:dyDescent="0.25">
      <c r="D105" t="str">
        <f>_xlfn.CONCAT(Tbl_Loan2[[#This Row],[Maandnummer ]],Tbl_Loan2[[#This Row],[Year]])</f>
        <v>82021</v>
      </c>
      <c r="E105" s="23">
        <f t="shared" si="7"/>
        <v>104</v>
      </c>
      <c r="F105" s="28">
        <v>44433</v>
      </c>
      <c r="G105" s="23">
        <f>MONTH(Tbl_Loan2[[#This Row],[Payment date]])</f>
        <v>8</v>
      </c>
      <c r="H105" s="23" t="str">
        <f>VLOOKUP(Tbl_Loan2[[#This Row],[Maandnummer ]],Tbl_Months[],2,FALSE)</f>
        <v>August</v>
      </c>
      <c r="I105" s="23" t="str">
        <f>VLOOKUP(Tbl_Loan2[[#This Row],[Maandnummer ]],Tbl_Months[],3,FALSE)</f>
        <v>III</v>
      </c>
      <c r="J105" s="23">
        <f>YEAR(Tbl_Loan2[[#This Row],[Payment date]])</f>
        <v>2021</v>
      </c>
      <c r="K105" s="23" t="str">
        <f>_xlfn.CONCAT(Tbl_Loan2[[#This Row],[Year]],Tbl_Loan2[[#This Row],[Quarter]])</f>
        <v>2021III</v>
      </c>
      <c r="L105" s="25">
        <f t="shared" si="8"/>
        <v>49583.333333333096</v>
      </c>
      <c r="M105" s="25">
        <f>B$5*Tbl_Loan2[[#This Row],[Initial debt]]</f>
        <v>185.93749999999909</v>
      </c>
      <c r="N105" s="25">
        <f t="shared" si="9"/>
        <v>2916.6666666666665</v>
      </c>
      <c r="O105" s="25">
        <f>MAX(0,Tbl_Loan2[[#This Row],[Initial debt]]-Tbl_Loan2[[#This Row],[Redemption amount]])</f>
        <v>46666.666666666431</v>
      </c>
      <c r="P105" s="25">
        <f>Tbl_Loan2[[#This Row],[Interest amount]]+Tbl_Loan2[[#This Row],[Redemption amount]]</f>
        <v>3102.6041666666656</v>
      </c>
    </row>
    <row r="106" spans="4:16" s="104" customFormat="1" x14ac:dyDescent="0.25">
      <c r="D106" s="104" t="str">
        <f>_xlfn.CONCAT(Tbl_Loan2[[#This Row],[Maandnummer ]],Tbl_Loan2[[#This Row],[Year]])</f>
        <v>92021</v>
      </c>
      <c r="E106" s="105">
        <f t="shared" si="7"/>
        <v>105</v>
      </c>
      <c r="F106" s="106">
        <v>44464</v>
      </c>
      <c r="G106" s="105">
        <f>MONTH(Tbl_Loan2[[#This Row],[Payment date]])</f>
        <v>9</v>
      </c>
      <c r="H106" s="105" t="str">
        <f>VLOOKUP(Tbl_Loan2[[#This Row],[Maandnummer ]],Tbl_Months[],2,FALSE)</f>
        <v>September</v>
      </c>
      <c r="I106" s="105" t="str">
        <f>VLOOKUP(Tbl_Loan2[[#This Row],[Maandnummer ]],Tbl_Months[],3,FALSE)</f>
        <v>III</v>
      </c>
      <c r="J106" s="105">
        <f>YEAR(Tbl_Loan2[[#This Row],[Payment date]])</f>
        <v>2021</v>
      </c>
      <c r="K106" s="105" t="str">
        <f>_xlfn.CONCAT(Tbl_Loan2[[#This Row],[Year]],Tbl_Loan2[[#This Row],[Quarter]])</f>
        <v>2021III</v>
      </c>
      <c r="L106" s="107">
        <f t="shared" si="8"/>
        <v>46666.666666666431</v>
      </c>
      <c r="M106" s="107">
        <f>B$5*Tbl_Loan2[[#This Row],[Initial debt]]</f>
        <v>174.99999999999912</v>
      </c>
      <c r="N106" s="107">
        <f t="shared" si="9"/>
        <v>2916.6666666666665</v>
      </c>
      <c r="O106" s="107">
        <f>MAX(0,Tbl_Loan2[[#This Row],[Initial debt]]-Tbl_Loan2[[#This Row],[Redemption amount]])</f>
        <v>43749.999999999767</v>
      </c>
      <c r="P106" s="107">
        <f>Tbl_Loan2[[#This Row],[Interest amount]]+Tbl_Loan2[[#This Row],[Redemption amount]]</f>
        <v>3091.6666666666656</v>
      </c>
    </row>
    <row r="107" spans="4:16" x14ac:dyDescent="0.25">
      <c r="D107" t="str">
        <f>_xlfn.CONCAT(Tbl_Loan2[[#This Row],[Maandnummer ]],Tbl_Loan2[[#This Row],[Year]])</f>
        <v>102021</v>
      </c>
      <c r="E107" s="23">
        <f t="shared" si="7"/>
        <v>106</v>
      </c>
      <c r="F107" s="28">
        <v>44494</v>
      </c>
      <c r="G107" s="23">
        <f>MONTH(Tbl_Loan2[[#This Row],[Payment date]])</f>
        <v>10</v>
      </c>
      <c r="H107" s="23" t="str">
        <f>VLOOKUP(Tbl_Loan2[[#This Row],[Maandnummer ]],Tbl_Months[],2,FALSE)</f>
        <v>October</v>
      </c>
      <c r="I107" s="23" t="str">
        <f>VLOOKUP(Tbl_Loan2[[#This Row],[Maandnummer ]],Tbl_Months[],3,FALSE)</f>
        <v>IV</v>
      </c>
      <c r="J107" s="23">
        <f>YEAR(Tbl_Loan2[[#This Row],[Payment date]])</f>
        <v>2021</v>
      </c>
      <c r="K107" s="23" t="str">
        <f>_xlfn.CONCAT(Tbl_Loan2[[#This Row],[Year]],Tbl_Loan2[[#This Row],[Quarter]])</f>
        <v>2021IV</v>
      </c>
      <c r="L107" s="25">
        <f t="shared" si="8"/>
        <v>43749.999999999767</v>
      </c>
      <c r="M107" s="25">
        <f>B$5*Tbl_Loan2[[#This Row],[Initial debt]]</f>
        <v>164.06249999999912</v>
      </c>
      <c r="N107" s="25">
        <f t="shared" si="9"/>
        <v>2916.6666666666665</v>
      </c>
      <c r="O107" s="25">
        <f>MAX(0,Tbl_Loan2[[#This Row],[Initial debt]]-Tbl_Loan2[[#This Row],[Redemption amount]])</f>
        <v>40833.333333333103</v>
      </c>
      <c r="P107" s="112">
        <f>Tbl_Loan2[[#This Row],[Interest amount]]+Tbl_Loan2[[#This Row],[Redemption amount]]</f>
        <v>3080.7291666666656</v>
      </c>
    </row>
    <row r="108" spans="4:16" x14ac:dyDescent="0.25">
      <c r="D108" t="str">
        <f>_xlfn.CONCAT(Tbl_Loan2[[#This Row],[Maandnummer ]],Tbl_Loan2[[#This Row],[Year]])</f>
        <v>112021</v>
      </c>
      <c r="E108" s="23">
        <f t="shared" si="7"/>
        <v>107</v>
      </c>
      <c r="F108" s="28">
        <v>44525</v>
      </c>
      <c r="G108" s="23">
        <f>MONTH(Tbl_Loan2[[#This Row],[Payment date]])</f>
        <v>11</v>
      </c>
      <c r="H108" s="23" t="str">
        <f>VLOOKUP(Tbl_Loan2[[#This Row],[Maandnummer ]],Tbl_Months[],2,FALSE)</f>
        <v>November</v>
      </c>
      <c r="I108" s="23" t="str">
        <f>VLOOKUP(Tbl_Loan2[[#This Row],[Maandnummer ]],Tbl_Months[],3,FALSE)</f>
        <v>IV</v>
      </c>
      <c r="J108" s="23">
        <f>YEAR(Tbl_Loan2[[#This Row],[Payment date]])</f>
        <v>2021</v>
      </c>
      <c r="K108" s="23" t="str">
        <f>_xlfn.CONCAT(Tbl_Loan2[[#This Row],[Year]],Tbl_Loan2[[#This Row],[Quarter]])</f>
        <v>2021IV</v>
      </c>
      <c r="L108" s="25">
        <f t="shared" si="8"/>
        <v>40833.333333333103</v>
      </c>
      <c r="M108" s="25">
        <f>B$5*Tbl_Loan2[[#This Row],[Initial debt]]</f>
        <v>153.12499999999912</v>
      </c>
      <c r="N108" s="25">
        <f t="shared" si="9"/>
        <v>2916.6666666666665</v>
      </c>
      <c r="O108" s="25">
        <f>MAX(0,Tbl_Loan2[[#This Row],[Initial debt]]-Tbl_Loan2[[#This Row],[Redemption amount]])</f>
        <v>37916.666666666439</v>
      </c>
      <c r="P108" s="112">
        <f>Tbl_Loan2[[#This Row],[Interest amount]]+Tbl_Loan2[[#This Row],[Redemption amount]]</f>
        <v>3069.7916666666656</v>
      </c>
    </row>
    <row r="109" spans="4:16" x14ac:dyDescent="0.25">
      <c r="D109" t="str">
        <f>_xlfn.CONCAT(Tbl_Loan2[[#This Row],[Maandnummer ]],Tbl_Loan2[[#This Row],[Year]])</f>
        <v>122021</v>
      </c>
      <c r="E109" s="23">
        <f t="shared" si="7"/>
        <v>108</v>
      </c>
      <c r="F109" s="28">
        <v>44555</v>
      </c>
      <c r="G109" s="23">
        <f>MONTH(Tbl_Loan2[[#This Row],[Payment date]])</f>
        <v>12</v>
      </c>
      <c r="H109" s="23" t="str">
        <f>VLOOKUP(Tbl_Loan2[[#This Row],[Maandnummer ]],Tbl_Months[],2,FALSE)</f>
        <v>December</v>
      </c>
      <c r="I109" s="23" t="str">
        <f>VLOOKUP(Tbl_Loan2[[#This Row],[Maandnummer ]],Tbl_Months[],3,FALSE)</f>
        <v>IV</v>
      </c>
      <c r="J109" s="23">
        <f>YEAR(Tbl_Loan2[[#This Row],[Payment date]])</f>
        <v>2021</v>
      </c>
      <c r="K109" s="23" t="str">
        <f>_xlfn.CONCAT(Tbl_Loan2[[#This Row],[Year]],Tbl_Loan2[[#This Row],[Quarter]])</f>
        <v>2021IV</v>
      </c>
      <c r="L109" s="25">
        <f t="shared" si="8"/>
        <v>37916.666666666439</v>
      </c>
      <c r="M109" s="25">
        <f>B$5*Tbl_Loan2[[#This Row],[Initial debt]]</f>
        <v>142.18749999999915</v>
      </c>
      <c r="N109" s="25">
        <f t="shared" si="9"/>
        <v>2916.6666666666665</v>
      </c>
      <c r="O109" s="25">
        <f>MAX(0,Tbl_Loan2[[#This Row],[Initial debt]]-Tbl_Loan2[[#This Row],[Redemption amount]])</f>
        <v>34999.999999999774</v>
      </c>
      <c r="P109" s="112">
        <f>Tbl_Loan2[[#This Row],[Interest amount]]+Tbl_Loan2[[#This Row],[Redemption amount]]</f>
        <v>3058.8541666666656</v>
      </c>
    </row>
    <row r="110" spans="4:16" x14ac:dyDescent="0.25">
      <c r="D110" t="str">
        <f>_xlfn.CONCAT(Tbl_Loan2[[#This Row],[Maandnummer ]],Tbl_Loan2[[#This Row],[Year]])</f>
        <v>12022</v>
      </c>
      <c r="E110" s="23">
        <f t="shared" si="7"/>
        <v>109</v>
      </c>
      <c r="F110" s="28">
        <v>44586</v>
      </c>
      <c r="G110" s="23">
        <f>MONTH(Tbl_Loan2[[#This Row],[Payment date]])</f>
        <v>1</v>
      </c>
      <c r="H110" s="23" t="str">
        <f>VLOOKUP(Tbl_Loan2[[#This Row],[Maandnummer ]],Tbl_Months[],2,FALSE)</f>
        <v>January</v>
      </c>
      <c r="I110" s="23" t="str">
        <f>VLOOKUP(Tbl_Loan2[[#This Row],[Maandnummer ]],Tbl_Months[],3,FALSE)</f>
        <v>I</v>
      </c>
      <c r="J110" s="23">
        <f>YEAR(Tbl_Loan2[[#This Row],[Payment date]])</f>
        <v>2022</v>
      </c>
      <c r="K110" s="23" t="str">
        <f>_xlfn.CONCAT(Tbl_Loan2[[#This Row],[Year]],Tbl_Loan2[[#This Row],[Quarter]])</f>
        <v>2022I</v>
      </c>
      <c r="L110" s="25">
        <f t="shared" si="8"/>
        <v>34999.999999999774</v>
      </c>
      <c r="M110" s="25">
        <f>B$5*Tbl_Loan2[[#This Row],[Initial debt]]</f>
        <v>131.24999999999915</v>
      </c>
      <c r="N110" s="25">
        <f t="shared" si="9"/>
        <v>2916.6666666666665</v>
      </c>
      <c r="O110" s="25">
        <f>MAX(0,Tbl_Loan2[[#This Row],[Initial debt]]-Tbl_Loan2[[#This Row],[Redemption amount]])</f>
        <v>32083.333333333107</v>
      </c>
      <c r="P110" s="25">
        <f>Tbl_Loan2[[#This Row],[Interest amount]]+Tbl_Loan2[[#This Row],[Redemption amount]]</f>
        <v>3047.9166666666656</v>
      </c>
    </row>
    <row r="111" spans="4:16" x14ac:dyDescent="0.25">
      <c r="D111" t="str">
        <f>_xlfn.CONCAT(Tbl_Loan2[[#This Row],[Maandnummer ]],Tbl_Loan2[[#This Row],[Year]])</f>
        <v>22022</v>
      </c>
      <c r="E111" s="23">
        <f t="shared" si="7"/>
        <v>110</v>
      </c>
      <c r="F111" s="28">
        <v>44617</v>
      </c>
      <c r="G111" s="23">
        <f>MONTH(Tbl_Loan2[[#This Row],[Payment date]])</f>
        <v>2</v>
      </c>
      <c r="H111" s="23" t="str">
        <f>VLOOKUP(Tbl_Loan2[[#This Row],[Maandnummer ]],Tbl_Months[],2,FALSE)</f>
        <v>February</v>
      </c>
      <c r="I111" s="23" t="str">
        <f>VLOOKUP(Tbl_Loan2[[#This Row],[Maandnummer ]],Tbl_Months[],3,FALSE)</f>
        <v>I</v>
      </c>
      <c r="J111" s="23">
        <f>YEAR(Tbl_Loan2[[#This Row],[Payment date]])</f>
        <v>2022</v>
      </c>
      <c r="K111" s="23" t="str">
        <f>_xlfn.CONCAT(Tbl_Loan2[[#This Row],[Year]],Tbl_Loan2[[#This Row],[Quarter]])</f>
        <v>2022I</v>
      </c>
      <c r="L111" s="25">
        <f t="shared" si="8"/>
        <v>32083.333333333107</v>
      </c>
      <c r="M111" s="25">
        <f>B$5*Tbl_Loan2[[#This Row],[Initial debt]]</f>
        <v>120.31249999999915</v>
      </c>
      <c r="N111" s="25">
        <f t="shared" si="9"/>
        <v>2916.6666666666665</v>
      </c>
      <c r="O111" s="25">
        <f>MAX(0,Tbl_Loan2[[#This Row],[Initial debt]]-Tbl_Loan2[[#This Row],[Redemption amount]])</f>
        <v>29166.666666666439</v>
      </c>
      <c r="P111" s="25">
        <f>Tbl_Loan2[[#This Row],[Interest amount]]+Tbl_Loan2[[#This Row],[Redemption amount]]</f>
        <v>3036.9791666666656</v>
      </c>
    </row>
    <row r="112" spans="4:16" x14ac:dyDescent="0.25">
      <c r="D112" t="str">
        <f>_xlfn.CONCAT(Tbl_Loan2[[#This Row],[Maandnummer ]],Tbl_Loan2[[#This Row],[Year]])</f>
        <v>32022</v>
      </c>
      <c r="E112" s="23">
        <f t="shared" si="7"/>
        <v>111</v>
      </c>
      <c r="F112" s="28">
        <v>44645</v>
      </c>
      <c r="G112" s="23">
        <f>MONTH(Tbl_Loan2[[#This Row],[Payment date]])</f>
        <v>3</v>
      </c>
      <c r="H112" s="23" t="str">
        <f>VLOOKUP(Tbl_Loan2[[#This Row],[Maandnummer ]],Tbl_Months[],2,FALSE)</f>
        <v>March</v>
      </c>
      <c r="I112" s="23" t="str">
        <f>VLOOKUP(Tbl_Loan2[[#This Row],[Maandnummer ]],Tbl_Months[],3,FALSE)</f>
        <v>I</v>
      </c>
      <c r="J112" s="23">
        <f>YEAR(Tbl_Loan2[[#This Row],[Payment date]])</f>
        <v>2022</v>
      </c>
      <c r="K112" s="23" t="str">
        <f>_xlfn.CONCAT(Tbl_Loan2[[#This Row],[Year]],Tbl_Loan2[[#This Row],[Quarter]])</f>
        <v>2022I</v>
      </c>
      <c r="L112" s="25">
        <f t="shared" si="8"/>
        <v>29166.666666666439</v>
      </c>
      <c r="M112" s="25">
        <f>B$5*Tbl_Loan2[[#This Row],[Initial debt]]</f>
        <v>109.37499999999915</v>
      </c>
      <c r="N112" s="25">
        <f t="shared" si="9"/>
        <v>2916.6666666666665</v>
      </c>
      <c r="O112" s="25">
        <f>MAX(0,Tbl_Loan2[[#This Row],[Initial debt]]-Tbl_Loan2[[#This Row],[Redemption amount]])</f>
        <v>26249.999999999771</v>
      </c>
      <c r="P112" s="25">
        <f>Tbl_Loan2[[#This Row],[Interest amount]]+Tbl_Loan2[[#This Row],[Redemption amount]]</f>
        <v>3026.0416666666656</v>
      </c>
    </row>
    <row r="113" spans="4:16" x14ac:dyDescent="0.25">
      <c r="D113" t="str">
        <f>_xlfn.CONCAT(Tbl_Loan2[[#This Row],[Maandnummer ]],Tbl_Loan2[[#This Row],[Year]])</f>
        <v>42022</v>
      </c>
      <c r="E113" s="23">
        <f t="shared" si="7"/>
        <v>112</v>
      </c>
      <c r="F113" s="28">
        <v>44676</v>
      </c>
      <c r="G113" s="23">
        <f>MONTH(Tbl_Loan2[[#This Row],[Payment date]])</f>
        <v>4</v>
      </c>
      <c r="H113" s="23" t="str">
        <f>VLOOKUP(Tbl_Loan2[[#This Row],[Maandnummer ]],Tbl_Months[],2,FALSE)</f>
        <v>April</v>
      </c>
      <c r="I113" s="23" t="str">
        <f>VLOOKUP(Tbl_Loan2[[#This Row],[Maandnummer ]],Tbl_Months[],3,FALSE)</f>
        <v>II</v>
      </c>
      <c r="J113" s="23">
        <f>YEAR(Tbl_Loan2[[#This Row],[Payment date]])</f>
        <v>2022</v>
      </c>
      <c r="K113" s="23" t="str">
        <f>_xlfn.CONCAT(Tbl_Loan2[[#This Row],[Year]],Tbl_Loan2[[#This Row],[Quarter]])</f>
        <v>2022II</v>
      </c>
      <c r="L113" s="25">
        <f t="shared" si="8"/>
        <v>26249.999999999771</v>
      </c>
      <c r="M113" s="25">
        <f>B$5*Tbl_Loan2[[#This Row],[Initial debt]]</f>
        <v>98.437499999999133</v>
      </c>
      <c r="N113" s="25">
        <f t="shared" si="9"/>
        <v>2916.6666666666665</v>
      </c>
      <c r="O113" s="25">
        <f>MAX(0,Tbl_Loan2[[#This Row],[Initial debt]]-Tbl_Loan2[[#This Row],[Redemption amount]])</f>
        <v>23333.333333333103</v>
      </c>
      <c r="P113" s="25">
        <f>Tbl_Loan2[[#This Row],[Interest amount]]+Tbl_Loan2[[#This Row],[Redemption amount]]</f>
        <v>3015.1041666666656</v>
      </c>
    </row>
    <row r="114" spans="4:16" x14ac:dyDescent="0.25">
      <c r="D114" t="str">
        <f>_xlfn.CONCAT(Tbl_Loan2[[#This Row],[Maandnummer ]],Tbl_Loan2[[#This Row],[Year]])</f>
        <v>52022</v>
      </c>
      <c r="E114" s="23">
        <f t="shared" si="7"/>
        <v>113</v>
      </c>
      <c r="F114" s="28">
        <v>44706</v>
      </c>
      <c r="G114" s="23">
        <f>MONTH(Tbl_Loan2[[#This Row],[Payment date]])</f>
        <v>5</v>
      </c>
      <c r="H114" s="23" t="str">
        <f>VLOOKUP(Tbl_Loan2[[#This Row],[Maandnummer ]],Tbl_Months[],2,FALSE)</f>
        <v>May</v>
      </c>
      <c r="I114" s="23" t="str">
        <f>VLOOKUP(Tbl_Loan2[[#This Row],[Maandnummer ]],Tbl_Months[],3,FALSE)</f>
        <v>II</v>
      </c>
      <c r="J114" s="23">
        <f>YEAR(Tbl_Loan2[[#This Row],[Payment date]])</f>
        <v>2022</v>
      </c>
      <c r="K114" s="23" t="str">
        <f>_xlfn.CONCAT(Tbl_Loan2[[#This Row],[Year]],Tbl_Loan2[[#This Row],[Quarter]])</f>
        <v>2022II</v>
      </c>
      <c r="L114" s="25">
        <f t="shared" si="8"/>
        <v>23333.333333333103</v>
      </c>
      <c r="M114" s="25">
        <f>B$5*Tbl_Loan2[[#This Row],[Initial debt]]</f>
        <v>87.499999999999133</v>
      </c>
      <c r="N114" s="25">
        <f t="shared" si="9"/>
        <v>2916.6666666666665</v>
      </c>
      <c r="O114" s="25">
        <f>MAX(0,Tbl_Loan2[[#This Row],[Initial debt]]-Tbl_Loan2[[#This Row],[Redemption amount]])</f>
        <v>20416.666666666435</v>
      </c>
      <c r="P114" s="25">
        <f>Tbl_Loan2[[#This Row],[Interest amount]]+Tbl_Loan2[[#This Row],[Redemption amount]]</f>
        <v>3004.1666666666656</v>
      </c>
    </row>
    <row r="115" spans="4:16" x14ac:dyDescent="0.25">
      <c r="D115" t="str">
        <f>_xlfn.CONCAT(Tbl_Loan2[[#This Row],[Maandnummer ]],Tbl_Loan2[[#This Row],[Year]])</f>
        <v>62022</v>
      </c>
      <c r="E115" s="23">
        <f t="shared" si="7"/>
        <v>114</v>
      </c>
      <c r="F115" s="28">
        <v>44737</v>
      </c>
      <c r="G115" s="23">
        <f>MONTH(Tbl_Loan2[[#This Row],[Payment date]])</f>
        <v>6</v>
      </c>
      <c r="H115" s="23" t="str">
        <f>VLOOKUP(Tbl_Loan2[[#This Row],[Maandnummer ]],Tbl_Months[],2,FALSE)</f>
        <v>June</v>
      </c>
      <c r="I115" s="23" t="str">
        <f>VLOOKUP(Tbl_Loan2[[#This Row],[Maandnummer ]],Tbl_Months[],3,FALSE)</f>
        <v>II</v>
      </c>
      <c r="J115" s="23">
        <f>YEAR(Tbl_Loan2[[#This Row],[Payment date]])</f>
        <v>2022</v>
      </c>
      <c r="K115" s="23" t="str">
        <f>_xlfn.CONCAT(Tbl_Loan2[[#This Row],[Year]],Tbl_Loan2[[#This Row],[Quarter]])</f>
        <v>2022II</v>
      </c>
      <c r="L115" s="25">
        <f t="shared" si="8"/>
        <v>20416.666666666435</v>
      </c>
      <c r="M115" s="25">
        <f>B$5*Tbl_Loan2[[#This Row],[Initial debt]]</f>
        <v>76.562499999999133</v>
      </c>
      <c r="N115" s="25">
        <f t="shared" si="9"/>
        <v>2916.6666666666665</v>
      </c>
      <c r="O115" s="25">
        <f>MAX(0,Tbl_Loan2[[#This Row],[Initial debt]]-Tbl_Loan2[[#This Row],[Redemption amount]])</f>
        <v>17499.999999999767</v>
      </c>
      <c r="P115" s="25">
        <f>Tbl_Loan2[[#This Row],[Interest amount]]+Tbl_Loan2[[#This Row],[Redemption amount]]</f>
        <v>2993.2291666666656</v>
      </c>
    </row>
    <row r="116" spans="4:16" x14ac:dyDescent="0.25">
      <c r="D116" t="str">
        <f>_xlfn.CONCAT(Tbl_Loan2[[#This Row],[Maandnummer ]],Tbl_Loan2[[#This Row],[Year]])</f>
        <v>72022</v>
      </c>
      <c r="E116" s="23">
        <f t="shared" si="7"/>
        <v>115</v>
      </c>
      <c r="F116" s="28">
        <v>44767</v>
      </c>
      <c r="G116" s="23">
        <f>MONTH(Tbl_Loan2[[#This Row],[Payment date]])</f>
        <v>7</v>
      </c>
      <c r="H116" s="23" t="str">
        <f>VLOOKUP(Tbl_Loan2[[#This Row],[Maandnummer ]],Tbl_Months[],2,FALSE)</f>
        <v>July</v>
      </c>
      <c r="I116" s="23" t="str">
        <f>VLOOKUP(Tbl_Loan2[[#This Row],[Maandnummer ]],Tbl_Months[],3,FALSE)</f>
        <v>III</v>
      </c>
      <c r="J116" s="23">
        <f>YEAR(Tbl_Loan2[[#This Row],[Payment date]])</f>
        <v>2022</v>
      </c>
      <c r="K116" s="23" t="str">
        <f>_xlfn.CONCAT(Tbl_Loan2[[#This Row],[Year]],Tbl_Loan2[[#This Row],[Quarter]])</f>
        <v>2022III</v>
      </c>
      <c r="L116" s="25">
        <f t="shared" si="8"/>
        <v>17499.999999999767</v>
      </c>
      <c r="M116" s="25">
        <f>B$5*Tbl_Loan2[[#This Row],[Initial debt]]</f>
        <v>65.624999999999119</v>
      </c>
      <c r="N116" s="25">
        <f t="shared" si="9"/>
        <v>2916.6666666666665</v>
      </c>
      <c r="O116" s="25">
        <f>MAX(0,Tbl_Loan2[[#This Row],[Initial debt]]-Tbl_Loan2[[#This Row],[Redemption amount]])</f>
        <v>14583.333333333101</v>
      </c>
      <c r="P116" s="25">
        <f>Tbl_Loan2[[#This Row],[Interest amount]]+Tbl_Loan2[[#This Row],[Redemption amount]]</f>
        <v>2982.2916666666656</v>
      </c>
    </row>
    <row r="117" spans="4:16" x14ac:dyDescent="0.25">
      <c r="D117" t="str">
        <f>_xlfn.CONCAT(Tbl_Loan2[[#This Row],[Maandnummer ]],Tbl_Loan2[[#This Row],[Year]])</f>
        <v>82022</v>
      </c>
      <c r="E117" s="23">
        <f t="shared" si="7"/>
        <v>116</v>
      </c>
      <c r="F117" s="28">
        <v>44798</v>
      </c>
      <c r="G117" s="23">
        <f>MONTH(Tbl_Loan2[[#This Row],[Payment date]])</f>
        <v>8</v>
      </c>
      <c r="H117" s="23" t="str">
        <f>VLOOKUP(Tbl_Loan2[[#This Row],[Maandnummer ]],Tbl_Months[],2,FALSE)</f>
        <v>August</v>
      </c>
      <c r="I117" s="23" t="str">
        <f>VLOOKUP(Tbl_Loan2[[#This Row],[Maandnummer ]],Tbl_Months[],3,FALSE)</f>
        <v>III</v>
      </c>
      <c r="J117" s="23">
        <f>YEAR(Tbl_Loan2[[#This Row],[Payment date]])</f>
        <v>2022</v>
      </c>
      <c r="K117" s="23" t="str">
        <f>_xlfn.CONCAT(Tbl_Loan2[[#This Row],[Year]],Tbl_Loan2[[#This Row],[Quarter]])</f>
        <v>2022III</v>
      </c>
      <c r="L117" s="25">
        <f t="shared" si="8"/>
        <v>14583.333333333101</v>
      </c>
      <c r="M117" s="25">
        <f>B$5*Tbl_Loan2[[#This Row],[Initial debt]]</f>
        <v>54.687499999999126</v>
      </c>
      <c r="N117" s="25">
        <f t="shared" si="9"/>
        <v>2916.6666666666665</v>
      </c>
      <c r="O117" s="25">
        <f>MAX(0,Tbl_Loan2[[#This Row],[Initial debt]]-Tbl_Loan2[[#This Row],[Redemption amount]])</f>
        <v>11666.666666666435</v>
      </c>
      <c r="P117" s="25">
        <f>Tbl_Loan2[[#This Row],[Interest amount]]+Tbl_Loan2[[#This Row],[Redemption amount]]</f>
        <v>2971.3541666666656</v>
      </c>
    </row>
    <row r="118" spans="4:16" x14ac:dyDescent="0.25">
      <c r="D118" t="str">
        <f>_xlfn.CONCAT(Tbl_Loan2[[#This Row],[Maandnummer ]],Tbl_Loan2[[#This Row],[Year]])</f>
        <v>92022</v>
      </c>
      <c r="E118" s="23">
        <f t="shared" si="7"/>
        <v>117</v>
      </c>
      <c r="F118" s="28">
        <v>44829</v>
      </c>
      <c r="G118" s="23">
        <f>MONTH(Tbl_Loan2[[#This Row],[Payment date]])</f>
        <v>9</v>
      </c>
      <c r="H118" s="23" t="str">
        <f>VLOOKUP(Tbl_Loan2[[#This Row],[Maandnummer ]],Tbl_Months[],2,FALSE)</f>
        <v>September</v>
      </c>
      <c r="I118" s="23" t="str">
        <f>VLOOKUP(Tbl_Loan2[[#This Row],[Maandnummer ]],Tbl_Months[],3,FALSE)</f>
        <v>III</v>
      </c>
      <c r="J118" s="23">
        <f>YEAR(Tbl_Loan2[[#This Row],[Payment date]])</f>
        <v>2022</v>
      </c>
      <c r="K118" s="23" t="str">
        <f>_xlfn.CONCAT(Tbl_Loan2[[#This Row],[Year]],Tbl_Loan2[[#This Row],[Quarter]])</f>
        <v>2022III</v>
      </c>
      <c r="L118" s="25">
        <f t="shared" si="8"/>
        <v>11666.666666666435</v>
      </c>
      <c r="M118" s="25">
        <f>B$5*Tbl_Loan2[[#This Row],[Initial debt]]</f>
        <v>43.749999999999133</v>
      </c>
      <c r="N118" s="25">
        <f t="shared" si="9"/>
        <v>2916.6666666666665</v>
      </c>
      <c r="O118" s="25">
        <f>MAX(0,Tbl_Loan2[[#This Row],[Initial debt]]-Tbl_Loan2[[#This Row],[Redemption amount]])</f>
        <v>8749.999999999769</v>
      </c>
      <c r="P118" s="25">
        <f>Tbl_Loan2[[#This Row],[Interest amount]]+Tbl_Loan2[[#This Row],[Redemption amount]]</f>
        <v>2960.4166666666656</v>
      </c>
    </row>
    <row r="119" spans="4:16" x14ac:dyDescent="0.25">
      <c r="D119" t="str">
        <f>_xlfn.CONCAT(Tbl_Loan2[[#This Row],[Maandnummer ]],Tbl_Loan2[[#This Row],[Year]])</f>
        <v>102022</v>
      </c>
      <c r="E119" s="23">
        <f t="shared" si="7"/>
        <v>118</v>
      </c>
      <c r="F119" s="28">
        <v>44859</v>
      </c>
      <c r="G119" s="23">
        <f>MONTH(Tbl_Loan2[[#This Row],[Payment date]])</f>
        <v>10</v>
      </c>
      <c r="H119" s="23" t="str">
        <f>VLOOKUP(Tbl_Loan2[[#This Row],[Maandnummer ]],Tbl_Months[],2,FALSE)</f>
        <v>October</v>
      </c>
      <c r="I119" s="23" t="str">
        <f>VLOOKUP(Tbl_Loan2[[#This Row],[Maandnummer ]],Tbl_Months[],3,FALSE)</f>
        <v>IV</v>
      </c>
      <c r="J119" s="23">
        <f>YEAR(Tbl_Loan2[[#This Row],[Payment date]])</f>
        <v>2022</v>
      </c>
      <c r="K119" s="23" t="str">
        <f>_xlfn.CONCAT(Tbl_Loan2[[#This Row],[Year]],Tbl_Loan2[[#This Row],[Quarter]])</f>
        <v>2022IV</v>
      </c>
      <c r="L119" s="25">
        <f t="shared" si="8"/>
        <v>8749.999999999769</v>
      </c>
      <c r="M119" s="25">
        <f>B$5*Tbl_Loan2[[#This Row],[Initial debt]]</f>
        <v>32.812499999999133</v>
      </c>
      <c r="N119" s="25">
        <f t="shared" si="9"/>
        <v>2916.6666666666665</v>
      </c>
      <c r="O119" s="25">
        <f>MAX(0,Tbl_Loan2[[#This Row],[Initial debt]]-Tbl_Loan2[[#This Row],[Redemption amount]])</f>
        <v>5833.3333333331029</v>
      </c>
      <c r="P119" s="25">
        <f>Tbl_Loan2[[#This Row],[Interest amount]]+Tbl_Loan2[[#This Row],[Redemption amount]]</f>
        <v>2949.4791666666656</v>
      </c>
    </row>
    <row r="120" spans="4:16" x14ac:dyDescent="0.25">
      <c r="D120" t="str">
        <f>_xlfn.CONCAT(Tbl_Loan2[[#This Row],[Maandnummer ]],Tbl_Loan2[[#This Row],[Year]])</f>
        <v>112022</v>
      </c>
      <c r="E120" s="23">
        <f t="shared" si="7"/>
        <v>119</v>
      </c>
      <c r="F120" s="28">
        <v>44890</v>
      </c>
      <c r="G120" s="23">
        <f>MONTH(Tbl_Loan2[[#This Row],[Payment date]])</f>
        <v>11</v>
      </c>
      <c r="H120" s="23" t="str">
        <f>VLOOKUP(Tbl_Loan2[[#This Row],[Maandnummer ]],Tbl_Months[],2,FALSE)</f>
        <v>November</v>
      </c>
      <c r="I120" s="23" t="str">
        <f>VLOOKUP(Tbl_Loan2[[#This Row],[Maandnummer ]],Tbl_Months[],3,FALSE)</f>
        <v>IV</v>
      </c>
      <c r="J120" s="23">
        <f>YEAR(Tbl_Loan2[[#This Row],[Payment date]])</f>
        <v>2022</v>
      </c>
      <c r="K120" s="23" t="str">
        <f>_xlfn.CONCAT(Tbl_Loan2[[#This Row],[Year]],Tbl_Loan2[[#This Row],[Quarter]])</f>
        <v>2022IV</v>
      </c>
      <c r="L120" s="25">
        <f t="shared" si="8"/>
        <v>5833.3333333331029</v>
      </c>
      <c r="M120" s="25">
        <f>B$5*Tbl_Loan2[[#This Row],[Initial debt]]</f>
        <v>21.874999999999137</v>
      </c>
      <c r="N120" s="25">
        <f t="shared" si="9"/>
        <v>2916.6666666666665</v>
      </c>
      <c r="O120" s="25">
        <f>MAX(0,Tbl_Loan2[[#This Row],[Initial debt]]-Tbl_Loan2[[#This Row],[Redemption amount]])</f>
        <v>2916.6666666664364</v>
      </c>
      <c r="P120" s="25">
        <f>Tbl_Loan2[[#This Row],[Interest amount]]+Tbl_Loan2[[#This Row],[Redemption amount]]</f>
        <v>2938.5416666666656</v>
      </c>
    </row>
    <row r="121" spans="4:16" x14ac:dyDescent="0.25">
      <c r="D121" t="str">
        <f>_xlfn.CONCAT(Tbl_Loan2[[#This Row],[Maandnummer ]],Tbl_Loan2[[#This Row],[Year]])</f>
        <v>122022</v>
      </c>
      <c r="E121" s="23">
        <f t="shared" si="7"/>
        <v>120</v>
      </c>
      <c r="F121" s="28">
        <v>44920</v>
      </c>
      <c r="G121" s="23">
        <f>MONTH(Tbl_Loan2[[#This Row],[Payment date]])</f>
        <v>12</v>
      </c>
      <c r="H121" s="23" t="str">
        <f>VLOOKUP(Tbl_Loan2[[#This Row],[Maandnummer ]],Tbl_Months[],2,FALSE)</f>
        <v>December</v>
      </c>
      <c r="I121" s="23" t="str">
        <f>VLOOKUP(Tbl_Loan2[[#This Row],[Maandnummer ]],Tbl_Months[],3,FALSE)</f>
        <v>IV</v>
      </c>
      <c r="J121" s="23">
        <f>YEAR(Tbl_Loan2[[#This Row],[Payment date]])</f>
        <v>2022</v>
      </c>
      <c r="K121" s="23" t="str">
        <f>_xlfn.CONCAT(Tbl_Loan2[[#This Row],[Year]],Tbl_Loan2[[#This Row],[Quarter]])</f>
        <v>2022IV</v>
      </c>
      <c r="L121" s="25">
        <f t="shared" si="8"/>
        <v>2916.6666666664364</v>
      </c>
      <c r="M121" s="25">
        <f>B$5*Tbl_Loan2[[#This Row],[Initial debt]]</f>
        <v>10.937499999999137</v>
      </c>
      <c r="N121" s="25">
        <f t="shared" si="9"/>
        <v>2916.6666666666665</v>
      </c>
      <c r="O121" s="25">
        <f>MAX(0,Tbl_Loan2[[#This Row],[Initial debt]]-Tbl_Loan2[[#This Row],[Redemption amount]])</f>
        <v>0</v>
      </c>
      <c r="P121" s="25">
        <f>Tbl_Loan2[[#This Row],[Interest amount]]+Tbl_Loan2[[#This Row],[Redemption amount]]</f>
        <v>2927.6041666666656</v>
      </c>
    </row>
    <row r="122" spans="4:16" x14ac:dyDescent="0.25">
      <c r="L122" s="25"/>
      <c r="M122" s="25">
        <f>SUBTOTAL(109,Tbl_Loan2[Interest amount])</f>
        <v>79406.249999999985</v>
      </c>
      <c r="N122" s="25">
        <f>SUBTOTAL(109,Tbl_Loan2[Redemption amount])</f>
        <v>350000.00000000023</v>
      </c>
      <c r="O122" s="25"/>
      <c r="P122" s="24"/>
    </row>
  </sheetData>
  <phoneticPr fontId="4" type="noConversion"/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C8BCF-3E96-4846-B75D-9C4F6D14DD4C}">
  <sheetPr>
    <tabColor rgb="FF92D050"/>
  </sheetPr>
  <dimension ref="B1:U49"/>
  <sheetViews>
    <sheetView zoomScaleNormal="100" workbookViewId="0">
      <selection activeCell="G18" sqref="G18"/>
    </sheetView>
  </sheetViews>
  <sheetFormatPr defaultRowHeight="13.2" x14ac:dyDescent="0.25"/>
  <cols>
    <col min="2" max="3" width="15" customWidth="1"/>
    <col min="4" max="4" width="15.33203125" bestFit="1" customWidth="1"/>
    <col min="5" max="5" width="14.6640625" customWidth="1"/>
    <col min="6" max="7" width="18.44140625" customWidth="1"/>
    <col min="8" max="8" width="14.6640625" bestFit="1" customWidth="1"/>
    <col min="9" max="9" width="14.6640625" customWidth="1"/>
    <col min="10" max="10" width="14.6640625" style="123" customWidth="1"/>
    <col min="11" max="12" width="17.6640625" customWidth="1"/>
    <col min="13" max="13" width="14.6640625" bestFit="1" customWidth="1"/>
    <col min="14" max="14" width="14.6640625" customWidth="1"/>
    <col min="15" max="19" width="14.6640625" bestFit="1" customWidth="1"/>
  </cols>
  <sheetData>
    <row r="1" spans="2:21" x14ac:dyDescent="0.25">
      <c r="B1" s="57" t="s">
        <v>159</v>
      </c>
      <c r="C1" s="57"/>
      <c r="D1" s="57"/>
      <c r="E1" s="57"/>
      <c r="F1" s="57"/>
      <c r="G1" s="57"/>
      <c r="H1" s="57"/>
      <c r="I1" s="57"/>
      <c r="J1" s="123" t="s">
        <v>160</v>
      </c>
      <c r="K1" s="57"/>
      <c r="L1" s="57"/>
      <c r="M1" s="57"/>
      <c r="N1" s="57"/>
      <c r="O1" s="57"/>
      <c r="P1" s="57"/>
      <c r="Q1" s="57"/>
      <c r="R1" s="57"/>
      <c r="S1" s="57"/>
    </row>
    <row r="2" spans="2:21" x14ac:dyDescent="0.25">
      <c r="B2" s="7" t="s">
        <v>109</v>
      </c>
      <c r="C2" t="s">
        <v>161</v>
      </c>
      <c r="D2" t="s">
        <v>162</v>
      </c>
      <c r="E2" t="s">
        <v>163</v>
      </c>
      <c r="F2" t="s">
        <v>164</v>
      </c>
      <c r="G2" t="s">
        <v>165</v>
      </c>
      <c r="H2" s="122" t="s">
        <v>166</v>
      </c>
      <c r="I2" t="s">
        <v>166</v>
      </c>
      <c r="J2" s="122" t="s">
        <v>160</v>
      </c>
      <c r="K2" s="7"/>
      <c r="L2" t="s">
        <v>161</v>
      </c>
      <c r="M2" t="s">
        <v>162</v>
      </c>
      <c r="N2" t="s">
        <v>167</v>
      </c>
      <c r="O2" t="s">
        <v>164</v>
      </c>
      <c r="P2" t="s">
        <v>165</v>
      </c>
      <c r="Q2" t="s">
        <v>166</v>
      </c>
      <c r="R2" t="s">
        <v>168</v>
      </c>
      <c r="S2" t="s">
        <v>160</v>
      </c>
    </row>
    <row r="3" spans="2:21" x14ac:dyDescent="0.25">
      <c r="H3" s="123"/>
    </row>
    <row r="4" spans="2:21" x14ac:dyDescent="0.25">
      <c r="B4" s="37" t="s">
        <v>110</v>
      </c>
      <c r="C4" s="126">
        <f>1192500-7500+32000</f>
        <v>1217000</v>
      </c>
      <c r="D4" s="121">
        <f>737500+32000</f>
        <v>769500</v>
      </c>
      <c r="E4" s="121">
        <f>D4-7500</f>
        <v>762000</v>
      </c>
      <c r="F4" s="121">
        <f t="shared" ref="F4:J4" si="0">E4-7500</f>
        <v>754500</v>
      </c>
      <c r="G4" s="121">
        <f t="shared" si="0"/>
        <v>747000</v>
      </c>
      <c r="H4" s="121">
        <f t="shared" si="0"/>
        <v>739500</v>
      </c>
      <c r="I4" s="121">
        <f t="shared" si="0"/>
        <v>732000</v>
      </c>
      <c r="J4" s="121">
        <f t="shared" si="0"/>
        <v>724500</v>
      </c>
      <c r="K4" s="7" t="s">
        <v>112</v>
      </c>
      <c r="L4" s="133">
        <f>(C12+C23)-(L13+L23)</f>
        <v>-316268.84250000026</v>
      </c>
      <c r="M4" s="133">
        <f t="shared" ref="M4:S4" si="1">(D12+D23)-(M13+M23)</f>
        <v>212736.06453124993</v>
      </c>
      <c r="N4" s="133">
        <f t="shared" si="1"/>
        <v>432315.74424804701</v>
      </c>
      <c r="O4" s="133">
        <f t="shared" si="1"/>
        <v>654943.27773254365</v>
      </c>
      <c r="P4" s="133">
        <f t="shared" si="1"/>
        <v>874601.39412426017</v>
      </c>
      <c r="Q4" s="133">
        <f t="shared" si="1"/>
        <v>1093955.3507414935</v>
      </c>
      <c r="R4" s="133">
        <f t="shared" si="1"/>
        <v>1315757.9700701502</v>
      </c>
      <c r="S4" s="133">
        <f t="shared" si="1"/>
        <v>1539815.9606907656</v>
      </c>
    </row>
    <row r="5" spans="2:21" x14ac:dyDescent="0.25">
      <c r="B5" s="37" t="s">
        <v>111</v>
      </c>
      <c r="C5" s="126">
        <f>156250-6120</f>
        <v>150130</v>
      </c>
      <c r="D5" s="121">
        <f>C5-6120</f>
        <v>144010</v>
      </c>
      <c r="E5" s="121">
        <f>D5-1530</f>
        <v>142480</v>
      </c>
      <c r="F5" s="121">
        <f t="shared" ref="F5:G5" si="2">E5-1530</f>
        <v>140950</v>
      </c>
      <c r="G5" s="121">
        <f t="shared" si="2"/>
        <v>139420</v>
      </c>
      <c r="H5" s="121">
        <f>G5-1530</f>
        <v>137890</v>
      </c>
      <c r="I5" s="121">
        <f t="shared" ref="I5:J5" si="3">H5-1530</f>
        <v>136360</v>
      </c>
      <c r="J5" s="127">
        <f t="shared" si="3"/>
        <v>134830</v>
      </c>
    </row>
    <row r="6" spans="2:21" x14ac:dyDescent="0.25">
      <c r="B6" s="37" t="s">
        <v>113</v>
      </c>
      <c r="C6" s="126">
        <f>192375-2625</f>
        <v>189750</v>
      </c>
      <c r="D6" s="121">
        <v>64125</v>
      </c>
      <c r="E6" s="121">
        <f>D6-2625</f>
        <v>61500</v>
      </c>
      <c r="F6" s="121">
        <f t="shared" ref="F6:G6" si="4">E6-2625</f>
        <v>58875</v>
      </c>
      <c r="G6" s="121">
        <f t="shared" si="4"/>
        <v>56250</v>
      </c>
      <c r="H6" s="121">
        <f>G6-2625</f>
        <v>53625</v>
      </c>
      <c r="I6" s="121">
        <f t="shared" ref="I6:J6" si="5">H6-2625</f>
        <v>51000</v>
      </c>
      <c r="J6" s="127">
        <f t="shared" si="5"/>
        <v>48375</v>
      </c>
      <c r="K6" s="7" t="s">
        <v>169</v>
      </c>
      <c r="L6" s="7"/>
    </row>
    <row r="7" spans="2:21" x14ac:dyDescent="0.25">
      <c r="B7" s="37" t="s">
        <v>114</v>
      </c>
      <c r="C7" s="126">
        <f>119000-7000</f>
        <v>112000</v>
      </c>
      <c r="D7" s="121">
        <v>59500</v>
      </c>
      <c r="E7" s="121">
        <f>D7-7000</f>
        <v>52500</v>
      </c>
      <c r="F7" s="121">
        <f t="shared" ref="F7:G7" si="6">E7-7000</f>
        <v>45500</v>
      </c>
      <c r="G7" s="121">
        <f t="shared" si="6"/>
        <v>38500</v>
      </c>
      <c r="H7" s="121">
        <f>G7-7000</f>
        <v>31500</v>
      </c>
      <c r="I7" s="121">
        <f t="shared" ref="I7:J7" si="7">H7-7000</f>
        <v>24500</v>
      </c>
      <c r="J7" s="127">
        <f t="shared" si="7"/>
        <v>17500</v>
      </c>
    </row>
    <row r="8" spans="2:21" x14ac:dyDescent="0.25">
      <c r="B8" s="37" t="s">
        <v>115</v>
      </c>
      <c r="C8" s="126">
        <f>336094-12656.5</f>
        <v>323437.5</v>
      </c>
      <c r="D8" s="121">
        <f>((C8*3/5)-12656.5)+$E$43</f>
        <v>192141.56</v>
      </c>
      <c r="E8" s="121">
        <f>D8-12656.5+$E$43</f>
        <v>190220.62</v>
      </c>
      <c r="F8" s="121">
        <f t="shared" ref="F8:J8" si="8">E8-12656.5+$E$43</f>
        <v>188299.68</v>
      </c>
      <c r="G8" s="121">
        <f t="shared" si="8"/>
        <v>186378.74</v>
      </c>
      <c r="H8" s="121">
        <f t="shared" si="8"/>
        <v>184457.8</v>
      </c>
      <c r="I8" s="121">
        <f t="shared" si="8"/>
        <v>182536.86</v>
      </c>
      <c r="J8" s="121">
        <f t="shared" si="8"/>
        <v>180615.91999999998</v>
      </c>
      <c r="K8" t="s">
        <v>170</v>
      </c>
      <c r="L8" s="121">
        <v>927084.03</v>
      </c>
      <c r="M8" s="121">
        <v>912635.52</v>
      </c>
      <c r="N8" s="121">
        <v>898019.98</v>
      </c>
      <c r="O8" s="121">
        <v>883506</v>
      </c>
      <c r="P8" s="121">
        <v>868826</v>
      </c>
      <c r="Q8" s="121">
        <v>854066</v>
      </c>
      <c r="R8" s="121">
        <v>839229</v>
      </c>
      <c r="S8" s="121">
        <v>824312</v>
      </c>
    </row>
    <row r="9" spans="2:21" x14ac:dyDescent="0.25">
      <c r="B9" s="37" t="s">
        <v>117</v>
      </c>
      <c r="C9" s="126">
        <v>4566</v>
      </c>
      <c r="D9" s="121">
        <f>C9-1050</f>
        <v>3516</v>
      </c>
      <c r="E9" s="121">
        <f t="shared" ref="E9:J9" si="9">D9-1050</f>
        <v>2466</v>
      </c>
      <c r="F9" s="121">
        <f t="shared" si="9"/>
        <v>1416</v>
      </c>
      <c r="G9" s="121">
        <f t="shared" si="9"/>
        <v>366</v>
      </c>
      <c r="H9" s="121">
        <f t="shared" si="9"/>
        <v>-684</v>
      </c>
      <c r="I9" s="121">
        <f t="shared" si="9"/>
        <v>-1734</v>
      </c>
      <c r="J9" s="127">
        <f t="shared" si="9"/>
        <v>-2784</v>
      </c>
      <c r="K9" t="s">
        <v>171</v>
      </c>
      <c r="L9" s="121">
        <v>29116</v>
      </c>
      <c r="M9" s="121">
        <v>20146.62</v>
      </c>
      <c r="N9" s="121">
        <v>11666</v>
      </c>
      <c r="O9" s="121">
        <v>2916</v>
      </c>
      <c r="P9" s="121">
        <v>0</v>
      </c>
      <c r="Q9" s="121">
        <v>0</v>
      </c>
      <c r="R9" s="121">
        <v>0</v>
      </c>
      <c r="S9" s="121">
        <v>0</v>
      </c>
    </row>
    <row r="10" spans="2:21" x14ac:dyDescent="0.25">
      <c r="B10" s="37" t="s">
        <v>118</v>
      </c>
      <c r="C10" s="126">
        <v>17350</v>
      </c>
      <c r="D10" s="121">
        <f>C10-2250</f>
        <v>15100</v>
      </c>
      <c r="E10" s="121">
        <f t="shared" ref="E10:I10" si="10">D10-2250</f>
        <v>12850</v>
      </c>
      <c r="F10" s="121">
        <f t="shared" si="10"/>
        <v>10600</v>
      </c>
      <c r="G10" s="121">
        <f t="shared" si="10"/>
        <v>8350</v>
      </c>
      <c r="H10" s="121">
        <f t="shared" si="10"/>
        <v>6100</v>
      </c>
      <c r="I10" s="121">
        <f t="shared" si="10"/>
        <v>3850</v>
      </c>
      <c r="J10" s="127">
        <f>I10-2250</f>
        <v>1600</v>
      </c>
      <c r="K10" t="s">
        <v>172</v>
      </c>
      <c r="L10" s="121">
        <v>271875</v>
      </c>
      <c r="M10" s="121">
        <v>257812.5</v>
      </c>
      <c r="N10" s="121">
        <v>243750</v>
      </c>
      <c r="O10" s="121">
        <v>229687</v>
      </c>
      <c r="P10" s="121">
        <v>215625</v>
      </c>
      <c r="Q10" s="121">
        <v>201562</v>
      </c>
      <c r="R10" s="121">
        <v>187500</v>
      </c>
      <c r="S10" s="121">
        <v>173487</v>
      </c>
    </row>
    <row r="11" spans="2:21" x14ac:dyDescent="0.25">
      <c r="H11" s="123"/>
      <c r="K11" t="s">
        <v>173</v>
      </c>
      <c r="L11" s="121">
        <v>2072995</v>
      </c>
      <c r="M11" s="121">
        <v>1748831</v>
      </c>
      <c r="N11" s="121">
        <v>1748831</v>
      </c>
      <c r="O11" s="121">
        <v>1748831</v>
      </c>
      <c r="P11" s="121">
        <v>1748831</v>
      </c>
      <c r="Q11" s="121">
        <v>1748831</v>
      </c>
      <c r="R11" s="121">
        <v>1748831</v>
      </c>
      <c r="S11" s="121">
        <v>1748831</v>
      </c>
      <c r="U11" t="s">
        <v>174</v>
      </c>
    </row>
    <row r="12" spans="2:21" x14ac:dyDescent="0.25">
      <c r="B12" s="7" t="s">
        <v>175</v>
      </c>
      <c r="C12" s="121">
        <f t="shared" ref="C12:E12" si="11">C4+C5+C6+C8+C7+C9+C10</f>
        <v>2014233.5</v>
      </c>
      <c r="D12" s="121">
        <f t="shared" si="11"/>
        <v>1247892.56</v>
      </c>
      <c r="E12" s="121">
        <f t="shared" si="11"/>
        <v>1224016.6200000001</v>
      </c>
      <c r="F12" s="121">
        <f>F4+F5+F6+F8+F7+F9+F10</f>
        <v>1200140.68</v>
      </c>
      <c r="G12" s="121">
        <f>G4+G5+G6+G8+G7+G9+G10</f>
        <v>1176264.74</v>
      </c>
      <c r="H12" s="121">
        <f>H4+H5+H6+H8+H7+H9+H10</f>
        <v>1152388.8</v>
      </c>
      <c r="I12" s="121">
        <f>I4+I5+I6+I8+I7+I9+I10</f>
        <v>1128512.8599999999</v>
      </c>
      <c r="J12" s="127">
        <f>J4+J5+J6+J8+J7+J9+J10</f>
        <v>1104636.92</v>
      </c>
    </row>
    <row r="13" spans="2:21" x14ac:dyDescent="0.25">
      <c r="B13" s="7"/>
      <c r="C13" s="7"/>
      <c r="H13" s="123"/>
      <c r="K13" s="7" t="s">
        <v>176</v>
      </c>
      <c r="L13" s="121">
        <f>L8+L9+L10+L11</f>
        <v>3301070.0300000003</v>
      </c>
      <c r="M13" s="121">
        <f>M8+M9+M10+M11</f>
        <v>2939425.64</v>
      </c>
      <c r="N13" s="121">
        <f t="shared" ref="N13:S13" si="12">N8+N9+N10+N11</f>
        <v>2902266.98</v>
      </c>
      <c r="O13" s="121">
        <f t="shared" si="12"/>
        <v>2864940</v>
      </c>
      <c r="P13" s="121">
        <f t="shared" si="12"/>
        <v>2833282</v>
      </c>
      <c r="Q13" s="121">
        <f t="shared" si="12"/>
        <v>2804459</v>
      </c>
      <c r="R13" s="121">
        <f t="shared" si="12"/>
        <v>2775560</v>
      </c>
      <c r="S13" s="121">
        <f t="shared" si="12"/>
        <v>2746630</v>
      </c>
    </row>
    <row r="14" spans="2:21" x14ac:dyDescent="0.25">
      <c r="B14" s="7" t="s">
        <v>120</v>
      </c>
      <c r="C14" s="7"/>
      <c r="H14" s="123"/>
    </row>
    <row r="15" spans="2:21" x14ac:dyDescent="0.25">
      <c r="B15" s="37" t="s">
        <v>1</v>
      </c>
      <c r="C15" s="126">
        <v>854739</v>
      </c>
      <c r="D15" s="126">
        <f>C15+252369.5</f>
        <v>1107108.5</v>
      </c>
      <c r="E15" s="128">
        <f>D15+252369.5</f>
        <v>1359478</v>
      </c>
      <c r="F15" s="128">
        <f t="shared" ref="F15" si="13">E15+252369.5</f>
        <v>1611847.5</v>
      </c>
      <c r="G15" s="128">
        <f>F15+252369.5</f>
        <v>1864217</v>
      </c>
      <c r="H15" s="128">
        <f t="shared" ref="H15:J15" si="14">G15+252369.5</f>
        <v>2116586.5</v>
      </c>
      <c r="I15" s="128">
        <f t="shared" si="14"/>
        <v>2368956</v>
      </c>
      <c r="J15" s="131">
        <f t="shared" si="14"/>
        <v>2621325.5</v>
      </c>
      <c r="K15" s="7" t="s">
        <v>177</v>
      </c>
      <c r="L15" s="7"/>
    </row>
    <row r="16" spans="2:21" x14ac:dyDescent="0.25">
      <c r="B16" s="130" t="s">
        <v>122</v>
      </c>
      <c r="C16" s="121">
        <f>567000</f>
        <v>567000</v>
      </c>
      <c r="D16" s="121">
        <f>(567000-141750)*0.9375</f>
        <v>398671.875</v>
      </c>
      <c r="E16" s="121">
        <f>D16*0.9375</f>
        <v>373754.8828125</v>
      </c>
      <c r="F16" s="121">
        <f t="shared" ref="F16:J16" si="15">E16*0.9375</f>
        <v>350395.20263671875</v>
      </c>
      <c r="G16" s="121">
        <f t="shared" si="15"/>
        <v>328495.50247192383</v>
      </c>
      <c r="H16" s="121">
        <f t="shared" si="15"/>
        <v>307964.53356742859</v>
      </c>
      <c r="I16" s="121">
        <f t="shared" si="15"/>
        <v>288716.7502194643</v>
      </c>
      <c r="J16" s="127">
        <f t="shared" si="15"/>
        <v>270671.95333074778</v>
      </c>
    </row>
    <row r="17" spans="2:19" x14ac:dyDescent="0.25">
      <c r="B17" s="130" t="s">
        <v>123</v>
      </c>
      <c r="C17" s="126">
        <f>(513500-128375)*0.9375</f>
        <v>361054.6875</v>
      </c>
      <c r="D17" s="121">
        <f>C17*0.9375</f>
        <v>338488.76953125</v>
      </c>
      <c r="E17" s="121">
        <f>D17*0.9375</f>
        <v>317333.22143554688</v>
      </c>
      <c r="F17" s="121">
        <f t="shared" ref="F17:J17" si="16">E17*0.9375</f>
        <v>297499.8950958252</v>
      </c>
      <c r="G17" s="121">
        <f t="shared" si="16"/>
        <v>278906.15165233612</v>
      </c>
      <c r="H17" s="121">
        <f t="shared" si="16"/>
        <v>261474.51717406511</v>
      </c>
      <c r="I17" s="121">
        <f t="shared" si="16"/>
        <v>245132.35985068604</v>
      </c>
      <c r="J17" s="127">
        <f t="shared" si="16"/>
        <v>229811.58736001817</v>
      </c>
      <c r="K17" t="s">
        <v>178</v>
      </c>
      <c r="L17" s="121">
        <v>0</v>
      </c>
      <c r="M17" s="121">
        <v>0</v>
      </c>
      <c r="N17" s="121">
        <v>0</v>
      </c>
      <c r="O17" s="121">
        <v>0</v>
      </c>
      <c r="P17" s="121">
        <v>0</v>
      </c>
      <c r="Q17" s="121">
        <v>0</v>
      </c>
      <c r="R17" s="121">
        <v>0</v>
      </c>
      <c r="S17" s="121">
        <v>0</v>
      </c>
    </row>
    <row r="18" spans="2:19" x14ac:dyDescent="0.25">
      <c r="B18" s="37" t="s">
        <v>125</v>
      </c>
      <c r="C18" s="121">
        <v>60000</v>
      </c>
      <c r="D18" s="121">
        <v>60000</v>
      </c>
      <c r="E18" s="121">
        <v>60000</v>
      </c>
      <c r="F18" s="121">
        <f>D18</f>
        <v>60000</v>
      </c>
      <c r="G18" s="129">
        <f t="shared" ref="G18" si="17">F18</f>
        <v>60000</v>
      </c>
      <c r="H18" s="129">
        <f t="shared" ref="H18" si="18">G18</f>
        <v>60000</v>
      </c>
      <c r="I18" s="129">
        <f t="shared" ref="I18" si="19">H18</f>
        <v>60000</v>
      </c>
      <c r="J18" s="132">
        <f t="shared" ref="J18" si="20">I18</f>
        <v>60000</v>
      </c>
      <c r="K18" t="s">
        <v>179</v>
      </c>
      <c r="L18" s="121">
        <v>260536</v>
      </c>
      <c r="M18" s="121">
        <v>0</v>
      </c>
      <c r="N18" s="121">
        <v>0</v>
      </c>
      <c r="O18" s="121">
        <v>0</v>
      </c>
      <c r="P18" s="121">
        <v>0</v>
      </c>
      <c r="Q18" s="121">
        <v>0</v>
      </c>
      <c r="R18" s="121">
        <v>0</v>
      </c>
      <c r="S18" s="121">
        <v>0</v>
      </c>
    </row>
    <row r="19" spans="2:19" x14ac:dyDescent="0.25">
      <c r="B19" s="37" t="s">
        <v>18</v>
      </c>
      <c r="C19" s="126">
        <v>0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121">
        <v>0</v>
      </c>
      <c r="J19" s="127">
        <v>0</v>
      </c>
      <c r="K19" t="s">
        <v>180</v>
      </c>
      <c r="L19" s="43">
        <f>35912</f>
        <v>35912</v>
      </c>
      <c r="M19" s="121">
        <v>0</v>
      </c>
      <c r="N19" s="121">
        <v>0</v>
      </c>
      <c r="O19" s="121">
        <v>0</v>
      </c>
      <c r="P19" s="121">
        <v>0</v>
      </c>
      <c r="Q19" s="121">
        <v>0</v>
      </c>
      <c r="R19" s="121">
        <v>0</v>
      </c>
      <c r="S19" s="121">
        <v>0</v>
      </c>
    </row>
    <row r="20" spans="2:19" x14ac:dyDescent="0.25">
      <c r="B20" s="37" t="s">
        <v>19</v>
      </c>
      <c r="C20" s="126">
        <f>598566-(1050*483.66)</f>
        <v>90723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121">
        <v>0</v>
      </c>
      <c r="J20" s="127">
        <v>0</v>
      </c>
      <c r="K20" t="s">
        <v>181</v>
      </c>
      <c r="L20" s="43">
        <v>341075</v>
      </c>
      <c r="M20" s="121">
        <v>0</v>
      </c>
      <c r="N20" s="121">
        <v>0</v>
      </c>
      <c r="O20" s="121">
        <v>0</v>
      </c>
      <c r="P20" s="121">
        <v>0</v>
      </c>
      <c r="Q20" s="121">
        <v>0</v>
      </c>
      <c r="R20" s="121">
        <v>0</v>
      </c>
      <c r="S20" s="121">
        <v>0</v>
      </c>
    </row>
    <row r="21" spans="2:19" x14ac:dyDescent="0.25">
      <c r="B21" s="37" t="s">
        <v>20</v>
      </c>
      <c r="C21" s="126">
        <f>613094-(720*825)</f>
        <v>19094</v>
      </c>
      <c r="D21" s="121">
        <v>0</v>
      </c>
      <c r="E21" s="121">
        <v>0</v>
      </c>
      <c r="F21" s="121">
        <v>0</v>
      </c>
      <c r="G21" s="121">
        <v>0</v>
      </c>
      <c r="H21" s="121">
        <v>0</v>
      </c>
      <c r="I21" s="121">
        <v>0</v>
      </c>
      <c r="J21" s="127">
        <v>0</v>
      </c>
      <c r="K21" t="s">
        <v>182</v>
      </c>
      <c r="L21" s="119">
        <v>344520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121">
        <v>0</v>
      </c>
      <c r="S21" s="121">
        <v>0</v>
      </c>
    </row>
    <row r="22" spans="2:19" x14ac:dyDescent="0.25">
      <c r="M22" s="121"/>
      <c r="N22" s="121"/>
    </row>
    <row r="23" spans="2:19" x14ac:dyDescent="0.25">
      <c r="B23" s="41" t="s">
        <v>183</v>
      </c>
      <c r="C23" s="121">
        <f>C15+C16+C17+C18+C19+C20+C21</f>
        <v>1952610.6875</v>
      </c>
      <c r="D23" s="121">
        <f>D15+D16+D17+D18+D19+D20+D21</f>
        <v>1904269.14453125</v>
      </c>
      <c r="E23" s="121">
        <f t="shared" ref="E23:J23" si="21">E15+E16+E17+E18+E19+E20+E21</f>
        <v>2110566.1042480469</v>
      </c>
      <c r="F23" s="121">
        <f t="shared" si="21"/>
        <v>2319742.5977325439</v>
      </c>
      <c r="G23" s="121">
        <f t="shared" si="21"/>
        <v>2531618.6541242599</v>
      </c>
      <c r="H23" s="121">
        <f t="shared" si="21"/>
        <v>2746025.5507414937</v>
      </c>
      <c r="I23" s="121">
        <f t="shared" si="21"/>
        <v>2962805.1100701503</v>
      </c>
      <c r="J23" s="127">
        <f t="shared" si="21"/>
        <v>3181809.0406907657</v>
      </c>
      <c r="K23" t="s">
        <v>184</v>
      </c>
      <c r="L23" s="121">
        <f>L17+L18+L19+L20+L21</f>
        <v>982043</v>
      </c>
      <c r="M23" s="121">
        <f>M17+M19+M18+M20+M21</f>
        <v>0</v>
      </c>
      <c r="N23" s="121">
        <f>N17+N19+N18+N20+N21</f>
        <v>0</v>
      </c>
      <c r="O23" s="121">
        <v>0</v>
      </c>
      <c r="P23" s="121">
        <v>0</v>
      </c>
      <c r="Q23" s="121">
        <v>0</v>
      </c>
      <c r="R23" s="121">
        <v>0</v>
      </c>
      <c r="S23" s="121">
        <v>0</v>
      </c>
    </row>
    <row r="25" spans="2:19" x14ac:dyDescent="0.25">
      <c r="B25" s="7" t="s">
        <v>129</v>
      </c>
      <c r="C25" s="121">
        <f>C23+C12</f>
        <v>3966844.1875</v>
      </c>
      <c r="D25" s="121">
        <f>D23+D12</f>
        <v>3152161.7045312501</v>
      </c>
      <c r="E25" s="121">
        <f t="shared" ref="E25:J25" si="22">E23+E12</f>
        <v>3334582.724248047</v>
      </c>
      <c r="F25" s="121">
        <f t="shared" si="22"/>
        <v>3519883.2777325436</v>
      </c>
      <c r="G25" s="121">
        <f t="shared" si="22"/>
        <v>3707883.3941242602</v>
      </c>
      <c r="H25" s="121">
        <f t="shared" si="22"/>
        <v>3898414.3507414935</v>
      </c>
      <c r="I25" s="121">
        <f t="shared" si="22"/>
        <v>4091317.9700701502</v>
      </c>
      <c r="J25" s="127">
        <f t="shared" si="22"/>
        <v>4286445.9606907656</v>
      </c>
      <c r="K25" t="s">
        <v>185</v>
      </c>
      <c r="L25" s="121">
        <f>L4+L13+L23</f>
        <v>3966844.1875</v>
      </c>
      <c r="M25" s="121">
        <f>M4+M13+M23</f>
        <v>3152161.7045312501</v>
      </c>
      <c r="N25" s="121">
        <f t="shared" ref="N25:S25" si="23">N4+N13+N23</f>
        <v>3334582.724248047</v>
      </c>
      <c r="O25" s="121">
        <f t="shared" si="23"/>
        <v>3519883.2777325436</v>
      </c>
      <c r="P25" s="121">
        <f t="shared" si="23"/>
        <v>3707883.3941242602</v>
      </c>
      <c r="Q25" s="121">
        <f t="shared" si="23"/>
        <v>3898414.3507414935</v>
      </c>
      <c r="R25" s="121">
        <f t="shared" si="23"/>
        <v>4091317.9700701502</v>
      </c>
      <c r="S25" s="121">
        <f t="shared" si="23"/>
        <v>4286445.9606907656</v>
      </c>
    </row>
    <row r="27" spans="2:19" x14ac:dyDescent="0.25">
      <c r="D27" s="7" t="s">
        <v>186</v>
      </c>
    </row>
    <row r="29" spans="2:19" x14ac:dyDescent="0.25">
      <c r="B29" t="s">
        <v>187</v>
      </c>
    </row>
    <row r="31" spans="2:19" x14ac:dyDescent="0.25">
      <c r="B31" t="s">
        <v>188</v>
      </c>
      <c r="F31" s="136" t="s">
        <v>373</v>
      </c>
    </row>
    <row r="32" spans="2:19" x14ac:dyDescent="0.25">
      <c r="B32" t="s">
        <v>189</v>
      </c>
    </row>
    <row r="33" spans="2:6" x14ac:dyDescent="0.25">
      <c r="B33" t="s">
        <v>190</v>
      </c>
    </row>
    <row r="35" spans="2:6" x14ac:dyDescent="0.25">
      <c r="B35" t="s">
        <v>191</v>
      </c>
    </row>
    <row r="36" spans="2:6" x14ac:dyDescent="0.25">
      <c r="B36" t="s">
        <v>192</v>
      </c>
      <c r="F36" t="s">
        <v>193</v>
      </c>
    </row>
    <row r="39" spans="2:6" x14ac:dyDescent="0.25">
      <c r="F39" t="s">
        <v>374</v>
      </c>
    </row>
    <row r="40" spans="2:6" x14ac:dyDescent="0.25">
      <c r="E40" s="121">
        <v>400</v>
      </c>
      <c r="F40" t="s">
        <v>375</v>
      </c>
    </row>
    <row r="41" spans="2:6" x14ac:dyDescent="0.25">
      <c r="E41" s="121">
        <v>108.63</v>
      </c>
      <c r="F41" t="s">
        <v>376</v>
      </c>
    </row>
    <row r="42" spans="2:6" x14ac:dyDescent="0.25">
      <c r="E42" s="121">
        <v>386</v>
      </c>
      <c r="F42" t="s">
        <v>377</v>
      </c>
    </row>
    <row r="43" spans="2:6" x14ac:dyDescent="0.25">
      <c r="E43" s="121">
        <f>E40*12+E41*12+E42*12</f>
        <v>10735.56</v>
      </c>
    </row>
    <row r="45" spans="2:6" x14ac:dyDescent="0.25">
      <c r="C45" t="s">
        <v>378</v>
      </c>
    </row>
    <row r="46" spans="2:6" x14ac:dyDescent="0.25">
      <c r="C46" t="s">
        <v>379</v>
      </c>
    </row>
    <row r="47" spans="2:6" x14ac:dyDescent="0.25">
      <c r="C47" t="s">
        <v>380</v>
      </c>
    </row>
    <row r="48" spans="2:6" x14ac:dyDescent="0.25">
      <c r="C48" t="s">
        <v>381</v>
      </c>
    </row>
    <row r="49" spans="3:3" x14ac:dyDescent="0.25">
      <c r="C49" t="s">
        <v>382</v>
      </c>
    </row>
  </sheetData>
  <hyperlinks>
    <hyperlink ref="F31" r:id="rId1" xr:uid="{E13E6AD9-29BD-4C39-B960-E30E748E81F6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A3C2-271B-4B2D-A106-66A85A994E5D}">
  <sheetPr>
    <tabColor rgb="FF92D050"/>
  </sheetPr>
  <dimension ref="A1:P98"/>
  <sheetViews>
    <sheetView topLeftCell="A30" zoomScale="91" zoomScaleNormal="91" workbookViewId="0">
      <selection activeCell="L61" sqref="L61"/>
    </sheetView>
  </sheetViews>
  <sheetFormatPr defaultColWidth="8.6640625" defaultRowHeight="13.2" x14ac:dyDescent="0.25"/>
  <cols>
    <col min="1" max="1" width="26.109375" bestFit="1" customWidth="1"/>
    <col min="2" max="2" width="13.44140625" bestFit="1" customWidth="1"/>
    <col min="4" max="4" width="13" customWidth="1"/>
    <col min="5" max="5" width="18.6640625" style="23" bestFit="1" customWidth="1"/>
    <col min="6" max="6" width="14.6640625" style="24" customWidth="1"/>
    <col min="7" max="7" width="17.6640625" style="23" customWidth="1"/>
    <col min="8" max="8" width="10" style="23" customWidth="1"/>
    <col min="9" max="9" width="11.44140625" style="23" bestFit="1" customWidth="1"/>
    <col min="10" max="10" width="7.33203125" style="23" bestFit="1" customWidth="1"/>
    <col min="11" max="11" width="15.109375" style="23" bestFit="1" customWidth="1"/>
    <col min="12" max="12" width="14.44140625" style="24" bestFit="1" customWidth="1"/>
    <col min="13" max="13" width="16.44140625" style="25" bestFit="1" customWidth="1"/>
    <col min="14" max="14" width="18.6640625" style="25" bestFit="1" customWidth="1"/>
    <col min="15" max="15" width="14.44140625" style="24" customWidth="1"/>
    <col min="16" max="16" width="12.6640625" customWidth="1"/>
  </cols>
  <sheetData>
    <row r="1" spans="1:16" x14ac:dyDescent="0.25">
      <c r="A1" t="s">
        <v>141</v>
      </c>
      <c r="B1" s="3">
        <f>'Liabilities Long'!G4</f>
        <v>450000</v>
      </c>
      <c r="D1" t="s">
        <v>142</v>
      </c>
      <c r="E1" s="24" t="s">
        <v>143</v>
      </c>
      <c r="F1" s="24" t="s">
        <v>144</v>
      </c>
      <c r="G1" s="24" t="s">
        <v>194</v>
      </c>
      <c r="H1" s="24" t="s">
        <v>195</v>
      </c>
      <c r="I1" s="24" t="s">
        <v>11</v>
      </c>
      <c r="J1" s="24" t="s">
        <v>10</v>
      </c>
      <c r="K1" s="24" t="s">
        <v>147</v>
      </c>
      <c r="L1" s="24" t="s">
        <v>148</v>
      </c>
      <c r="M1" s="25" t="s">
        <v>149</v>
      </c>
      <c r="N1" s="25" t="s">
        <v>150</v>
      </c>
      <c r="O1" s="24" t="s">
        <v>151</v>
      </c>
      <c r="P1" t="s">
        <v>152</v>
      </c>
    </row>
    <row r="2" spans="1:16" x14ac:dyDescent="0.25">
      <c r="A2" t="s">
        <v>153</v>
      </c>
      <c r="B2">
        <f>'Liabilities Long'!I4</f>
        <v>8</v>
      </c>
      <c r="D2" t="str">
        <f>_xlfn.CONCAT(Tbl_Loan3[[#This Row],[Month number]],Tbl_Loan3[[#This Row],[Year]])</f>
        <v>12019</v>
      </c>
      <c r="E2" s="23">
        <v>1</v>
      </c>
      <c r="F2" s="28">
        <v>43490</v>
      </c>
      <c r="G2" s="23">
        <f>MONTH(Tbl_Loan3[[#This Row],[Payment date]])</f>
        <v>1</v>
      </c>
      <c r="H2" s="23" t="str">
        <f>VLOOKUP(Tbl_Loan3[[#This Row],[Month number]],Tbl_Months[],2,FALSE)</f>
        <v>January</v>
      </c>
      <c r="I2" s="23" t="str">
        <f>VLOOKUP(Tbl_Loan3[[#This Row],[Month number]],Tbl_Months[],3,FALSE)</f>
        <v>I</v>
      </c>
      <c r="J2" s="23">
        <f>YEAR(Tbl_Loan3[[#This Row],[Payment date]])</f>
        <v>2019</v>
      </c>
      <c r="K2" s="23" t="str">
        <f>_xlfn.CONCAT(Tbl_Loan3[[#This Row],[Year]],Tbl_Loan3[[#This Row],[Quarter]])</f>
        <v>2019I</v>
      </c>
      <c r="L2" s="25">
        <f t="shared" ref="L2:L33" si="0">IF(O1="Residual debt",B$1,O1)</f>
        <v>450000</v>
      </c>
      <c r="M2" s="25">
        <f>B$5*Tbl_Loan3[[#This Row],[Initial debt]]</f>
        <v>1875</v>
      </c>
      <c r="N2" s="25">
        <f t="shared" ref="N2:N65" si="1">B$8</f>
        <v>4687.5</v>
      </c>
      <c r="O2" s="25">
        <f>MAX(0,Tbl_Loan3[[#This Row],[Initial debt]]-Tbl_Loan3[[#This Row],[Redemption amount]])</f>
        <v>445312.5</v>
      </c>
      <c r="P2" s="25">
        <f>Tbl_Loan3[[#This Row],[Interest amount]]+Tbl_Loan3[[#This Row],[Redemption amount]]</f>
        <v>6562.5</v>
      </c>
    </row>
    <row r="3" spans="1:16" x14ac:dyDescent="0.25">
      <c r="A3" t="s">
        <v>154</v>
      </c>
      <c r="B3">
        <f>'Liabilities Long'!J4</f>
        <v>96</v>
      </c>
      <c r="D3" t="str">
        <f>_xlfn.CONCAT(Tbl_Loan3[[#This Row],[Month number]],Tbl_Loan3[[#This Row],[Year]])</f>
        <v>22019</v>
      </c>
      <c r="E3" s="23">
        <f>E2+1</f>
        <v>2</v>
      </c>
      <c r="F3" s="28">
        <v>43521</v>
      </c>
      <c r="G3" s="23">
        <f>MONTH(Tbl_Loan3[[#This Row],[Payment date]])</f>
        <v>2</v>
      </c>
      <c r="H3" s="23" t="str">
        <f>VLOOKUP(Tbl_Loan3[[#This Row],[Month number]],Tbl_Months[],2,FALSE)</f>
        <v>February</v>
      </c>
      <c r="I3" s="23" t="str">
        <f>VLOOKUP(Tbl_Loan3[[#This Row],[Month number]],Tbl_Months[],3,FALSE)</f>
        <v>I</v>
      </c>
      <c r="J3" s="23">
        <f>YEAR(Tbl_Loan3[[#This Row],[Payment date]])</f>
        <v>2019</v>
      </c>
      <c r="K3" s="23" t="str">
        <f>_xlfn.CONCAT(Tbl_Loan3[[#This Row],[Year]],Tbl_Loan3[[#This Row],[Quarter]])</f>
        <v>2019I</v>
      </c>
      <c r="L3" s="25">
        <f t="shared" si="0"/>
        <v>445312.5</v>
      </c>
      <c r="M3" s="25">
        <f>B$5*Tbl_Loan3[[#This Row],[Initial debt]]</f>
        <v>1855.46875</v>
      </c>
      <c r="N3" s="25">
        <f t="shared" si="1"/>
        <v>4687.5</v>
      </c>
      <c r="O3" s="25">
        <f>MAX(0,Tbl_Loan3[[#This Row],[Initial debt]]-Tbl_Loan3[[#This Row],[Redemption amount]])</f>
        <v>440625</v>
      </c>
      <c r="P3" s="25">
        <f>Tbl_Loan3[[#This Row],[Interest amount]]+Tbl_Loan3[[#This Row],[Redemption amount]]</f>
        <v>6542.96875</v>
      </c>
    </row>
    <row r="4" spans="1:16" x14ac:dyDescent="0.25">
      <c r="A4" t="s">
        <v>155</v>
      </c>
      <c r="B4" s="11">
        <f>Tbl_LTL[[#This Row],[Interest% per year]]</f>
        <v>0.05</v>
      </c>
      <c r="D4" t="str">
        <f>_xlfn.CONCAT(Tbl_Loan3[[#This Row],[Month number]],Tbl_Loan3[[#This Row],[Year]])</f>
        <v>32019</v>
      </c>
      <c r="E4" s="23">
        <f>E3+1</f>
        <v>3</v>
      </c>
      <c r="F4" s="28">
        <v>43549</v>
      </c>
      <c r="G4" s="23">
        <f>MONTH(Tbl_Loan3[[#This Row],[Payment date]])</f>
        <v>3</v>
      </c>
      <c r="H4" s="23" t="str">
        <f>VLOOKUP(Tbl_Loan3[[#This Row],[Month number]],Tbl_Months[],2,FALSE)</f>
        <v>March</v>
      </c>
      <c r="I4" s="23" t="str">
        <f>VLOOKUP(Tbl_Loan3[[#This Row],[Month number]],Tbl_Months[],3,FALSE)</f>
        <v>I</v>
      </c>
      <c r="J4" s="23">
        <f>YEAR(Tbl_Loan3[[#This Row],[Payment date]])</f>
        <v>2019</v>
      </c>
      <c r="K4" s="23" t="str">
        <f>_xlfn.CONCAT(Tbl_Loan3[[#This Row],[Year]],Tbl_Loan3[[#This Row],[Quarter]])</f>
        <v>2019I</v>
      </c>
      <c r="L4" s="25">
        <f t="shared" si="0"/>
        <v>440625</v>
      </c>
      <c r="M4" s="25">
        <f>B$5*Tbl_Loan3[[#This Row],[Initial debt]]</f>
        <v>1835.9375</v>
      </c>
      <c r="N4" s="25">
        <f t="shared" si="1"/>
        <v>4687.5</v>
      </c>
      <c r="O4" s="25">
        <f>MAX(0,Tbl_Loan3[[#This Row],[Initial debt]]-Tbl_Loan3[[#This Row],[Redemption amount]])</f>
        <v>435937.5</v>
      </c>
      <c r="P4" s="25">
        <f>Tbl_Loan3[[#This Row],[Interest amount]]+Tbl_Loan3[[#This Row],[Redemption amount]]</f>
        <v>6523.4375</v>
      </c>
    </row>
    <row r="5" spans="1:16" x14ac:dyDescent="0.25">
      <c r="A5" t="s">
        <v>156</v>
      </c>
      <c r="B5" s="13">
        <f>B4/12</f>
        <v>4.1666666666666666E-3</v>
      </c>
      <c r="D5" t="str">
        <f>_xlfn.CONCAT(Tbl_Loan3[[#This Row],[Month number]],Tbl_Loan3[[#This Row],[Year]])</f>
        <v>42019</v>
      </c>
      <c r="E5" s="23">
        <f t="shared" ref="E5:E68" si="2">E4+1</f>
        <v>4</v>
      </c>
      <c r="F5" s="28">
        <v>43580</v>
      </c>
      <c r="G5" s="23">
        <f>MONTH(Tbl_Loan3[[#This Row],[Payment date]])</f>
        <v>4</v>
      </c>
      <c r="H5" s="23" t="str">
        <f>VLOOKUP(Tbl_Loan3[[#This Row],[Month number]],Tbl_Months[],2,FALSE)</f>
        <v>April</v>
      </c>
      <c r="I5" s="23" t="str">
        <f>VLOOKUP(Tbl_Loan3[[#This Row],[Month number]],Tbl_Months[],3,FALSE)</f>
        <v>II</v>
      </c>
      <c r="J5" s="23">
        <f>YEAR(Tbl_Loan3[[#This Row],[Payment date]])</f>
        <v>2019</v>
      </c>
      <c r="K5" s="23" t="str">
        <f>_xlfn.CONCAT(Tbl_Loan3[[#This Row],[Year]],Tbl_Loan3[[#This Row],[Quarter]])</f>
        <v>2019II</v>
      </c>
      <c r="L5" s="25">
        <f t="shared" si="0"/>
        <v>435937.5</v>
      </c>
      <c r="M5" s="25">
        <f>B$5*Tbl_Loan3[[#This Row],[Initial debt]]</f>
        <v>1816.40625</v>
      </c>
      <c r="N5" s="25">
        <f t="shared" si="1"/>
        <v>4687.5</v>
      </c>
      <c r="O5" s="25">
        <f>MAX(0,Tbl_Loan3[[#This Row],[Initial debt]]-Tbl_Loan3[[#This Row],[Redemption amount]])</f>
        <v>431250</v>
      </c>
      <c r="P5" s="25">
        <f>Tbl_Loan3[[#This Row],[Interest amount]]+Tbl_Loan3[[#This Row],[Redemption amount]]</f>
        <v>6503.90625</v>
      </c>
    </row>
    <row r="6" spans="1:16" x14ac:dyDescent="0.25">
      <c r="B6" s="14"/>
      <c r="D6" t="str">
        <f>_xlfn.CONCAT(Tbl_Loan3[[#This Row],[Month number]],Tbl_Loan3[[#This Row],[Year]])</f>
        <v>52019</v>
      </c>
      <c r="E6" s="23">
        <f t="shared" si="2"/>
        <v>5</v>
      </c>
      <c r="F6" s="28">
        <v>43610</v>
      </c>
      <c r="G6" s="23">
        <f>MONTH(Tbl_Loan3[[#This Row],[Payment date]])</f>
        <v>5</v>
      </c>
      <c r="H6" s="23" t="str">
        <f>VLOOKUP(Tbl_Loan3[[#This Row],[Month number]],Tbl_Months[],2,FALSE)</f>
        <v>May</v>
      </c>
      <c r="I6" s="23" t="str">
        <f>VLOOKUP(Tbl_Loan3[[#This Row],[Month number]],Tbl_Months[],3,FALSE)</f>
        <v>II</v>
      </c>
      <c r="J6" s="23">
        <f>YEAR(Tbl_Loan3[[#This Row],[Payment date]])</f>
        <v>2019</v>
      </c>
      <c r="K6" s="23" t="str">
        <f>_xlfn.CONCAT(Tbl_Loan3[[#This Row],[Year]],Tbl_Loan3[[#This Row],[Quarter]])</f>
        <v>2019II</v>
      </c>
      <c r="L6" s="25">
        <f t="shared" si="0"/>
        <v>431250</v>
      </c>
      <c r="M6" s="25">
        <f>B$5*Tbl_Loan3[[#This Row],[Initial debt]]</f>
        <v>1796.875</v>
      </c>
      <c r="N6" s="25">
        <f t="shared" si="1"/>
        <v>4687.5</v>
      </c>
      <c r="O6" s="25">
        <f>MAX(0,Tbl_Loan3[[#This Row],[Initial debt]]-Tbl_Loan3[[#This Row],[Redemption amount]])</f>
        <v>426562.5</v>
      </c>
      <c r="P6" s="25">
        <f>Tbl_Loan3[[#This Row],[Interest amount]]+Tbl_Loan3[[#This Row],[Redemption amount]]</f>
        <v>6484.375</v>
      </c>
    </row>
    <row r="7" spans="1:16" x14ac:dyDescent="0.25">
      <c r="A7" t="s">
        <v>157</v>
      </c>
      <c r="B7" s="6">
        <f>B1/B2</f>
        <v>56250</v>
      </c>
      <c r="D7" t="str">
        <f>_xlfn.CONCAT(Tbl_Loan3[[#This Row],[Month number]],Tbl_Loan3[[#This Row],[Year]])</f>
        <v>62019</v>
      </c>
      <c r="E7" s="23">
        <f t="shared" si="2"/>
        <v>6</v>
      </c>
      <c r="F7" s="28">
        <v>43641</v>
      </c>
      <c r="G7" s="23">
        <f>MONTH(Tbl_Loan3[[#This Row],[Payment date]])</f>
        <v>6</v>
      </c>
      <c r="H7" s="23" t="str">
        <f>VLOOKUP(Tbl_Loan3[[#This Row],[Month number]],Tbl_Months[],2,FALSE)</f>
        <v>June</v>
      </c>
      <c r="I7" s="23" t="str">
        <f>VLOOKUP(Tbl_Loan3[[#This Row],[Month number]],Tbl_Months[],3,FALSE)</f>
        <v>II</v>
      </c>
      <c r="J7" s="23">
        <f>YEAR(Tbl_Loan3[[#This Row],[Payment date]])</f>
        <v>2019</v>
      </c>
      <c r="K7" s="23" t="str">
        <f>_xlfn.CONCAT(Tbl_Loan3[[#This Row],[Year]],Tbl_Loan3[[#This Row],[Quarter]])</f>
        <v>2019II</v>
      </c>
      <c r="L7" s="25">
        <f t="shared" si="0"/>
        <v>426562.5</v>
      </c>
      <c r="M7" s="25">
        <f>B$5*Tbl_Loan3[[#This Row],[Initial debt]]</f>
        <v>1777.34375</v>
      </c>
      <c r="N7" s="25">
        <f t="shared" si="1"/>
        <v>4687.5</v>
      </c>
      <c r="O7" s="25">
        <f>MAX(0,Tbl_Loan3[[#This Row],[Initial debt]]-Tbl_Loan3[[#This Row],[Redemption amount]])</f>
        <v>421875</v>
      </c>
      <c r="P7" s="25">
        <f>Tbl_Loan3[[#This Row],[Interest amount]]+Tbl_Loan3[[#This Row],[Redemption amount]]</f>
        <v>6464.84375</v>
      </c>
    </row>
    <row r="8" spans="1:16" x14ac:dyDescent="0.25">
      <c r="A8" t="s">
        <v>158</v>
      </c>
      <c r="B8" s="6">
        <f>B1/B3</f>
        <v>4687.5</v>
      </c>
      <c r="D8" t="str">
        <f>_xlfn.CONCAT(Tbl_Loan3[[#This Row],[Month number]],Tbl_Loan3[[#This Row],[Year]])</f>
        <v>72019</v>
      </c>
      <c r="E8" s="23">
        <f t="shared" si="2"/>
        <v>7</v>
      </c>
      <c r="F8" s="28">
        <v>43671</v>
      </c>
      <c r="G8" s="23">
        <f>MONTH(Tbl_Loan3[[#This Row],[Payment date]])</f>
        <v>7</v>
      </c>
      <c r="H8" s="23" t="str">
        <f>VLOOKUP(Tbl_Loan3[[#This Row],[Month number]],Tbl_Months[],2,FALSE)</f>
        <v>July</v>
      </c>
      <c r="I8" s="23" t="str">
        <f>VLOOKUP(Tbl_Loan3[[#This Row],[Month number]],Tbl_Months[],3,FALSE)</f>
        <v>III</v>
      </c>
      <c r="J8" s="23">
        <f>YEAR(Tbl_Loan3[[#This Row],[Payment date]])</f>
        <v>2019</v>
      </c>
      <c r="K8" s="23" t="str">
        <f>_xlfn.CONCAT(Tbl_Loan3[[#This Row],[Year]],Tbl_Loan3[[#This Row],[Quarter]])</f>
        <v>2019III</v>
      </c>
      <c r="L8" s="25">
        <f t="shared" si="0"/>
        <v>421875</v>
      </c>
      <c r="M8" s="25">
        <f>B$5*Tbl_Loan3[[#This Row],[Initial debt]]</f>
        <v>1757.8125</v>
      </c>
      <c r="N8" s="25">
        <f t="shared" si="1"/>
        <v>4687.5</v>
      </c>
      <c r="O8" s="25">
        <f>MAX(0,Tbl_Loan3[[#This Row],[Initial debt]]-Tbl_Loan3[[#This Row],[Redemption amount]])</f>
        <v>417187.5</v>
      </c>
      <c r="P8" s="25">
        <f>Tbl_Loan3[[#This Row],[Interest amount]]+Tbl_Loan3[[#This Row],[Redemption amount]]</f>
        <v>6445.3125</v>
      </c>
    </row>
    <row r="9" spans="1:16" x14ac:dyDescent="0.25">
      <c r="D9" t="str">
        <f>_xlfn.CONCAT(Tbl_Loan3[[#This Row],[Month number]],Tbl_Loan3[[#This Row],[Year]])</f>
        <v>82019</v>
      </c>
      <c r="E9" s="23">
        <f t="shared" si="2"/>
        <v>8</v>
      </c>
      <c r="F9" s="28">
        <v>43702</v>
      </c>
      <c r="G9" s="23">
        <f>MONTH(Tbl_Loan3[[#This Row],[Payment date]])</f>
        <v>8</v>
      </c>
      <c r="H9" s="23" t="str">
        <f>VLOOKUP(Tbl_Loan3[[#This Row],[Month number]],Tbl_Months[],2,FALSE)</f>
        <v>August</v>
      </c>
      <c r="I9" s="23" t="str">
        <f>VLOOKUP(Tbl_Loan3[[#This Row],[Month number]],Tbl_Months[],3,FALSE)</f>
        <v>III</v>
      </c>
      <c r="J9" s="23">
        <f>YEAR(Tbl_Loan3[[#This Row],[Payment date]])</f>
        <v>2019</v>
      </c>
      <c r="K9" s="23" t="str">
        <f>_xlfn.CONCAT(Tbl_Loan3[[#This Row],[Year]],Tbl_Loan3[[#This Row],[Quarter]])</f>
        <v>2019III</v>
      </c>
      <c r="L9" s="25">
        <f t="shared" si="0"/>
        <v>417187.5</v>
      </c>
      <c r="M9" s="25">
        <f>B$5*Tbl_Loan3[[#This Row],[Initial debt]]</f>
        <v>1738.28125</v>
      </c>
      <c r="N9" s="25">
        <f t="shared" si="1"/>
        <v>4687.5</v>
      </c>
      <c r="O9" s="25">
        <f>MAX(0,Tbl_Loan3[[#This Row],[Initial debt]]-Tbl_Loan3[[#This Row],[Redemption amount]])</f>
        <v>412500</v>
      </c>
      <c r="P9" s="25">
        <f>Tbl_Loan3[[#This Row],[Interest amount]]+Tbl_Loan3[[#This Row],[Redemption amount]]</f>
        <v>6425.78125</v>
      </c>
    </row>
    <row r="10" spans="1:16" x14ac:dyDescent="0.25">
      <c r="D10" t="str">
        <f>_xlfn.CONCAT(Tbl_Loan3[[#This Row],[Month number]],Tbl_Loan3[[#This Row],[Year]])</f>
        <v>92019</v>
      </c>
      <c r="E10" s="23">
        <f t="shared" si="2"/>
        <v>9</v>
      </c>
      <c r="F10" s="28">
        <v>43733</v>
      </c>
      <c r="G10" s="23">
        <f>MONTH(Tbl_Loan3[[#This Row],[Payment date]])</f>
        <v>9</v>
      </c>
      <c r="H10" s="23" t="str">
        <f>VLOOKUP(Tbl_Loan3[[#This Row],[Month number]],Tbl_Months[],2,FALSE)</f>
        <v>September</v>
      </c>
      <c r="I10" s="23" t="str">
        <f>VLOOKUP(Tbl_Loan3[[#This Row],[Month number]],Tbl_Months[],3,FALSE)</f>
        <v>III</v>
      </c>
      <c r="J10" s="23">
        <f>YEAR(Tbl_Loan3[[#This Row],[Payment date]])</f>
        <v>2019</v>
      </c>
      <c r="K10" s="23" t="str">
        <f>_xlfn.CONCAT(Tbl_Loan3[[#This Row],[Year]],Tbl_Loan3[[#This Row],[Quarter]])</f>
        <v>2019III</v>
      </c>
      <c r="L10" s="25">
        <f t="shared" si="0"/>
        <v>412500</v>
      </c>
      <c r="M10" s="25">
        <f>B$5*Tbl_Loan3[[#This Row],[Initial debt]]</f>
        <v>1718.75</v>
      </c>
      <c r="N10" s="25">
        <f t="shared" si="1"/>
        <v>4687.5</v>
      </c>
      <c r="O10" s="25">
        <f>MAX(0,Tbl_Loan3[[#This Row],[Initial debt]]-Tbl_Loan3[[#This Row],[Redemption amount]])</f>
        <v>407812.5</v>
      </c>
      <c r="P10" s="25">
        <f>Tbl_Loan3[[#This Row],[Interest amount]]+Tbl_Loan3[[#This Row],[Redemption amount]]</f>
        <v>6406.25</v>
      </c>
    </row>
    <row r="11" spans="1:16" x14ac:dyDescent="0.25">
      <c r="D11" t="str">
        <f>_xlfn.CONCAT(Tbl_Loan3[[#This Row],[Month number]],Tbl_Loan3[[#This Row],[Year]])</f>
        <v>102019</v>
      </c>
      <c r="E11" s="23">
        <f t="shared" si="2"/>
        <v>10</v>
      </c>
      <c r="F11" s="28">
        <v>43763</v>
      </c>
      <c r="G11" s="23">
        <f>MONTH(Tbl_Loan3[[#This Row],[Payment date]])</f>
        <v>10</v>
      </c>
      <c r="H11" s="23" t="str">
        <f>VLOOKUP(Tbl_Loan3[[#This Row],[Month number]],Tbl_Months[],2,FALSE)</f>
        <v>October</v>
      </c>
      <c r="I11" s="23" t="str">
        <f>VLOOKUP(Tbl_Loan3[[#This Row],[Month number]],Tbl_Months[],3,FALSE)</f>
        <v>IV</v>
      </c>
      <c r="J11" s="23">
        <f>YEAR(Tbl_Loan3[[#This Row],[Payment date]])</f>
        <v>2019</v>
      </c>
      <c r="K11" s="23" t="str">
        <f>_xlfn.CONCAT(Tbl_Loan3[[#This Row],[Year]],Tbl_Loan3[[#This Row],[Quarter]])</f>
        <v>2019IV</v>
      </c>
      <c r="L11" s="25">
        <f t="shared" si="0"/>
        <v>407812.5</v>
      </c>
      <c r="M11" s="25">
        <f>B$5*Tbl_Loan3[[#This Row],[Initial debt]]</f>
        <v>1699.21875</v>
      </c>
      <c r="N11" s="25">
        <f t="shared" si="1"/>
        <v>4687.5</v>
      </c>
      <c r="O11" s="25">
        <f>MAX(0,Tbl_Loan3[[#This Row],[Initial debt]]-Tbl_Loan3[[#This Row],[Redemption amount]])</f>
        <v>403125</v>
      </c>
      <c r="P11" s="25">
        <f>Tbl_Loan3[[#This Row],[Interest amount]]+Tbl_Loan3[[#This Row],[Redemption amount]]</f>
        <v>6386.71875</v>
      </c>
    </row>
    <row r="12" spans="1:16" x14ac:dyDescent="0.25">
      <c r="D12" t="str">
        <f>_xlfn.CONCAT(Tbl_Loan3[[#This Row],[Month number]],Tbl_Loan3[[#This Row],[Year]])</f>
        <v>112019</v>
      </c>
      <c r="E12" s="23">
        <f t="shared" si="2"/>
        <v>11</v>
      </c>
      <c r="F12" s="28">
        <v>43794</v>
      </c>
      <c r="G12" s="23">
        <f>MONTH(Tbl_Loan3[[#This Row],[Payment date]])</f>
        <v>11</v>
      </c>
      <c r="H12" s="23" t="str">
        <f>VLOOKUP(Tbl_Loan3[[#This Row],[Month number]],Tbl_Months[],2,FALSE)</f>
        <v>November</v>
      </c>
      <c r="I12" s="23" t="str">
        <f>VLOOKUP(Tbl_Loan3[[#This Row],[Month number]],Tbl_Months[],3,FALSE)</f>
        <v>IV</v>
      </c>
      <c r="J12" s="23">
        <f>YEAR(Tbl_Loan3[[#This Row],[Payment date]])</f>
        <v>2019</v>
      </c>
      <c r="K12" s="23" t="str">
        <f>_xlfn.CONCAT(Tbl_Loan3[[#This Row],[Year]],Tbl_Loan3[[#This Row],[Quarter]])</f>
        <v>2019IV</v>
      </c>
      <c r="L12" s="25">
        <f t="shared" si="0"/>
        <v>403125</v>
      </c>
      <c r="M12" s="25">
        <f>B$5*Tbl_Loan3[[#This Row],[Initial debt]]</f>
        <v>1679.6875</v>
      </c>
      <c r="N12" s="25">
        <f t="shared" si="1"/>
        <v>4687.5</v>
      </c>
      <c r="O12" s="25">
        <f>MAX(0,Tbl_Loan3[[#This Row],[Initial debt]]-Tbl_Loan3[[#This Row],[Redemption amount]])</f>
        <v>398437.5</v>
      </c>
      <c r="P12" s="25">
        <f>Tbl_Loan3[[#This Row],[Interest amount]]+Tbl_Loan3[[#This Row],[Redemption amount]]</f>
        <v>6367.1875</v>
      </c>
    </row>
    <row r="13" spans="1:16" x14ac:dyDescent="0.25">
      <c r="B13" s="6"/>
      <c r="D13" t="str">
        <f>_xlfn.CONCAT(Tbl_Loan3[[#This Row],[Month number]],Tbl_Loan3[[#This Row],[Year]])</f>
        <v>122019</v>
      </c>
      <c r="E13" s="23">
        <f t="shared" si="2"/>
        <v>12</v>
      </c>
      <c r="F13" s="28">
        <v>43824</v>
      </c>
      <c r="G13" s="23">
        <f>MONTH(Tbl_Loan3[[#This Row],[Payment date]])</f>
        <v>12</v>
      </c>
      <c r="H13" s="23" t="str">
        <f>VLOOKUP(Tbl_Loan3[[#This Row],[Month number]],Tbl_Months[],2,FALSE)</f>
        <v>December</v>
      </c>
      <c r="I13" s="23" t="str">
        <f>VLOOKUP(Tbl_Loan3[[#This Row],[Month number]],Tbl_Months[],3,FALSE)</f>
        <v>IV</v>
      </c>
      <c r="J13" s="23">
        <f>YEAR(Tbl_Loan3[[#This Row],[Payment date]])</f>
        <v>2019</v>
      </c>
      <c r="K13" s="23" t="str">
        <f>_xlfn.CONCAT(Tbl_Loan3[[#This Row],[Year]],Tbl_Loan3[[#This Row],[Quarter]])</f>
        <v>2019IV</v>
      </c>
      <c r="L13" s="25">
        <f t="shared" si="0"/>
        <v>398437.5</v>
      </c>
      <c r="M13" s="25">
        <f>B$5*Tbl_Loan3[[#This Row],[Initial debt]]</f>
        <v>1660.15625</v>
      </c>
      <c r="N13" s="25">
        <f t="shared" si="1"/>
        <v>4687.5</v>
      </c>
      <c r="O13" s="25">
        <f>MAX(0,Tbl_Loan3[[#This Row],[Initial debt]]-Tbl_Loan3[[#This Row],[Redemption amount]])</f>
        <v>393750</v>
      </c>
      <c r="P13" s="25">
        <f>Tbl_Loan3[[#This Row],[Interest amount]]+Tbl_Loan3[[#This Row],[Redemption amount]]</f>
        <v>6347.65625</v>
      </c>
    </row>
    <row r="14" spans="1:16" x14ac:dyDescent="0.25">
      <c r="D14" t="str">
        <f>_xlfn.CONCAT(Tbl_Loan3[[#This Row],[Month number]],Tbl_Loan3[[#This Row],[Year]])</f>
        <v>12020</v>
      </c>
      <c r="E14" s="23">
        <f t="shared" si="2"/>
        <v>13</v>
      </c>
      <c r="F14" s="28">
        <v>43855</v>
      </c>
      <c r="G14" s="23">
        <f>MONTH(Tbl_Loan3[[#This Row],[Payment date]])</f>
        <v>1</v>
      </c>
      <c r="H14" s="23" t="str">
        <f>VLOOKUP(Tbl_Loan3[[#This Row],[Month number]],Tbl_Months[],2,FALSE)</f>
        <v>January</v>
      </c>
      <c r="I14" s="23" t="str">
        <f>VLOOKUP(Tbl_Loan3[[#This Row],[Month number]],Tbl_Months[],3,FALSE)</f>
        <v>I</v>
      </c>
      <c r="J14" s="23">
        <f>YEAR(Tbl_Loan3[[#This Row],[Payment date]])</f>
        <v>2020</v>
      </c>
      <c r="K14" s="23" t="str">
        <f>_xlfn.CONCAT(Tbl_Loan3[[#This Row],[Year]],Tbl_Loan3[[#This Row],[Quarter]])</f>
        <v>2020I</v>
      </c>
      <c r="L14" s="25">
        <f t="shared" si="0"/>
        <v>393750</v>
      </c>
      <c r="M14" s="25">
        <f>B$5*Tbl_Loan3[[#This Row],[Initial debt]]</f>
        <v>1640.625</v>
      </c>
      <c r="N14" s="25">
        <f t="shared" si="1"/>
        <v>4687.5</v>
      </c>
      <c r="O14" s="25">
        <f>MAX(0,Tbl_Loan3[[#This Row],[Initial debt]]-Tbl_Loan3[[#This Row],[Redemption amount]])</f>
        <v>389062.5</v>
      </c>
      <c r="P14" s="25">
        <f>Tbl_Loan3[[#This Row],[Interest amount]]+Tbl_Loan3[[#This Row],[Redemption amount]]</f>
        <v>6328.125</v>
      </c>
    </row>
    <row r="15" spans="1:16" x14ac:dyDescent="0.25">
      <c r="D15" t="str">
        <f>_xlfn.CONCAT(Tbl_Loan3[[#This Row],[Month number]],Tbl_Loan3[[#This Row],[Year]])</f>
        <v>22020</v>
      </c>
      <c r="E15" s="23">
        <f t="shared" si="2"/>
        <v>14</v>
      </c>
      <c r="F15" s="28">
        <v>43886</v>
      </c>
      <c r="G15" s="23">
        <f>MONTH(Tbl_Loan3[[#This Row],[Payment date]])</f>
        <v>2</v>
      </c>
      <c r="H15" s="23" t="str">
        <f>VLOOKUP(Tbl_Loan3[[#This Row],[Month number]],Tbl_Months[],2,FALSE)</f>
        <v>February</v>
      </c>
      <c r="I15" s="23" t="str">
        <f>VLOOKUP(Tbl_Loan3[[#This Row],[Month number]],Tbl_Months[],3,FALSE)</f>
        <v>I</v>
      </c>
      <c r="J15" s="23">
        <f>YEAR(Tbl_Loan3[[#This Row],[Payment date]])</f>
        <v>2020</v>
      </c>
      <c r="K15" s="23" t="str">
        <f>_xlfn.CONCAT(Tbl_Loan3[[#This Row],[Year]],Tbl_Loan3[[#This Row],[Quarter]])</f>
        <v>2020I</v>
      </c>
      <c r="L15" s="25">
        <f t="shared" si="0"/>
        <v>389062.5</v>
      </c>
      <c r="M15" s="25">
        <f>B$5*Tbl_Loan3[[#This Row],[Initial debt]]</f>
        <v>1621.09375</v>
      </c>
      <c r="N15" s="25">
        <f t="shared" si="1"/>
        <v>4687.5</v>
      </c>
      <c r="O15" s="25">
        <f>MAX(0,Tbl_Loan3[[#This Row],[Initial debt]]-Tbl_Loan3[[#This Row],[Redemption amount]])</f>
        <v>384375</v>
      </c>
      <c r="P15" s="25">
        <f>Tbl_Loan3[[#This Row],[Interest amount]]+Tbl_Loan3[[#This Row],[Redemption amount]]</f>
        <v>6308.59375</v>
      </c>
    </row>
    <row r="16" spans="1:16" x14ac:dyDescent="0.25">
      <c r="D16" t="str">
        <f>_xlfn.CONCAT(Tbl_Loan3[[#This Row],[Month number]],Tbl_Loan3[[#This Row],[Year]])</f>
        <v>32020</v>
      </c>
      <c r="E16" s="23">
        <f t="shared" si="2"/>
        <v>15</v>
      </c>
      <c r="F16" s="28">
        <v>43915</v>
      </c>
      <c r="G16" s="23">
        <f>MONTH(Tbl_Loan3[[#This Row],[Payment date]])</f>
        <v>3</v>
      </c>
      <c r="H16" s="23" t="str">
        <f>VLOOKUP(Tbl_Loan3[[#This Row],[Month number]],Tbl_Months[],2,FALSE)</f>
        <v>March</v>
      </c>
      <c r="I16" s="23" t="str">
        <f>VLOOKUP(Tbl_Loan3[[#This Row],[Month number]],Tbl_Months[],3,FALSE)</f>
        <v>I</v>
      </c>
      <c r="J16" s="23">
        <f>YEAR(Tbl_Loan3[[#This Row],[Payment date]])</f>
        <v>2020</v>
      </c>
      <c r="K16" s="23" t="str">
        <f>_xlfn.CONCAT(Tbl_Loan3[[#This Row],[Year]],Tbl_Loan3[[#This Row],[Quarter]])</f>
        <v>2020I</v>
      </c>
      <c r="L16" s="25">
        <f t="shared" si="0"/>
        <v>384375</v>
      </c>
      <c r="M16" s="25">
        <f>B$5*Tbl_Loan3[[#This Row],[Initial debt]]</f>
        <v>1601.5625</v>
      </c>
      <c r="N16" s="25">
        <f t="shared" si="1"/>
        <v>4687.5</v>
      </c>
      <c r="O16" s="25">
        <f>MAX(0,Tbl_Loan3[[#This Row],[Initial debt]]-Tbl_Loan3[[#This Row],[Redemption amount]])</f>
        <v>379687.5</v>
      </c>
      <c r="P16" s="25">
        <f>Tbl_Loan3[[#This Row],[Interest amount]]+Tbl_Loan3[[#This Row],[Redemption amount]]</f>
        <v>6289.0625</v>
      </c>
    </row>
    <row r="17" spans="4:16" x14ac:dyDescent="0.25">
      <c r="D17" t="str">
        <f>_xlfn.CONCAT(Tbl_Loan3[[#This Row],[Month number]],Tbl_Loan3[[#This Row],[Year]])</f>
        <v>42020</v>
      </c>
      <c r="E17" s="23">
        <f t="shared" si="2"/>
        <v>16</v>
      </c>
      <c r="F17" s="28">
        <v>43946</v>
      </c>
      <c r="G17" s="23">
        <f>MONTH(Tbl_Loan3[[#This Row],[Payment date]])</f>
        <v>4</v>
      </c>
      <c r="H17" s="23" t="str">
        <f>VLOOKUP(Tbl_Loan3[[#This Row],[Month number]],Tbl_Months[],2,FALSE)</f>
        <v>April</v>
      </c>
      <c r="I17" s="23" t="str">
        <f>VLOOKUP(Tbl_Loan3[[#This Row],[Month number]],Tbl_Months[],3,FALSE)</f>
        <v>II</v>
      </c>
      <c r="J17" s="23">
        <f>YEAR(Tbl_Loan3[[#This Row],[Payment date]])</f>
        <v>2020</v>
      </c>
      <c r="K17" s="23" t="str">
        <f>_xlfn.CONCAT(Tbl_Loan3[[#This Row],[Year]],Tbl_Loan3[[#This Row],[Quarter]])</f>
        <v>2020II</v>
      </c>
      <c r="L17" s="25">
        <f t="shared" si="0"/>
        <v>379687.5</v>
      </c>
      <c r="M17" s="25">
        <f>B$5*Tbl_Loan3[[#This Row],[Initial debt]]</f>
        <v>1582.03125</v>
      </c>
      <c r="N17" s="25">
        <f t="shared" si="1"/>
        <v>4687.5</v>
      </c>
      <c r="O17" s="25">
        <f>MAX(0,Tbl_Loan3[[#This Row],[Initial debt]]-Tbl_Loan3[[#This Row],[Redemption amount]])</f>
        <v>375000</v>
      </c>
      <c r="P17" s="25">
        <f>Tbl_Loan3[[#This Row],[Interest amount]]+Tbl_Loan3[[#This Row],[Redemption amount]]</f>
        <v>6269.53125</v>
      </c>
    </row>
    <row r="18" spans="4:16" x14ac:dyDescent="0.25">
      <c r="D18" t="str">
        <f>_xlfn.CONCAT(Tbl_Loan3[[#This Row],[Month number]],Tbl_Loan3[[#This Row],[Year]])</f>
        <v>52020</v>
      </c>
      <c r="E18" s="23">
        <f t="shared" si="2"/>
        <v>17</v>
      </c>
      <c r="F18" s="28">
        <v>43976</v>
      </c>
      <c r="G18" s="23">
        <f>MONTH(Tbl_Loan3[[#This Row],[Payment date]])</f>
        <v>5</v>
      </c>
      <c r="H18" s="23" t="str">
        <f>VLOOKUP(Tbl_Loan3[[#This Row],[Month number]],Tbl_Months[],2,FALSE)</f>
        <v>May</v>
      </c>
      <c r="I18" s="23" t="str">
        <f>VLOOKUP(Tbl_Loan3[[#This Row],[Month number]],Tbl_Months[],3,FALSE)</f>
        <v>II</v>
      </c>
      <c r="J18" s="23">
        <f>YEAR(Tbl_Loan3[[#This Row],[Payment date]])</f>
        <v>2020</v>
      </c>
      <c r="K18" s="23" t="str">
        <f>_xlfn.CONCAT(Tbl_Loan3[[#This Row],[Year]],Tbl_Loan3[[#This Row],[Quarter]])</f>
        <v>2020II</v>
      </c>
      <c r="L18" s="25">
        <f t="shared" si="0"/>
        <v>375000</v>
      </c>
      <c r="M18" s="25">
        <f>B$5*Tbl_Loan3[[#This Row],[Initial debt]]</f>
        <v>1562.5</v>
      </c>
      <c r="N18" s="25">
        <f t="shared" si="1"/>
        <v>4687.5</v>
      </c>
      <c r="O18" s="25">
        <f>MAX(0,Tbl_Loan3[[#This Row],[Initial debt]]-Tbl_Loan3[[#This Row],[Redemption amount]])</f>
        <v>370312.5</v>
      </c>
      <c r="P18" s="25">
        <f>Tbl_Loan3[[#This Row],[Interest amount]]+Tbl_Loan3[[#This Row],[Redemption amount]]</f>
        <v>6250</v>
      </c>
    </row>
    <row r="19" spans="4:16" x14ac:dyDescent="0.25">
      <c r="D19" t="str">
        <f>_xlfn.CONCAT(Tbl_Loan3[[#This Row],[Month number]],Tbl_Loan3[[#This Row],[Year]])</f>
        <v>62020</v>
      </c>
      <c r="E19" s="23">
        <f t="shared" si="2"/>
        <v>18</v>
      </c>
      <c r="F19" s="28">
        <v>44007</v>
      </c>
      <c r="G19" s="23">
        <f>MONTH(Tbl_Loan3[[#This Row],[Payment date]])</f>
        <v>6</v>
      </c>
      <c r="H19" s="23" t="str">
        <f>VLOOKUP(Tbl_Loan3[[#This Row],[Month number]],Tbl_Months[],2,FALSE)</f>
        <v>June</v>
      </c>
      <c r="I19" s="23" t="str">
        <f>VLOOKUP(Tbl_Loan3[[#This Row],[Month number]],Tbl_Months[],3,FALSE)</f>
        <v>II</v>
      </c>
      <c r="J19" s="23">
        <f>YEAR(Tbl_Loan3[[#This Row],[Payment date]])</f>
        <v>2020</v>
      </c>
      <c r="K19" s="23" t="str">
        <f>_xlfn.CONCAT(Tbl_Loan3[[#This Row],[Year]],Tbl_Loan3[[#This Row],[Quarter]])</f>
        <v>2020II</v>
      </c>
      <c r="L19" s="25">
        <f t="shared" si="0"/>
        <v>370312.5</v>
      </c>
      <c r="M19" s="25">
        <f>B$5*Tbl_Loan3[[#This Row],[Initial debt]]</f>
        <v>1542.96875</v>
      </c>
      <c r="N19" s="25">
        <f t="shared" si="1"/>
        <v>4687.5</v>
      </c>
      <c r="O19" s="25">
        <f>MAX(0,Tbl_Loan3[[#This Row],[Initial debt]]-Tbl_Loan3[[#This Row],[Redemption amount]])</f>
        <v>365625</v>
      </c>
      <c r="P19" s="25">
        <f>Tbl_Loan3[[#This Row],[Interest amount]]+Tbl_Loan3[[#This Row],[Redemption amount]]</f>
        <v>6230.46875</v>
      </c>
    </row>
    <row r="20" spans="4:16" x14ac:dyDescent="0.25">
      <c r="D20" t="str">
        <f>_xlfn.CONCAT(Tbl_Loan3[[#This Row],[Month number]],Tbl_Loan3[[#This Row],[Year]])</f>
        <v>72020</v>
      </c>
      <c r="E20" s="23">
        <f t="shared" si="2"/>
        <v>19</v>
      </c>
      <c r="F20" s="28">
        <v>44037</v>
      </c>
      <c r="G20" s="23">
        <f>MONTH(Tbl_Loan3[[#This Row],[Payment date]])</f>
        <v>7</v>
      </c>
      <c r="H20" s="23" t="str">
        <f>VLOOKUP(Tbl_Loan3[[#This Row],[Month number]],Tbl_Months[],2,FALSE)</f>
        <v>July</v>
      </c>
      <c r="I20" s="23" t="str">
        <f>VLOOKUP(Tbl_Loan3[[#This Row],[Month number]],Tbl_Months[],3,FALSE)</f>
        <v>III</v>
      </c>
      <c r="J20" s="23">
        <f>YEAR(Tbl_Loan3[[#This Row],[Payment date]])</f>
        <v>2020</v>
      </c>
      <c r="K20" s="23" t="str">
        <f>_xlfn.CONCAT(Tbl_Loan3[[#This Row],[Year]],Tbl_Loan3[[#This Row],[Quarter]])</f>
        <v>2020III</v>
      </c>
      <c r="L20" s="25">
        <f t="shared" si="0"/>
        <v>365625</v>
      </c>
      <c r="M20" s="25">
        <f>B$5*Tbl_Loan3[[#This Row],[Initial debt]]</f>
        <v>1523.4375</v>
      </c>
      <c r="N20" s="25">
        <f t="shared" si="1"/>
        <v>4687.5</v>
      </c>
      <c r="O20" s="25">
        <f>MAX(0,Tbl_Loan3[[#This Row],[Initial debt]]-Tbl_Loan3[[#This Row],[Redemption amount]])</f>
        <v>360937.5</v>
      </c>
      <c r="P20" s="25">
        <f>Tbl_Loan3[[#This Row],[Interest amount]]+Tbl_Loan3[[#This Row],[Redemption amount]]</f>
        <v>6210.9375</v>
      </c>
    </row>
    <row r="21" spans="4:16" x14ac:dyDescent="0.25">
      <c r="D21" t="str">
        <f>_xlfn.CONCAT(Tbl_Loan3[[#This Row],[Month number]],Tbl_Loan3[[#This Row],[Year]])</f>
        <v>82020</v>
      </c>
      <c r="E21" s="23">
        <f t="shared" si="2"/>
        <v>20</v>
      </c>
      <c r="F21" s="28">
        <v>44068</v>
      </c>
      <c r="G21" s="23">
        <f>MONTH(Tbl_Loan3[[#This Row],[Payment date]])</f>
        <v>8</v>
      </c>
      <c r="H21" s="23" t="str">
        <f>VLOOKUP(Tbl_Loan3[[#This Row],[Month number]],Tbl_Months[],2,FALSE)</f>
        <v>August</v>
      </c>
      <c r="I21" s="23" t="str">
        <f>VLOOKUP(Tbl_Loan3[[#This Row],[Month number]],Tbl_Months[],3,FALSE)</f>
        <v>III</v>
      </c>
      <c r="J21" s="23">
        <f>YEAR(Tbl_Loan3[[#This Row],[Payment date]])</f>
        <v>2020</v>
      </c>
      <c r="K21" s="23" t="str">
        <f>_xlfn.CONCAT(Tbl_Loan3[[#This Row],[Year]],Tbl_Loan3[[#This Row],[Quarter]])</f>
        <v>2020III</v>
      </c>
      <c r="L21" s="25">
        <f t="shared" si="0"/>
        <v>360937.5</v>
      </c>
      <c r="M21" s="25">
        <f>B$5*Tbl_Loan3[[#This Row],[Initial debt]]</f>
        <v>1503.90625</v>
      </c>
      <c r="N21" s="25">
        <f t="shared" si="1"/>
        <v>4687.5</v>
      </c>
      <c r="O21" s="25">
        <f>MAX(0,Tbl_Loan3[[#This Row],[Initial debt]]-Tbl_Loan3[[#This Row],[Redemption amount]])</f>
        <v>356250</v>
      </c>
      <c r="P21" s="25">
        <f>Tbl_Loan3[[#This Row],[Interest amount]]+Tbl_Loan3[[#This Row],[Redemption amount]]</f>
        <v>6191.40625</v>
      </c>
    </row>
    <row r="22" spans="4:16" x14ac:dyDescent="0.25">
      <c r="D22" t="str">
        <f>_xlfn.CONCAT(Tbl_Loan3[[#This Row],[Month number]],Tbl_Loan3[[#This Row],[Year]])</f>
        <v>92020</v>
      </c>
      <c r="E22" s="23">
        <f t="shared" si="2"/>
        <v>21</v>
      </c>
      <c r="F22" s="28">
        <v>44099</v>
      </c>
      <c r="G22" s="23">
        <f>MONTH(Tbl_Loan3[[#This Row],[Payment date]])</f>
        <v>9</v>
      </c>
      <c r="H22" s="23" t="str">
        <f>VLOOKUP(Tbl_Loan3[[#This Row],[Month number]],Tbl_Months[],2,FALSE)</f>
        <v>September</v>
      </c>
      <c r="I22" s="23" t="str">
        <f>VLOOKUP(Tbl_Loan3[[#This Row],[Month number]],Tbl_Months[],3,FALSE)</f>
        <v>III</v>
      </c>
      <c r="J22" s="23">
        <f>YEAR(Tbl_Loan3[[#This Row],[Payment date]])</f>
        <v>2020</v>
      </c>
      <c r="K22" s="23" t="str">
        <f>_xlfn.CONCAT(Tbl_Loan3[[#This Row],[Year]],Tbl_Loan3[[#This Row],[Quarter]])</f>
        <v>2020III</v>
      </c>
      <c r="L22" s="25">
        <f t="shared" si="0"/>
        <v>356250</v>
      </c>
      <c r="M22" s="25">
        <f>B$5*Tbl_Loan3[[#This Row],[Initial debt]]</f>
        <v>1484.375</v>
      </c>
      <c r="N22" s="25">
        <f t="shared" si="1"/>
        <v>4687.5</v>
      </c>
      <c r="O22" s="25">
        <f>MAX(0,Tbl_Loan3[[#This Row],[Initial debt]]-Tbl_Loan3[[#This Row],[Redemption amount]])</f>
        <v>351562.5</v>
      </c>
      <c r="P22" s="25">
        <f>Tbl_Loan3[[#This Row],[Interest amount]]+Tbl_Loan3[[#This Row],[Redemption amount]]</f>
        <v>6171.875</v>
      </c>
    </row>
    <row r="23" spans="4:16" x14ac:dyDescent="0.25">
      <c r="D23" t="str">
        <f>_xlfn.CONCAT(Tbl_Loan3[[#This Row],[Month number]],Tbl_Loan3[[#This Row],[Year]])</f>
        <v>102020</v>
      </c>
      <c r="E23" s="23">
        <f t="shared" si="2"/>
        <v>22</v>
      </c>
      <c r="F23" s="28">
        <v>44129</v>
      </c>
      <c r="G23" s="23">
        <f>MONTH(Tbl_Loan3[[#This Row],[Payment date]])</f>
        <v>10</v>
      </c>
      <c r="H23" s="23" t="str">
        <f>VLOOKUP(Tbl_Loan3[[#This Row],[Month number]],Tbl_Months[],2,FALSE)</f>
        <v>October</v>
      </c>
      <c r="I23" s="23" t="str">
        <f>VLOOKUP(Tbl_Loan3[[#This Row],[Month number]],Tbl_Months[],3,FALSE)</f>
        <v>IV</v>
      </c>
      <c r="J23" s="23">
        <f>YEAR(Tbl_Loan3[[#This Row],[Payment date]])</f>
        <v>2020</v>
      </c>
      <c r="K23" s="23" t="str">
        <f>_xlfn.CONCAT(Tbl_Loan3[[#This Row],[Year]],Tbl_Loan3[[#This Row],[Quarter]])</f>
        <v>2020IV</v>
      </c>
      <c r="L23" s="25">
        <f t="shared" si="0"/>
        <v>351562.5</v>
      </c>
      <c r="M23" s="25">
        <f>B$5*Tbl_Loan3[[#This Row],[Initial debt]]</f>
        <v>1464.84375</v>
      </c>
      <c r="N23" s="25">
        <f t="shared" si="1"/>
        <v>4687.5</v>
      </c>
      <c r="O23" s="25">
        <f>MAX(0,Tbl_Loan3[[#This Row],[Initial debt]]-Tbl_Loan3[[#This Row],[Redemption amount]])</f>
        <v>346875</v>
      </c>
      <c r="P23" s="25">
        <f>Tbl_Loan3[[#This Row],[Interest amount]]+Tbl_Loan3[[#This Row],[Redemption amount]]</f>
        <v>6152.34375</v>
      </c>
    </row>
    <row r="24" spans="4:16" x14ac:dyDescent="0.25">
      <c r="D24" t="str">
        <f>_xlfn.CONCAT(Tbl_Loan3[[#This Row],[Month number]],Tbl_Loan3[[#This Row],[Year]])</f>
        <v>112020</v>
      </c>
      <c r="E24" s="23">
        <f t="shared" si="2"/>
        <v>23</v>
      </c>
      <c r="F24" s="28">
        <v>44160</v>
      </c>
      <c r="G24" s="23">
        <f>MONTH(Tbl_Loan3[[#This Row],[Payment date]])</f>
        <v>11</v>
      </c>
      <c r="H24" s="23" t="str">
        <f>VLOOKUP(Tbl_Loan3[[#This Row],[Month number]],Tbl_Months[],2,FALSE)</f>
        <v>November</v>
      </c>
      <c r="I24" s="23" t="str">
        <f>VLOOKUP(Tbl_Loan3[[#This Row],[Month number]],Tbl_Months[],3,FALSE)</f>
        <v>IV</v>
      </c>
      <c r="J24" s="23">
        <f>YEAR(Tbl_Loan3[[#This Row],[Payment date]])</f>
        <v>2020</v>
      </c>
      <c r="K24" s="23" t="str">
        <f>_xlfn.CONCAT(Tbl_Loan3[[#This Row],[Year]],Tbl_Loan3[[#This Row],[Quarter]])</f>
        <v>2020IV</v>
      </c>
      <c r="L24" s="25">
        <f t="shared" si="0"/>
        <v>346875</v>
      </c>
      <c r="M24" s="25">
        <f>B$5*Tbl_Loan3[[#This Row],[Initial debt]]</f>
        <v>1445.3125</v>
      </c>
      <c r="N24" s="25">
        <f t="shared" si="1"/>
        <v>4687.5</v>
      </c>
      <c r="O24" s="25">
        <f>MAX(0,Tbl_Loan3[[#This Row],[Initial debt]]-Tbl_Loan3[[#This Row],[Redemption amount]])</f>
        <v>342187.5</v>
      </c>
      <c r="P24" s="25">
        <f>Tbl_Loan3[[#This Row],[Interest amount]]+Tbl_Loan3[[#This Row],[Redemption amount]]</f>
        <v>6132.8125</v>
      </c>
    </row>
    <row r="25" spans="4:16" x14ac:dyDescent="0.25">
      <c r="D25" t="str">
        <f>_xlfn.CONCAT(Tbl_Loan3[[#This Row],[Month number]],Tbl_Loan3[[#This Row],[Year]])</f>
        <v>122020</v>
      </c>
      <c r="E25" s="23">
        <f t="shared" si="2"/>
        <v>24</v>
      </c>
      <c r="F25" s="28">
        <v>44190</v>
      </c>
      <c r="G25" s="23">
        <f>MONTH(Tbl_Loan3[[#This Row],[Payment date]])</f>
        <v>12</v>
      </c>
      <c r="H25" s="23" t="str">
        <f>VLOOKUP(Tbl_Loan3[[#This Row],[Month number]],Tbl_Months[],2,FALSE)</f>
        <v>December</v>
      </c>
      <c r="I25" s="23" t="str">
        <f>VLOOKUP(Tbl_Loan3[[#This Row],[Month number]],Tbl_Months[],3,FALSE)</f>
        <v>IV</v>
      </c>
      <c r="J25" s="23">
        <f>YEAR(Tbl_Loan3[[#This Row],[Payment date]])</f>
        <v>2020</v>
      </c>
      <c r="K25" s="23" t="str">
        <f>_xlfn.CONCAT(Tbl_Loan3[[#This Row],[Year]],Tbl_Loan3[[#This Row],[Quarter]])</f>
        <v>2020IV</v>
      </c>
      <c r="L25" s="25">
        <f t="shared" si="0"/>
        <v>342187.5</v>
      </c>
      <c r="M25" s="25">
        <f>B$5*Tbl_Loan3[[#This Row],[Initial debt]]</f>
        <v>1425.78125</v>
      </c>
      <c r="N25" s="25">
        <f t="shared" si="1"/>
        <v>4687.5</v>
      </c>
      <c r="O25" s="25">
        <f>MAX(0,Tbl_Loan3[[#This Row],[Initial debt]]-Tbl_Loan3[[#This Row],[Redemption amount]])</f>
        <v>337500</v>
      </c>
      <c r="P25" s="25">
        <f>Tbl_Loan3[[#This Row],[Interest amount]]+Tbl_Loan3[[#This Row],[Redemption amount]]</f>
        <v>6113.28125</v>
      </c>
    </row>
    <row r="26" spans="4:16" x14ac:dyDescent="0.25">
      <c r="D26" t="str">
        <f>_xlfn.CONCAT(Tbl_Loan3[[#This Row],[Month number]],Tbl_Loan3[[#This Row],[Year]])</f>
        <v>12021</v>
      </c>
      <c r="E26" s="23">
        <f t="shared" si="2"/>
        <v>25</v>
      </c>
      <c r="F26" s="28">
        <v>44221</v>
      </c>
      <c r="G26" s="23">
        <f>MONTH(Tbl_Loan3[[#This Row],[Payment date]])</f>
        <v>1</v>
      </c>
      <c r="H26" s="23" t="str">
        <f>VLOOKUP(Tbl_Loan3[[#This Row],[Month number]],Tbl_Months[],2,FALSE)</f>
        <v>January</v>
      </c>
      <c r="I26" s="23" t="str">
        <f>VLOOKUP(Tbl_Loan3[[#This Row],[Month number]],Tbl_Months[],3,FALSE)</f>
        <v>I</v>
      </c>
      <c r="J26" s="23">
        <f>YEAR(Tbl_Loan3[[#This Row],[Payment date]])</f>
        <v>2021</v>
      </c>
      <c r="K26" s="23" t="str">
        <f>_xlfn.CONCAT(Tbl_Loan3[[#This Row],[Year]],Tbl_Loan3[[#This Row],[Quarter]])</f>
        <v>2021I</v>
      </c>
      <c r="L26" s="25">
        <f t="shared" si="0"/>
        <v>337500</v>
      </c>
      <c r="M26" s="25">
        <f>B$5*Tbl_Loan3[[#This Row],[Initial debt]]</f>
        <v>1406.25</v>
      </c>
      <c r="N26" s="25">
        <f t="shared" si="1"/>
        <v>4687.5</v>
      </c>
      <c r="O26" s="25">
        <f>MAX(0,Tbl_Loan3[[#This Row],[Initial debt]]-Tbl_Loan3[[#This Row],[Redemption amount]])</f>
        <v>332812.5</v>
      </c>
      <c r="P26" s="25">
        <f>Tbl_Loan3[[#This Row],[Interest amount]]+Tbl_Loan3[[#This Row],[Redemption amount]]</f>
        <v>6093.75</v>
      </c>
    </row>
    <row r="27" spans="4:16" x14ac:dyDescent="0.25">
      <c r="D27" t="str">
        <f>_xlfn.CONCAT(Tbl_Loan3[[#This Row],[Month number]],Tbl_Loan3[[#This Row],[Year]])</f>
        <v>22021</v>
      </c>
      <c r="E27" s="23">
        <f t="shared" si="2"/>
        <v>26</v>
      </c>
      <c r="F27" s="28">
        <v>44252</v>
      </c>
      <c r="G27" s="23">
        <f>MONTH(Tbl_Loan3[[#This Row],[Payment date]])</f>
        <v>2</v>
      </c>
      <c r="H27" s="23" t="str">
        <f>VLOOKUP(Tbl_Loan3[[#This Row],[Month number]],Tbl_Months[],2,FALSE)</f>
        <v>February</v>
      </c>
      <c r="I27" s="23" t="str">
        <f>VLOOKUP(Tbl_Loan3[[#This Row],[Month number]],Tbl_Months[],3,FALSE)</f>
        <v>I</v>
      </c>
      <c r="J27" s="23">
        <f>YEAR(Tbl_Loan3[[#This Row],[Payment date]])</f>
        <v>2021</v>
      </c>
      <c r="K27" s="23" t="str">
        <f>_xlfn.CONCAT(Tbl_Loan3[[#This Row],[Year]],Tbl_Loan3[[#This Row],[Quarter]])</f>
        <v>2021I</v>
      </c>
      <c r="L27" s="25">
        <f t="shared" si="0"/>
        <v>332812.5</v>
      </c>
      <c r="M27" s="25">
        <f>B$5*Tbl_Loan3[[#This Row],[Initial debt]]</f>
        <v>1386.71875</v>
      </c>
      <c r="N27" s="25">
        <f t="shared" si="1"/>
        <v>4687.5</v>
      </c>
      <c r="O27" s="25">
        <f>MAX(0,Tbl_Loan3[[#This Row],[Initial debt]]-Tbl_Loan3[[#This Row],[Redemption amount]])</f>
        <v>328125</v>
      </c>
      <c r="P27" s="25">
        <f>Tbl_Loan3[[#This Row],[Interest amount]]+Tbl_Loan3[[#This Row],[Redemption amount]]</f>
        <v>6074.21875</v>
      </c>
    </row>
    <row r="28" spans="4:16" x14ac:dyDescent="0.25">
      <c r="D28" t="str">
        <f>_xlfn.CONCAT(Tbl_Loan3[[#This Row],[Month number]],Tbl_Loan3[[#This Row],[Year]])</f>
        <v>32021</v>
      </c>
      <c r="E28" s="23">
        <f t="shared" si="2"/>
        <v>27</v>
      </c>
      <c r="F28" s="28">
        <v>44280</v>
      </c>
      <c r="G28" s="23">
        <f>MONTH(Tbl_Loan3[[#This Row],[Payment date]])</f>
        <v>3</v>
      </c>
      <c r="H28" s="23" t="str">
        <f>VLOOKUP(Tbl_Loan3[[#This Row],[Month number]],Tbl_Months[],2,FALSE)</f>
        <v>March</v>
      </c>
      <c r="I28" s="23" t="str">
        <f>VLOOKUP(Tbl_Loan3[[#This Row],[Month number]],Tbl_Months[],3,FALSE)</f>
        <v>I</v>
      </c>
      <c r="J28" s="23">
        <f>YEAR(Tbl_Loan3[[#This Row],[Payment date]])</f>
        <v>2021</v>
      </c>
      <c r="K28" s="23" t="str">
        <f>_xlfn.CONCAT(Tbl_Loan3[[#This Row],[Year]],Tbl_Loan3[[#This Row],[Quarter]])</f>
        <v>2021I</v>
      </c>
      <c r="L28" s="25">
        <f t="shared" si="0"/>
        <v>328125</v>
      </c>
      <c r="M28" s="25">
        <f>B$5*Tbl_Loan3[[#This Row],[Initial debt]]</f>
        <v>1367.1875</v>
      </c>
      <c r="N28" s="25">
        <f t="shared" si="1"/>
        <v>4687.5</v>
      </c>
      <c r="O28" s="25">
        <f>MAX(0,Tbl_Loan3[[#This Row],[Initial debt]]-Tbl_Loan3[[#This Row],[Redemption amount]])</f>
        <v>323437.5</v>
      </c>
      <c r="P28" s="25">
        <f>Tbl_Loan3[[#This Row],[Interest amount]]+Tbl_Loan3[[#This Row],[Redemption amount]]</f>
        <v>6054.6875</v>
      </c>
    </row>
    <row r="29" spans="4:16" x14ac:dyDescent="0.25">
      <c r="D29" t="str">
        <f>_xlfn.CONCAT(Tbl_Loan3[[#This Row],[Month number]],Tbl_Loan3[[#This Row],[Year]])</f>
        <v>42021</v>
      </c>
      <c r="E29" s="23">
        <f t="shared" si="2"/>
        <v>28</v>
      </c>
      <c r="F29" s="28">
        <v>44311</v>
      </c>
      <c r="G29" s="23">
        <f>MONTH(Tbl_Loan3[[#This Row],[Payment date]])</f>
        <v>4</v>
      </c>
      <c r="H29" s="23" t="str">
        <f>VLOOKUP(Tbl_Loan3[[#This Row],[Month number]],Tbl_Months[],2,FALSE)</f>
        <v>April</v>
      </c>
      <c r="I29" s="23" t="str">
        <f>VLOOKUP(Tbl_Loan3[[#This Row],[Month number]],Tbl_Months[],3,FALSE)</f>
        <v>II</v>
      </c>
      <c r="J29" s="23">
        <f>YEAR(Tbl_Loan3[[#This Row],[Payment date]])</f>
        <v>2021</v>
      </c>
      <c r="K29" s="23" t="str">
        <f>_xlfn.CONCAT(Tbl_Loan3[[#This Row],[Year]],Tbl_Loan3[[#This Row],[Quarter]])</f>
        <v>2021II</v>
      </c>
      <c r="L29" s="25">
        <f t="shared" si="0"/>
        <v>323437.5</v>
      </c>
      <c r="M29" s="25">
        <f>B$5*Tbl_Loan3[[#This Row],[Initial debt]]</f>
        <v>1347.65625</v>
      </c>
      <c r="N29" s="25">
        <f t="shared" si="1"/>
        <v>4687.5</v>
      </c>
      <c r="O29" s="25">
        <f>MAX(0,Tbl_Loan3[[#This Row],[Initial debt]]-Tbl_Loan3[[#This Row],[Redemption amount]])</f>
        <v>318750</v>
      </c>
      <c r="P29" s="25">
        <f>Tbl_Loan3[[#This Row],[Interest amount]]+Tbl_Loan3[[#This Row],[Redemption amount]]</f>
        <v>6035.15625</v>
      </c>
    </row>
    <row r="30" spans="4:16" x14ac:dyDescent="0.25">
      <c r="D30" t="str">
        <f>_xlfn.CONCAT(Tbl_Loan3[[#This Row],[Month number]],Tbl_Loan3[[#This Row],[Year]])</f>
        <v>52021</v>
      </c>
      <c r="E30" s="23">
        <f t="shared" si="2"/>
        <v>29</v>
      </c>
      <c r="F30" s="28">
        <v>44341</v>
      </c>
      <c r="G30" s="23">
        <f>MONTH(Tbl_Loan3[[#This Row],[Payment date]])</f>
        <v>5</v>
      </c>
      <c r="H30" s="23" t="str">
        <f>VLOOKUP(Tbl_Loan3[[#This Row],[Month number]],Tbl_Months[],2,FALSE)</f>
        <v>May</v>
      </c>
      <c r="I30" s="23" t="str">
        <f>VLOOKUP(Tbl_Loan3[[#This Row],[Month number]],Tbl_Months[],3,FALSE)</f>
        <v>II</v>
      </c>
      <c r="J30" s="23">
        <f>YEAR(Tbl_Loan3[[#This Row],[Payment date]])</f>
        <v>2021</v>
      </c>
      <c r="K30" s="23" t="str">
        <f>_xlfn.CONCAT(Tbl_Loan3[[#This Row],[Year]],Tbl_Loan3[[#This Row],[Quarter]])</f>
        <v>2021II</v>
      </c>
      <c r="L30" s="25">
        <f t="shared" si="0"/>
        <v>318750</v>
      </c>
      <c r="M30" s="25">
        <f>B$5*Tbl_Loan3[[#This Row],[Initial debt]]</f>
        <v>1328.125</v>
      </c>
      <c r="N30" s="25">
        <f t="shared" si="1"/>
        <v>4687.5</v>
      </c>
      <c r="O30" s="25">
        <f>MAX(0,Tbl_Loan3[[#This Row],[Initial debt]]-Tbl_Loan3[[#This Row],[Redemption amount]])</f>
        <v>314062.5</v>
      </c>
      <c r="P30" s="25">
        <f>Tbl_Loan3[[#This Row],[Interest amount]]+Tbl_Loan3[[#This Row],[Redemption amount]]</f>
        <v>6015.625</v>
      </c>
    </row>
    <row r="31" spans="4:16" x14ac:dyDescent="0.25">
      <c r="D31" t="str">
        <f>_xlfn.CONCAT(Tbl_Loan3[[#This Row],[Month number]],Tbl_Loan3[[#This Row],[Year]])</f>
        <v>62021</v>
      </c>
      <c r="E31" s="23">
        <f t="shared" si="2"/>
        <v>30</v>
      </c>
      <c r="F31" s="28">
        <v>44372</v>
      </c>
      <c r="G31" s="23">
        <f>MONTH(Tbl_Loan3[[#This Row],[Payment date]])</f>
        <v>6</v>
      </c>
      <c r="H31" s="23" t="str">
        <f>VLOOKUP(Tbl_Loan3[[#This Row],[Month number]],Tbl_Months[],2,FALSE)</f>
        <v>June</v>
      </c>
      <c r="I31" s="23" t="str">
        <f>VLOOKUP(Tbl_Loan3[[#This Row],[Month number]],Tbl_Months[],3,FALSE)</f>
        <v>II</v>
      </c>
      <c r="J31" s="23">
        <f>YEAR(Tbl_Loan3[[#This Row],[Payment date]])</f>
        <v>2021</v>
      </c>
      <c r="K31" s="23" t="str">
        <f>_xlfn.CONCAT(Tbl_Loan3[[#This Row],[Year]],Tbl_Loan3[[#This Row],[Quarter]])</f>
        <v>2021II</v>
      </c>
      <c r="L31" s="25">
        <f t="shared" si="0"/>
        <v>314062.5</v>
      </c>
      <c r="M31" s="25">
        <f>B$5*Tbl_Loan3[[#This Row],[Initial debt]]</f>
        <v>1308.59375</v>
      </c>
      <c r="N31" s="25">
        <f t="shared" si="1"/>
        <v>4687.5</v>
      </c>
      <c r="O31" s="25">
        <f>MAX(0,Tbl_Loan3[[#This Row],[Initial debt]]-Tbl_Loan3[[#This Row],[Redemption amount]])</f>
        <v>309375</v>
      </c>
      <c r="P31" s="25">
        <f>Tbl_Loan3[[#This Row],[Interest amount]]+Tbl_Loan3[[#This Row],[Redemption amount]]</f>
        <v>5996.09375</v>
      </c>
    </row>
    <row r="32" spans="4:16" x14ac:dyDescent="0.25">
      <c r="D32" t="str">
        <f>_xlfn.CONCAT(Tbl_Loan3[[#This Row],[Month number]],Tbl_Loan3[[#This Row],[Year]])</f>
        <v>72021</v>
      </c>
      <c r="E32" s="23">
        <f t="shared" si="2"/>
        <v>31</v>
      </c>
      <c r="F32" s="28">
        <v>44402</v>
      </c>
      <c r="G32" s="23">
        <f>MONTH(Tbl_Loan3[[#This Row],[Payment date]])</f>
        <v>7</v>
      </c>
      <c r="H32" s="23" t="str">
        <f>VLOOKUP(Tbl_Loan3[[#This Row],[Month number]],Tbl_Months[],2,FALSE)</f>
        <v>July</v>
      </c>
      <c r="I32" s="23" t="str">
        <f>VLOOKUP(Tbl_Loan3[[#This Row],[Month number]],Tbl_Months[],3,FALSE)</f>
        <v>III</v>
      </c>
      <c r="J32" s="23">
        <f>YEAR(Tbl_Loan3[[#This Row],[Payment date]])</f>
        <v>2021</v>
      </c>
      <c r="K32" s="23" t="str">
        <f>_xlfn.CONCAT(Tbl_Loan3[[#This Row],[Year]],Tbl_Loan3[[#This Row],[Quarter]])</f>
        <v>2021III</v>
      </c>
      <c r="L32" s="25">
        <f t="shared" si="0"/>
        <v>309375</v>
      </c>
      <c r="M32" s="25">
        <f>B$5*Tbl_Loan3[[#This Row],[Initial debt]]</f>
        <v>1289.0625</v>
      </c>
      <c r="N32" s="25">
        <f t="shared" si="1"/>
        <v>4687.5</v>
      </c>
      <c r="O32" s="25">
        <f>MAX(0,Tbl_Loan3[[#This Row],[Initial debt]]-Tbl_Loan3[[#This Row],[Redemption amount]])</f>
        <v>304687.5</v>
      </c>
      <c r="P32" s="25">
        <f>Tbl_Loan3[[#This Row],[Interest amount]]+Tbl_Loan3[[#This Row],[Redemption amount]]</f>
        <v>5976.5625</v>
      </c>
    </row>
    <row r="33" spans="4:16" x14ac:dyDescent="0.25">
      <c r="D33" t="str">
        <f>_xlfn.CONCAT(Tbl_Loan3[[#This Row],[Month number]],Tbl_Loan3[[#This Row],[Year]])</f>
        <v>82021</v>
      </c>
      <c r="E33" s="23">
        <f t="shared" si="2"/>
        <v>32</v>
      </c>
      <c r="F33" s="28">
        <v>44433</v>
      </c>
      <c r="G33" s="23">
        <f>MONTH(Tbl_Loan3[[#This Row],[Payment date]])</f>
        <v>8</v>
      </c>
      <c r="H33" s="23" t="str">
        <f>VLOOKUP(Tbl_Loan3[[#This Row],[Month number]],Tbl_Months[],2,FALSE)</f>
        <v>August</v>
      </c>
      <c r="I33" s="23" t="str">
        <f>VLOOKUP(Tbl_Loan3[[#This Row],[Month number]],Tbl_Months[],3,FALSE)</f>
        <v>III</v>
      </c>
      <c r="J33" s="23">
        <f>YEAR(Tbl_Loan3[[#This Row],[Payment date]])</f>
        <v>2021</v>
      </c>
      <c r="K33" s="23" t="str">
        <f>_xlfn.CONCAT(Tbl_Loan3[[#This Row],[Year]],Tbl_Loan3[[#This Row],[Quarter]])</f>
        <v>2021III</v>
      </c>
      <c r="L33" s="25">
        <f t="shared" si="0"/>
        <v>304687.5</v>
      </c>
      <c r="M33" s="25">
        <f>B$5*Tbl_Loan3[[#This Row],[Initial debt]]</f>
        <v>1269.53125</v>
      </c>
      <c r="N33" s="25">
        <f t="shared" si="1"/>
        <v>4687.5</v>
      </c>
      <c r="O33" s="25">
        <f>MAX(0,Tbl_Loan3[[#This Row],[Initial debt]]-Tbl_Loan3[[#This Row],[Redemption amount]])</f>
        <v>300000</v>
      </c>
      <c r="P33" s="25">
        <f>Tbl_Loan3[[#This Row],[Interest amount]]+Tbl_Loan3[[#This Row],[Redemption amount]]</f>
        <v>5957.03125</v>
      </c>
    </row>
    <row r="34" spans="4:16" s="104" customFormat="1" x14ac:dyDescent="0.25">
      <c r="D34" s="104" t="str">
        <f>_xlfn.CONCAT(Tbl_Loan3[[#This Row],[Month number]],Tbl_Loan3[[#This Row],[Year]])</f>
        <v>92021</v>
      </c>
      <c r="E34" s="105">
        <f t="shared" si="2"/>
        <v>33</v>
      </c>
      <c r="F34" s="106">
        <v>44464</v>
      </c>
      <c r="G34" s="105">
        <f>MONTH(Tbl_Loan3[[#This Row],[Payment date]])</f>
        <v>9</v>
      </c>
      <c r="H34" s="105" t="str">
        <f>VLOOKUP(Tbl_Loan3[[#This Row],[Month number]],Tbl_Months[],2,FALSE)</f>
        <v>September</v>
      </c>
      <c r="I34" s="105" t="str">
        <f>VLOOKUP(Tbl_Loan3[[#This Row],[Month number]],Tbl_Months[],3,FALSE)</f>
        <v>III</v>
      </c>
      <c r="J34" s="105">
        <f>YEAR(Tbl_Loan3[[#This Row],[Payment date]])</f>
        <v>2021</v>
      </c>
      <c r="K34" s="105" t="str">
        <f>_xlfn.CONCAT(Tbl_Loan3[[#This Row],[Year]],Tbl_Loan3[[#This Row],[Quarter]])</f>
        <v>2021III</v>
      </c>
      <c r="L34" s="107">
        <f t="shared" ref="L34:L65" si="3">IF(O33="Residual debt",B$1,O33)</f>
        <v>300000</v>
      </c>
      <c r="M34" s="107">
        <f>B$5*Tbl_Loan3[[#This Row],[Initial debt]]</f>
        <v>1250</v>
      </c>
      <c r="N34" s="107">
        <f t="shared" si="1"/>
        <v>4687.5</v>
      </c>
      <c r="O34" s="107">
        <f>MAX(0,Tbl_Loan3[[#This Row],[Initial debt]]-Tbl_Loan3[[#This Row],[Redemption amount]])</f>
        <v>295312.5</v>
      </c>
      <c r="P34" s="107">
        <f>Tbl_Loan3[[#This Row],[Interest amount]]+Tbl_Loan3[[#This Row],[Redemption amount]]</f>
        <v>5937.5</v>
      </c>
    </row>
    <row r="35" spans="4:16" x14ac:dyDescent="0.25">
      <c r="D35" t="str">
        <f>_xlfn.CONCAT(Tbl_Loan3[[#This Row],[Month number]],Tbl_Loan3[[#This Row],[Year]])</f>
        <v>102021</v>
      </c>
      <c r="E35" s="23">
        <f t="shared" si="2"/>
        <v>34</v>
      </c>
      <c r="F35" s="28">
        <v>44494</v>
      </c>
      <c r="G35" s="23">
        <f>MONTH(Tbl_Loan3[[#This Row],[Payment date]])</f>
        <v>10</v>
      </c>
      <c r="H35" s="23" t="str">
        <f>VLOOKUP(Tbl_Loan3[[#This Row],[Month number]],Tbl_Months[],2,FALSE)</f>
        <v>October</v>
      </c>
      <c r="I35" s="23" t="str">
        <f>VLOOKUP(Tbl_Loan3[[#This Row],[Month number]],Tbl_Months[],3,FALSE)</f>
        <v>IV</v>
      </c>
      <c r="J35" s="23">
        <f>YEAR(Tbl_Loan3[[#This Row],[Payment date]])</f>
        <v>2021</v>
      </c>
      <c r="K35" s="23" t="str">
        <f>_xlfn.CONCAT(Tbl_Loan3[[#This Row],[Year]],Tbl_Loan3[[#This Row],[Quarter]])</f>
        <v>2021IV</v>
      </c>
      <c r="L35" s="25">
        <f t="shared" si="3"/>
        <v>295312.5</v>
      </c>
      <c r="M35" s="25">
        <f>B$5*Tbl_Loan3[[#This Row],[Initial debt]]</f>
        <v>1230.46875</v>
      </c>
      <c r="N35" s="25">
        <f t="shared" si="1"/>
        <v>4687.5</v>
      </c>
      <c r="O35" s="25">
        <f>MAX(0,Tbl_Loan3[[#This Row],[Initial debt]]-Tbl_Loan3[[#This Row],[Redemption amount]])</f>
        <v>290625</v>
      </c>
      <c r="P35" s="113">
        <f>Tbl_Loan3[[#This Row],[Interest amount]]+Tbl_Loan3[[#This Row],[Redemption amount]]</f>
        <v>5917.96875</v>
      </c>
    </row>
    <row r="36" spans="4:16" x14ac:dyDescent="0.25">
      <c r="D36" t="str">
        <f>_xlfn.CONCAT(Tbl_Loan3[[#This Row],[Month number]],Tbl_Loan3[[#This Row],[Year]])</f>
        <v>112021</v>
      </c>
      <c r="E36" s="23">
        <f t="shared" si="2"/>
        <v>35</v>
      </c>
      <c r="F36" s="28">
        <v>44525</v>
      </c>
      <c r="G36" s="23">
        <f>MONTH(Tbl_Loan3[[#This Row],[Payment date]])</f>
        <v>11</v>
      </c>
      <c r="H36" s="23" t="str">
        <f>VLOOKUP(Tbl_Loan3[[#This Row],[Month number]],Tbl_Months[],2,FALSE)</f>
        <v>November</v>
      </c>
      <c r="I36" s="23" t="str">
        <f>VLOOKUP(Tbl_Loan3[[#This Row],[Month number]],Tbl_Months[],3,FALSE)</f>
        <v>IV</v>
      </c>
      <c r="J36" s="23">
        <f>YEAR(Tbl_Loan3[[#This Row],[Payment date]])</f>
        <v>2021</v>
      </c>
      <c r="K36" s="23" t="str">
        <f>_xlfn.CONCAT(Tbl_Loan3[[#This Row],[Year]],Tbl_Loan3[[#This Row],[Quarter]])</f>
        <v>2021IV</v>
      </c>
      <c r="L36" s="25">
        <f t="shared" si="3"/>
        <v>290625</v>
      </c>
      <c r="M36" s="25">
        <f>B$5*Tbl_Loan3[[#This Row],[Initial debt]]</f>
        <v>1210.9375</v>
      </c>
      <c r="N36" s="25">
        <f t="shared" si="1"/>
        <v>4687.5</v>
      </c>
      <c r="O36" s="25">
        <f>MAX(0,Tbl_Loan3[[#This Row],[Initial debt]]-Tbl_Loan3[[#This Row],[Redemption amount]])</f>
        <v>285937.5</v>
      </c>
      <c r="P36" s="113">
        <f>Tbl_Loan3[[#This Row],[Interest amount]]+Tbl_Loan3[[#This Row],[Redemption amount]]</f>
        <v>5898.4375</v>
      </c>
    </row>
    <row r="37" spans="4:16" x14ac:dyDescent="0.25">
      <c r="D37" t="str">
        <f>_xlfn.CONCAT(Tbl_Loan3[[#This Row],[Month number]],Tbl_Loan3[[#This Row],[Year]])</f>
        <v>122021</v>
      </c>
      <c r="E37" s="23">
        <f t="shared" si="2"/>
        <v>36</v>
      </c>
      <c r="F37" s="28">
        <v>44555</v>
      </c>
      <c r="G37" s="23">
        <f>MONTH(Tbl_Loan3[[#This Row],[Payment date]])</f>
        <v>12</v>
      </c>
      <c r="H37" s="23" t="str">
        <f>VLOOKUP(Tbl_Loan3[[#This Row],[Month number]],Tbl_Months[],2,FALSE)</f>
        <v>December</v>
      </c>
      <c r="I37" s="23" t="str">
        <f>VLOOKUP(Tbl_Loan3[[#This Row],[Month number]],Tbl_Months[],3,FALSE)</f>
        <v>IV</v>
      </c>
      <c r="J37" s="23">
        <f>YEAR(Tbl_Loan3[[#This Row],[Payment date]])</f>
        <v>2021</v>
      </c>
      <c r="K37" s="23" t="str">
        <f>_xlfn.CONCAT(Tbl_Loan3[[#This Row],[Year]],Tbl_Loan3[[#This Row],[Quarter]])</f>
        <v>2021IV</v>
      </c>
      <c r="L37" s="25">
        <f t="shared" si="3"/>
        <v>285937.5</v>
      </c>
      <c r="M37" s="25">
        <f>B$5*Tbl_Loan3[[#This Row],[Initial debt]]</f>
        <v>1191.40625</v>
      </c>
      <c r="N37" s="25">
        <f t="shared" si="1"/>
        <v>4687.5</v>
      </c>
      <c r="O37" s="25">
        <f>MAX(0,Tbl_Loan3[[#This Row],[Initial debt]]-Tbl_Loan3[[#This Row],[Redemption amount]])</f>
        <v>281250</v>
      </c>
      <c r="P37" s="113">
        <f>Tbl_Loan3[[#This Row],[Interest amount]]+Tbl_Loan3[[#This Row],[Redemption amount]]</f>
        <v>5878.90625</v>
      </c>
    </row>
    <row r="38" spans="4:16" x14ac:dyDescent="0.25">
      <c r="D38" t="str">
        <f>_xlfn.CONCAT(Tbl_Loan3[[#This Row],[Month number]],Tbl_Loan3[[#This Row],[Year]])</f>
        <v>12022</v>
      </c>
      <c r="E38" s="23">
        <f t="shared" si="2"/>
        <v>37</v>
      </c>
      <c r="F38" s="28">
        <v>44586</v>
      </c>
      <c r="G38" s="23">
        <f>MONTH(Tbl_Loan3[[#This Row],[Payment date]])</f>
        <v>1</v>
      </c>
      <c r="H38" s="23" t="str">
        <f>VLOOKUP(Tbl_Loan3[[#This Row],[Month number]],Tbl_Months[],2,FALSE)</f>
        <v>January</v>
      </c>
      <c r="I38" s="23" t="str">
        <f>VLOOKUP(Tbl_Loan3[[#This Row],[Month number]],Tbl_Months[],3,FALSE)</f>
        <v>I</v>
      </c>
      <c r="J38" s="23">
        <f>YEAR(Tbl_Loan3[[#This Row],[Payment date]])</f>
        <v>2022</v>
      </c>
      <c r="K38" s="23" t="str">
        <f>_xlfn.CONCAT(Tbl_Loan3[[#This Row],[Year]],Tbl_Loan3[[#This Row],[Quarter]])</f>
        <v>2022I</v>
      </c>
      <c r="L38" s="25">
        <f t="shared" si="3"/>
        <v>281250</v>
      </c>
      <c r="M38" s="25">
        <f>B$5*Tbl_Loan3[[#This Row],[Initial debt]]</f>
        <v>1171.875</v>
      </c>
      <c r="N38" s="25">
        <f t="shared" si="1"/>
        <v>4687.5</v>
      </c>
      <c r="O38" s="25">
        <f>MAX(0,Tbl_Loan3[[#This Row],[Initial debt]]-Tbl_Loan3[[#This Row],[Redemption amount]])</f>
        <v>276562.5</v>
      </c>
      <c r="P38" s="25">
        <f>Tbl_Loan3[[#This Row],[Interest amount]]+Tbl_Loan3[[#This Row],[Redemption amount]]</f>
        <v>5859.375</v>
      </c>
    </row>
    <row r="39" spans="4:16" x14ac:dyDescent="0.25">
      <c r="D39" t="str">
        <f>_xlfn.CONCAT(Tbl_Loan3[[#This Row],[Month number]],Tbl_Loan3[[#This Row],[Year]])</f>
        <v>22022</v>
      </c>
      <c r="E39" s="23">
        <f t="shared" si="2"/>
        <v>38</v>
      </c>
      <c r="F39" s="28">
        <v>44617</v>
      </c>
      <c r="G39" s="23">
        <f>MONTH(Tbl_Loan3[[#This Row],[Payment date]])</f>
        <v>2</v>
      </c>
      <c r="H39" s="23" t="str">
        <f>VLOOKUP(Tbl_Loan3[[#This Row],[Month number]],Tbl_Months[],2,FALSE)</f>
        <v>February</v>
      </c>
      <c r="I39" s="23" t="str">
        <f>VLOOKUP(Tbl_Loan3[[#This Row],[Month number]],Tbl_Months[],3,FALSE)</f>
        <v>I</v>
      </c>
      <c r="J39" s="23">
        <f>YEAR(Tbl_Loan3[[#This Row],[Payment date]])</f>
        <v>2022</v>
      </c>
      <c r="K39" s="23" t="str">
        <f>_xlfn.CONCAT(Tbl_Loan3[[#This Row],[Year]],Tbl_Loan3[[#This Row],[Quarter]])</f>
        <v>2022I</v>
      </c>
      <c r="L39" s="25">
        <f t="shared" si="3"/>
        <v>276562.5</v>
      </c>
      <c r="M39" s="25">
        <f>B$5*Tbl_Loan3[[#This Row],[Initial debt]]</f>
        <v>1152.34375</v>
      </c>
      <c r="N39" s="25">
        <f t="shared" si="1"/>
        <v>4687.5</v>
      </c>
      <c r="O39" s="25">
        <f>MAX(0,Tbl_Loan3[[#This Row],[Initial debt]]-Tbl_Loan3[[#This Row],[Redemption amount]])</f>
        <v>271875</v>
      </c>
      <c r="P39" s="25">
        <f>Tbl_Loan3[[#This Row],[Interest amount]]+Tbl_Loan3[[#This Row],[Redemption amount]]</f>
        <v>5839.84375</v>
      </c>
    </row>
    <row r="40" spans="4:16" x14ac:dyDescent="0.25">
      <c r="D40" t="str">
        <f>_xlfn.CONCAT(Tbl_Loan3[[#This Row],[Month number]],Tbl_Loan3[[#This Row],[Year]])</f>
        <v>32022</v>
      </c>
      <c r="E40" s="23">
        <f t="shared" si="2"/>
        <v>39</v>
      </c>
      <c r="F40" s="28">
        <v>44645</v>
      </c>
      <c r="G40" s="23">
        <f>MONTH(Tbl_Loan3[[#This Row],[Payment date]])</f>
        <v>3</v>
      </c>
      <c r="H40" s="23" t="str">
        <f>VLOOKUP(Tbl_Loan3[[#This Row],[Month number]],Tbl_Months[],2,FALSE)</f>
        <v>March</v>
      </c>
      <c r="I40" s="23" t="str">
        <f>VLOOKUP(Tbl_Loan3[[#This Row],[Month number]],Tbl_Months[],3,FALSE)</f>
        <v>I</v>
      </c>
      <c r="J40" s="23">
        <f>YEAR(Tbl_Loan3[[#This Row],[Payment date]])</f>
        <v>2022</v>
      </c>
      <c r="K40" s="23" t="str">
        <f>_xlfn.CONCAT(Tbl_Loan3[[#This Row],[Year]],Tbl_Loan3[[#This Row],[Quarter]])</f>
        <v>2022I</v>
      </c>
      <c r="L40" s="25">
        <f t="shared" si="3"/>
        <v>271875</v>
      </c>
      <c r="M40" s="25">
        <f>B$5*Tbl_Loan3[[#This Row],[Initial debt]]</f>
        <v>1132.8125</v>
      </c>
      <c r="N40" s="25">
        <f t="shared" si="1"/>
        <v>4687.5</v>
      </c>
      <c r="O40" s="25">
        <f>MAX(0,Tbl_Loan3[[#This Row],[Initial debt]]-Tbl_Loan3[[#This Row],[Redemption amount]])</f>
        <v>267187.5</v>
      </c>
      <c r="P40" s="25">
        <f>Tbl_Loan3[[#This Row],[Interest amount]]+Tbl_Loan3[[#This Row],[Redemption amount]]</f>
        <v>5820.3125</v>
      </c>
    </row>
    <row r="41" spans="4:16" x14ac:dyDescent="0.25">
      <c r="D41" t="str">
        <f>_xlfn.CONCAT(Tbl_Loan3[[#This Row],[Month number]],Tbl_Loan3[[#This Row],[Year]])</f>
        <v>42022</v>
      </c>
      <c r="E41" s="23">
        <f t="shared" si="2"/>
        <v>40</v>
      </c>
      <c r="F41" s="28">
        <v>44676</v>
      </c>
      <c r="G41" s="23">
        <f>MONTH(Tbl_Loan3[[#This Row],[Payment date]])</f>
        <v>4</v>
      </c>
      <c r="H41" s="23" t="str">
        <f>VLOOKUP(Tbl_Loan3[[#This Row],[Month number]],Tbl_Months[],2,FALSE)</f>
        <v>April</v>
      </c>
      <c r="I41" s="23" t="str">
        <f>VLOOKUP(Tbl_Loan3[[#This Row],[Month number]],Tbl_Months[],3,FALSE)</f>
        <v>II</v>
      </c>
      <c r="J41" s="23">
        <f>YEAR(Tbl_Loan3[[#This Row],[Payment date]])</f>
        <v>2022</v>
      </c>
      <c r="K41" s="23" t="str">
        <f>_xlfn.CONCAT(Tbl_Loan3[[#This Row],[Year]],Tbl_Loan3[[#This Row],[Quarter]])</f>
        <v>2022II</v>
      </c>
      <c r="L41" s="25">
        <f t="shared" si="3"/>
        <v>267187.5</v>
      </c>
      <c r="M41" s="25">
        <f>B$5*Tbl_Loan3[[#This Row],[Initial debt]]</f>
        <v>1113.28125</v>
      </c>
      <c r="N41" s="25">
        <f t="shared" si="1"/>
        <v>4687.5</v>
      </c>
      <c r="O41" s="25">
        <f>MAX(0,Tbl_Loan3[[#This Row],[Initial debt]]-Tbl_Loan3[[#This Row],[Redemption amount]])</f>
        <v>262500</v>
      </c>
      <c r="P41" s="25">
        <f>Tbl_Loan3[[#This Row],[Interest amount]]+Tbl_Loan3[[#This Row],[Redemption amount]]</f>
        <v>5800.78125</v>
      </c>
    </row>
    <row r="42" spans="4:16" x14ac:dyDescent="0.25">
      <c r="D42" t="str">
        <f>_xlfn.CONCAT(Tbl_Loan3[[#This Row],[Month number]],Tbl_Loan3[[#This Row],[Year]])</f>
        <v>52022</v>
      </c>
      <c r="E42" s="23">
        <f t="shared" si="2"/>
        <v>41</v>
      </c>
      <c r="F42" s="28">
        <v>44706</v>
      </c>
      <c r="G42" s="23">
        <f>MONTH(Tbl_Loan3[[#This Row],[Payment date]])</f>
        <v>5</v>
      </c>
      <c r="H42" s="23" t="str">
        <f>VLOOKUP(Tbl_Loan3[[#This Row],[Month number]],Tbl_Months[],2,FALSE)</f>
        <v>May</v>
      </c>
      <c r="I42" s="23" t="str">
        <f>VLOOKUP(Tbl_Loan3[[#This Row],[Month number]],Tbl_Months[],3,FALSE)</f>
        <v>II</v>
      </c>
      <c r="J42" s="23">
        <f>YEAR(Tbl_Loan3[[#This Row],[Payment date]])</f>
        <v>2022</v>
      </c>
      <c r="K42" s="23" t="str">
        <f>_xlfn.CONCAT(Tbl_Loan3[[#This Row],[Year]],Tbl_Loan3[[#This Row],[Quarter]])</f>
        <v>2022II</v>
      </c>
      <c r="L42" s="25">
        <f t="shared" si="3"/>
        <v>262500</v>
      </c>
      <c r="M42" s="25">
        <f>B$5*Tbl_Loan3[[#This Row],[Initial debt]]</f>
        <v>1093.75</v>
      </c>
      <c r="N42" s="25">
        <f t="shared" si="1"/>
        <v>4687.5</v>
      </c>
      <c r="O42" s="25">
        <f>MAX(0,Tbl_Loan3[[#This Row],[Initial debt]]-Tbl_Loan3[[#This Row],[Redemption amount]])</f>
        <v>257812.5</v>
      </c>
      <c r="P42" s="25">
        <f>Tbl_Loan3[[#This Row],[Interest amount]]+Tbl_Loan3[[#This Row],[Redemption amount]]</f>
        <v>5781.25</v>
      </c>
    </row>
    <row r="43" spans="4:16" x14ac:dyDescent="0.25">
      <c r="D43" t="str">
        <f>_xlfn.CONCAT(Tbl_Loan3[[#This Row],[Month number]],Tbl_Loan3[[#This Row],[Year]])</f>
        <v>62022</v>
      </c>
      <c r="E43" s="23">
        <f t="shared" si="2"/>
        <v>42</v>
      </c>
      <c r="F43" s="28">
        <v>44737</v>
      </c>
      <c r="G43" s="23">
        <f>MONTH(Tbl_Loan3[[#This Row],[Payment date]])</f>
        <v>6</v>
      </c>
      <c r="H43" s="23" t="str">
        <f>VLOOKUP(Tbl_Loan3[[#This Row],[Month number]],Tbl_Months[],2,FALSE)</f>
        <v>June</v>
      </c>
      <c r="I43" s="23" t="str">
        <f>VLOOKUP(Tbl_Loan3[[#This Row],[Month number]],Tbl_Months[],3,FALSE)</f>
        <v>II</v>
      </c>
      <c r="J43" s="23">
        <f>YEAR(Tbl_Loan3[[#This Row],[Payment date]])</f>
        <v>2022</v>
      </c>
      <c r="K43" s="23" t="str">
        <f>_xlfn.CONCAT(Tbl_Loan3[[#This Row],[Year]],Tbl_Loan3[[#This Row],[Quarter]])</f>
        <v>2022II</v>
      </c>
      <c r="L43" s="25">
        <f t="shared" si="3"/>
        <v>257812.5</v>
      </c>
      <c r="M43" s="25">
        <f>B$5*Tbl_Loan3[[#This Row],[Initial debt]]</f>
        <v>1074.21875</v>
      </c>
      <c r="N43" s="25">
        <f t="shared" si="1"/>
        <v>4687.5</v>
      </c>
      <c r="O43" s="25">
        <f>MAX(0,Tbl_Loan3[[#This Row],[Initial debt]]-Tbl_Loan3[[#This Row],[Redemption amount]])</f>
        <v>253125</v>
      </c>
      <c r="P43" s="25">
        <f>Tbl_Loan3[[#This Row],[Interest amount]]+Tbl_Loan3[[#This Row],[Redemption amount]]</f>
        <v>5761.71875</v>
      </c>
    </row>
    <row r="44" spans="4:16" x14ac:dyDescent="0.25">
      <c r="D44" t="str">
        <f>_xlfn.CONCAT(Tbl_Loan3[[#This Row],[Month number]],Tbl_Loan3[[#This Row],[Year]])</f>
        <v>72022</v>
      </c>
      <c r="E44" s="23">
        <f t="shared" si="2"/>
        <v>43</v>
      </c>
      <c r="F44" s="28">
        <v>44767</v>
      </c>
      <c r="G44" s="23">
        <f>MONTH(Tbl_Loan3[[#This Row],[Payment date]])</f>
        <v>7</v>
      </c>
      <c r="H44" s="23" t="str">
        <f>VLOOKUP(Tbl_Loan3[[#This Row],[Month number]],Tbl_Months[],2,FALSE)</f>
        <v>July</v>
      </c>
      <c r="I44" s="23" t="str">
        <f>VLOOKUP(Tbl_Loan3[[#This Row],[Month number]],Tbl_Months[],3,FALSE)</f>
        <v>III</v>
      </c>
      <c r="J44" s="23">
        <f>YEAR(Tbl_Loan3[[#This Row],[Payment date]])</f>
        <v>2022</v>
      </c>
      <c r="K44" s="23" t="str">
        <f>_xlfn.CONCAT(Tbl_Loan3[[#This Row],[Year]],Tbl_Loan3[[#This Row],[Quarter]])</f>
        <v>2022III</v>
      </c>
      <c r="L44" s="25">
        <f t="shared" si="3"/>
        <v>253125</v>
      </c>
      <c r="M44" s="25">
        <f>B$5*Tbl_Loan3[[#This Row],[Initial debt]]</f>
        <v>1054.6875</v>
      </c>
      <c r="N44" s="25">
        <f t="shared" si="1"/>
        <v>4687.5</v>
      </c>
      <c r="O44" s="25">
        <f>MAX(0,Tbl_Loan3[[#This Row],[Initial debt]]-Tbl_Loan3[[#This Row],[Redemption amount]])</f>
        <v>248437.5</v>
      </c>
      <c r="P44" s="25">
        <f>Tbl_Loan3[[#This Row],[Interest amount]]+Tbl_Loan3[[#This Row],[Redemption amount]]</f>
        <v>5742.1875</v>
      </c>
    </row>
    <row r="45" spans="4:16" x14ac:dyDescent="0.25">
      <c r="D45" t="str">
        <f>_xlfn.CONCAT(Tbl_Loan3[[#This Row],[Month number]],Tbl_Loan3[[#This Row],[Year]])</f>
        <v>82022</v>
      </c>
      <c r="E45" s="23">
        <f t="shared" si="2"/>
        <v>44</v>
      </c>
      <c r="F45" s="28">
        <v>44798</v>
      </c>
      <c r="G45" s="23">
        <f>MONTH(Tbl_Loan3[[#This Row],[Payment date]])</f>
        <v>8</v>
      </c>
      <c r="H45" s="23" t="str">
        <f>VLOOKUP(Tbl_Loan3[[#This Row],[Month number]],Tbl_Months[],2,FALSE)</f>
        <v>August</v>
      </c>
      <c r="I45" s="23" t="str">
        <f>VLOOKUP(Tbl_Loan3[[#This Row],[Month number]],Tbl_Months[],3,FALSE)</f>
        <v>III</v>
      </c>
      <c r="J45" s="23">
        <f>YEAR(Tbl_Loan3[[#This Row],[Payment date]])</f>
        <v>2022</v>
      </c>
      <c r="K45" s="23" t="str">
        <f>_xlfn.CONCAT(Tbl_Loan3[[#This Row],[Year]],Tbl_Loan3[[#This Row],[Quarter]])</f>
        <v>2022III</v>
      </c>
      <c r="L45" s="25">
        <f t="shared" si="3"/>
        <v>248437.5</v>
      </c>
      <c r="M45" s="25">
        <f>B$5*Tbl_Loan3[[#This Row],[Initial debt]]</f>
        <v>1035.15625</v>
      </c>
      <c r="N45" s="25">
        <f t="shared" si="1"/>
        <v>4687.5</v>
      </c>
      <c r="O45" s="25">
        <f>MAX(0,Tbl_Loan3[[#This Row],[Initial debt]]-Tbl_Loan3[[#This Row],[Redemption amount]])</f>
        <v>243750</v>
      </c>
      <c r="P45" s="25">
        <f>Tbl_Loan3[[#This Row],[Interest amount]]+Tbl_Loan3[[#This Row],[Redemption amount]]</f>
        <v>5722.65625</v>
      </c>
    </row>
    <row r="46" spans="4:16" x14ac:dyDescent="0.25">
      <c r="D46" t="str">
        <f>_xlfn.CONCAT(Tbl_Loan3[[#This Row],[Month number]],Tbl_Loan3[[#This Row],[Year]])</f>
        <v>92022</v>
      </c>
      <c r="E46" s="23">
        <f t="shared" si="2"/>
        <v>45</v>
      </c>
      <c r="F46" s="28">
        <v>44829</v>
      </c>
      <c r="G46" s="23">
        <f>MONTH(Tbl_Loan3[[#This Row],[Payment date]])</f>
        <v>9</v>
      </c>
      <c r="H46" s="23" t="str">
        <f>VLOOKUP(Tbl_Loan3[[#This Row],[Month number]],Tbl_Months[],2,FALSE)</f>
        <v>September</v>
      </c>
      <c r="I46" s="23" t="str">
        <f>VLOOKUP(Tbl_Loan3[[#This Row],[Month number]],Tbl_Months[],3,FALSE)</f>
        <v>III</v>
      </c>
      <c r="J46" s="23">
        <f>YEAR(Tbl_Loan3[[#This Row],[Payment date]])</f>
        <v>2022</v>
      </c>
      <c r="K46" s="23" t="str">
        <f>_xlfn.CONCAT(Tbl_Loan3[[#This Row],[Year]],Tbl_Loan3[[#This Row],[Quarter]])</f>
        <v>2022III</v>
      </c>
      <c r="L46" s="25">
        <f t="shared" si="3"/>
        <v>243750</v>
      </c>
      <c r="M46" s="25">
        <f>B$5*Tbl_Loan3[[#This Row],[Initial debt]]</f>
        <v>1015.625</v>
      </c>
      <c r="N46" s="25">
        <f t="shared" si="1"/>
        <v>4687.5</v>
      </c>
      <c r="O46" s="25">
        <f>MAX(0,Tbl_Loan3[[#This Row],[Initial debt]]-Tbl_Loan3[[#This Row],[Redemption amount]])</f>
        <v>239062.5</v>
      </c>
      <c r="P46" s="25">
        <f>Tbl_Loan3[[#This Row],[Interest amount]]+Tbl_Loan3[[#This Row],[Redemption amount]]</f>
        <v>5703.125</v>
      </c>
    </row>
    <row r="47" spans="4:16" x14ac:dyDescent="0.25">
      <c r="D47" t="str">
        <f>_xlfn.CONCAT(Tbl_Loan3[[#This Row],[Month number]],Tbl_Loan3[[#This Row],[Year]])</f>
        <v>102022</v>
      </c>
      <c r="E47" s="23">
        <f t="shared" si="2"/>
        <v>46</v>
      </c>
      <c r="F47" s="28">
        <v>44859</v>
      </c>
      <c r="G47" s="23">
        <f>MONTH(Tbl_Loan3[[#This Row],[Payment date]])</f>
        <v>10</v>
      </c>
      <c r="H47" s="23" t="str">
        <f>VLOOKUP(Tbl_Loan3[[#This Row],[Month number]],Tbl_Months[],2,FALSE)</f>
        <v>October</v>
      </c>
      <c r="I47" s="23" t="str">
        <f>VLOOKUP(Tbl_Loan3[[#This Row],[Month number]],Tbl_Months[],3,FALSE)</f>
        <v>IV</v>
      </c>
      <c r="J47" s="23">
        <f>YEAR(Tbl_Loan3[[#This Row],[Payment date]])</f>
        <v>2022</v>
      </c>
      <c r="K47" s="23" t="str">
        <f>_xlfn.CONCAT(Tbl_Loan3[[#This Row],[Year]],Tbl_Loan3[[#This Row],[Quarter]])</f>
        <v>2022IV</v>
      </c>
      <c r="L47" s="25">
        <f t="shared" si="3"/>
        <v>239062.5</v>
      </c>
      <c r="M47" s="25">
        <f>B$5*Tbl_Loan3[[#This Row],[Initial debt]]</f>
        <v>996.09375</v>
      </c>
      <c r="N47" s="25">
        <f t="shared" si="1"/>
        <v>4687.5</v>
      </c>
      <c r="O47" s="25">
        <f>MAX(0,Tbl_Loan3[[#This Row],[Initial debt]]-Tbl_Loan3[[#This Row],[Redemption amount]])</f>
        <v>234375</v>
      </c>
      <c r="P47" s="25">
        <f>Tbl_Loan3[[#This Row],[Interest amount]]+Tbl_Loan3[[#This Row],[Redemption amount]]</f>
        <v>5683.59375</v>
      </c>
    </row>
    <row r="48" spans="4:16" x14ac:dyDescent="0.25">
      <c r="D48" t="str">
        <f>_xlfn.CONCAT(Tbl_Loan3[[#This Row],[Month number]],Tbl_Loan3[[#This Row],[Year]])</f>
        <v>112022</v>
      </c>
      <c r="E48" s="23">
        <f t="shared" si="2"/>
        <v>47</v>
      </c>
      <c r="F48" s="28">
        <v>44890</v>
      </c>
      <c r="G48" s="23">
        <f>MONTH(Tbl_Loan3[[#This Row],[Payment date]])</f>
        <v>11</v>
      </c>
      <c r="H48" s="23" t="str">
        <f>VLOOKUP(Tbl_Loan3[[#This Row],[Month number]],Tbl_Months[],2,FALSE)</f>
        <v>November</v>
      </c>
      <c r="I48" s="23" t="str">
        <f>VLOOKUP(Tbl_Loan3[[#This Row],[Month number]],Tbl_Months[],3,FALSE)</f>
        <v>IV</v>
      </c>
      <c r="J48" s="23">
        <f>YEAR(Tbl_Loan3[[#This Row],[Payment date]])</f>
        <v>2022</v>
      </c>
      <c r="K48" s="23" t="str">
        <f>_xlfn.CONCAT(Tbl_Loan3[[#This Row],[Year]],Tbl_Loan3[[#This Row],[Quarter]])</f>
        <v>2022IV</v>
      </c>
      <c r="L48" s="25">
        <f t="shared" si="3"/>
        <v>234375</v>
      </c>
      <c r="M48" s="25">
        <f>B$5*Tbl_Loan3[[#This Row],[Initial debt]]</f>
        <v>976.5625</v>
      </c>
      <c r="N48" s="25">
        <f t="shared" si="1"/>
        <v>4687.5</v>
      </c>
      <c r="O48" s="25">
        <f>MAX(0,Tbl_Loan3[[#This Row],[Initial debt]]-Tbl_Loan3[[#This Row],[Redemption amount]])</f>
        <v>229687.5</v>
      </c>
      <c r="P48" s="25">
        <f>Tbl_Loan3[[#This Row],[Interest amount]]+Tbl_Loan3[[#This Row],[Redemption amount]]</f>
        <v>5664.0625</v>
      </c>
    </row>
    <row r="49" spans="4:16" x14ac:dyDescent="0.25">
      <c r="D49" t="str">
        <f>_xlfn.CONCAT(Tbl_Loan3[[#This Row],[Month number]],Tbl_Loan3[[#This Row],[Year]])</f>
        <v>122022</v>
      </c>
      <c r="E49" s="23">
        <f t="shared" si="2"/>
        <v>48</v>
      </c>
      <c r="F49" s="28">
        <v>44920</v>
      </c>
      <c r="G49" s="23">
        <f>MONTH(Tbl_Loan3[[#This Row],[Payment date]])</f>
        <v>12</v>
      </c>
      <c r="H49" s="23" t="str">
        <f>VLOOKUP(Tbl_Loan3[[#This Row],[Month number]],Tbl_Months[],2,FALSE)</f>
        <v>December</v>
      </c>
      <c r="I49" s="23" t="str">
        <f>VLOOKUP(Tbl_Loan3[[#This Row],[Month number]],Tbl_Months[],3,FALSE)</f>
        <v>IV</v>
      </c>
      <c r="J49" s="23">
        <f>YEAR(Tbl_Loan3[[#This Row],[Payment date]])</f>
        <v>2022</v>
      </c>
      <c r="K49" s="23" t="str">
        <f>_xlfn.CONCAT(Tbl_Loan3[[#This Row],[Year]],Tbl_Loan3[[#This Row],[Quarter]])</f>
        <v>2022IV</v>
      </c>
      <c r="L49" s="25">
        <f t="shared" si="3"/>
        <v>229687.5</v>
      </c>
      <c r="M49" s="25">
        <f>B$5*Tbl_Loan3[[#This Row],[Initial debt]]</f>
        <v>957.03125</v>
      </c>
      <c r="N49" s="25">
        <f t="shared" si="1"/>
        <v>4687.5</v>
      </c>
      <c r="O49" s="25">
        <f>MAX(0,Tbl_Loan3[[#This Row],[Initial debt]]-Tbl_Loan3[[#This Row],[Redemption amount]])</f>
        <v>225000</v>
      </c>
      <c r="P49" s="25">
        <f>Tbl_Loan3[[#This Row],[Interest amount]]+Tbl_Loan3[[#This Row],[Redemption amount]]</f>
        <v>5644.53125</v>
      </c>
    </row>
    <row r="50" spans="4:16" x14ac:dyDescent="0.25">
      <c r="D50" t="str">
        <f>_xlfn.CONCAT(Tbl_Loan3[[#This Row],[Month number]],Tbl_Loan3[[#This Row],[Year]])</f>
        <v>12023</v>
      </c>
      <c r="E50" s="23">
        <f t="shared" si="2"/>
        <v>49</v>
      </c>
      <c r="F50" s="28">
        <v>44951</v>
      </c>
      <c r="G50" s="23">
        <f>MONTH(Tbl_Loan3[[#This Row],[Payment date]])</f>
        <v>1</v>
      </c>
      <c r="H50" s="23" t="str">
        <f>VLOOKUP(Tbl_Loan3[[#This Row],[Month number]],Tbl_Months[],2,FALSE)</f>
        <v>January</v>
      </c>
      <c r="I50" s="23" t="str">
        <f>VLOOKUP(Tbl_Loan3[[#This Row],[Month number]],Tbl_Months[],3,FALSE)</f>
        <v>I</v>
      </c>
      <c r="J50" s="23">
        <f>YEAR(Tbl_Loan3[[#This Row],[Payment date]])</f>
        <v>2023</v>
      </c>
      <c r="K50" s="23" t="str">
        <f>_xlfn.CONCAT(Tbl_Loan3[[#This Row],[Year]],Tbl_Loan3[[#This Row],[Quarter]])</f>
        <v>2023I</v>
      </c>
      <c r="L50" s="25">
        <f t="shared" si="3"/>
        <v>225000</v>
      </c>
      <c r="M50" s="25">
        <f>B$5*Tbl_Loan3[[#This Row],[Initial debt]]</f>
        <v>937.5</v>
      </c>
      <c r="N50" s="25">
        <f t="shared" si="1"/>
        <v>4687.5</v>
      </c>
      <c r="O50" s="25">
        <f>MAX(0,Tbl_Loan3[[#This Row],[Initial debt]]-Tbl_Loan3[[#This Row],[Redemption amount]])</f>
        <v>220312.5</v>
      </c>
      <c r="P50" s="25">
        <f>Tbl_Loan3[[#This Row],[Interest amount]]+Tbl_Loan3[[#This Row],[Redemption amount]]</f>
        <v>5625</v>
      </c>
    </row>
    <row r="51" spans="4:16" x14ac:dyDescent="0.25">
      <c r="D51" t="str">
        <f>_xlfn.CONCAT(Tbl_Loan3[[#This Row],[Month number]],Tbl_Loan3[[#This Row],[Year]])</f>
        <v>22023</v>
      </c>
      <c r="E51" s="23">
        <f t="shared" si="2"/>
        <v>50</v>
      </c>
      <c r="F51" s="28">
        <v>44982</v>
      </c>
      <c r="G51" s="23">
        <f>MONTH(Tbl_Loan3[[#This Row],[Payment date]])</f>
        <v>2</v>
      </c>
      <c r="H51" s="23" t="str">
        <f>VLOOKUP(Tbl_Loan3[[#This Row],[Month number]],Tbl_Months[],2,FALSE)</f>
        <v>February</v>
      </c>
      <c r="I51" s="23" t="str">
        <f>VLOOKUP(Tbl_Loan3[[#This Row],[Month number]],Tbl_Months[],3,FALSE)</f>
        <v>I</v>
      </c>
      <c r="J51" s="23">
        <f>YEAR(Tbl_Loan3[[#This Row],[Payment date]])</f>
        <v>2023</v>
      </c>
      <c r="K51" s="23" t="str">
        <f>_xlfn.CONCAT(Tbl_Loan3[[#This Row],[Year]],Tbl_Loan3[[#This Row],[Quarter]])</f>
        <v>2023I</v>
      </c>
      <c r="L51" s="25">
        <f t="shared" si="3"/>
        <v>220312.5</v>
      </c>
      <c r="M51" s="25">
        <f>B$5*Tbl_Loan3[[#This Row],[Initial debt]]</f>
        <v>917.96875</v>
      </c>
      <c r="N51" s="25">
        <f t="shared" si="1"/>
        <v>4687.5</v>
      </c>
      <c r="O51" s="25">
        <f>MAX(0,Tbl_Loan3[[#This Row],[Initial debt]]-Tbl_Loan3[[#This Row],[Redemption amount]])</f>
        <v>215625</v>
      </c>
      <c r="P51" s="25">
        <f>Tbl_Loan3[[#This Row],[Interest amount]]+Tbl_Loan3[[#This Row],[Redemption amount]]</f>
        <v>5605.46875</v>
      </c>
    </row>
    <row r="52" spans="4:16" x14ac:dyDescent="0.25">
      <c r="D52" t="str">
        <f>_xlfn.CONCAT(Tbl_Loan3[[#This Row],[Month number]],Tbl_Loan3[[#This Row],[Year]])</f>
        <v>32023</v>
      </c>
      <c r="E52" s="23">
        <f t="shared" si="2"/>
        <v>51</v>
      </c>
      <c r="F52" s="28">
        <v>45010</v>
      </c>
      <c r="G52" s="23">
        <f>MONTH(Tbl_Loan3[[#This Row],[Payment date]])</f>
        <v>3</v>
      </c>
      <c r="H52" s="23" t="str">
        <f>VLOOKUP(Tbl_Loan3[[#This Row],[Month number]],Tbl_Months[],2,FALSE)</f>
        <v>March</v>
      </c>
      <c r="I52" s="23" t="str">
        <f>VLOOKUP(Tbl_Loan3[[#This Row],[Month number]],Tbl_Months[],3,FALSE)</f>
        <v>I</v>
      </c>
      <c r="J52" s="23">
        <f>YEAR(Tbl_Loan3[[#This Row],[Payment date]])</f>
        <v>2023</v>
      </c>
      <c r="K52" s="23" t="str">
        <f>_xlfn.CONCAT(Tbl_Loan3[[#This Row],[Year]],Tbl_Loan3[[#This Row],[Quarter]])</f>
        <v>2023I</v>
      </c>
      <c r="L52" s="25">
        <f t="shared" si="3"/>
        <v>215625</v>
      </c>
      <c r="M52" s="25">
        <f>B$5*Tbl_Loan3[[#This Row],[Initial debt]]</f>
        <v>898.4375</v>
      </c>
      <c r="N52" s="25">
        <f t="shared" si="1"/>
        <v>4687.5</v>
      </c>
      <c r="O52" s="25">
        <f>MAX(0,Tbl_Loan3[[#This Row],[Initial debt]]-Tbl_Loan3[[#This Row],[Redemption amount]])</f>
        <v>210937.5</v>
      </c>
      <c r="P52" s="25">
        <f>Tbl_Loan3[[#This Row],[Interest amount]]+Tbl_Loan3[[#This Row],[Redemption amount]]</f>
        <v>5585.9375</v>
      </c>
    </row>
    <row r="53" spans="4:16" x14ac:dyDescent="0.25">
      <c r="D53" t="str">
        <f>_xlfn.CONCAT(Tbl_Loan3[[#This Row],[Month number]],Tbl_Loan3[[#This Row],[Year]])</f>
        <v>42023</v>
      </c>
      <c r="E53" s="23">
        <f t="shared" si="2"/>
        <v>52</v>
      </c>
      <c r="F53" s="28">
        <v>45041</v>
      </c>
      <c r="G53" s="23">
        <f>MONTH(Tbl_Loan3[[#This Row],[Payment date]])</f>
        <v>4</v>
      </c>
      <c r="H53" s="23" t="str">
        <f>VLOOKUP(Tbl_Loan3[[#This Row],[Month number]],Tbl_Months[],2,FALSE)</f>
        <v>April</v>
      </c>
      <c r="I53" s="23" t="str">
        <f>VLOOKUP(Tbl_Loan3[[#This Row],[Month number]],Tbl_Months[],3,FALSE)</f>
        <v>II</v>
      </c>
      <c r="J53" s="23">
        <f>YEAR(Tbl_Loan3[[#This Row],[Payment date]])</f>
        <v>2023</v>
      </c>
      <c r="K53" s="23" t="str">
        <f>_xlfn.CONCAT(Tbl_Loan3[[#This Row],[Year]],Tbl_Loan3[[#This Row],[Quarter]])</f>
        <v>2023II</v>
      </c>
      <c r="L53" s="25">
        <f t="shared" si="3"/>
        <v>210937.5</v>
      </c>
      <c r="M53" s="25">
        <f>B$5*Tbl_Loan3[[#This Row],[Initial debt]]</f>
        <v>878.90625</v>
      </c>
      <c r="N53" s="25">
        <f t="shared" si="1"/>
        <v>4687.5</v>
      </c>
      <c r="O53" s="25">
        <f>MAX(0,Tbl_Loan3[[#This Row],[Initial debt]]-Tbl_Loan3[[#This Row],[Redemption amount]])</f>
        <v>206250</v>
      </c>
      <c r="P53" s="25">
        <f>Tbl_Loan3[[#This Row],[Interest amount]]+Tbl_Loan3[[#This Row],[Redemption amount]]</f>
        <v>5566.40625</v>
      </c>
    </row>
    <row r="54" spans="4:16" x14ac:dyDescent="0.25">
      <c r="D54" t="str">
        <f>_xlfn.CONCAT(Tbl_Loan3[[#This Row],[Month number]],Tbl_Loan3[[#This Row],[Year]])</f>
        <v>52023</v>
      </c>
      <c r="E54" s="23">
        <f t="shared" si="2"/>
        <v>53</v>
      </c>
      <c r="F54" s="28">
        <v>45071</v>
      </c>
      <c r="G54" s="23">
        <f>MONTH(Tbl_Loan3[[#This Row],[Payment date]])</f>
        <v>5</v>
      </c>
      <c r="H54" s="23" t="str">
        <f>VLOOKUP(Tbl_Loan3[[#This Row],[Month number]],Tbl_Months[],2,FALSE)</f>
        <v>May</v>
      </c>
      <c r="I54" s="23" t="str">
        <f>VLOOKUP(Tbl_Loan3[[#This Row],[Month number]],Tbl_Months[],3,FALSE)</f>
        <v>II</v>
      </c>
      <c r="J54" s="23">
        <f>YEAR(Tbl_Loan3[[#This Row],[Payment date]])</f>
        <v>2023</v>
      </c>
      <c r="K54" s="23" t="str">
        <f>_xlfn.CONCAT(Tbl_Loan3[[#This Row],[Year]],Tbl_Loan3[[#This Row],[Quarter]])</f>
        <v>2023II</v>
      </c>
      <c r="L54" s="25">
        <f t="shared" si="3"/>
        <v>206250</v>
      </c>
      <c r="M54" s="25">
        <f>B$5*Tbl_Loan3[[#This Row],[Initial debt]]</f>
        <v>859.375</v>
      </c>
      <c r="N54" s="25">
        <f t="shared" si="1"/>
        <v>4687.5</v>
      </c>
      <c r="O54" s="25">
        <f>MAX(0,Tbl_Loan3[[#This Row],[Initial debt]]-Tbl_Loan3[[#This Row],[Redemption amount]])</f>
        <v>201562.5</v>
      </c>
      <c r="P54" s="25">
        <f>Tbl_Loan3[[#This Row],[Interest amount]]+Tbl_Loan3[[#This Row],[Redemption amount]]</f>
        <v>5546.875</v>
      </c>
    </row>
    <row r="55" spans="4:16" x14ac:dyDescent="0.25">
      <c r="D55" t="str">
        <f>_xlfn.CONCAT(Tbl_Loan3[[#This Row],[Month number]],Tbl_Loan3[[#This Row],[Year]])</f>
        <v>62023</v>
      </c>
      <c r="E55" s="23">
        <f t="shared" si="2"/>
        <v>54</v>
      </c>
      <c r="F55" s="28">
        <v>45102</v>
      </c>
      <c r="G55" s="23">
        <f>MONTH(Tbl_Loan3[[#This Row],[Payment date]])</f>
        <v>6</v>
      </c>
      <c r="H55" s="23" t="str">
        <f>VLOOKUP(Tbl_Loan3[[#This Row],[Month number]],Tbl_Months[],2,FALSE)</f>
        <v>June</v>
      </c>
      <c r="I55" s="23" t="str">
        <f>VLOOKUP(Tbl_Loan3[[#This Row],[Month number]],Tbl_Months[],3,FALSE)</f>
        <v>II</v>
      </c>
      <c r="J55" s="23">
        <f>YEAR(Tbl_Loan3[[#This Row],[Payment date]])</f>
        <v>2023</v>
      </c>
      <c r="K55" s="23" t="str">
        <f>_xlfn.CONCAT(Tbl_Loan3[[#This Row],[Year]],Tbl_Loan3[[#This Row],[Quarter]])</f>
        <v>2023II</v>
      </c>
      <c r="L55" s="25">
        <f t="shared" si="3"/>
        <v>201562.5</v>
      </c>
      <c r="M55" s="25">
        <f>B$5*Tbl_Loan3[[#This Row],[Initial debt]]</f>
        <v>839.84375</v>
      </c>
      <c r="N55" s="25">
        <f t="shared" si="1"/>
        <v>4687.5</v>
      </c>
      <c r="O55" s="25">
        <f>MAX(0,Tbl_Loan3[[#This Row],[Initial debt]]-Tbl_Loan3[[#This Row],[Redemption amount]])</f>
        <v>196875</v>
      </c>
      <c r="P55" s="25">
        <f>Tbl_Loan3[[#This Row],[Interest amount]]+Tbl_Loan3[[#This Row],[Redemption amount]]</f>
        <v>5527.34375</v>
      </c>
    </row>
    <row r="56" spans="4:16" x14ac:dyDescent="0.25">
      <c r="D56" t="str">
        <f>_xlfn.CONCAT(Tbl_Loan3[[#This Row],[Month number]],Tbl_Loan3[[#This Row],[Year]])</f>
        <v>72023</v>
      </c>
      <c r="E56" s="23">
        <f t="shared" si="2"/>
        <v>55</v>
      </c>
      <c r="F56" s="28">
        <v>45132</v>
      </c>
      <c r="G56" s="23">
        <f>MONTH(Tbl_Loan3[[#This Row],[Payment date]])</f>
        <v>7</v>
      </c>
      <c r="H56" s="23" t="str">
        <f>VLOOKUP(Tbl_Loan3[[#This Row],[Month number]],Tbl_Months[],2,FALSE)</f>
        <v>July</v>
      </c>
      <c r="I56" s="23" t="str">
        <f>VLOOKUP(Tbl_Loan3[[#This Row],[Month number]],Tbl_Months[],3,FALSE)</f>
        <v>III</v>
      </c>
      <c r="J56" s="23">
        <f>YEAR(Tbl_Loan3[[#This Row],[Payment date]])</f>
        <v>2023</v>
      </c>
      <c r="K56" s="23" t="str">
        <f>_xlfn.CONCAT(Tbl_Loan3[[#This Row],[Year]],Tbl_Loan3[[#This Row],[Quarter]])</f>
        <v>2023III</v>
      </c>
      <c r="L56" s="25">
        <f t="shared" si="3"/>
        <v>196875</v>
      </c>
      <c r="M56" s="25">
        <f>B$5*Tbl_Loan3[[#This Row],[Initial debt]]</f>
        <v>820.3125</v>
      </c>
      <c r="N56" s="25">
        <f t="shared" si="1"/>
        <v>4687.5</v>
      </c>
      <c r="O56" s="25">
        <f>MAX(0,Tbl_Loan3[[#This Row],[Initial debt]]-Tbl_Loan3[[#This Row],[Redemption amount]])</f>
        <v>192187.5</v>
      </c>
      <c r="P56" s="25">
        <f>Tbl_Loan3[[#This Row],[Interest amount]]+Tbl_Loan3[[#This Row],[Redemption amount]]</f>
        <v>5507.8125</v>
      </c>
    </row>
    <row r="57" spans="4:16" x14ac:dyDescent="0.25">
      <c r="D57" t="str">
        <f>_xlfn.CONCAT(Tbl_Loan3[[#This Row],[Month number]],Tbl_Loan3[[#This Row],[Year]])</f>
        <v>82023</v>
      </c>
      <c r="E57" s="23">
        <f t="shared" si="2"/>
        <v>56</v>
      </c>
      <c r="F57" s="28">
        <v>45163</v>
      </c>
      <c r="G57" s="23">
        <f>MONTH(Tbl_Loan3[[#This Row],[Payment date]])</f>
        <v>8</v>
      </c>
      <c r="H57" s="23" t="str">
        <f>VLOOKUP(Tbl_Loan3[[#This Row],[Month number]],Tbl_Months[],2,FALSE)</f>
        <v>August</v>
      </c>
      <c r="I57" s="23" t="str">
        <f>VLOOKUP(Tbl_Loan3[[#This Row],[Month number]],Tbl_Months[],3,FALSE)</f>
        <v>III</v>
      </c>
      <c r="J57" s="23">
        <f>YEAR(Tbl_Loan3[[#This Row],[Payment date]])</f>
        <v>2023</v>
      </c>
      <c r="K57" s="23" t="str">
        <f>_xlfn.CONCAT(Tbl_Loan3[[#This Row],[Year]],Tbl_Loan3[[#This Row],[Quarter]])</f>
        <v>2023III</v>
      </c>
      <c r="L57" s="25">
        <f t="shared" si="3"/>
        <v>192187.5</v>
      </c>
      <c r="M57" s="25">
        <f>B$5*Tbl_Loan3[[#This Row],[Initial debt]]</f>
        <v>800.78125</v>
      </c>
      <c r="N57" s="25">
        <f t="shared" si="1"/>
        <v>4687.5</v>
      </c>
      <c r="O57" s="25">
        <f>MAX(0,Tbl_Loan3[[#This Row],[Initial debt]]-Tbl_Loan3[[#This Row],[Redemption amount]])</f>
        <v>187500</v>
      </c>
      <c r="P57" s="25">
        <f>Tbl_Loan3[[#This Row],[Interest amount]]+Tbl_Loan3[[#This Row],[Redemption amount]]</f>
        <v>5488.28125</v>
      </c>
    </row>
    <row r="58" spans="4:16" x14ac:dyDescent="0.25">
      <c r="D58" t="str">
        <f>_xlfn.CONCAT(Tbl_Loan3[[#This Row],[Month number]],Tbl_Loan3[[#This Row],[Year]])</f>
        <v>92023</v>
      </c>
      <c r="E58" s="23">
        <f t="shared" si="2"/>
        <v>57</v>
      </c>
      <c r="F58" s="28">
        <v>45194</v>
      </c>
      <c r="G58" s="23">
        <f>MONTH(Tbl_Loan3[[#This Row],[Payment date]])</f>
        <v>9</v>
      </c>
      <c r="H58" s="23" t="str">
        <f>VLOOKUP(Tbl_Loan3[[#This Row],[Month number]],Tbl_Months[],2,FALSE)</f>
        <v>September</v>
      </c>
      <c r="I58" s="23" t="str">
        <f>VLOOKUP(Tbl_Loan3[[#This Row],[Month number]],Tbl_Months[],3,FALSE)</f>
        <v>III</v>
      </c>
      <c r="J58" s="23">
        <f>YEAR(Tbl_Loan3[[#This Row],[Payment date]])</f>
        <v>2023</v>
      </c>
      <c r="K58" s="23" t="str">
        <f>_xlfn.CONCAT(Tbl_Loan3[[#This Row],[Year]],Tbl_Loan3[[#This Row],[Quarter]])</f>
        <v>2023III</v>
      </c>
      <c r="L58" s="25">
        <f t="shared" si="3"/>
        <v>187500</v>
      </c>
      <c r="M58" s="25">
        <f>B$5*Tbl_Loan3[[#This Row],[Initial debt]]</f>
        <v>781.25</v>
      </c>
      <c r="N58" s="25">
        <f t="shared" si="1"/>
        <v>4687.5</v>
      </c>
      <c r="O58" s="25">
        <f>MAX(0,Tbl_Loan3[[#This Row],[Initial debt]]-Tbl_Loan3[[#This Row],[Redemption amount]])</f>
        <v>182812.5</v>
      </c>
      <c r="P58" s="25">
        <f>Tbl_Loan3[[#This Row],[Interest amount]]+Tbl_Loan3[[#This Row],[Redemption amount]]</f>
        <v>5468.75</v>
      </c>
    </row>
    <row r="59" spans="4:16" x14ac:dyDescent="0.25">
      <c r="D59" t="str">
        <f>_xlfn.CONCAT(Tbl_Loan3[[#This Row],[Month number]],Tbl_Loan3[[#This Row],[Year]])</f>
        <v>102023</v>
      </c>
      <c r="E59" s="23">
        <f t="shared" si="2"/>
        <v>58</v>
      </c>
      <c r="F59" s="28">
        <v>45224</v>
      </c>
      <c r="G59" s="23">
        <f>MONTH(Tbl_Loan3[[#This Row],[Payment date]])</f>
        <v>10</v>
      </c>
      <c r="H59" s="23" t="str">
        <f>VLOOKUP(Tbl_Loan3[[#This Row],[Month number]],Tbl_Months[],2,FALSE)</f>
        <v>October</v>
      </c>
      <c r="I59" s="23" t="str">
        <f>VLOOKUP(Tbl_Loan3[[#This Row],[Month number]],Tbl_Months[],3,FALSE)</f>
        <v>IV</v>
      </c>
      <c r="J59" s="23">
        <f>YEAR(Tbl_Loan3[[#This Row],[Payment date]])</f>
        <v>2023</v>
      </c>
      <c r="K59" s="23" t="str">
        <f>_xlfn.CONCAT(Tbl_Loan3[[#This Row],[Year]],Tbl_Loan3[[#This Row],[Quarter]])</f>
        <v>2023IV</v>
      </c>
      <c r="L59" s="25">
        <f t="shared" si="3"/>
        <v>182812.5</v>
      </c>
      <c r="M59" s="25">
        <f>B$5*Tbl_Loan3[[#This Row],[Initial debt]]</f>
        <v>761.71875</v>
      </c>
      <c r="N59" s="25">
        <f t="shared" si="1"/>
        <v>4687.5</v>
      </c>
      <c r="O59" s="25">
        <f>MAX(0,Tbl_Loan3[[#This Row],[Initial debt]]-Tbl_Loan3[[#This Row],[Redemption amount]])</f>
        <v>178125</v>
      </c>
      <c r="P59" s="25">
        <f>Tbl_Loan3[[#This Row],[Interest amount]]+Tbl_Loan3[[#This Row],[Redemption amount]]</f>
        <v>5449.21875</v>
      </c>
    </row>
    <row r="60" spans="4:16" x14ac:dyDescent="0.25">
      <c r="D60" t="str">
        <f>_xlfn.CONCAT(Tbl_Loan3[[#This Row],[Month number]],Tbl_Loan3[[#This Row],[Year]])</f>
        <v>112023</v>
      </c>
      <c r="E60" s="23">
        <f t="shared" si="2"/>
        <v>59</v>
      </c>
      <c r="F60" s="28">
        <v>45255</v>
      </c>
      <c r="G60" s="23">
        <f>MONTH(Tbl_Loan3[[#This Row],[Payment date]])</f>
        <v>11</v>
      </c>
      <c r="H60" s="23" t="str">
        <f>VLOOKUP(Tbl_Loan3[[#This Row],[Month number]],Tbl_Months[],2,FALSE)</f>
        <v>November</v>
      </c>
      <c r="I60" s="23" t="str">
        <f>VLOOKUP(Tbl_Loan3[[#This Row],[Month number]],Tbl_Months[],3,FALSE)</f>
        <v>IV</v>
      </c>
      <c r="J60" s="23">
        <f>YEAR(Tbl_Loan3[[#This Row],[Payment date]])</f>
        <v>2023</v>
      </c>
      <c r="K60" s="23" t="str">
        <f>_xlfn.CONCAT(Tbl_Loan3[[#This Row],[Year]],Tbl_Loan3[[#This Row],[Quarter]])</f>
        <v>2023IV</v>
      </c>
      <c r="L60" s="25">
        <f t="shared" si="3"/>
        <v>178125</v>
      </c>
      <c r="M60" s="25">
        <f>B$5*Tbl_Loan3[[#This Row],[Initial debt]]</f>
        <v>742.1875</v>
      </c>
      <c r="N60" s="25">
        <f t="shared" si="1"/>
        <v>4687.5</v>
      </c>
      <c r="O60" s="25">
        <f>MAX(0,Tbl_Loan3[[#This Row],[Initial debt]]-Tbl_Loan3[[#This Row],[Redemption amount]])</f>
        <v>173437.5</v>
      </c>
      <c r="P60" s="25">
        <f>Tbl_Loan3[[#This Row],[Interest amount]]+Tbl_Loan3[[#This Row],[Redemption amount]]</f>
        <v>5429.6875</v>
      </c>
    </row>
    <row r="61" spans="4:16" x14ac:dyDescent="0.25">
      <c r="D61" t="str">
        <f>_xlfn.CONCAT(Tbl_Loan3[[#This Row],[Month number]],Tbl_Loan3[[#This Row],[Year]])</f>
        <v>122023</v>
      </c>
      <c r="E61" s="23">
        <f t="shared" si="2"/>
        <v>60</v>
      </c>
      <c r="F61" s="28">
        <v>45285</v>
      </c>
      <c r="G61" s="23">
        <f>MONTH(Tbl_Loan3[[#This Row],[Payment date]])</f>
        <v>12</v>
      </c>
      <c r="H61" s="23" t="str">
        <f>VLOOKUP(Tbl_Loan3[[#This Row],[Month number]],Tbl_Months[],2,FALSE)</f>
        <v>December</v>
      </c>
      <c r="I61" s="23" t="str">
        <f>VLOOKUP(Tbl_Loan3[[#This Row],[Month number]],Tbl_Months[],3,FALSE)</f>
        <v>IV</v>
      </c>
      <c r="J61" s="23">
        <f>YEAR(Tbl_Loan3[[#This Row],[Payment date]])</f>
        <v>2023</v>
      </c>
      <c r="K61" s="23" t="str">
        <f>_xlfn.CONCAT(Tbl_Loan3[[#This Row],[Year]],Tbl_Loan3[[#This Row],[Quarter]])</f>
        <v>2023IV</v>
      </c>
      <c r="L61" s="25">
        <f t="shared" si="3"/>
        <v>173437.5</v>
      </c>
      <c r="M61" s="25">
        <f>B$5*Tbl_Loan3[[#This Row],[Initial debt]]</f>
        <v>722.65625</v>
      </c>
      <c r="N61" s="25">
        <f t="shared" si="1"/>
        <v>4687.5</v>
      </c>
      <c r="O61" s="25">
        <f>MAX(0,Tbl_Loan3[[#This Row],[Initial debt]]-Tbl_Loan3[[#This Row],[Redemption amount]])</f>
        <v>168750</v>
      </c>
      <c r="P61" s="25">
        <f>Tbl_Loan3[[#This Row],[Interest amount]]+Tbl_Loan3[[#This Row],[Redemption amount]]</f>
        <v>5410.15625</v>
      </c>
    </row>
    <row r="62" spans="4:16" x14ac:dyDescent="0.25">
      <c r="D62" t="str">
        <f>_xlfn.CONCAT(Tbl_Loan3[[#This Row],[Month number]],Tbl_Loan3[[#This Row],[Year]])</f>
        <v>12024</v>
      </c>
      <c r="E62" s="23">
        <f t="shared" si="2"/>
        <v>61</v>
      </c>
      <c r="F62" s="28">
        <v>45316</v>
      </c>
      <c r="G62" s="23">
        <f>MONTH(Tbl_Loan3[[#This Row],[Payment date]])</f>
        <v>1</v>
      </c>
      <c r="H62" s="23" t="str">
        <f>VLOOKUP(Tbl_Loan3[[#This Row],[Month number]],Tbl_Months[],2,FALSE)</f>
        <v>January</v>
      </c>
      <c r="I62" s="23" t="str">
        <f>VLOOKUP(Tbl_Loan3[[#This Row],[Month number]],Tbl_Months[],3,FALSE)</f>
        <v>I</v>
      </c>
      <c r="J62" s="23">
        <f>YEAR(Tbl_Loan3[[#This Row],[Payment date]])</f>
        <v>2024</v>
      </c>
      <c r="K62" s="23" t="str">
        <f>_xlfn.CONCAT(Tbl_Loan3[[#This Row],[Year]],Tbl_Loan3[[#This Row],[Quarter]])</f>
        <v>2024I</v>
      </c>
      <c r="L62" s="25">
        <f t="shared" si="3"/>
        <v>168750</v>
      </c>
      <c r="M62" s="25">
        <f>B$5*Tbl_Loan3[[#This Row],[Initial debt]]</f>
        <v>703.125</v>
      </c>
      <c r="N62" s="25">
        <f t="shared" si="1"/>
        <v>4687.5</v>
      </c>
      <c r="O62" s="25">
        <f>MAX(0,Tbl_Loan3[[#This Row],[Initial debt]]-Tbl_Loan3[[#This Row],[Redemption amount]])</f>
        <v>164062.5</v>
      </c>
      <c r="P62" s="25">
        <f>Tbl_Loan3[[#This Row],[Interest amount]]+Tbl_Loan3[[#This Row],[Redemption amount]]</f>
        <v>5390.625</v>
      </c>
    </row>
    <row r="63" spans="4:16" x14ac:dyDescent="0.25">
      <c r="D63" t="str">
        <f>_xlfn.CONCAT(Tbl_Loan3[[#This Row],[Month number]],Tbl_Loan3[[#This Row],[Year]])</f>
        <v>22024</v>
      </c>
      <c r="E63" s="23">
        <f t="shared" si="2"/>
        <v>62</v>
      </c>
      <c r="F63" s="28">
        <v>45347</v>
      </c>
      <c r="G63" s="23">
        <f>MONTH(Tbl_Loan3[[#This Row],[Payment date]])</f>
        <v>2</v>
      </c>
      <c r="H63" s="23" t="str">
        <f>VLOOKUP(Tbl_Loan3[[#This Row],[Month number]],Tbl_Months[],2,FALSE)</f>
        <v>February</v>
      </c>
      <c r="I63" s="23" t="str">
        <f>VLOOKUP(Tbl_Loan3[[#This Row],[Month number]],Tbl_Months[],3,FALSE)</f>
        <v>I</v>
      </c>
      <c r="J63" s="23">
        <f>YEAR(Tbl_Loan3[[#This Row],[Payment date]])</f>
        <v>2024</v>
      </c>
      <c r="K63" s="23" t="str">
        <f>_xlfn.CONCAT(Tbl_Loan3[[#This Row],[Year]],Tbl_Loan3[[#This Row],[Quarter]])</f>
        <v>2024I</v>
      </c>
      <c r="L63" s="25">
        <f t="shared" si="3"/>
        <v>164062.5</v>
      </c>
      <c r="M63" s="25">
        <f>B$5*Tbl_Loan3[[#This Row],[Initial debt]]</f>
        <v>683.59375</v>
      </c>
      <c r="N63" s="25">
        <f t="shared" si="1"/>
        <v>4687.5</v>
      </c>
      <c r="O63" s="25">
        <f>MAX(0,Tbl_Loan3[[#This Row],[Initial debt]]-Tbl_Loan3[[#This Row],[Redemption amount]])</f>
        <v>159375</v>
      </c>
      <c r="P63" s="25">
        <f>Tbl_Loan3[[#This Row],[Interest amount]]+Tbl_Loan3[[#This Row],[Redemption amount]]</f>
        <v>5371.09375</v>
      </c>
    </row>
    <row r="64" spans="4:16" x14ac:dyDescent="0.25">
      <c r="D64" t="str">
        <f>_xlfn.CONCAT(Tbl_Loan3[[#This Row],[Month number]],Tbl_Loan3[[#This Row],[Year]])</f>
        <v>32024</v>
      </c>
      <c r="E64" s="23">
        <f t="shared" si="2"/>
        <v>63</v>
      </c>
      <c r="F64" s="28">
        <v>45376</v>
      </c>
      <c r="G64" s="23">
        <f>MONTH(Tbl_Loan3[[#This Row],[Payment date]])</f>
        <v>3</v>
      </c>
      <c r="H64" s="23" t="str">
        <f>VLOOKUP(Tbl_Loan3[[#This Row],[Month number]],Tbl_Months[],2,FALSE)</f>
        <v>March</v>
      </c>
      <c r="I64" s="23" t="str">
        <f>VLOOKUP(Tbl_Loan3[[#This Row],[Month number]],Tbl_Months[],3,FALSE)</f>
        <v>I</v>
      </c>
      <c r="J64" s="23">
        <f>YEAR(Tbl_Loan3[[#This Row],[Payment date]])</f>
        <v>2024</v>
      </c>
      <c r="K64" s="23" t="str">
        <f>_xlfn.CONCAT(Tbl_Loan3[[#This Row],[Year]],Tbl_Loan3[[#This Row],[Quarter]])</f>
        <v>2024I</v>
      </c>
      <c r="L64" s="25">
        <f t="shared" si="3"/>
        <v>159375</v>
      </c>
      <c r="M64" s="25">
        <f>B$5*Tbl_Loan3[[#This Row],[Initial debt]]</f>
        <v>664.0625</v>
      </c>
      <c r="N64" s="25">
        <f t="shared" si="1"/>
        <v>4687.5</v>
      </c>
      <c r="O64" s="25">
        <f>MAX(0,Tbl_Loan3[[#This Row],[Initial debt]]-Tbl_Loan3[[#This Row],[Redemption amount]])</f>
        <v>154687.5</v>
      </c>
      <c r="P64" s="25">
        <f>Tbl_Loan3[[#This Row],[Interest amount]]+Tbl_Loan3[[#This Row],[Redemption amount]]</f>
        <v>5351.5625</v>
      </c>
    </row>
    <row r="65" spans="4:16" x14ac:dyDescent="0.25">
      <c r="D65" t="str">
        <f>_xlfn.CONCAT(Tbl_Loan3[[#This Row],[Month number]],Tbl_Loan3[[#This Row],[Year]])</f>
        <v>42024</v>
      </c>
      <c r="E65" s="23">
        <f t="shared" si="2"/>
        <v>64</v>
      </c>
      <c r="F65" s="28">
        <v>45407</v>
      </c>
      <c r="G65" s="23">
        <f>MONTH(Tbl_Loan3[[#This Row],[Payment date]])</f>
        <v>4</v>
      </c>
      <c r="H65" s="23" t="str">
        <f>VLOOKUP(Tbl_Loan3[[#This Row],[Month number]],Tbl_Months[],2,FALSE)</f>
        <v>April</v>
      </c>
      <c r="I65" s="23" t="str">
        <f>VLOOKUP(Tbl_Loan3[[#This Row],[Month number]],Tbl_Months[],3,FALSE)</f>
        <v>II</v>
      </c>
      <c r="J65" s="23">
        <f>YEAR(Tbl_Loan3[[#This Row],[Payment date]])</f>
        <v>2024</v>
      </c>
      <c r="K65" s="23" t="str">
        <f>_xlfn.CONCAT(Tbl_Loan3[[#This Row],[Year]],Tbl_Loan3[[#This Row],[Quarter]])</f>
        <v>2024II</v>
      </c>
      <c r="L65" s="25">
        <f t="shared" si="3"/>
        <v>154687.5</v>
      </c>
      <c r="M65" s="25">
        <f>B$5*Tbl_Loan3[[#This Row],[Initial debt]]</f>
        <v>644.53125</v>
      </c>
      <c r="N65" s="25">
        <f t="shared" si="1"/>
        <v>4687.5</v>
      </c>
      <c r="O65" s="25">
        <f>MAX(0,Tbl_Loan3[[#This Row],[Initial debt]]-Tbl_Loan3[[#This Row],[Redemption amount]])</f>
        <v>150000</v>
      </c>
      <c r="P65" s="25">
        <f>Tbl_Loan3[[#This Row],[Interest amount]]+Tbl_Loan3[[#This Row],[Redemption amount]]</f>
        <v>5332.03125</v>
      </c>
    </row>
    <row r="66" spans="4:16" x14ac:dyDescent="0.25">
      <c r="D66" t="str">
        <f>_xlfn.CONCAT(Tbl_Loan3[[#This Row],[Month number]],Tbl_Loan3[[#This Row],[Year]])</f>
        <v>52024</v>
      </c>
      <c r="E66" s="23">
        <f t="shared" si="2"/>
        <v>65</v>
      </c>
      <c r="F66" s="28">
        <v>45437</v>
      </c>
      <c r="G66" s="23">
        <f>MONTH(Tbl_Loan3[[#This Row],[Payment date]])</f>
        <v>5</v>
      </c>
      <c r="H66" s="23" t="str">
        <f>VLOOKUP(Tbl_Loan3[[#This Row],[Month number]],Tbl_Months[],2,FALSE)</f>
        <v>May</v>
      </c>
      <c r="I66" s="23" t="str">
        <f>VLOOKUP(Tbl_Loan3[[#This Row],[Month number]],Tbl_Months[],3,FALSE)</f>
        <v>II</v>
      </c>
      <c r="J66" s="23">
        <f>YEAR(Tbl_Loan3[[#This Row],[Payment date]])</f>
        <v>2024</v>
      </c>
      <c r="K66" s="23" t="str">
        <f>_xlfn.CONCAT(Tbl_Loan3[[#This Row],[Year]],Tbl_Loan3[[#This Row],[Quarter]])</f>
        <v>2024II</v>
      </c>
      <c r="L66" s="25">
        <f t="shared" ref="L66:L97" si="4">IF(O65="Residual debt",B$1,O65)</f>
        <v>150000</v>
      </c>
      <c r="M66" s="25">
        <f>B$5*Tbl_Loan3[[#This Row],[Initial debt]]</f>
        <v>625</v>
      </c>
      <c r="N66" s="25">
        <f t="shared" ref="N66:N97" si="5">B$8</f>
        <v>4687.5</v>
      </c>
      <c r="O66" s="25">
        <f>MAX(0,Tbl_Loan3[[#This Row],[Initial debt]]-Tbl_Loan3[[#This Row],[Redemption amount]])</f>
        <v>145312.5</v>
      </c>
      <c r="P66" s="25">
        <f>Tbl_Loan3[[#This Row],[Interest amount]]+Tbl_Loan3[[#This Row],[Redemption amount]]</f>
        <v>5312.5</v>
      </c>
    </row>
    <row r="67" spans="4:16" x14ac:dyDescent="0.25">
      <c r="D67" t="str">
        <f>_xlfn.CONCAT(Tbl_Loan3[[#This Row],[Month number]],Tbl_Loan3[[#This Row],[Year]])</f>
        <v>62024</v>
      </c>
      <c r="E67" s="23">
        <f t="shared" si="2"/>
        <v>66</v>
      </c>
      <c r="F67" s="28">
        <v>45468</v>
      </c>
      <c r="G67" s="23">
        <f>MONTH(Tbl_Loan3[[#This Row],[Payment date]])</f>
        <v>6</v>
      </c>
      <c r="H67" s="23" t="str">
        <f>VLOOKUP(Tbl_Loan3[[#This Row],[Month number]],Tbl_Months[],2,FALSE)</f>
        <v>June</v>
      </c>
      <c r="I67" s="23" t="str">
        <f>VLOOKUP(Tbl_Loan3[[#This Row],[Month number]],Tbl_Months[],3,FALSE)</f>
        <v>II</v>
      </c>
      <c r="J67" s="23">
        <f>YEAR(Tbl_Loan3[[#This Row],[Payment date]])</f>
        <v>2024</v>
      </c>
      <c r="K67" s="23" t="str">
        <f>_xlfn.CONCAT(Tbl_Loan3[[#This Row],[Year]],Tbl_Loan3[[#This Row],[Quarter]])</f>
        <v>2024II</v>
      </c>
      <c r="L67" s="25">
        <f t="shared" si="4"/>
        <v>145312.5</v>
      </c>
      <c r="M67" s="25">
        <f>B$5*Tbl_Loan3[[#This Row],[Initial debt]]</f>
        <v>605.46875</v>
      </c>
      <c r="N67" s="25">
        <f t="shared" si="5"/>
        <v>4687.5</v>
      </c>
      <c r="O67" s="25">
        <f>MAX(0,Tbl_Loan3[[#This Row],[Initial debt]]-Tbl_Loan3[[#This Row],[Redemption amount]])</f>
        <v>140625</v>
      </c>
      <c r="P67" s="25">
        <f>Tbl_Loan3[[#This Row],[Interest amount]]+Tbl_Loan3[[#This Row],[Redemption amount]]</f>
        <v>5292.96875</v>
      </c>
    </row>
    <row r="68" spans="4:16" x14ac:dyDescent="0.25">
      <c r="D68" t="str">
        <f>_xlfn.CONCAT(Tbl_Loan3[[#This Row],[Month number]],Tbl_Loan3[[#This Row],[Year]])</f>
        <v>72024</v>
      </c>
      <c r="E68" s="23">
        <f t="shared" si="2"/>
        <v>67</v>
      </c>
      <c r="F68" s="28">
        <v>45498</v>
      </c>
      <c r="G68" s="23">
        <f>MONTH(Tbl_Loan3[[#This Row],[Payment date]])</f>
        <v>7</v>
      </c>
      <c r="H68" s="23" t="str">
        <f>VLOOKUP(Tbl_Loan3[[#This Row],[Month number]],Tbl_Months[],2,FALSE)</f>
        <v>July</v>
      </c>
      <c r="I68" s="23" t="str">
        <f>VLOOKUP(Tbl_Loan3[[#This Row],[Month number]],Tbl_Months[],3,FALSE)</f>
        <v>III</v>
      </c>
      <c r="J68" s="23">
        <f>YEAR(Tbl_Loan3[[#This Row],[Payment date]])</f>
        <v>2024</v>
      </c>
      <c r="K68" s="23" t="str">
        <f>_xlfn.CONCAT(Tbl_Loan3[[#This Row],[Year]],Tbl_Loan3[[#This Row],[Quarter]])</f>
        <v>2024III</v>
      </c>
      <c r="L68" s="25">
        <f t="shared" si="4"/>
        <v>140625</v>
      </c>
      <c r="M68" s="25">
        <f>B$5*Tbl_Loan3[[#This Row],[Initial debt]]</f>
        <v>585.9375</v>
      </c>
      <c r="N68" s="25">
        <f t="shared" si="5"/>
        <v>4687.5</v>
      </c>
      <c r="O68" s="25">
        <f>MAX(0,Tbl_Loan3[[#This Row],[Initial debt]]-Tbl_Loan3[[#This Row],[Redemption amount]])</f>
        <v>135937.5</v>
      </c>
      <c r="P68" s="25">
        <f>Tbl_Loan3[[#This Row],[Interest amount]]+Tbl_Loan3[[#This Row],[Redemption amount]]</f>
        <v>5273.4375</v>
      </c>
    </row>
    <row r="69" spans="4:16" x14ac:dyDescent="0.25">
      <c r="D69" t="str">
        <f>_xlfn.CONCAT(Tbl_Loan3[[#This Row],[Month number]],Tbl_Loan3[[#This Row],[Year]])</f>
        <v>82024</v>
      </c>
      <c r="E69" s="23">
        <f t="shared" ref="E69:E97" si="6">E68+1</f>
        <v>68</v>
      </c>
      <c r="F69" s="28">
        <v>45529</v>
      </c>
      <c r="G69" s="23">
        <f>MONTH(Tbl_Loan3[[#This Row],[Payment date]])</f>
        <v>8</v>
      </c>
      <c r="H69" s="23" t="str">
        <f>VLOOKUP(Tbl_Loan3[[#This Row],[Month number]],Tbl_Months[],2,FALSE)</f>
        <v>August</v>
      </c>
      <c r="I69" s="23" t="str">
        <f>VLOOKUP(Tbl_Loan3[[#This Row],[Month number]],Tbl_Months[],3,FALSE)</f>
        <v>III</v>
      </c>
      <c r="J69" s="23">
        <f>YEAR(Tbl_Loan3[[#This Row],[Payment date]])</f>
        <v>2024</v>
      </c>
      <c r="K69" s="23" t="str">
        <f>_xlfn.CONCAT(Tbl_Loan3[[#This Row],[Year]],Tbl_Loan3[[#This Row],[Quarter]])</f>
        <v>2024III</v>
      </c>
      <c r="L69" s="25">
        <f t="shared" si="4"/>
        <v>135937.5</v>
      </c>
      <c r="M69" s="25">
        <f>B$5*Tbl_Loan3[[#This Row],[Initial debt]]</f>
        <v>566.40625</v>
      </c>
      <c r="N69" s="25">
        <f t="shared" si="5"/>
        <v>4687.5</v>
      </c>
      <c r="O69" s="25">
        <f>MAX(0,Tbl_Loan3[[#This Row],[Initial debt]]-Tbl_Loan3[[#This Row],[Redemption amount]])</f>
        <v>131250</v>
      </c>
      <c r="P69" s="25">
        <f>Tbl_Loan3[[#This Row],[Interest amount]]+Tbl_Loan3[[#This Row],[Redemption amount]]</f>
        <v>5253.90625</v>
      </c>
    </row>
    <row r="70" spans="4:16" x14ac:dyDescent="0.25">
      <c r="D70" t="str">
        <f>_xlfn.CONCAT(Tbl_Loan3[[#This Row],[Month number]],Tbl_Loan3[[#This Row],[Year]])</f>
        <v>92024</v>
      </c>
      <c r="E70" s="23">
        <f t="shared" si="6"/>
        <v>69</v>
      </c>
      <c r="F70" s="28">
        <v>45560</v>
      </c>
      <c r="G70" s="23">
        <f>MONTH(Tbl_Loan3[[#This Row],[Payment date]])</f>
        <v>9</v>
      </c>
      <c r="H70" s="23" t="str">
        <f>VLOOKUP(Tbl_Loan3[[#This Row],[Month number]],Tbl_Months[],2,FALSE)</f>
        <v>September</v>
      </c>
      <c r="I70" s="23" t="str">
        <f>VLOOKUP(Tbl_Loan3[[#This Row],[Month number]],Tbl_Months[],3,FALSE)</f>
        <v>III</v>
      </c>
      <c r="J70" s="23">
        <f>YEAR(Tbl_Loan3[[#This Row],[Payment date]])</f>
        <v>2024</v>
      </c>
      <c r="K70" s="23" t="str">
        <f>_xlfn.CONCAT(Tbl_Loan3[[#This Row],[Year]],Tbl_Loan3[[#This Row],[Quarter]])</f>
        <v>2024III</v>
      </c>
      <c r="L70" s="25">
        <f t="shared" si="4"/>
        <v>131250</v>
      </c>
      <c r="M70" s="25">
        <f>B$5*Tbl_Loan3[[#This Row],[Initial debt]]</f>
        <v>546.875</v>
      </c>
      <c r="N70" s="25">
        <f t="shared" si="5"/>
        <v>4687.5</v>
      </c>
      <c r="O70" s="25">
        <f>MAX(0,Tbl_Loan3[[#This Row],[Initial debt]]-Tbl_Loan3[[#This Row],[Redemption amount]])</f>
        <v>126562.5</v>
      </c>
      <c r="P70" s="25">
        <f>Tbl_Loan3[[#This Row],[Interest amount]]+Tbl_Loan3[[#This Row],[Redemption amount]]</f>
        <v>5234.375</v>
      </c>
    </row>
    <row r="71" spans="4:16" x14ac:dyDescent="0.25">
      <c r="D71" t="str">
        <f>_xlfn.CONCAT(Tbl_Loan3[[#This Row],[Month number]],Tbl_Loan3[[#This Row],[Year]])</f>
        <v>102024</v>
      </c>
      <c r="E71" s="23">
        <f t="shared" si="6"/>
        <v>70</v>
      </c>
      <c r="F71" s="28">
        <v>45590</v>
      </c>
      <c r="G71" s="23">
        <f>MONTH(Tbl_Loan3[[#This Row],[Payment date]])</f>
        <v>10</v>
      </c>
      <c r="H71" s="23" t="str">
        <f>VLOOKUP(Tbl_Loan3[[#This Row],[Month number]],Tbl_Months[],2,FALSE)</f>
        <v>October</v>
      </c>
      <c r="I71" s="23" t="str">
        <f>VLOOKUP(Tbl_Loan3[[#This Row],[Month number]],Tbl_Months[],3,FALSE)</f>
        <v>IV</v>
      </c>
      <c r="J71" s="23">
        <f>YEAR(Tbl_Loan3[[#This Row],[Payment date]])</f>
        <v>2024</v>
      </c>
      <c r="K71" s="23" t="str">
        <f>_xlfn.CONCAT(Tbl_Loan3[[#This Row],[Year]],Tbl_Loan3[[#This Row],[Quarter]])</f>
        <v>2024IV</v>
      </c>
      <c r="L71" s="25">
        <f t="shared" si="4"/>
        <v>126562.5</v>
      </c>
      <c r="M71" s="25">
        <f>B$5*Tbl_Loan3[[#This Row],[Initial debt]]</f>
        <v>527.34375</v>
      </c>
      <c r="N71" s="25">
        <f t="shared" si="5"/>
        <v>4687.5</v>
      </c>
      <c r="O71" s="25">
        <f>MAX(0,Tbl_Loan3[[#This Row],[Initial debt]]-Tbl_Loan3[[#This Row],[Redemption amount]])</f>
        <v>121875</v>
      </c>
      <c r="P71" s="25">
        <f>Tbl_Loan3[[#This Row],[Interest amount]]+Tbl_Loan3[[#This Row],[Redemption amount]]</f>
        <v>5214.84375</v>
      </c>
    </row>
    <row r="72" spans="4:16" x14ac:dyDescent="0.25">
      <c r="D72" t="str">
        <f>_xlfn.CONCAT(Tbl_Loan3[[#This Row],[Month number]],Tbl_Loan3[[#This Row],[Year]])</f>
        <v>112024</v>
      </c>
      <c r="E72" s="23">
        <f t="shared" si="6"/>
        <v>71</v>
      </c>
      <c r="F72" s="28">
        <v>45621</v>
      </c>
      <c r="G72" s="23">
        <f>MONTH(Tbl_Loan3[[#This Row],[Payment date]])</f>
        <v>11</v>
      </c>
      <c r="H72" s="23" t="str">
        <f>VLOOKUP(Tbl_Loan3[[#This Row],[Month number]],Tbl_Months[],2,FALSE)</f>
        <v>November</v>
      </c>
      <c r="I72" s="23" t="str">
        <f>VLOOKUP(Tbl_Loan3[[#This Row],[Month number]],Tbl_Months[],3,FALSE)</f>
        <v>IV</v>
      </c>
      <c r="J72" s="23">
        <f>YEAR(Tbl_Loan3[[#This Row],[Payment date]])</f>
        <v>2024</v>
      </c>
      <c r="K72" s="23" t="str">
        <f>_xlfn.CONCAT(Tbl_Loan3[[#This Row],[Year]],Tbl_Loan3[[#This Row],[Quarter]])</f>
        <v>2024IV</v>
      </c>
      <c r="L72" s="25">
        <f t="shared" si="4"/>
        <v>121875</v>
      </c>
      <c r="M72" s="25">
        <f>B$5*Tbl_Loan3[[#This Row],[Initial debt]]</f>
        <v>507.8125</v>
      </c>
      <c r="N72" s="25">
        <f t="shared" si="5"/>
        <v>4687.5</v>
      </c>
      <c r="O72" s="25">
        <f>MAX(0,Tbl_Loan3[[#This Row],[Initial debt]]-Tbl_Loan3[[#This Row],[Redemption amount]])</f>
        <v>117187.5</v>
      </c>
      <c r="P72" s="25">
        <f>Tbl_Loan3[[#This Row],[Interest amount]]+Tbl_Loan3[[#This Row],[Redemption amount]]</f>
        <v>5195.3125</v>
      </c>
    </row>
    <row r="73" spans="4:16" x14ac:dyDescent="0.25">
      <c r="D73" t="str">
        <f>_xlfn.CONCAT(Tbl_Loan3[[#This Row],[Month number]],Tbl_Loan3[[#This Row],[Year]])</f>
        <v>122024</v>
      </c>
      <c r="E73" s="23">
        <f t="shared" si="6"/>
        <v>72</v>
      </c>
      <c r="F73" s="28">
        <v>45651</v>
      </c>
      <c r="G73" s="23">
        <f>MONTH(Tbl_Loan3[[#This Row],[Payment date]])</f>
        <v>12</v>
      </c>
      <c r="H73" s="23" t="str">
        <f>VLOOKUP(Tbl_Loan3[[#This Row],[Month number]],Tbl_Months[],2,FALSE)</f>
        <v>December</v>
      </c>
      <c r="I73" s="23" t="str">
        <f>VLOOKUP(Tbl_Loan3[[#This Row],[Month number]],Tbl_Months[],3,FALSE)</f>
        <v>IV</v>
      </c>
      <c r="J73" s="23">
        <f>YEAR(Tbl_Loan3[[#This Row],[Payment date]])</f>
        <v>2024</v>
      </c>
      <c r="K73" s="23" t="str">
        <f>_xlfn.CONCAT(Tbl_Loan3[[#This Row],[Year]],Tbl_Loan3[[#This Row],[Quarter]])</f>
        <v>2024IV</v>
      </c>
      <c r="L73" s="25">
        <f t="shared" si="4"/>
        <v>117187.5</v>
      </c>
      <c r="M73" s="25">
        <f>B$5*Tbl_Loan3[[#This Row],[Initial debt]]</f>
        <v>488.28125</v>
      </c>
      <c r="N73" s="25">
        <f t="shared" si="5"/>
        <v>4687.5</v>
      </c>
      <c r="O73" s="25">
        <f>MAX(0,Tbl_Loan3[[#This Row],[Initial debt]]-Tbl_Loan3[[#This Row],[Redemption amount]])</f>
        <v>112500</v>
      </c>
      <c r="P73" s="25">
        <f>Tbl_Loan3[[#This Row],[Interest amount]]+Tbl_Loan3[[#This Row],[Redemption amount]]</f>
        <v>5175.78125</v>
      </c>
    </row>
    <row r="74" spans="4:16" x14ac:dyDescent="0.25">
      <c r="D74" t="str">
        <f>_xlfn.CONCAT(Tbl_Loan3[[#This Row],[Month number]],Tbl_Loan3[[#This Row],[Year]])</f>
        <v>12025</v>
      </c>
      <c r="E74" s="23">
        <f t="shared" si="6"/>
        <v>73</v>
      </c>
      <c r="F74" s="28">
        <v>45682</v>
      </c>
      <c r="G74" s="23">
        <f>MONTH(Tbl_Loan3[[#This Row],[Payment date]])</f>
        <v>1</v>
      </c>
      <c r="H74" s="23" t="str">
        <f>VLOOKUP(Tbl_Loan3[[#This Row],[Month number]],Tbl_Months[],2,FALSE)</f>
        <v>January</v>
      </c>
      <c r="I74" s="23" t="str">
        <f>VLOOKUP(Tbl_Loan3[[#This Row],[Month number]],Tbl_Months[],3,FALSE)</f>
        <v>I</v>
      </c>
      <c r="J74" s="23">
        <f>YEAR(Tbl_Loan3[[#This Row],[Payment date]])</f>
        <v>2025</v>
      </c>
      <c r="K74" s="23" t="str">
        <f>_xlfn.CONCAT(Tbl_Loan3[[#This Row],[Year]],Tbl_Loan3[[#This Row],[Quarter]])</f>
        <v>2025I</v>
      </c>
      <c r="L74" s="25">
        <f t="shared" si="4"/>
        <v>112500</v>
      </c>
      <c r="M74" s="25">
        <f>B$5*Tbl_Loan3[[#This Row],[Initial debt]]</f>
        <v>468.75</v>
      </c>
      <c r="N74" s="25">
        <f t="shared" si="5"/>
        <v>4687.5</v>
      </c>
      <c r="O74" s="25">
        <f>MAX(0,Tbl_Loan3[[#This Row],[Initial debt]]-Tbl_Loan3[[#This Row],[Redemption amount]])</f>
        <v>107812.5</v>
      </c>
      <c r="P74" s="25">
        <f>Tbl_Loan3[[#This Row],[Interest amount]]+Tbl_Loan3[[#This Row],[Redemption amount]]</f>
        <v>5156.25</v>
      </c>
    </row>
    <row r="75" spans="4:16" x14ac:dyDescent="0.25">
      <c r="D75" t="str">
        <f>_xlfn.CONCAT(Tbl_Loan3[[#This Row],[Month number]],Tbl_Loan3[[#This Row],[Year]])</f>
        <v>22025</v>
      </c>
      <c r="E75" s="23">
        <f t="shared" si="6"/>
        <v>74</v>
      </c>
      <c r="F75" s="28">
        <v>45713</v>
      </c>
      <c r="G75" s="23">
        <f>MONTH(Tbl_Loan3[[#This Row],[Payment date]])</f>
        <v>2</v>
      </c>
      <c r="H75" s="23" t="str">
        <f>VLOOKUP(Tbl_Loan3[[#This Row],[Month number]],Tbl_Months[],2,FALSE)</f>
        <v>February</v>
      </c>
      <c r="I75" s="23" t="str">
        <f>VLOOKUP(Tbl_Loan3[[#This Row],[Month number]],Tbl_Months[],3,FALSE)</f>
        <v>I</v>
      </c>
      <c r="J75" s="23">
        <f>YEAR(Tbl_Loan3[[#This Row],[Payment date]])</f>
        <v>2025</v>
      </c>
      <c r="K75" s="23" t="str">
        <f>_xlfn.CONCAT(Tbl_Loan3[[#This Row],[Year]],Tbl_Loan3[[#This Row],[Quarter]])</f>
        <v>2025I</v>
      </c>
      <c r="L75" s="25">
        <f t="shared" si="4"/>
        <v>107812.5</v>
      </c>
      <c r="M75" s="25">
        <f>B$5*Tbl_Loan3[[#This Row],[Initial debt]]</f>
        <v>449.21875</v>
      </c>
      <c r="N75" s="25">
        <f t="shared" si="5"/>
        <v>4687.5</v>
      </c>
      <c r="O75" s="25">
        <f>MAX(0,Tbl_Loan3[[#This Row],[Initial debt]]-Tbl_Loan3[[#This Row],[Redemption amount]])</f>
        <v>103125</v>
      </c>
      <c r="P75" s="25">
        <f>Tbl_Loan3[[#This Row],[Interest amount]]+Tbl_Loan3[[#This Row],[Redemption amount]]</f>
        <v>5136.71875</v>
      </c>
    </row>
    <row r="76" spans="4:16" x14ac:dyDescent="0.25">
      <c r="D76" t="str">
        <f>_xlfn.CONCAT(Tbl_Loan3[[#This Row],[Month number]],Tbl_Loan3[[#This Row],[Year]])</f>
        <v>32025</v>
      </c>
      <c r="E76" s="23">
        <f t="shared" si="6"/>
        <v>75</v>
      </c>
      <c r="F76" s="28">
        <v>45741</v>
      </c>
      <c r="G76" s="23">
        <f>MONTH(Tbl_Loan3[[#This Row],[Payment date]])</f>
        <v>3</v>
      </c>
      <c r="H76" s="23" t="str">
        <f>VLOOKUP(Tbl_Loan3[[#This Row],[Month number]],Tbl_Months[],2,FALSE)</f>
        <v>March</v>
      </c>
      <c r="I76" s="23" t="str">
        <f>VLOOKUP(Tbl_Loan3[[#This Row],[Month number]],Tbl_Months[],3,FALSE)</f>
        <v>I</v>
      </c>
      <c r="J76" s="23">
        <f>YEAR(Tbl_Loan3[[#This Row],[Payment date]])</f>
        <v>2025</v>
      </c>
      <c r="K76" s="23" t="str">
        <f>_xlfn.CONCAT(Tbl_Loan3[[#This Row],[Year]],Tbl_Loan3[[#This Row],[Quarter]])</f>
        <v>2025I</v>
      </c>
      <c r="L76" s="25">
        <f t="shared" si="4"/>
        <v>103125</v>
      </c>
      <c r="M76" s="25">
        <f>B$5*Tbl_Loan3[[#This Row],[Initial debt]]</f>
        <v>429.6875</v>
      </c>
      <c r="N76" s="25">
        <f t="shared" si="5"/>
        <v>4687.5</v>
      </c>
      <c r="O76" s="25">
        <f>MAX(0,Tbl_Loan3[[#This Row],[Initial debt]]-Tbl_Loan3[[#This Row],[Redemption amount]])</f>
        <v>98437.5</v>
      </c>
      <c r="P76" s="25">
        <f>Tbl_Loan3[[#This Row],[Interest amount]]+Tbl_Loan3[[#This Row],[Redemption amount]]</f>
        <v>5117.1875</v>
      </c>
    </row>
    <row r="77" spans="4:16" x14ac:dyDescent="0.25">
      <c r="D77" t="str">
        <f>_xlfn.CONCAT(Tbl_Loan3[[#This Row],[Month number]],Tbl_Loan3[[#This Row],[Year]])</f>
        <v>42025</v>
      </c>
      <c r="E77" s="23">
        <f t="shared" si="6"/>
        <v>76</v>
      </c>
      <c r="F77" s="28">
        <v>45772</v>
      </c>
      <c r="G77" s="23">
        <f>MONTH(Tbl_Loan3[[#This Row],[Payment date]])</f>
        <v>4</v>
      </c>
      <c r="H77" s="23" t="str">
        <f>VLOOKUP(Tbl_Loan3[[#This Row],[Month number]],Tbl_Months[],2,FALSE)</f>
        <v>April</v>
      </c>
      <c r="I77" s="23" t="str">
        <f>VLOOKUP(Tbl_Loan3[[#This Row],[Month number]],Tbl_Months[],3,FALSE)</f>
        <v>II</v>
      </c>
      <c r="J77" s="23">
        <f>YEAR(Tbl_Loan3[[#This Row],[Payment date]])</f>
        <v>2025</v>
      </c>
      <c r="K77" s="23" t="str">
        <f>_xlfn.CONCAT(Tbl_Loan3[[#This Row],[Year]],Tbl_Loan3[[#This Row],[Quarter]])</f>
        <v>2025II</v>
      </c>
      <c r="L77" s="25">
        <f t="shared" si="4"/>
        <v>98437.5</v>
      </c>
      <c r="M77" s="25">
        <f>B$5*Tbl_Loan3[[#This Row],[Initial debt]]</f>
        <v>410.15625</v>
      </c>
      <c r="N77" s="25">
        <f t="shared" si="5"/>
        <v>4687.5</v>
      </c>
      <c r="O77" s="25">
        <f>MAX(0,Tbl_Loan3[[#This Row],[Initial debt]]-Tbl_Loan3[[#This Row],[Redemption amount]])</f>
        <v>93750</v>
      </c>
      <c r="P77" s="25">
        <f>Tbl_Loan3[[#This Row],[Interest amount]]+Tbl_Loan3[[#This Row],[Redemption amount]]</f>
        <v>5097.65625</v>
      </c>
    </row>
    <row r="78" spans="4:16" x14ac:dyDescent="0.25">
      <c r="D78" t="str">
        <f>_xlfn.CONCAT(Tbl_Loan3[[#This Row],[Month number]],Tbl_Loan3[[#This Row],[Year]])</f>
        <v>52025</v>
      </c>
      <c r="E78" s="23">
        <f t="shared" si="6"/>
        <v>77</v>
      </c>
      <c r="F78" s="28">
        <v>45802</v>
      </c>
      <c r="G78" s="23">
        <f>MONTH(Tbl_Loan3[[#This Row],[Payment date]])</f>
        <v>5</v>
      </c>
      <c r="H78" s="23" t="str">
        <f>VLOOKUP(Tbl_Loan3[[#This Row],[Month number]],Tbl_Months[],2,FALSE)</f>
        <v>May</v>
      </c>
      <c r="I78" s="23" t="str">
        <f>VLOOKUP(Tbl_Loan3[[#This Row],[Month number]],Tbl_Months[],3,FALSE)</f>
        <v>II</v>
      </c>
      <c r="J78" s="23">
        <f>YEAR(Tbl_Loan3[[#This Row],[Payment date]])</f>
        <v>2025</v>
      </c>
      <c r="K78" s="23" t="str">
        <f>_xlfn.CONCAT(Tbl_Loan3[[#This Row],[Year]],Tbl_Loan3[[#This Row],[Quarter]])</f>
        <v>2025II</v>
      </c>
      <c r="L78" s="25">
        <f t="shared" si="4"/>
        <v>93750</v>
      </c>
      <c r="M78" s="25">
        <f>B$5*Tbl_Loan3[[#This Row],[Initial debt]]</f>
        <v>390.625</v>
      </c>
      <c r="N78" s="25">
        <f t="shared" si="5"/>
        <v>4687.5</v>
      </c>
      <c r="O78" s="25">
        <f>MAX(0,Tbl_Loan3[[#This Row],[Initial debt]]-Tbl_Loan3[[#This Row],[Redemption amount]])</f>
        <v>89062.5</v>
      </c>
      <c r="P78" s="25">
        <f>Tbl_Loan3[[#This Row],[Interest amount]]+Tbl_Loan3[[#This Row],[Redemption amount]]</f>
        <v>5078.125</v>
      </c>
    </row>
    <row r="79" spans="4:16" x14ac:dyDescent="0.25">
      <c r="D79" t="str">
        <f>_xlfn.CONCAT(Tbl_Loan3[[#This Row],[Month number]],Tbl_Loan3[[#This Row],[Year]])</f>
        <v>62025</v>
      </c>
      <c r="E79" s="23">
        <f t="shared" si="6"/>
        <v>78</v>
      </c>
      <c r="F79" s="28">
        <v>45833</v>
      </c>
      <c r="G79" s="23">
        <f>MONTH(Tbl_Loan3[[#This Row],[Payment date]])</f>
        <v>6</v>
      </c>
      <c r="H79" s="23" t="str">
        <f>VLOOKUP(Tbl_Loan3[[#This Row],[Month number]],Tbl_Months[],2,FALSE)</f>
        <v>June</v>
      </c>
      <c r="I79" s="23" t="str">
        <f>VLOOKUP(Tbl_Loan3[[#This Row],[Month number]],Tbl_Months[],3,FALSE)</f>
        <v>II</v>
      </c>
      <c r="J79" s="23">
        <f>YEAR(Tbl_Loan3[[#This Row],[Payment date]])</f>
        <v>2025</v>
      </c>
      <c r="K79" s="23" t="str">
        <f>_xlfn.CONCAT(Tbl_Loan3[[#This Row],[Year]],Tbl_Loan3[[#This Row],[Quarter]])</f>
        <v>2025II</v>
      </c>
      <c r="L79" s="25">
        <f t="shared" si="4"/>
        <v>89062.5</v>
      </c>
      <c r="M79" s="25">
        <f>B$5*Tbl_Loan3[[#This Row],[Initial debt]]</f>
        <v>371.09375</v>
      </c>
      <c r="N79" s="25">
        <f t="shared" si="5"/>
        <v>4687.5</v>
      </c>
      <c r="O79" s="25">
        <f>MAX(0,Tbl_Loan3[[#This Row],[Initial debt]]-Tbl_Loan3[[#This Row],[Redemption amount]])</f>
        <v>84375</v>
      </c>
      <c r="P79" s="25">
        <f>Tbl_Loan3[[#This Row],[Interest amount]]+Tbl_Loan3[[#This Row],[Redemption amount]]</f>
        <v>5058.59375</v>
      </c>
    </row>
    <row r="80" spans="4:16" x14ac:dyDescent="0.25">
      <c r="D80" t="str">
        <f>_xlfn.CONCAT(Tbl_Loan3[[#This Row],[Month number]],Tbl_Loan3[[#This Row],[Year]])</f>
        <v>72025</v>
      </c>
      <c r="E80" s="23">
        <f t="shared" si="6"/>
        <v>79</v>
      </c>
      <c r="F80" s="28">
        <v>45863</v>
      </c>
      <c r="G80" s="23">
        <f>MONTH(Tbl_Loan3[[#This Row],[Payment date]])</f>
        <v>7</v>
      </c>
      <c r="H80" s="23" t="str">
        <f>VLOOKUP(Tbl_Loan3[[#This Row],[Month number]],Tbl_Months[],2,FALSE)</f>
        <v>July</v>
      </c>
      <c r="I80" s="23" t="str">
        <f>VLOOKUP(Tbl_Loan3[[#This Row],[Month number]],Tbl_Months[],3,FALSE)</f>
        <v>III</v>
      </c>
      <c r="J80" s="23">
        <f>YEAR(Tbl_Loan3[[#This Row],[Payment date]])</f>
        <v>2025</v>
      </c>
      <c r="K80" s="23" t="str">
        <f>_xlfn.CONCAT(Tbl_Loan3[[#This Row],[Year]],Tbl_Loan3[[#This Row],[Quarter]])</f>
        <v>2025III</v>
      </c>
      <c r="L80" s="25">
        <f t="shared" si="4"/>
        <v>84375</v>
      </c>
      <c r="M80" s="25">
        <f>B$5*Tbl_Loan3[[#This Row],[Initial debt]]</f>
        <v>351.5625</v>
      </c>
      <c r="N80" s="25">
        <f t="shared" si="5"/>
        <v>4687.5</v>
      </c>
      <c r="O80" s="25">
        <f>MAX(0,Tbl_Loan3[[#This Row],[Initial debt]]-Tbl_Loan3[[#This Row],[Redemption amount]])</f>
        <v>79687.5</v>
      </c>
      <c r="P80" s="25">
        <f>Tbl_Loan3[[#This Row],[Interest amount]]+Tbl_Loan3[[#This Row],[Redemption amount]]</f>
        <v>5039.0625</v>
      </c>
    </row>
    <row r="81" spans="4:16" x14ac:dyDescent="0.25">
      <c r="D81" t="str">
        <f>_xlfn.CONCAT(Tbl_Loan3[[#This Row],[Month number]],Tbl_Loan3[[#This Row],[Year]])</f>
        <v>82025</v>
      </c>
      <c r="E81" s="23">
        <f t="shared" si="6"/>
        <v>80</v>
      </c>
      <c r="F81" s="28">
        <v>45894</v>
      </c>
      <c r="G81" s="23">
        <f>MONTH(Tbl_Loan3[[#This Row],[Payment date]])</f>
        <v>8</v>
      </c>
      <c r="H81" s="23" t="str">
        <f>VLOOKUP(Tbl_Loan3[[#This Row],[Month number]],Tbl_Months[],2,FALSE)</f>
        <v>August</v>
      </c>
      <c r="I81" s="23" t="str">
        <f>VLOOKUP(Tbl_Loan3[[#This Row],[Month number]],Tbl_Months[],3,FALSE)</f>
        <v>III</v>
      </c>
      <c r="J81" s="23">
        <f>YEAR(Tbl_Loan3[[#This Row],[Payment date]])</f>
        <v>2025</v>
      </c>
      <c r="K81" s="23" t="str">
        <f>_xlfn.CONCAT(Tbl_Loan3[[#This Row],[Year]],Tbl_Loan3[[#This Row],[Quarter]])</f>
        <v>2025III</v>
      </c>
      <c r="L81" s="25">
        <f t="shared" si="4"/>
        <v>79687.5</v>
      </c>
      <c r="M81" s="25">
        <f>B$5*Tbl_Loan3[[#This Row],[Initial debt]]</f>
        <v>332.03125</v>
      </c>
      <c r="N81" s="25">
        <f t="shared" si="5"/>
        <v>4687.5</v>
      </c>
      <c r="O81" s="25">
        <f>MAX(0,Tbl_Loan3[[#This Row],[Initial debt]]-Tbl_Loan3[[#This Row],[Redemption amount]])</f>
        <v>75000</v>
      </c>
      <c r="P81" s="25">
        <f>Tbl_Loan3[[#This Row],[Interest amount]]+Tbl_Loan3[[#This Row],[Redemption amount]]</f>
        <v>5019.53125</v>
      </c>
    </row>
    <row r="82" spans="4:16" x14ac:dyDescent="0.25">
      <c r="D82" t="str">
        <f>_xlfn.CONCAT(Tbl_Loan3[[#This Row],[Month number]],Tbl_Loan3[[#This Row],[Year]])</f>
        <v>92025</v>
      </c>
      <c r="E82" s="23">
        <f t="shared" si="6"/>
        <v>81</v>
      </c>
      <c r="F82" s="28">
        <v>45925</v>
      </c>
      <c r="G82" s="23">
        <f>MONTH(Tbl_Loan3[[#This Row],[Payment date]])</f>
        <v>9</v>
      </c>
      <c r="H82" s="23" t="str">
        <f>VLOOKUP(Tbl_Loan3[[#This Row],[Month number]],Tbl_Months[],2,FALSE)</f>
        <v>September</v>
      </c>
      <c r="I82" s="23" t="str">
        <f>VLOOKUP(Tbl_Loan3[[#This Row],[Month number]],Tbl_Months[],3,FALSE)</f>
        <v>III</v>
      </c>
      <c r="J82" s="23">
        <f>YEAR(Tbl_Loan3[[#This Row],[Payment date]])</f>
        <v>2025</v>
      </c>
      <c r="K82" s="23" t="str">
        <f>_xlfn.CONCAT(Tbl_Loan3[[#This Row],[Year]],Tbl_Loan3[[#This Row],[Quarter]])</f>
        <v>2025III</v>
      </c>
      <c r="L82" s="25">
        <f t="shared" si="4"/>
        <v>75000</v>
      </c>
      <c r="M82" s="25">
        <f>B$5*Tbl_Loan3[[#This Row],[Initial debt]]</f>
        <v>312.5</v>
      </c>
      <c r="N82" s="25">
        <f t="shared" si="5"/>
        <v>4687.5</v>
      </c>
      <c r="O82" s="25">
        <f>MAX(0,Tbl_Loan3[[#This Row],[Initial debt]]-Tbl_Loan3[[#This Row],[Redemption amount]])</f>
        <v>70312.5</v>
      </c>
      <c r="P82" s="25">
        <f>Tbl_Loan3[[#This Row],[Interest amount]]+Tbl_Loan3[[#This Row],[Redemption amount]]</f>
        <v>5000</v>
      </c>
    </row>
    <row r="83" spans="4:16" x14ac:dyDescent="0.25">
      <c r="D83" t="str">
        <f>_xlfn.CONCAT(Tbl_Loan3[[#This Row],[Month number]],Tbl_Loan3[[#This Row],[Year]])</f>
        <v>102025</v>
      </c>
      <c r="E83" s="23">
        <f t="shared" si="6"/>
        <v>82</v>
      </c>
      <c r="F83" s="28">
        <v>45955</v>
      </c>
      <c r="G83" s="23">
        <f>MONTH(Tbl_Loan3[[#This Row],[Payment date]])</f>
        <v>10</v>
      </c>
      <c r="H83" s="23" t="str">
        <f>VLOOKUP(Tbl_Loan3[[#This Row],[Month number]],Tbl_Months[],2,FALSE)</f>
        <v>October</v>
      </c>
      <c r="I83" s="23" t="str">
        <f>VLOOKUP(Tbl_Loan3[[#This Row],[Month number]],Tbl_Months[],3,FALSE)</f>
        <v>IV</v>
      </c>
      <c r="J83" s="23">
        <f>YEAR(Tbl_Loan3[[#This Row],[Payment date]])</f>
        <v>2025</v>
      </c>
      <c r="K83" s="23" t="str">
        <f>_xlfn.CONCAT(Tbl_Loan3[[#This Row],[Year]],Tbl_Loan3[[#This Row],[Quarter]])</f>
        <v>2025IV</v>
      </c>
      <c r="L83" s="25">
        <f t="shared" si="4"/>
        <v>70312.5</v>
      </c>
      <c r="M83" s="25">
        <f>B$5*Tbl_Loan3[[#This Row],[Initial debt]]</f>
        <v>292.96875</v>
      </c>
      <c r="N83" s="25">
        <f t="shared" si="5"/>
        <v>4687.5</v>
      </c>
      <c r="O83" s="25">
        <f>MAX(0,Tbl_Loan3[[#This Row],[Initial debt]]-Tbl_Loan3[[#This Row],[Redemption amount]])</f>
        <v>65625</v>
      </c>
      <c r="P83" s="25">
        <f>Tbl_Loan3[[#This Row],[Interest amount]]+Tbl_Loan3[[#This Row],[Redemption amount]]</f>
        <v>4980.46875</v>
      </c>
    </row>
    <row r="84" spans="4:16" x14ac:dyDescent="0.25">
      <c r="D84" t="str">
        <f>_xlfn.CONCAT(Tbl_Loan3[[#This Row],[Month number]],Tbl_Loan3[[#This Row],[Year]])</f>
        <v>112025</v>
      </c>
      <c r="E84" s="23">
        <f t="shared" si="6"/>
        <v>83</v>
      </c>
      <c r="F84" s="28">
        <v>45986</v>
      </c>
      <c r="G84" s="23">
        <f>MONTH(Tbl_Loan3[[#This Row],[Payment date]])</f>
        <v>11</v>
      </c>
      <c r="H84" s="23" t="str">
        <f>VLOOKUP(Tbl_Loan3[[#This Row],[Month number]],Tbl_Months[],2,FALSE)</f>
        <v>November</v>
      </c>
      <c r="I84" s="23" t="str">
        <f>VLOOKUP(Tbl_Loan3[[#This Row],[Month number]],Tbl_Months[],3,FALSE)</f>
        <v>IV</v>
      </c>
      <c r="J84" s="23">
        <f>YEAR(Tbl_Loan3[[#This Row],[Payment date]])</f>
        <v>2025</v>
      </c>
      <c r="K84" s="23" t="str">
        <f>_xlfn.CONCAT(Tbl_Loan3[[#This Row],[Year]],Tbl_Loan3[[#This Row],[Quarter]])</f>
        <v>2025IV</v>
      </c>
      <c r="L84" s="25">
        <f t="shared" si="4"/>
        <v>65625</v>
      </c>
      <c r="M84" s="25">
        <f>B$5*Tbl_Loan3[[#This Row],[Initial debt]]</f>
        <v>273.4375</v>
      </c>
      <c r="N84" s="25">
        <f t="shared" si="5"/>
        <v>4687.5</v>
      </c>
      <c r="O84" s="25">
        <f>MAX(0,Tbl_Loan3[[#This Row],[Initial debt]]-Tbl_Loan3[[#This Row],[Redemption amount]])</f>
        <v>60937.5</v>
      </c>
      <c r="P84" s="25">
        <f>Tbl_Loan3[[#This Row],[Interest amount]]+Tbl_Loan3[[#This Row],[Redemption amount]]</f>
        <v>4960.9375</v>
      </c>
    </row>
    <row r="85" spans="4:16" x14ac:dyDescent="0.25">
      <c r="D85" t="str">
        <f>_xlfn.CONCAT(Tbl_Loan3[[#This Row],[Month number]],Tbl_Loan3[[#This Row],[Year]])</f>
        <v>122025</v>
      </c>
      <c r="E85" s="23">
        <f t="shared" si="6"/>
        <v>84</v>
      </c>
      <c r="F85" s="28">
        <v>46016</v>
      </c>
      <c r="G85" s="23">
        <f>MONTH(Tbl_Loan3[[#This Row],[Payment date]])</f>
        <v>12</v>
      </c>
      <c r="H85" s="23" t="str">
        <f>VLOOKUP(Tbl_Loan3[[#This Row],[Month number]],Tbl_Months[],2,FALSE)</f>
        <v>December</v>
      </c>
      <c r="I85" s="23" t="str">
        <f>VLOOKUP(Tbl_Loan3[[#This Row],[Month number]],Tbl_Months[],3,FALSE)</f>
        <v>IV</v>
      </c>
      <c r="J85" s="23">
        <f>YEAR(Tbl_Loan3[[#This Row],[Payment date]])</f>
        <v>2025</v>
      </c>
      <c r="K85" s="23" t="str">
        <f>_xlfn.CONCAT(Tbl_Loan3[[#This Row],[Year]],Tbl_Loan3[[#This Row],[Quarter]])</f>
        <v>2025IV</v>
      </c>
      <c r="L85" s="25">
        <f t="shared" si="4"/>
        <v>60937.5</v>
      </c>
      <c r="M85" s="25">
        <f>B$5*Tbl_Loan3[[#This Row],[Initial debt]]</f>
        <v>253.90625</v>
      </c>
      <c r="N85" s="25">
        <f t="shared" si="5"/>
        <v>4687.5</v>
      </c>
      <c r="O85" s="25">
        <f>MAX(0,Tbl_Loan3[[#This Row],[Initial debt]]-Tbl_Loan3[[#This Row],[Redemption amount]])</f>
        <v>56250</v>
      </c>
      <c r="P85" s="25">
        <f>Tbl_Loan3[[#This Row],[Interest amount]]+Tbl_Loan3[[#This Row],[Redemption amount]]</f>
        <v>4941.40625</v>
      </c>
    </row>
    <row r="86" spans="4:16" x14ac:dyDescent="0.25">
      <c r="D86" t="str">
        <f>_xlfn.CONCAT(Tbl_Loan3[[#This Row],[Month number]],Tbl_Loan3[[#This Row],[Year]])</f>
        <v>12026</v>
      </c>
      <c r="E86" s="23">
        <f t="shared" si="6"/>
        <v>85</v>
      </c>
      <c r="F86" s="28">
        <v>46047</v>
      </c>
      <c r="G86" s="23">
        <f>MONTH(Tbl_Loan3[[#This Row],[Payment date]])</f>
        <v>1</v>
      </c>
      <c r="H86" s="23" t="str">
        <f>VLOOKUP(Tbl_Loan3[[#This Row],[Month number]],Tbl_Months[],2,FALSE)</f>
        <v>January</v>
      </c>
      <c r="I86" s="23" t="str">
        <f>VLOOKUP(Tbl_Loan3[[#This Row],[Month number]],Tbl_Months[],3,FALSE)</f>
        <v>I</v>
      </c>
      <c r="J86" s="23">
        <f>YEAR(Tbl_Loan3[[#This Row],[Payment date]])</f>
        <v>2026</v>
      </c>
      <c r="K86" s="23" t="str">
        <f>_xlfn.CONCAT(Tbl_Loan3[[#This Row],[Year]],Tbl_Loan3[[#This Row],[Quarter]])</f>
        <v>2026I</v>
      </c>
      <c r="L86" s="25">
        <f t="shared" si="4"/>
        <v>56250</v>
      </c>
      <c r="M86" s="25">
        <f>B$5*Tbl_Loan3[[#This Row],[Initial debt]]</f>
        <v>234.375</v>
      </c>
      <c r="N86" s="25">
        <f t="shared" si="5"/>
        <v>4687.5</v>
      </c>
      <c r="O86" s="25">
        <f>MAX(0,Tbl_Loan3[[#This Row],[Initial debt]]-Tbl_Loan3[[#This Row],[Redemption amount]])</f>
        <v>51562.5</v>
      </c>
      <c r="P86" s="25">
        <f>Tbl_Loan3[[#This Row],[Interest amount]]+Tbl_Loan3[[#This Row],[Redemption amount]]</f>
        <v>4921.875</v>
      </c>
    </row>
    <row r="87" spans="4:16" x14ac:dyDescent="0.25">
      <c r="D87" t="str">
        <f>_xlfn.CONCAT(Tbl_Loan3[[#This Row],[Month number]],Tbl_Loan3[[#This Row],[Year]])</f>
        <v>22026</v>
      </c>
      <c r="E87" s="23">
        <f t="shared" si="6"/>
        <v>86</v>
      </c>
      <c r="F87" s="28">
        <v>46078</v>
      </c>
      <c r="G87" s="23">
        <f>MONTH(Tbl_Loan3[[#This Row],[Payment date]])</f>
        <v>2</v>
      </c>
      <c r="H87" s="23" t="str">
        <f>VLOOKUP(Tbl_Loan3[[#This Row],[Month number]],Tbl_Months[],2,FALSE)</f>
        <v>February</v>
      </c>
      <c r="I87" s="23" t="str">
        <f>VLOOKUP(Tbl_Loan3[[#This Row],[Month number]],Tbl_Months[],3,FALSE)</f>
        <v>I</v>
      </c>
      <c r="J87" s="23">
        <f>YEAR(Tbl_Loan3[[#This Row],[Payment date]])</f>
        <v>2026</v>
      </c>
      <c r="K87" s="23" t="str">
        <f>_xlfn.CONCAT(Tbl_Loan3[[#This Row],[Year]],Tbl_Loan3[[#This Row],[Quarter]])</f>
        <v>2026I</v>
      </c>
      <c r="L87" s="25">
        <f t="shared" si="4"/>
        <v>51562.5</v>
      </c>
      <c r="M87" s="25">
        <f>B$5*Tbl_Loan3[[#This Row],[Initial debt]]</f>
        <v>214.84375</v>
      </c>
      <c r="N87" s="25">
        <f t="shared" si="5"/>
        <v>4687.5</v>
      </c>
      <c r="O87" s="25">
        <f>MAX(0,Tbl_Loan3[[#This Row],[Initial debt]]-Tbl_Loan3[[#This Row],[Redemption amount]])</f>
        <v>46875</v>
      </c>
      <c r="P87" s="25">
        <f>Tbl_Loan3[[#This Row],[Interest amount]]+Tbl_Loan3[[#This Row],[Redemption amount]]</f>
        <v>4902.34375</v>
      </c>
    </row>
    <row r="88" spans="4:16" x14ac:dyDescent="0.25">
      <c r="D88" t="str">
        <f>_xlfn.CONCAT(Tbl_Loan3[[#This Row],[Month number]],Tbl_Loan3[[#This Row],[Year]])</f>
        <v>32026</v>
      </c>
      <c r="E88" s="23">
        <f t="shared" si="6"/>
        <v>87</v>
      </c>
      <c r="F88" s="28">
        <v>46106</v>
      </c>
      <c r="G88" s="23">
        <f>MONTH(Tbl_Loan3[[#This Row],[Payment date]])</f>
        <v>3</v>
      </c>
      <c r="H88" s="23" t="str">
        <f>VLOOKUP(Tbl_Loan3[[#This Row],[Month number]],Tbl_Months[],2,FALSE)</f>
        <v>March</v>
      </c>
      <c r="I88" s="23" t="str">
        <f>VLOOKUP(Tbl_Loan3[[#This Row],[Month number]],Tbl_Months[],3,FALSE)</f>
        <v>I</v>
      </c>
      <c r="J88" s="23">
        <f>YEAR(Tbl_Loan3[[#This Row],[Payment date]])</f>
        <v>2026</v>
      </c>
      <c r="K88" s="23" t="str">
        <f>_xlfn.CONCAT(Tbl_Loan3[[#This Row],[Year]],Tbl_Loan3[[#This Row],[Quarter]])</f>
        <v>2026I</v>
      </c>
      <c r="L88" s="25">
        <f t="shared" si="4"/>
        <v>46875</v>
      </c>
      <c r="M88" s="25">
        <f>B$5*Tbl_Loan3[[#This Row],[Initial debt]]</f>
        <v>195.3125</v>
      </c>
      <c r="N88" s="25">
        <f t="shared" si="5"/>
        <v>4687.5</v>
      </c>
      <c r="O88" s="25">
        <f>MAX(0,Tbl_Loan3[[#This Row],[Initial debt]]-Tbl_Loan3[[#This Row],[Redemption amount]])</f>
        <v>42187.5</v>
      </c>
      <c r="P88" s="25">
        <f>Tbl_Loan3[[#This Row],[Interest amount]]+Tbl_Loan3[[#This Row],[Redemption amount]]</f>
        <v>4882.8125</v>
      </c>
    </row>
    <row r="89" spans="4:16" x14ac:dyDescent="0.25">
      <c r="D89" t="str">
        <f>_xlfn.CONCAT(Tbl_Loan3[[#This Row],[Month number]],Tbl_Loan3[[#This Row],[Year]])</f>
        <v>42026</v>
      </c>
      <c r="E89" s="23">
        <f t="shared" si="6"/>
        <v>88</v>
      </c>
      <c r="F89" s="28">
        <v>46137</v>
      </c>
      <c r="G89" s="23">
        <f>MONTH(Tbl_Loan3[[#This Row],[Payment date]])</f>
        <v>4</v>
      </c>
      <c r="H89" s="23" t="str">
        <f>VLOOKUP(Tbl_Loan3[[#This Row],[Month number]],Tbl_Months[],2,FALSE)</f>
        <v>April</v>
      </c>
      <c r="I89" s="23" t="str">
        <f>VLOOKUP(Tbl_Loan3[[#This Row],[Month number]],Tbl_Months[],3,FALSE)</f>
        <v>II</v>
      </c>
      <c r="J89" s="23">
        <f>YEAR(Tbl_Loan3[[#This Row],[Payment date]])</f>
        <v>2026</v>
      </c>
      <c r="K89" s="23" t="str">
        <f>_xlfn.CONCAT(Tbl_Loan3[[#This Row],[Year]],Tbl_Loan3[[#This Row],[Quarter]])</f>
        <v>2026II</v>
      </c>
      <c r="L89" s="25">
        <f t="shared" si="4"/>
        <v>42187.5</v>
      </c>
      <c r="M89" s="25">
        <f>B$5*Tbl_Loan3[[#This Row],[Initial debt]]</f>
        <v>175.78125</v>
      </c>
      <c r="N89" s="25">
        <f t="shared" si="5"/>
        <v>4687.5</v>
      </c>
      <c r="O89" s="25">
        <f>MAX(0,Tbl_Loan3[[#This Row],[Initial debt]]-Tbl_Loan3[[#This Row],[Redemption amount]])</f>
        <v>37500</v>
      </c>
      <c r="P89" s="25">
        <f>Tbl_Loan3[[#This Row],[Interest amount]]+Tbl_Loan3[[#This Row],[Redemption amount]]</f>
        <v>4863.28125</v>
      </c>
    </row>
    <row r="90" spans="4:16" x14ac:dyDescent="0.25">
      <c r="D90" t="str">
        <f>_xlfn.CONCAT(Tbl_Loan3[[#This Row],[Month number]],Tbl_Loan3[[#This Row],[Year]])</f>
        <v>52026</v>
      </c>
      <c r="E90" s="23">
        <f t="shared" si="6"/>
        <v>89</v>
      </c>
      <c r="F90" s="28">
        <v>46167</v>
      </c>
      <c r="G90" s="23">
        <f>MONTH(Tbl_Loan3[[#This Row],[Payment date]])</f>
        <v>5</v>
      </c>
      <c r="H90" s="23" t="str">
        <f>VLOOKUP(Tbl_Loan3[[#This Row],[Month number]],Tbl_Months[],2,FALSE)</f>
        <v>May</v>
      </c>
      <c r="I90" s="23" t="str">
        <f>VLOOKUP(Tbl_Loan3[[#This Row],[Month number]],Tbl_Months[],3,FALSE)</f>
        <v>II</v>
      </c>
      <c r="J90" s="23">
        <f>YEAR(Tbl_Loan3[[#This Row],[Payment date]])</f>
        <v>2026</v>
      </c>
      <c r="K90" s="23" t="str">
        <f>_xlfn.CONCAT(Tbl_Loan3[[#This Row],[Year]],Tbl_Loan3[[#This Row],[Quarter]])</f>
        <v>2026II</v>
      </c>
      <c r="L90" s="25">
        <f t="shared" si="4"/>
        <v>37500</v>
      </c>
      <c r="M90" s="25">
        <f>B$5*Tbl_Loan3[[#This Row],[Initial debt]]</f>
        <v>156.25</v>
      </c>
      <c r="N90" s="25">
        <f t="shared" si="5"/>
        <v>4687.5</v>
      </c>
      <c r="O90" s="25">
        <f>MAX(0,Tbl_Loan3[[#This Row],[Initial debt]]-Tbl_Loan3[[#This Row],[Redemption amount]])</f>
        <v>32812.5</v>
      </c>
      <c r="P90" s="25">
        <f>Tbl_Loan3[[#This Row],[Interest amount]]+Tbl_Loan3[[#This Row],[Redemption amount]]</f>
        <v>4843.75</v>
      </c>
    </row>
    <row r="91" spans="4:16" x14ac:dyDescent="0.25">
      <c r="D91" t="str">
        <f>_xlfn.CONCAT(Tbl_Loan3[[#This Row],[Month number]],Tbl_Loan3[[#This Row],[Year]])</f>
        <v>62026</v>
      </c>
      <c r="E91" s="23">
        <f t="shared" si="6"/>
        <v>90</v>
      </c>
      <c r="F91" s="28">
        <v>46198</v>
      </c>
      <c r="G91" s="23">
        <f>MONTH(Tbl_Loan3[[#This Row],[Payment date]])</f>
        <v>6</v>
      </c>
      <c r="H91" s="23" t="str">
        <f>VLOOKUP(Tbl_Loan3[[#This Row],[Month number]],Tbl_Months[],2,FALSE)</f>
        <v>June</v>
      </c>
      <c r="I91" s="23" t="str">
        <f>VLOOKUP(Tbl_Loan3[[#This Row],[Month number]],Tbl_Months[],3,FALSE)</f>
        <v>II</v>
      </c>
      <c r="J91" s="23">
        <f>YEAR(Tbl_Loan3[[#This Row],[Payment date]])</f>
        <v>2026</v>
      </c>
      <c r="K91" s="23" t="str">
        <f>_xlfn.CONCAT(Tbl_Loan3[[#This Row],[Year]],Tbl_Loan3[[#This Row],[Quarter]])</f>
        <v>2026II</v>
      </c>
      <c r="L91" s="25">
        <f t="shared" si="4"/>
        <v>32812.5</v>
      </c>
      <c r="M91" s="25">
        <f>B$5*Tbl_Loan3[[#This Row],[Initial debt]]</f>
        <v>136.71875</v>
      </c>
      <c r="N91" s="25">
        <f t="shared" si="5"/>
        <v>4687.5</v>
      </c>
      <c r="O91" s="25">
        <f>MAX(0,Tbl_Loan3[[#This Row],[Initial debt]]-Tbl_Loan3[[#This Row],[Redemption amount]])</f>
        <v>28125</v>
      </c>
      <c r="P91" s="25">
        <f>Tbl_Loan3[[#This Row],[Interest amount]]+Tbl_Loan3[[#This Row],[Redemption amount]]</f>
        <v>4824.21875</v>
      </c>
    </row>
    <row r="92" spans="4:16" x14ac:dyDescent="0.25">
      <c r="D92" t="str">
        <f>_xlfn.CONCAT(Tbl_Loan3[[#This Row],[Month number]],Tbl_Loan3[[#This Row],[Year]])</f>
        <v>72026</v>
      </c>
      <c r="E92" s="23">
        <f t="shared" si="6"/>
        <v>91</v>
      </c>
      <c r="F92" s="28">
        <v>46228</v>
      </c>
      <c r="G92" s="23">
        <f>MONTH(Tbl_Loan3[[#This Row],[Payment date]])</f>
        <v>7</v>
      </c>
      <c r="H92" s="23" t="str">
        <f>VLOOKUP(Tbl_Loan3[[#This Row],[Month number]],Tbl_Months[],2,FALSE)</f>
        <v>July</v>
      </c>
      <c r="I92" s="23" t="str">
        <f>VLOOKUP(Tbl_Loan3[[#This Row],[Month number]],Tbl_Months[],3,FALSE)</f>
        <v>III</v>
      </c>
      <c r="J92" s="23">
        <f>YEAR(Tbl_Loan3[[#This Row],[Payment date]])</f>
        <v>2026</v>
      </c>
      <c r="K92" s="23" t="str">
        <f>_xlfn.CONCAT(Tbl_Loan3[[#This Row],[Year]],Tbl_Loan3[[#This Row],[Quarter]])</f>
        <v>2026III</v>
      </c>
      <c r="L92" s="25">
        <f t="shared" si="4"/>
        <v>28125</v>
      </c>
      <c r="M92" s="25">
        <f>B$5*Tbl_Loan3[[#This Row],[Initial debt]]</f>
        <v>117.1875</v>
      </c>
      <c r="N92" s="25">
        <f t="shared" si="5"/>
        <v>4687.5</v>
      </c>
      <c r="O92" s="25">
        <f>MAX(0,Tbl_Loan3[[#This Row],[Initial debt]]-Tbl_Loan3[[#This Row],[Redemption amount]])</f>
        <v>23437.5</v>
      </c>
      <c r="P92" s="25">
        <f>Tbl_Loan3[[#This Row],[Interest amount]]+Tbl_Loan3[[#This Row],[Redemption amount]]</f>
        <v>4804.6875</v>
      </c>
    </row>
    <row r="93" spans="4:16" x14ac:dyDescent="0.25">
      <c r="D93" t="str">
        <f>_xlfn.CONCAT(Tbl_Loan3[[#This Row],[Month number]],Tbl_Loan3[[#This Row],[Year]])</f>
        <v>82026</v>
      </c>
      <c r="E93" s="23">
        <f t="shared" si="6"/>
        <v>92</v>
      </c>
      <c r="F93" s="28">
        <v>46259</v>
      </c>
      <c r="G93" s="23">
        <f>MONTH(Tbl_Loan3[[#This Row],[Payment date]])</f>
        <v>8</v>
      </c>
      <c r="H93" s="23" t="str">
        <f>VLOOKUP(Tbl_Loan3[[#This Row],[Month number]],Tbl_Months[],2,FALSE)</f>
        <v>August</v>
      </c>
      <c r="I93" s="23" t="str">
        <f>VLOOKUP(Tbl_Loan3[[#This Row],[Month number]],Tbl_Months[],3,FALSE)</f>
        <v>III</v>
      </c>
      <c r="J93" s="23">
        <f>YEAR(Tbl_Loan3[[#This Row],[Payment date]])</f>
        <v>2026</v>
      </c>
      <c r="K93" s="23" t="str">
        <f>_xlfn.CONCAT(Tbl_Loan3[[#This Row],[Year]],Tbl_Loan3[[#This Row],[Quarter]])</f>
        <v>2026III</v>
      </c>
      <c r="L93" s="25">
        <f t="shared" si="4"/>
        <v>23437.5</v>
      </c>
      <c r="M93" s="25">
        <f>B$5*Tbl_Loan3[[#This Row],[Initial debt]]</f>
        <v>97.65625</v>
      </c>
      <c r="N93" s="25">
        <f t="shared" si="5"/>
        <v>4687.5</v>
      </c>
      <c r="O93" s="25">
        <f>MAX(0,Tbl_Loan3[[#This Row],[Initial debt]]-Tbl_Loan3[[#This Row],[Redemption amount]])</f>
        <v>18750</v>
      </c>
      <c r="P93" s="25">
        <f>Tbl_Loan3[[#This Row],[Interest amount]]+Tbl_Loan3[[#This Row],[Redemption amount]]</f>
        <v>4785.15625</v>
      </c>
    </row>
    <row r="94" spans="4:16" x14ac:dyDescent="0.25">
      <c r="D94" t="str">
        <f>_xlfn.CONCAT(Tbl_Loan3[[#This Row],[Month number]],Tbl_Loan3[[#This Row],[Year]])</f>
        <v>92026</v>
      </c>
      <c r="E94" s="23">
        <f t="shared" si="6"/>
        <v>93</v>
      </c>
      <c r="F94" s="28">
        <v>46290</v>
      </c>
      <c r="G94" s="23">
        <f>MONTH(Tbl_Loan3[[#This Row],[Payment date]])</f>
        <v>9</v>
      </c>
      <c r="H94" s="23" t="str">
        <f>VLOOKUP(Tbl_Loan3[[#This Row],[Month number]],Tbl_Months[],2,FALSE)</f>
        <v>September</v>
      </c>
      <c r="I94" s="23" t="str">
        <f>VLOOKUP(Tbl_Loan3[[#This Row],[Month number]],Tbl_Months[],3,FALSE)</f>
        <v>III</v>
      </c>
      <c r="J94" s="23">
        <f>YEAR(Tbl_Loan3[[#This Row],[Payment date]])</f>
        <v>2026</v>
      </c>
      <c r="K94" s="23" t="str">
        <f>_xlfn.CONCAT(Tbl_Loan3[[#This Row],[Year]],Tbl_Loan3[[#This Row],[Quarter]])</f>
        <v>2026III</v>
      </c>
      <c r="L94" s="25">
        <f t="shared" si="4"/>
        <v>18750</v>
      </c>
      <c r="M94" s="25">
        <f>B$5*Tbl_Loan3[[#This Row],[Initial debt]]</f>
        <v>78.125</v>
      </c>
      <c r="N94" s="25">
        <f t="shared" si="5"/>
        <v>4687.5</v>
      </c>
      <c r="O94" s="25">
        <f>MAX(0,Tbl_Loan3[[#This Row],[Initial debt]]-Tbl_Loan3[[#This Row],[Redemption amount]])</f>
        <v>14062.5</v>
      </c>
      <c r="P94" s="25">
        <f>Tbl_Loan3[[#This Row],[Interest amount]]+Tbl_Loan3[[#This Row],[Redemption amount]]</f>
        <v>4765.625</v>
      </c>
    </row>
    <row r="95" spans="4:16" x14ac:dyDescent="0.25">
      <c r="D95" t="str">
        <f>_xlfn.CONCAT(Tbl_Loan3[[#This Row],[Month number]],Tbl_Loan3[[#This Row],[Year]])</f>
        <v>102026</v>
      </c>
      <c r="E95" s="23">
        <f t="shared" si="6"/>
        <v>94</v>
      </c>
      <c r="F95" s="28">
        <v>46320</v>
      </c>
      <c r="G95" s="23">
        <f>MONTH(Tbl_Loan3[[#This Row],[Payment date]])</f>
        <v>10</v>
      </c>
      <c r="H95" s="23" t="str">
        <f>VLOOKUP(Tbl_Loan3[[#This Row],[Month number]],Tbl_Months[],2,FALSE)</f>
        <v>October</v>
      </c>
      <c r="I95" s="23" t="str">
        <f>VLOOKUP(Tbl_Loan3[[#This Row],[Month number]],Tbl_Months[],3,FALSE)</f>
        <v>IV</v>
      </c>
      <c r="J95" s="23">
        <f>YEAR(Tbl_Loan3[[#This Row],[Payment date]])</f>
        <v>2026</v>
      </c>
      <c r="K95" s="23" t="str">
        <f>_xlfn.CONCAT(Tbl_Loan3[[#This Row],[Year]],Tbl_Loan3[[#This Row],[Quarter]])</f>
        <v>2026IV</v>
      </c>
      <c r="L95" s="25">
        <f t="shared" si="4"/>
        <v>14062.5</v>
      </c>
      <c r="M95" s="25">
        <f>B$5*Tbl_Loan3[[#This Row],[Initial debt]]</f>
        <v>58.59375</v>
      </c>
      <c r="N95" s="25">
        <f t="shared" si="5"/>
        <v>4687.5</v>
      </c>
      <c r="O95" s="25">
        <f>MAX(0,Tbl_Loan3[[#This Row],[Initial debt]]-Tbl_Loan3[[#This Row],[Redemption amount]])</f>
        <v>9375</v>
      </c>
      <c r="P95" s="25">
        <f>Tbl_Loan3[[#This Row],[Interest amount]]+Tbl_Loan3[[#This Row],[Redemption amount]]</f>
        <v>4746.09375</v>
      </c>
    </row>
    <row r="96" spans="4:16" x14ac:dyDescent="0.25">
      <c r="D96" t="str">
        <f>_xlfn.CONCAT(Tbl_Loan3[[#This Row],[Month number]],Tbl_Loan3[[#This Row],[Year]])</f>
        <v>112026</v>
      </c>
      <c r="E96" s="23">
        <f t="shared" si="6"/>
        <v>95</v>
      </c>
      <c r="F96" s="28">
        <v>46351</v>
      </c>
      <c r="G96" s="23">
        <f>MONTH(Tbl_Loan3[[#This Row],[Payment date]])</f>
        <v>11</v>
      </c>
      <c r="H96" s="23" t="str">
        <f>VLOOKUP(Tbl_Loan3[[#This Row],[Month number]],Tbl_Months[],2,FALSE)</f>
        <v>November</v>
      </c>
      <c r="I96" s="23" t="str">
        <f>VLOOKUP(Tbl_Loan3[[#This Row],[Month number]],Tbl_Months[],3,FALSE)</f>
        <v>IV</v>
      </c>
      <c r="J96" s="23">
        <f>YEAR(Tbl_Loan3[[#This Row],[Payment date]])</f>
        <v>2026</v>
      </c>
      <c r="K96" s="23" t="str">
        <f>_xlfn.CONCAT(Tbl_Loan3[[#This Row],[Year]],Tbl_Loan3[[#This Row],[Quarter]])</f>
        <v>2026IV</v>
      </c>
      <c r="L96" s="25">
        <f t="shared" si="4"/>
        <v>9375</v>
      </c>
      <c r="M96" s="25">
        <f>B$5*Tbl_Loan3[[#This Row],[Initial debt]]</f>
        <v>39.0625</v>
      </c>
      <c r="N96" s="25">
        <f t="shared" si="5"/>
        <v>4687.5</v>
      </c>
      <c r="O96" s="25">
        <f>MAX(0,Tbl_Loan3[[#This Row],[Initial debt]]-Tbl_Loan3[[#This Row],[Redemption amount]])</f>
        <v>4687.5</v>
      </c>
      <c r="P96" s="25">
        <f>Tbl_Loan3[[#This Row],[Interest amount]]+Tbl_Loan3[[#This Row],[Redemption amount]]</f>
        <v>4726.5625</v>
      </c>
    </row>
    <row r="97" spans="4:16" x14ac:dyDescent="0.25">
      <c r="D97" t="str">
        <f>_xlfn.CONCAT(Tbl_Loan3[[#This Row],[Month number]],Tbl_Loan3[[#This Row],[Year]])</f>
        <v>122026</v>
      </c>
      <c r="E97" s="23">
        <f t="shared" si="6"/>
        <v>96</v>
      </c>
      <c r="F97" s="28">
        <v>46381</v>
      </c>
      <c r="G97" s="23">
        <f>MONTH(Tbl_Loan3[[#This Row],[Payment date]])</f>
        <v>12</v>
      </c>
      <c r="H97" s="23" t="str">
        <f>VLOOKUP(Tbl_Loan3[[#This Row],[Month number]],Tbl_Months[],2,FALSE)</f>
        <v>December</v>
      </c>
      <c r="I97" s="23" t="str">
        <f>VLOOKUP(Tbl_Loan3[[#This Row],[Month number]],Tbl_Months[],3,FALSE)</f>
        <v>IV</v>
      </c>
      <c r="J97" s="23">
        <f>YEAR(Tbl_Loan3[[#This Row],[Payment date]])</f>
        <v>2026</v>
      </c>
      <c r="K97" s="23" t="str">
        <f>_xlfn.CONCAT(Tbl_Loan3[[#This Row],[Year]],Tbl_Loan3[[#This Row],[Quarter]])</f>
        <v>2026IV</v>
      </c>
      <c r="L97" s="25">
        <f t="shared" si="4"/>
        <v>4687.5</v>
      </c>
      <c r="M97" s="25">
        <f>B$5*Tbl_Loan3[[#This Row],[Initial debt]]</f>
        <v>19.53125</v>
      </c>
      <c r="N97" s="25">
        <f t="shared" si="5"/>
        <v>4687.5</v>
      </c>
      <c r="O97" s="25">
        <f>MAX(0,Tbl_Loan3[[#This Row],[Initial debt]]-Tbl_Loan3[[#This Row],[Redemption amount]])</f>
        <v>0</v>
      </c>
      <c r="P97" s="25">
        <f>Tbl_Loan3[[#This Row],[Interest amount]]+Tbl_Loan3[[#This Row],[Redemption amount]]</f>
        <v>4707.03125</v>
      </c>
    </row>
    <row r="98" spans="4:16" x14ac:dyDescent="0.25">
      <c r="L98" s="25"/>
      <c r="M98" s="25">
        <f>SUBTOTAL(109,Tbl_Loan3[Interest amount])</f>
        <v>90937.5</v>
      </c>
      <c r="N98" s="25">
        <f>SUBTOTAL(109,Tbl_Loan3[Redemption amount])</f>
        <v>450000</v>
      </c>
      <c r="O98" s="25"/>
      <c r="P98" s="2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F75E-06C2-4308-BD50-BD7E90FA062A}">
  <sheetPr>
    <tabColor rgb="FF92D050"/>
  </sheetPr>
  <dimension ref="A1:P302"/>
  <sheetViews>
    <sheetView topLeftCell="D134" workbookViewId="0">
      <selection activeCell="L157" sqref="L157"/>
    </sheetView>
  </sheetViews>
  <sheetFormatPr defaultColWidth="8.6640625" defaultRowHeight="13.2" x14ac:dyDescent="0.25"/>
  <cols>
    <col min="1" max="1" width="26.109375" bestFit="1" customWidth="1"/>
    <col min="2" max="2" width="10.6640625" bestFit="1" customWidth="1"/>
    <col min="4" max="4" width="14.109375" customWidth="1"/>
    <col min="5" max="5" width="21.109375" style="23" bestFit="1" customWidth="1"/>
    <col min="6" max="6" width="17.109375" style="23" bestFit="1" customWidth="1"/>
    <col min="7" max="7" width="18.44140625" style="23" hidden="1" customWidth="1"/>
    <col min="8" max="8" width="17.6640625" style="23" customWidth="1"/>
    <col min="9" max="9" width="13.6640625" style="23" bestFit="1" customWidth="1"/>
    <col min="10" max="10" width="11.33203125" style="23" customWidth="1"/>
    <col min="11" max="11" width="17.44140625" style="23" bestFit="1" customWidth="1"/>
    <col min="12" max="12" width="14.44140625" style="24" bestFit="1" customWidth="1"/>
    <col min="13" max="13" width="13.44140625" style="24" bestFit="1" customWidth="1"/>
    <col min="14" max="14" width="16.44140625" style="25" bestFit="1" customWidth="1"/>
    <col min="15" max="15" width="18.6640625" style="25" bestFit="1" customWidth="1"/>
    <col min="16" max="16" width="13.44140625" style="24" bestFit="1" customWidth="1"/>
    <col min="17" max="17" width="12.6640625" customWidth="1"/>
  </cols>
  <sheetData>
    <row r="1" spans="1:16" x14ac:dyDescent="0.25">
      <c r="A1" t="s">
        <v>141</v>
      </c>
      <c r="B1" s="3">
        <f>'Liabilities Long'!G2</f>
        <v>1500000</v>
      </c>
      <c r="D1" t="s">
        <v>142</v>
      </c>
      <c r="E1" s="23" t="s">
        <v>143</v>
      </c>
      <c r="F1" s="23" t="s">
        <v>144</v>
      </c>
      <c r="G1" s="23" t="s">
        <v>145</v>
      </c>
      <c r="H1" s="23" t="s">
        <v>195</v>
      </c>
      <c r="I1" s="23" t="s">
        <v>11</v>
      </c>
      <c r="J1" s="23" t="s">
        <v>10</v>
      </c>
      <c r="K1" s="23" t="s">
        <v>147</v>
      </c>
      <c r="L1" s="24" t="s">
        <v>148</v>
      </c>
      <c r="M1" s="24" t="s">
        <v>196</v>
      </c>
      <c r="N1" s="25" t="s">
        <v>149</v>
      </c>
      <c r="O1" s="25" t="s">
        <v>150</v>
      </c>
      <c r="P1" s="24" t="s">
        <v>151</v>
      </c>
    </row>
    <row r="2" spans="1:16" x14ac:dyDescent="0.25">
      <c r="A2" t="s">
        <v>153</v>
      </c>
      <c r="B2">
        <f>Tbl_LTL[[#This Row],[Duration in years]]</f>
        <v>25</v>
      </c>
      <c r="D2" t="str">
        <f>_xlfn.CONCAT(Tbl_Loan1[[#This Row],[Maandnummer ]],Tbl_Loan1[[#This Row],[Year]])</f>
        <v>12011</v>
      </c>
      <c r="E2" s="23">
        <v>1</v>
      </c>
      <c r="F2" s="28">
        <v>40568</v>
      </c>
      <c r="G2" s="23">
        <f>MONTH(Tbl_Loan1[[#This Row],[Payment date]])</f>
        <v>1</v>
      </c>
      <c r="H2" s="23" t="str">
        <f>VLOOKUP(Tbl_Loan1[[#This Row],[Maandnummer ]],Tbl_Months[],2,FALSE)</f>
        <v>January</v>
      </c>
      <c r="I2" s="23" t="str">
        <f>VLOOKUP(Tbl_Loan1[[#This Row],[Maandnummer ]],Tbl_Months[],3,FALSE)</f>
        <v>I</v>
      </c>
      <c r="J2" s="23">
        <f>YEAR(Tbl_Loan1[[#This Row],[Payment date]])</f>
        <v>2011</v>
      </c>
      <c r="K2" s="23" t="str">
        <f>_xlfn.CONCAT(Tbl_Loan1[[#This Row],[Year]],Tbl_Loan1[[#This Row],[Quarter]])</f>
        <v>2011I</v>
      </c>
      <c r="L2" s="25">
        <f t="shared" ref="L2:L65" si="0">IF(P1="Residual debt",B$1,P1)</f>
        <v>1500000</v>
      </c>
      <c r="M2" s="26">
        <f t="shared" ref="M2:M65" si="1">B$6</f>
        <v>6452.5136626411149</v>
      </c>
      <c r="N2" s="25">
        <f>B$5*Tbl_Loan1[[#This Row],[Initial debt]]</f>
        <v>2661.3750929782577</v>
      </c>
      <c r="O2" s="25">
        <f>Tbl_Loan1[[#This Row],[Annuity]]-Tbl_Loan1[[#This Row],[Interest amount]]</f>
        <v>3791.1385696628572</v>
      </c>
      <c r="P2" s="25">
        <f>Tbl_Loan1[[#This Row],[Initial debt]]-Tbl_Loan1[[#This Row],[Redemption amount]]</f>
        <v>1496208.8614303372</v>
      </c>
    </row>
    <row r="3" spans="1:16" x14ac:dyDescent="0.25">
      <c r="A3" t="s">
        <v>154</v>
      </c>
      <c r="B3">
        <f>'Liabilities Long'!J2</f>
        <v>300</v>
      </c>
      <c r="D3" t="str">
        <f>_xlfn.CONCAT(Tbl_Loan1[[#This Row],[Maandnummer ]],Tbl_Loan1[[#This Row],[Year]])</f>
        <v>22011</v>
      </c>
      <c r="E3" s="23">
        <f>E2+1</f>
        <v>2</v>
      </c>
      <c r="F3" s="28">
        <v>40599</v>
      </c>
      <c r="G3" s="23">
        <f>MONTH(Tbl_Loan1[[#This Row],[Payment date]])</f>
        <v>2</v>
      </c>
      <c r="H3" s="23" t="str">
        <f>VLOOKUP(Tbl_Loan1[[#This Row],[Maandnummer ]],Tbl_Months[],2,FALSE)</f>
        <v>February</v>
      </c>
      <c r="I3" s="23" t="str">
        <f>VLOOKUP(Tbl_Loan1[[#This Row],[Maandnummer ]],Tbl_Months[],3,FALSE)</f>
        <v>I</v>
      </c>
      <c r="J3" s="23">
        <f>YEAR(Tbl_Loan1[[#This Row],[Payment date]])</f>
        <v>2011</v>
      </c>
      <c r="K3" s="23" t="str">
        <f>_xlfn.CONCAT(Tbl_Loan1[[#This Row],[Year]],Tbl_Loan1[[#This Row],[Quarter]])</f>
        <v>2011I</v>
      </c>
      <c r="L3" s="25">
        <f t="shared" si="0"/>
        <v>1496208.8614303372</v>
      </c>
      <c r="M3" s="26">
        <f t="shared" si="1"/>
        <v>6452.5136626411149</v>
      </c>
      <c r="N3" s="25">
        <f>B$5*Tbl_Loan1[[#This Row],[Initial debt]]</f>
        <v>2654.6486651360378</v>
      </c>
      <c r="O3" s="25">
        <f>Tbl_Loan1[[#This Row],[Annuity]]-Tbl_Loan1[[#This Row],[Interest amount]]</f>
        <v>3797.8649975050771</v>
      </c>
      <c r="P3" s="25">
        <f>Tbl_Loan1[[#This Row],[Initial debt]]-Tbl_Loan1[[#This Row],[Redemption amount]]</f>
        <v>1492410.9964328322</v>
      </c>
    </row>
    <row r="4" spans="1:16" x14ac:dyDescent="0.25">
      <c r="A4" t="s">
        <v>155</v>
      </c>
      <c r="B4" s="11">
        <f>'Liabilities Long'!H2</f>
        <v>2.1499999999999998E-2</v>
      </c>
      <c r="D4" t="str">
        <f>_xlfn.CONCAT(Tbl_Loan1[[#This Row],[Maandnummer ]],Tbl_Loan1[[#This Row],[Year]])</f>
        <v>32011</v>
      </c>
      <c r="E4" s="23">
        <f>E3+1</f>
        <v>3</v>
      </c>
      <c r="F4" s="28">
        <v>40627</v>
      </c>
      <c r="G4" s="23">
        <f>MONTH(Tbl_Loan1[[#This Row],[Payment date]])</f>
        <v>3</v>
      </c>
      <c r="H4" s="23" t="str">
        <f>VLOOKUP(Tbl_Loan1[[#This Row],[Maandnummer ]],Tbl_Months[],2,FALSE)</f>
        <v>March</v>
      </c>
      <c r="I4" s="23" t="str">
        <f>VLOOKUP(Tbl_Loan1[[#This Row],[Maandnummer ]],Tbl_Months[],3,FALSE)</f>
        <v>I</v>
      </c>
      <c r="J4" s="23">
        <f>YEAR(Tbl_Loan1[[#This Row],[Payment date]])</f>
        <v>2011</v>
      </c>
      <c r="K4" s="23" t="str">
        <f>_xlfn.CONCAT(Tbl_Loan1[[#This Row],[Year]],Tbl_Loan1[[#This Row],[Quarter]])</f>
        <v>2011I</v>
      </c>
      <c r="L4" s="25">
        <f t="shared" si="0"/>
        <v>1492410.9964328322</v>
      </c>
      <c r="M4" s="26">
        <f t="shared" si="1"/>
        <v>6452.5136626411149</v>
      </c>
      <c r="N4" s="25">
        <f>B$5*Tbl_Loan1[[#This Row],[Initial debt]]</f>
        <v>2647.9103029288021</v>
      </c>
      <c r="O4" s="25">
        <f>Tbl_Loan1[[#This Row],[Annuity]]-Tbl_Loan1[[#This Row],[Interest amount]]</f>
        <v>3804.6033597123128</v>
      </c>
      <c r="P4" s="25">
        <f>Tbl_Loan1[[#This Row],[Initial debt]]-Tbl_Loan1[[#This Row],[Redemption amount]]</f>
        <v>1488606.3930731199</v>
      </c>
    </row>
    <row r="5" spans="1:16" x14ac:dyDescent="0.25">
      <c r="A5" t="s">
        <v>156</v>
      </c>
      <c r="B5" s="13">
        <f>(1+B4)^(1/12) -1</f>
        <v>1.7742500619855051E-3</v>
      </c>
      <c r="D5" t="str">
        <f>_xlfn.CONCAT(Tbl_Loan1[[#This Row],[Maandnummer ]],Tbl_Loan1[[#This Row],[Year]])</f>
        <v>42011</v>
      </c>
      <c r="E5" s="23">
        <f t="shared" ref="E5:E68" si="2">E4+1</f>
        <v>4</v>
      </c>
      <c r="F5" s="28">
        <v>40658</v>
      </c>
      <c r="G5" s="23">
        <f>MONTH(Tbl_Loan1[[#This Row],[Payment date]])</f>
        <v>4</v>
      </c>
      <c r="H5" s="23" t="str">
        <f>VLOOKUP(Tbl_Loan1[[#This Row],[Maandnummer ]],Tbl_Months[],2,FALSE)</f>
        <v>April</v>
      </c>
      <c r="I5" s="23" t="str">
        <f>VLOOKUP(Tbl_Loan1[[#This Row],[Maandnummer ]],Tbl_Months[],3,FALSE)</f>
        <v>II</v>
      </c>
      <c r="J5" s="23">
        <f>YEAR(Tbl_Loan1[[#This Row],[Payment date]])</f>
        <v>2011</v>
      </c>
      <c r="K5" s="23" t="str">
        <f>_xlfn.CONCAT(Tbl_Loan1[[#This Row],[Year]],Tbl_Loan1[[#This Row],[Quarter]])</f>
        <v>2011II</v>
      </c>
      <c r="L5" s="25">
        <f t="shared" si="0"/>
        <v>1488606.3930731199</v>
      </c>
      <c r="M5" s="26">
        <f t="shared" si="1"/>
        <v>6452.5136626411149</v>
      </c>
      <c r="N5" s="25">
        <f>B$5*Tbl_Loan1[[#This Row],[Initial debt]]</f>
        <v>2641.1599851820019</v>
      </c>
      <c r="O5" s="25">
        <f>Tbl_Loan1[[#This Row],[Annuity]]-Tbl_Loan1[[#This Row],[Interest amount]]</f>
        <v>3811.353677459113</v>
      </c>
      <c r="P5" s="25">
        <f>Tbl_Loan1[[#This Row],[Initial debt]]-Tbl_Loan1[[#This Row],[Redemption amount]]</f>
        <v>1484795.0393956609</v>
      </c>
    </row>
    <row r="6" spans="1:16" x14ac:dyDescent="0.25">
      <c r="A6" t="s">
        <v>196</v>
      </c>
      <c r="B6" s="14">
        <f>-PMT(B5,B3,B1,0,0)</f>
        <v>6452.5136626411149</v>
      </c>
      <c r="D6" t="str">
        <f>_xlfn.CONCAT(Tbl_Loan1[[#This Row],[Maandnummer ]],Tbl_Loan1[[#This Row],[Year]])</f>
        <v>52011</v>
      </c>
      <c r="E6" s="23">
        <f t="shared" si="2"/>
        <v>5</v>
      </c>
      <c r="F6" s="28">
        <v>40688</v>
      </c>
      <c r="G6" s="23">
        <f>MONTH(Tbl_Loan1[[#This Row],[Payment date]])</f>
        <v>5</v>
      </c>
      <c r="H6" s="23" t="str">
        <f>VLOOKUP(Tbl_Loan1[[#This Row],[Maandnummer ]],Tbl_Months[],2,FALSE)</f>
        <v>May</v>
      </c>
      <c r="I6" s="23" t="str">
        <f>VLOOKUP(Tbl_Loan1[[#This Row],[Maandnummer ]],Tbl_Months[],3,FALSE)</f>
        <v>II</v>
      </c>
      <c r="J6" s="23">
        <f>YEAR(Tbl_Loan1[[#This Row],[Payment date]])</f>
        <v>2011</v>
      </c>
      <c r="K6" s="23" t="str">
        <f>_xlfn.CONCAT(Tbl_Loan1[[#This Row],[Year]],Tbl_Loan1[[#This Row],[Quarter]])</f>
        <v>2011II</v>
      </c>
      <c r="L6" s="25">
        <f t="shared" si="0"/>
        <v>1484795.0393956609</v>
      </c>
      <c r="M6" s="26">
        <f t="shared" si="1"/>
        <v>6452.5136626411149</v>
      </c>
      <c r="N6" s="25">
        <f>B$5*Tbl_Loan1[[#This Row],[Initial debt]]</f>
        <v>2634.3976906835219</v>
      </c>
      <c r="O6" s="25">
        <f>Tbl_Loan1[[#This Row],[Annuity]]-Tbl_Loan1[[#This Row],[Interest amount]]</f>
        <v>3818.115971957593</v>
      </c>
      <c r="P6" s="25">
        <f>Tbl_Loan1[[#This Row],[Initial debt]]-Tbl_Loan1[[#This Row],[Redemption amount]]</f>
        <v>1480976.9234237033</v>
      </c>
    </row>
    <row r="7" spans="1:16" x14ac:dyDescent="0.25">
      <c r="D7" t="str">
        <f>_xlfn.CONCAT(Tbl_Loan1[[#This Row],[Maandnummer ]],Tbl_Loan1[[#This Row],[Year]])</f>
        <v>62011</v>
      </c>
      <c r="E7" s="23">
        <f t="shared" si="2"/>
        <v>6</v>
      </c>
      <c r="F7" s="28">
        <v>40719</v>
      </c>
      <c r="G7" s="23">
        <f>MONTH(Tbl_Loan1[[#This Row],[Payment date]])</f>
        <v>6</v>
      </c>
      <c r="H7" s="23" t="str">
        <f>VLOOKUP(Tbl_Loan1[[#This Row],[Maandnummer ]],Tbl_Months[],2,FALSE)</f>
        <v>June</v>
      </c>
      <c r="I7" s="23" t="str">
        <f>VLOOKUP(Tbl_Loan1[[#This Row],[Maandnummer ]],Tbl_Months[],3,FALSE)</f>
        <v>II</v>
      </c>
      <c r="J7" s="23">
        <f>YEAR(Tbl_Loan1[[#This Row],[Payment date]])</f>
        <v>2011</v>
      </c>
      <c r="K7" s="23" t="str">
        <f>_xlfn.CONCAT(Tbl_Loan1[[#This Row],[Year]],Tbl_Loan1[[#This Row],[Quarter]])</f>
        <v>2011II</v>
      </c>
      <c r="L7" s="25">
        <f t="shared" si="0"/>
        <v>1480976.9234237033</v>
      </c>
      <c r="M7" s="26">
        <f t="shared" si="1"/>
        <v>6452.5136626411149</v>
      </c>
      <c r="N7" s="25">
        <f>B$5*Tbl_Loan1[[#This Row],[Initial debt]]</f>
        <v>2627.6233981836081</v>
      </c>
      <c r="O7" s="25">
        <f>Tbl_Loan1[[#This Row],[Annuity]]-Tbl_Loan1[[#This Row],[Interest amount]]</f>
        <v>3824.8902644575069</v>
      </c>
      <c r="P7" s="25">
        <f>Tbl_Loan1[[#This Row],[Initial debt]]-Tbl_Loan1[[#This Row],[Redemption amount]]</f>
        <v>1477152.0331592457</v>
      </c>
    </row>
    <row r="8" spans="1:16" x14ac:dyDescent="0.25">
      <c r="D8" t="str">
        <f>_xlfn.CONCAT(Tbl_Loan1[[#This Row],[Maandnummer ]],Tbl_Loan1[[#This Row],[Year]])</f>
        <v>72011</v>
      </c>
      <c r="E8" s="23">
        <f t="shared" si="2"/>
        <v>7</v>
      </c>
      <c r="F8" s="28">
        <v>40749</v>
      </c>
      <c r="G8" s="23">
        <f>MONTH(Tbl_Loan1[[#This Row],[Payment date]])</f>
        <v>7</v>
      </c>
      <c r="H8" s="23" t="str">
        <f>VLOOKUP(Tbl_Loan1[[#This Row],[Maandnummer ]],Tbl_Months[],2,FALSE)</f>
        <v>July</v>
      </c>
      <c r="I8" s="23" t="str">
        <f>VLOOKUP(Tbl_Loan1[[#This Row],[Maandnummer ]],Tbl_Months[],3,FALSE)</f>
        <v>III</v>
      </c>
      <c r="J8" s="23">
        <f>YEAR(Tbl_Loan1[[#This Row],[Payment date]])</f>
        <v>2011</v>
      </c>
      <c r="K8" s="23" t="str">
        <f>_xlfn.CONCAT(Tbl_Loan1[[#This Row],[Year]],Tbl_Loan1[[#This Row],[Quarter]])</f>
        <v>2011III</v>
      </c>
      <c r="L8" s="25">
        <f t="shared" si="0"/>
        <v>1477152.0331592457</v>
      </c>
      <c r="M8" s="26">
        <f t="shared" si="1"/>
        <v>6452.5136626411149</v>
      </c>
      <c r="N8" s="25">
        <f>B$5*Tbl_Loan1[[#This Row],[Initial debt]]</f>
        <v>2620.8370863948066</v>
      </c>
      <c r="O8" s="25">
        <f>Tbl_Loan1[[#This Row],[Annuity]]-Tbl_Loan1[[#This Row],[Interest amount]]</f>
        <v>3831.6765762463083</v>
      </c>
      <c r="P8" s="25">
        <f>Tbl_Loan1[[#This Row],[Initial debt]]-Tbl_Loan1[[#This Row],[Redemption amount]]</f>
        <v>1473320.3565829995</v>
      </c>
    </row>
    <row r="9" spans="1:16" x14ac:dyDescent="0.25">
      <c r="D9" t="str">
        <f>_xlfn.CONCAT(Tbl_Loan1[[#This Row],[Maandnummer ]],Tbl_Loan1[[#This Row],[Year]])</f>
        <v>82011</v>
      </c>
      <c r="E9" s="23">
        <f t="shared" si="2"/>
        <v>8</v>
      </c>
      <c r="F9" s="28">
        <v>40780</v>
      </c>
      <c r="G9" s="23">
        <f>MONTH(Tbl_Loan1[[#This Row],[Payment date]])</f>
        <v>8</v>
      </c>
      <c r="H9" s="23" t="str">
        <f>VLOOKUP(Tbl_Loan1[[#This Row],[Maandnummer ]],Tbl_Months[],2,FALSE)</f>
        <v>August</v>
      </c>
      <c r="I9" s="23" t="str">
        <f>VLOOKUP(Tbl_Loan1[[#This Row],[Maandnummer ]],Tbl_Months[],3,FALSE)</f>
        <v>III</v>
      </c>
      <c r="J9" s="23">
        <f>YEAR(Tbl_Loan1[[#This Row],[Payment date]])</f>
        <v>2011</v>
      </c>
      <c r="K9" s="23" t="str">
        <f>_xlfn.CONCAT(Tbl_Loan1[[#This Row],[Year]],Tbl_Loan1[[#This Row],[Quarter]])</f>
        <v>2011III</v>
      </c>
      <c r="L9" s="25">
        <f t="shared" si="0"/>
        <v>1473320.3565829995</v>
      </c>
      <c r="M9" s="26">
        <f t="shared" si="1"/>
        <v>6452.5136626411149</v>
      </c>
      <c r="N9" s="25">
        <f>B$5*Tbl_Loan1[[#This Row],[Initial debt]]</f>
        <v>2614.0387339918934</v>
      </c>
      <c r="O9" s="25">
        <f>Tbl_Loan1[[#This Row],[Annuity]]-Tbl_Loan1[[#This Row],[Interest amount]]</f>
        <v>3838.4749286492215</v>
      </c>
      <c r="P9" s="25">
        <f>Tbl_Loan1[[#This Row],[Initial debt]]-Tbl_Loan1[[#This Row],[Redemption amount]]</f>
        <v>1469481.8816543503</v>
      </c>
    </row>
    <row r="10" spans="1:16" x14ac:dyDescent="0.25">
      <c r="D10" t="str">
        <f>_xlfn.CONCAT(Tbl_Loan1[[#This Row],[Maandnummer ]],Tbl_Loan1[[#This Row],[Year]])</f>
        <v>92011</v>
      </c>
      <c r="E10" s="23">
        <f t="shared" si="2"/>
        <v>9</v>
      </c>
      <c r="F10" s="28">
        <v>40811</v>
      </c>
      <c r="G10" s="23">
        <f>MONTH(Tbl_Loan1[[#This Row],[Payment date]])</f>
        <v>9</v>
      </c>
      <c r="H10" s="23" t="str">
        <f>VLOOKUP(Tbl_Loan1[[#This Row],[Maandnummer ]],Tbl_Months[],2,FALSE)</f>
        <v>September</v>
      </c>
      <c r="I10" s="23" t="str">
        <f>VLOOKUP(Tbl_Loan1[[#This Row],[Maandnummer ]],Tbl_Months[],3,FALSE)</f>
        <v>III</v>
      </c>
      <c r="J10" s="23">
        <f>YEAR(Tbl_Loan1[[#This Row],[Payment date]])</f>
        <v>2011</v>
      </c>
      <c r="K10" s="23" t="str">
        <f>_xlfn.CONCAT(Tbl_Loan1[[#This Row],[Year]],Tbl_Loan1[[#This Row],[Quarter]])</f>
        <v>2011III</v>
      </c>
      <c r="L10" s="25">
        <f t="shared" si="0"/>
        <v>1469481.8816543503</v>
      </c>
      <c r="M10" s="26">
        <f t="shared" si="1"/>
        <v>6452.5136626411149</v>
      </c>
      <c r="N10" s="25">
        <f>B$5*Tbl_Loan1[[#This Row],[Initial debt]]</f>
        <v>2607.2283196118078</v>
      </c>
      <c r="O10" s="25">
        <f>Tbl_Loan1[[#This Row],[Annuity]]-Tbl_Loan1[[#This Row],[Interest amount]]</f>
        <v>3845.2853430293071</v>
      </c>
      <c r="P10" s="25">
        <f>Tbl_Loan1[[#This Row],[Initial debt]]-Tbl_Loan1[[#This Row],[Redemption amount]]</f>
        <v>1465636.596311321</v>
      </c>
    </row>
    <row r="11" spans="1:16" x14ac:dyDescent="0.25">
      <c r="D11" t="str">
        <f>_xlfn.CONCAT(Tbl_Loan1[[#This Row],[Maandnummer ]],Tbl_Loan1[[#This Row],[Year]])</f>
        <v>102011</v>
      </c>
      <c r="E11" s="23">
        <f t="shared" si="2"/>
        <v>10</v>
      </c>
      <c r="F11" s="28">
        <v>40841</v>
      </c>
      <c r="G11" s="23">
        <f>MONTH(Tbl_Loan1[[#This Row],[Payment date]])</f>
        <v>10</v>
      </c>
      <c r="H11" s="23" t="str">
        <f>VLOOKUP(Tbl_Loan1[[#This Row],[Maandnummer ]],Tbl_Months[],2,FALSE)</f>
        <v>October</v>
      </c>
      <c r="I11" s="23" t="str">
        <f>VLOOKUP(Tbl_Loan1[[#This Row],[Maandnummer ]],Tbl_Months[],3,FALSE)</f>
        <v>IV</v>
      </c>
      <c r="J11" s="23">
        <f>YEAR(Tbl_Loan1[[#This Row],[Payment date]])</f>
        <v>2011</v>
      </c>
      <c r="K11" s="23" t="str">
        <f>_xlfn.CONCAT(Tbl_Loan1[[#This Row],[Year]],Tbl_Loan1[[#This Row],[Quarter]])</f>
        <v>2011IV</v>
      </c>
      <c r="L11" s="25">
        <f t="shared" si="0"/>
        <v>1465636.596311321</v>
      </c>
      <c r="M11" s="26">
        <f t="shared" si="1"/>
        <v>6452.5136626411149</v>
      </c>
      <c r="N11" s="25">
        <f>B$5*Tbl_Loan1[[#This Row],[Initial debt]]</f>
        <v>2600.4058218535861</v>
      </c>
      <c r="O11" s="25">
        <f>Tbl_Loan1[[#This Row],[Annuity]]-Tbl_Loan1[[#This Row],[Interest amount]]</f>
        <v>3852.1078407875289</v>
      </c>
      <c r="P11" s="25">
        <f>Tbl_Loan1[[#This Row],[Initial debt]]-Tbl_Loan1[[#This Row],[Redemption amount]]</f>
        <v>1461784.4884705334</v>
      </c>
    </row>
    <row r="12" spans="1:16" x14ac:dyDescent="0.25">
      <c r="D12" t="str">
        <f>_xlfn.CONCAT(Tbl_Loan1[[#This Row],[Maandnummer ]],Tbl_Loan1[[#This Row],[Year]])</f>
        <v>112011</v>
      </c>
      <c r="E12" s="23">
        <f t="shared" si="2"/>
        <v>11</v>
      </c>
      <c r="F12" s="28">
        <v>40872</v>
      </c>
      <c r="G12" s="23">
        <f>MONTH(Tbl_Loan1[[#This Row],[Payment date]])</f>
        <v>11</v>
      </c>
      <c r="H12" s="23" t="str">
        <f>VLOOKUP(Tbl_Loan1[[#This Row],[Maandnummer ]],Tbl_Months[],2,FALSE)</f>
        <v>November</v>
      </c>
      <c r="I12" s="23" t="str">
        <f>VLOOKUP(Tbl_Loan1[[#This Row],[Maandnummer ]],Tbl_Months[],3,FALSE)</f>
        <v>IV</v>
      </c>
      <c r="J12" s="23">
        <f>YEAR(Tbl_Loan1[[#This Row],[Payment date]])</f>
        <v>2011</v>
      </c>
      <c r="K12" s="23" t="str">
        <f>_xlfn.CONCAT(Tbl_Loan1[[#This Row],[Year]],Tbl_Loan1[[#This Row],[Quarter]])</f>
        <v>2011IV</v>
      </c>
      <c r="L12" s="25">
        <f t="shared" si="0"/>
        <v>1461784.4884705334</v>
      </c>
      <c r="M12" s="26">
        <f t="shared" si="1"/>
        <v>6452.5136626411149</v>
      </c>
      <c r="N12" s="25">
        <f>B$5*Tbl_Loan1[[#This Row],[Initial debt]]</f>
        <v>2593.5712192782935</v>
      </c>
      <c r="O12" s="25">
        <f>Tbl_Loan1[[#This Row],[Annuity]]-Tbl_Loan1[[#This Row],[Interest amount]]</f>
        <v>3858.9424433628215</v>
      </c>
      <c r="P12" s="25">
        <f>Tbl_Loan1[[#This Row],[Initial debt]]-Tbl_Loan1[[#This Row],[Redemption amount]]</f>
        <v>1457925.5460271705</v>
      </c>
    </row>
    <row r="13" spans="1:16" x14ac:dyDescent="0.25">
      <c r="D13" t="str">
        <f>_xlfn.CONCAT(Tbl_Loan1[[#This Row],[Maandnummer ]],Tbl_Loan1[[#This Row],[Year]])</f>
        <v>122011</v>
      </c>
      <c r="E13" s="23">
        <f t="shared" si="2"/>
        <v>12</v>
      </c>
      <c r="F13" s="28">
        <v>40902</v>
      </c>
      <c r="G13" s="23">
        <f>MONTH(Tbl_Loan1[[#This Row],[Payment date]])</f>
        <v>12</v>
      </c>
      <c r="H13" s="23" t="str">
        <f>VLOOKUP(Tbl_Loan1[[#This Row],[Maandnummer ]],Tbl_Months[],2,FALSE)</f>
        <v>December</v>
      </c>
      <c r="I13" s="23" t="str">
        <f>VLOOKUP(Tbl_Loan1[[#This Row],[Maandnummer ]],Tbl_Months[],3,FALSE)</f>
        <v>IV</v>
      </c>
      <c r="J13" s="23">
        <f>YEAR(Tbl_Loan1[[#This Row],[Payment date]])</f>
        <v>2011</v>
      </c>
      <c r="K13" s="23" t="str">
        <f>_xlfn.CONCAT(Tbl_Loan1[[#This Row],[Year]],Tbl_Loan1[[#This Row],[Quarter]])</f>
        <v>2011IV</v>
      </c>
      <c r="L13" s="25">
        <f t="shared" si="0"/>
        <v>1457925.5460271705</v>
      </c>
      <c r="M13" s="26">
        <f t="shared" si="1"/>
        <v>6452.5136626411149</v>
      </c>
      <c r="N13" s="25">
        <f>B$5*Tbl_Loan1[[#This Row],[Initial debt]]</f>
        <v>2586.7244904089584</v>
      </c>
      <c r="O13" s="25">
        <f>Tbl_Loan1[[#This Row],[Annuity]]-Tbl_Loan1[[#This Row],[Interest amount]]</f>
        <v>3865.7891722321565</v>
      </c>
      <c r="P13" s="25">
        <f>Tbl_Loan1[[#This Row],[Initial debt]]-Tbl_Loan1[[#This Row],[Redemption amount]]</f>
        <v>1454059.7568549383</v>
      </c>
    </row>
    <row r="14" spans="1:16" x14ac:dyDescent="0.25">
      <c r="D14" t="str">
        <f>_xlfn.CONCAT(Tbl_Loan1[[#This Row],[Maandnummer ]],Tbl_Loan1[[#This Row],[Year]])</f>
        <v>12012</v>
      </c>
      <c r="E14" s="23">
        <f t="shared" si="2"/>
        <v>13</v>
      </c>
      <c r="F14" s="28">
        <v>40933</v>
      </c>
      <c r="G14" s="23">
        <f>MONTH(Tbl_Loan1[[#This Row],[Payment date]])</f>
        <v>1</v>
      </c>
      <c r="H14" s="23" t="str">
        <f>VLOOKUP(Tbl_Loan1[[#This Row],[Maandnummer ]],Tbl_Months[],2,FALSE)</f>
        <v>January</v>
      </c>
      <c r="I14" s="23" t="str">
        <f>VLOOKUP(Tbl_Loan1[[#This Row],[Maandnummer ]],Tbl_Months[],3,FALSE)</f>
        <v>I</v>
      </c>
      <c r="J14" s="23">
        <f>YEAR(Tbl_Loan1[[#This Row],[Payment date]])</f>
        <v>2012</v>
      </c>
      <c r="K14" s="23" t="str">
        <f>_xlfn.CONCAT(Tbl_Loan1[[#This Row],[Year]],Tbl_Loan1[[#This Row],[Quarter]])</f>
        <v>2012I</v>
      </c>
      <c r="L14" s="25">
        <f t="shared" si="0"/>
        <v>1454059.7568549383</v>
      </c>
      <c r="M14" s="26">
        <f t="shared" si="1"/>
        <v>6452.5136626411149</v>
      </c>
      <c r="N14" s="25">
        <f>B$5*Tbl_Loan1[[#This Row],[Initial debt]]</f>
        <v>2579.8656137305029</v>
      </c>
      <c r="O14" s="25">
        <f>Tbl_Loan1[[#This Row],[Annuity]]-Tbl_Loan1[[#This Row],[Interest amount]]</f>
        <v>3872.648048910612</v>
      </c>
      <c r="P14" s="25">
        <f>Tbl_Loan1[[#This Row],[Initial debt]]-Tbl_Loan1[[#This Row],[Redemption amount]]</f>
        <v>1450187.1088060278</v>
      </c>
    </row>
    <row r="15" spans="1:16" x14ac:dyDescent="0.25">
      <c r="D15" t="str">
        <f>_xlfn.CONCAT(Tbl_Loan1[[#This Row],[Maandnummer ]],Tbl_Loan1[[#This Row],[Year]])</f>
        <v>22012</v>
      </c>
      <c r="E15" s="23">
        <f t="shared" si="2"/>
        <v>14</v>
      </c>
      <c r="F15" s="28">
        <v>40964</v>
      </c>
      <c r="G15" s="23">
        <f>MONTH(Tbl_Loan1[[#This Row],[Payment date]])</f>
        <v>2</v>
      </c>
      <c r="H15" s="23" t="str">
        <f>VLOOKUP(Tbl_Loan1[[#This Row],[Maandnummer ]],Tbl_Months[],2,FALSE)</f>
        <v>February</v>
      </c>
      <c r="I15" s="23" t="str">
        <f>VLOOKUP(Tbl_Loan1[[#This Row],[Maandnummer ]],Tbl_Months[],3,FALSE)</f>
        <v>I</v>
      </c>
      <c r="J15" s="23">
        <f>YEAR(Tbl_Loan1[[#This Row],[Payment date]])</f>
        <v>2012</v>
      </c>
      <c r="K15" s="23" t="str">
        <f>_xlfn.CONCAT(Tbl_Loan1[[#This Row],[Year]],Tbl_Loan1[[#This Row],[Quarter]])</f>
        <v>2012I</v>
      </c>
      <c r="L15" s="25">
        <f t="shared" si="0"/>
        <v>1450187.1088060278</v>
      </c>
      <c r="M15" s="26">
        <f t="shared" si="1"/>
        <v>6452.5136626411149</v>
      </c>
      <c r="N15" s="25">
        <f>B$5*Tbl_Loan1[[#This Row],[Initial debt]]</f>
        <v>2572.994567689675</v>
      </c>
      <c r="O15" s="25">
        <f>Tbl_Loan1[[#This Row],[Annuity]]-Tbl_Loan1[[#This Row],[Interest amount]]</f>
        <v>3879.5190949514399</v>
      </c>
      <c r="P15" s="25">
        <f>Tbl_Loan1[[#This Row],[Initial debt]]-Tbl_Loan1[[#This Row],[Redemption amount]]</f>
        <v>1446307.5897110763</v>
      </c>
    </row>
    <row r="16" spans="1:16" x14ac:dyDescent="0.25">
      <c r="D16" t="str">
        <f>_xlfn.CONCAT(Tbl_Loan1[[#This Row],[Maandnummer ]],Tbl_Loan1[[#This Row],[Year]])</f>
        <v>32012</v>
      </c>
      <c r="E16" s="23">
        <f t="shared" si="2"/>
        <v>15</v>
      </c>
      <c r="F16" s="28">
        <v>40993</v>
      </c>
      <c r="G16" s="23">
        <f>MONTH(Tbl_Loan1[[#This Row],[Payment date]])</f>
        <v>3</v>
      </c>
      <c r="H16" s="23" t="str">
        <f>VLOOKUP(Tbl_Loan1[[#This Row],[Maandnummer ]],Tbl_Months[],2,FALSE)</f>
        <v>March</v>
      </c>
      <c r="I16" s="23" t="str">
        <f>VLOOKUP(Tbl_Loan1[[#This Row],[Maandnummer ]],Tbl_Months[],3,FALSE)</f>
        <v>I</v>
      </c>
      <c r="J16" s="23">
        <f>YEAR(Tbl_Loan1[[#This Row],[Payment date]])</f>
        <v>2012</v>
      </c>
      <c r="K16" s="23" t="str">
        <f>_xlfn.CONCAT(Tbl_Loan1[[#This Row],[Year]],Tbl_Loan1[[#This Row],[Quarter]])</f>
        <v>2012I</v>
      </c>
      <c r="L16" s="25">
        <f t="shared" si="0"/>
        <v>1446307.5897110763</v>
      </c>
      <c r="M16" s="26">
        <f t="shared" si="1"/>
        <v>6452.5136626411149</v>
      </c>
      <c r="N16" s="25">
        <f>B$5*Tbl_Loan1[[#This Row],[Initial debt]]</f>
        <v>2566.1113306949837</v>
      </c>
      <c r="O16" s="25">
        <f>Tbl_Loan1[[#This Row],[Annuity]]-Tbl_Loan1[[#This Row],[Interest amount]]</f>
        <v>3886.4023319461312</v>
      </c>
      <c r="P16" s="25">
        <f>Tbl_Loan1[[#This Row],[Initial debt]]-Tbl_Loan1[[#This Row],[Redemption amount]]</f>
        <v>1442421.1873791302</v>
      </c>
    </row>
    <row r="17" spans="2:16" x14ac:dyDescent="0.25">
      <c r="D17" t="str">
        <f>_xlfn.CONCAT(Tbl_Loan1[[#This Row],[Maandnummer ]],Tbl_Loan1[[#This Row],[Year]])</f>
        <v>42012</v>
      </c>
      <c r="E17" s="23">
        <f t="shared" si="2"/>
        <v>16</v>
      </c>
      <c r="F17" s="28">
        <v>41024</v>
      </c>
      <c r="G17" s="23">
        <f>MONTH(Tbl_Loan1[[#This Row],[Payment date]])</f>
        <v>4</v>
      </c>
      <c r="H17" s="23" t="str">
        <f>VLOOKUP(Tbl_Loan1[[#This Row],[Maandnummer ]],Tbl_Months[],2,FALSE)</f>
        <v>April</v>
      </c>
      <c r="I17" s="23" t="str">
        <f>VLOOKUP(Tbl_Loan1[[#This Row],[Maandnummer ]],Tbl_Months[],3,FALSE)</f>
        <v>II</v>
      </c>
      <c r="J17" s="23">
        <f>YEAR(Tbl_Loan1[[#This Row],[Payment date]])</f>
        <v>2012</v>
      </c>
      <c r="K17" s="23" t="str">
        <f>_xlfn.CONCAT(Tbl_Loan1[[#This Row],[Year]],Tbl_Loan1[[#This Row],[Quarter]])</f>
        <v>2012II</v>
      </c>
      <c r="L17" s="25">
        <f t="shared" si="0"/>
        <v>1442421.1873791302</v>
      </c>
      <c r="M17" s="26">
        <f t="shared" si="1"/>
        <v>6452.5136626411149</v>
      </c>
      <c r="N17" s="25">
        <f>B$5*Tbl_Loan1[[#This Row],[Initial debt]]</f>
        <v>2559.2158811166273</v>
      </c>
      <c r="O17" s="25">
        <f>Tbl_Loan1[[#This Row],[Annuity]]-Tbl_Loan1[[#This Row],[Interest amount]]</f>
        <v>3893.2977815244876</v>
      </c>
      <c r="P17" s="25">
        <f>Tbl_Loan1[[#This Row],[Initial debt]]-Tbl_Loan1[[#This Row],[Redemption amount]]</f>
        <v>1438527.8895976057</v>
      </c>
    </row>
    <row r="18" spans="2:16" x14ac:dyDescent="0.25">
      <c r="D18" t="str">
        <f>_xlfn.CONCAT(Tbl_Loan1[[#This Row],[Maandnummer ]],Tbl_Loan1[[#This Row],[Year]])</f>
        <v>52012</v>
      </c>
      <c r="E18" s="23">
        <f t="shared" si="2"/>
        <v>17</v>
      </c>
      <c r="F18" s="28">
        <v>41054</v>
      </c>
      <c r="G18" s="23">
        <f>MONTH(Tbl_Loan1[[#This Row],[Payment date]])</f>
        <v>5</v>
      </c>
      <c r="H18" s="23" t="str">
        <f>VLOOKUP(Tbl_Loan1[[#This Row],[Maandnummer ]],Tbl_Months[],2,FALSE)</f>
        <v>May</v>
      </c>
      <c r="I18" s="23" t="str">
        <f>VLOOKUP(Tbl_Loan1[[#This Row],[Maandnummer ]],Tbl_Months[],3,FALSE)</f>
        <v>II</v>
      </c>
      <c r="J18" s="23">
        <f>YEAR(Tbl_Loan1[[#This Row],[Payment date]])</f>
        <v>2012</v>
      </c>
      <c r="K18" s="23" t="str">
        <f>_xlfn.CONCAT(Tbl_Loan1[[#This Row],[Year]],Tbl_Loan1[[#This Row],[Quarter]])</f>
        <v>2012II</v>
      </c>
      <c r="L18" s="25">
        <f t="shared" si="0"/>
        <v>1438527.8895976057</v>
      </c>
      <c r="M18" s="26">
        <f t="shared" si="1"/>
        <v>6452.5136626411149</v>
      </c>
      <c r="N18" s="25">
        <f>B$5*Tbl_Loan1[[#This Row],[Initial debt]]</f>
        <v>2552.3081972864297</v>
      </c>
      <c r="O18" s="25">
        <f>Tbl_Loan1[[#This Row],[Annuity]]-Tbl_Loan1[[#This Row],[Interest amount]]</f>
        <v>3900.2054653546852</v>
      </c>
      <c r="P18" s="25">
        <f>Tbl_Loan1[[#This Row],[Initial debt]]-Tbl_Loan1[[#This Row],[Redemption amount]]</f>
        <v>1434627.684132251</v>
      </c>
    </row>
    <row r="19" spans="2:16" x14ac:dyDescent="0.25">
      <c r="B19" s="6"/>
      <c r="D19" t="str">
        <f>_xlfn.CONCAT(Tbl_Loan1[[#This Row],[Maandnummer ]],Tbl_Loan1[[#This Row],[Year]])</f>
        <v>62012</v>
      </c>
      <c r="E19" s="23">
        <f t="shared" si="2"/>
        <v>18</v>
      </c>
      <c r="F19" s="28">
        <v>41085</v>
      </c>
      <c r="G19" s="23">
        <f>MONTH(Tbl_Loan1[[#This Row],[Payment date]])</f>
        <v>6</v>
      </c>
      <c r="H19" s="23" t="str">
        <f>VLOOKUP(Tbl_Loan1[[#This Row],[Maandnummer ]],Tbl_Months[],2,FALSE)</f>
        <v>June</v>
      </c>
      <c r="I19" s="23" t="str">
        <f>VLOOKUP(Tbl_Loan1[[#This Row],[Maandnummer ]],Tbl_Months[],3,FALSE)</f>
        <v>II</v>
      </c>
      <c r="J19" s="23">
        <f>YEAR(Tbl_Loan1[[#This Row],[Payment date]])</f>
        <v>2012</v>
      </c>
      <c r="K19" s="23" t="str">
        <f>_xlfn.CONCAT(Tbl_Loan1[[#This Row],[Year]],Tbl_Loan1[[#This Row],[Quarter]])</f>
        <v>2012II</v>
      </c>
      <c r="L19" s="25">
        <f t="shared" si="0"/>
        <v>1434627.684132251</v>
      </c>
      <c r="M19" s="26">
        <f t="shared" si="1"/>
        <v>6452.5136626411149</v>
      </c>
      <c r="N19" s="25">
        <f>B$5*Tbl_Loan1[[#This Row],[Initial debt]]</f>
        <v>2545.3882574977679</v>
      </c>
      <c r="O19" s="25">
        <f>Tbl_Loan1[[#This Row],[Annuity]]-Tbl_Loan1[[#This Row],[Interest amount]]</f>
        <v>3907.1254051433471</v>
      </c>
      <c r="P19" s="25">
        <f>Tbl_Loan1[[#This Row],[Initial debt]]-Tbl_Loan1[[#This Row],[Redemption amount]]</f>
        <v>1430720.5587271077</v>
      </c>
    </row>
    <row r="20" spans="2:16" x14ac:dyDescent="0.25">
      <c r="D20" t="str">
        <f>_xlfn.CONCAT(Tbl_Loan1[[#This Row],[Maandnummer ]],Tbl_Loan1[[#This Row],[Year]])</f>
        <v>72012</v>
      </c>
      <c r="E20" s="23">
        <f t="shared" si="2"/>
        <v>19</v>
      </c>
      <c r="F20" s="28">
        <v>41115</v>
      </c>
      <c r="G20" s="23">
        <f>MONTH(Tbl_Loan1[[#This Row],[Payment date]])</f>
        <v>7</v>
      </c>
      <c r="H20" s="23" t="str">
        <f>VLOOKUP(Tbl_Loan1[[#This Row],[Maandnummer ]],Tbl_Months[],2,FALSE)</f>
        <v>July</v>
      </c>
      <c r="I20" s="23" t="str">
        <f>VLOOKUP(Tbl_Loan1[[#This Row],[Maandnummer ]],Tbl_Months[],3,FALSE)</f>
        <v>III</v>
      </c>
      <c r="J20" s="23">
        <f>YEAR(Tbl_Loan1[[#This Row],[Payment date]])</f>
        <v>2012</v>
      </c>
      <c r="K20" s="23" t="str">
        <f>_xlfn.CONCAT(Tbl_Loan1[[#This Row],[Year]],Tbl_Loan1[[#This Row],[Quarter]])</f>
        <v>2012III</v>
      </c>
      <c r="L20" s="25">
        <f t="shared" si="0"/>
        <v>1430720.5587271077</v>
      </c>
      <c r="M20" s="26">
        <f t="shared" si="1"/>
        <v>6452.5136626411149</v>
      </c>
      <c r="N20" s="25">
        <f>B$5*Tbl_Loan1[[#This Row],[Initial debt]]</f>
        <v>2538.4560400055075</v>
      </c>
      <c r="O20" s="25">
        <f>Tbl_Loan1[[#This Row],[Annuity]]-Tbl_Loan1[[#This Row],[Interest amount]]</f>
        <v>3914.0576226356075</v>
      </c>
      <c r="P20" s="25">
        <f>Tbl_Loan1[[#This Row],[Initial debt]]-Tbl_Loan1[[#This Row],[Redemption amount]]</f>
        <v>1426806.5011044722</v>
      </c>
    </row>
    <row r="21" spans="2:16" x14ac:dyDescent="0.25">
      <c r="D21" t="str">
        <f>_xlfn.CONCAT(Tbl_Loan1[[#This Row],[Maandnummer ]],Tbl_Loan1[[#This Row],[Year]])</f>
        <v>82012</v>
      </c>
      <c r="E21" s="23">
        <f t="shared" si="2"/>
        <v>20</v>
      </c>
      <c r="F21" s="28">
        <v>41146</v>
      </c>
      <c r="G21" s="23">
        <f>MONTH(Tbl_Loan1[[#This Row],[Payment date]])</f>
        <v>8</v>
      </c>
      <c r="H21" s="23" t="str">
        <f>VLOOKUP(Tbl_Loan1[[#This Row],[Maandnummer ]],Tbl_Months[],2,FALSE)</f>
        <v>August</v>
      </c>
      <c r="I21" s="23" t="str">
        <f>VLOOKUP(Tbl_Loan1[[#This Row],[Maandnummer ]],Tbl_Months[],3,FALSE)</f>
        <v>III</v>
      </c>
      <c r="J21" s="23">
        <f>YEAR(Tbl_Loan1[[#This Row],[Payment date]])</f>
        <v>2012</v>
      </c>
      <c r="K21" s="23" t="str">
        <f>_xlfn.CONCAT(Tbl_Loan1[[#This Row],[Year]],Tbl_Loan1[[#This Row],[Quarter]])</f>
        <v>2012III</v>
      </c>
      <c r="L21" s="25">
        <f t="shared" si="0"/>
        <v>1426806.5011044722</v>
      </c>
      <c r="M21" s="26">
        <f t="shared" si="1"/>
        <v>6452.5136626411149</v>
      </c>
      <c r="N21" s="25">
        <f>B$5*Tbl_Loan1[[#This Row],[Initial debt]]</f>
        <v>2531.5115230259312</v>
      </c>
      <c r="O21" s="25">
        <f>Tbl_Loan1[[#This Row],[Annuity]]-Tbl_Loan1[[#This Row],[Interest amount]]</f>
        <v>3921.0021396151838</v>
      </c>
      <c r="P21" s="25">
        <f>Tbl_Loan1[[#This Row],[Initial debt]]-Tbl_Loan1[[#This Row],[Redemption amount]]</f>
        <v>1422885.4989648571</v>
      </c>
    </row>
    <row r="22" spans="2:16" x14ac:dyDescent="0.25">
      <c r="D22" t="str">
        <f>_xlfn.CONCAT(Tbl_Loan1[[#This Row],[Maandnummer ]],Tbl_Loan1[[#This Row],[Year]])</f>
        <v>92012</v>
      </c>
      <c r="E22" s="23">
        <f t="shared" si="2"/>
        <v>21</v>
      </c>
      <c r="F22" s="28">
        <v>41177</v>
      </c>
      <c r="G22" s="23">
        <f>MONTH(Tbl_Loan1[[#This Row],[Payment date]])</f>
        <v>9</v>
      </c>
      <c r="H22" s="23" t="str">
        <f>VLOOKUP(Tbl_Loan1[[#This Row],[Maandnummer ]],Tbl_Months[],2,FALSE)</f>
        <v>September</v>
      </c>
      <c r="I22" s="23" t="str">
        <f>VLOOKUP(Tbl_Loan1[[#This Row],[Maandnummer ]],Tbl_Months[],3,FALSE)</f>
        <v>III</v>
      </c>
      <c r="J22" s="23">
        <f>YEAR(Tbl_Loan1[[#This Row],[Payment date]])</f>
        <v>2012</v>
      </c>
      <c r="K22" s="23" t="str">
        <f>_xlfn.CONCAT(Tbl_Loan1[[#This Row],[Year]],Tbl_Loan1[[#This Row],[Quarter]])</f>
        <v>2012III</v>
      </c>
      <c r="L22" s="25">
        <f t="shared" si="0"/>
        <v>1422885.4989648571</v>
      </c>
      <c r="M22" s="26">
        <f t="shared" si="1"/>
        <v>6452.5136626411149</v>
      </c>
      <c r="N22" s="25">
        <f>B$5*Tbl_Loan1[[#This Row],[Initial debt]]</f>
        <v>2524.5546847366741</v>
      </c>
      <c r="O22" s="25">
        <f>Tbl_Loan1[[#This Row],[Annuity]]-Tbl_Loan1[[#This Row],[Interest amount]]</f>
        <v>3927.9589779044409</v>
      </c>
      <c r="P22" s="25">
        <f>Tbl_Loan1[[#This Row],[Initial debt]]-Tbl_Loan1[[#This Row],[Redemption amount]]</f>
        <v>1418957.5399869527</v>
      </c>
    </row>
    <row r="23" spans="2:16" x14ac:dyDescent="0.25">
      <c r="D23" t="str">
        <f>_xlfn.CONCAT(Tbl_Loan1[[#This Row],[Maandnummer ]],Tbl_Loan1[[#This Row],[Year]])</f>
        <v>102012</v>
      </c>
      <c r="E23" s="23">
        <f t="shared" si="2"/>
        <v>22</v>
      </c>
      <c r="F23" s="28">
        <v>41207</v>
      </c>
      <c r="G23" s="23">
        <f>MONTH(Tbl_Loan1[[#This Row],[Payment date]])</f>
        <v>10</v>
      </c>
      <c r="H23" s="23" t="str">
        <f>VLOOKUP(Tbl_Loan1[[#This Row],[Maandnummer ]],Tbl_Months[],2,FALSE)</f>
        <v>October</v>
      </c>
      <c r="I23" s="23" t="str">
        <f>VLOOKUP(Tbl_Loan1[[#This Row],[Maandnummer ]],Tbl_Months[],3,FALSE)</f>
        <v>IV</v>
      </c>
      <c r="J23" s="23">
        <f>YEAR(Tbl_Loan1[[#This Row],[Payment date]])</f>
        <v>2012</v>
      </c>
      <c r="K23" s="23" t="str">
        <f>_xlfn.CONCAT(Tbl_Loan1[[#This Row],[Year]],Tbl_Loan1[[#This Row],[Quarter]])</f>
        <v>2012IV</v>
      </c>
      <c r="L23" s="25">
        <f t="shared" si="0"/>
        <v>1418957.5399869527</v>
      </c>
      <c r="M23" s="26">
        <f t="shared" si="1"/>
        <v>6452.5136626411149</v>
      </c>
      <c r="N23" s="25">
        <f>B$5*Tbl_Loan1[[#This Row],[Initial debt]]</f>
        <v>2517.5855032766503</v>
      </c>
      <c r="O23" s="25">
        <f>Tbl_Loan1[[#This Row],[Annuity]]-Tbl_Loan1[[#This Row],[Interest amount]]</f>
        <v>3934.9281593644646</v>
      </c>
      <c r="P23" s="25">
        <f>Tbl_Loan1[[#This Row],[Initial debt]]-Tbl_Loan1[[#This Row],[Redemption amount]]</f>
        <v>1415022.6118275882</v>
      </c>
    </row>
    <row r="24" spans="2:16" x14ac:dyDescent="0.25">
      <c r="D24" t="str">
        <f>_xlfn.CONCAT(Tbl_Loan1[[#This Row],[Maandnummer ]],Tbl_Loan1[[#This Row],[Year]])</f>
        <v>112012</v>
      </c>
      <c r="E24" s="23">
        <f t="shared" si="2"/>
        <v>23</v>
      </c>
      <c r="F24" s="28">
        <v>41238</v>
      </c>
      <c r="G24" s="23">
        <f>MONTH(Tbl_Loan1[[#This Row],[Payment date]])</f>
        <v>11</v>
      </c>
      <c r="H24" s="23" t="str">
        <f>VLOOKUP(Tbl_Loan1[[#This Row],[Maandnummer ]],Tbl_Months[],2,FALSE)</f>
        <v>November</v>
      </c>
      <c r="I24" s="23" t="str">
        <f>VLOOKUP(Tbl_Loan1[[#This Row],[Maandnummer ]],Tbl_Months[],3,FALSE)</f>
        <v>IV</v>
      </c>
      <c r="J24" s="23">
        <f>YEAR(Tbl_Loan1[[#This Row],[Payment date]])</f>
        <v>2012</v>
      </c>
      <c r="K24" s="23" t="str">
        <f>_xlfn.CONCAT(Tbl_Loan1[[#This Row],[Year]],Tbl_Loan1[[#This Row],[Quarter]])</f>
        <v>2012IV</v>
      </c>
      <c r="L24" s="25">
        <f t="shared" si="0"/>
        <v>1415022.6118275882</v>
      </c>
      <c r="M24" s="26">
        <f t="shared" si="1"/>
        <v>6452.5136626411149</v>
      </c>
      <c r="N24" s="25">
        <f>B$5*Tbl_Loan1[[#This Row],[Initial debt]]</f>
        <v>2510.6039567459898</v>
      </c>
      <c r="O24" s="25">
        <f>Tbl_Loan1[[#This Row],[Annuity]]-Tbl_Loan1[[#This Row],[Interest amount]]</f>
        <v>3941.9097058951252</v>
      </c>
      <c r="P24" s="25">
        <f>Tbl_Loan1[[#This Row],[Initial debt]]-Tbl_Loan1[[#This Row],[Redemption amount]]</f>
        <v>1411080.7021216929</v>
      </c>
    </row>
    <row r="25" spans="2:16" x14ac:dyDescent="0.25">
      <c r="D25" t="str">
        <f>_xlfn.CONCAT(Tbl_Loan1[[#This Row],[Maandnummer ]],Tbl_Loan1[[#This Row],[Year]])</f>
        <v>122012</v>
      </c>
      <c r="E25" s="23">
        <f t="shared" si="2"/>
        <v>24</v>
      </c>
      <c r="F25" s="28">
        <v>41268</v>
      </c>
      <c r="G25" s="23">
        <f>MONTH(Tbl_Loan1[[#This Row],[Payment date]])</f>
        <v>12</v>
      </c>
      <c r="H25" s="23" t="str">
        <f>VLOOKUP(Tbl_Loan1[[#This Row],[Maandnummer ]],Tbl_Months[],2,FALSE)</f>
        <v>December</v>
      </c>
      <c r="I25" s="23" t="str">
        <f>VLOOKUP(Tbl_Loan1[[#This Row],[Maandnummer ]],Tbl_Months[],3,FALSE)</f>
        <v>IV</v>
      </c>
      <c r="J25" s="23">
        <f>YEAR(Tbl_Loan1[[#This Row],[Payment date]])</f>
        <v>2012</v>
      </c>
      <c r="K25" s="23" t="str">
        <f>_xlfn.CONCAT(Tbl_Loan1[[#This Row],[Year]],Tbl_Loan1[[#This Row],[Quarter]])</f>
        <v>2012IV</v>
      </c>
      <c r="L25" s="25">
        <f t="shared" si="0"/>
        <v>1411080.7021216929</v>
      </c>
      <c r="M25" s="26">
        <f t="shared" si="1"/>
        <v>6452.5136626411149</v>
      </c>
      <c r="N25" s="25">
        <f>B$5*Tbl_Loan1[[#This Row],[Initial debt]]</f>
        <v>2503.6100232059639</v>
      </c>
      <c r="O25" s="25">
        <f>Tbl_Loan1[[#This Row],[Annuity]]-Tbl_Loan1[[#This Row],[Interest amount]]</f>
        <v>3948.903639435151</v>
      </c>
      <c r="P25" s="25">
        <f>Tbl_Loan1[[#This Row],[Initial debt]]-Tbl_Loan1[[#This Row],[Redemption amount]]</f>
        <v>1407131.7984822579</v>
      </c>
    </row>
    <row r="26" spans="2:16" x14ac:dyDescent="0.25">
      <c r="D26" t="str">
        <f>_xlfn.CONCAT(Tbl_Loan1[[#This Row],[Maandnummer ]],Tbl_Loan1[[#This Row],[Year]])</f>
        <v>12013</v>
      </c>
      <c r="E26" s="23">
        <f t="shared" si="2"/>
        <v>25</v>
      </c>
      <c r="F26" s="28">
        <v>41299</v>
      </c>
      <c r="G26" s="23">
        <f>MONTH(Tbl_Loan1[[#This Row],[Payment date]])</f>
        <v>1</v>
      </c>
      <c r="H26" s="23" t="str">
        <f>VLOOKUP(Tbl_Loan1[[#This Row],[Maandnummer ]],Tbl_Months[],2,FALSE)</f>
        <v>January</v>
      </c>
      <c r="I26" s="23" t="str">
        <f>VLOOKUP(Tbl_Loan1[[#This Row],[Maandnummer ]],Tbl_Months[],3,FALSE)</f>
        <v>I</v>
      </c>
      <c r="J26" s="23">
        <f>YEAR(Tbl_Loan1[[#This Row],[Payment date]])</f>
        <v>2013</v>
      </c>
      <c r="K26" s="23" t="str">
        <f>_xlfn.CONCAT(Tbl_Loan1[[#This Row],[Year]],Tbl_Loan1[[#This Row],[Quarter]])</f>
        <v>2013I</v>
      </c>
      <c r="L26" s="25">
        <f t="shared" si="0"/>
        <v>1407131.7984822579</v>
      </c>
      <c r="M26" s="26">
        <f t="shared" si="1"/>
        <v>6452.5136626411149</v>
      </c>
      <c r="N26" s="25">
        <f>B$5*Tbl_Loan1[[#This Row],[Initial debt]]</f>
        <v>2496.6036806789211</v>
      </c>
      <c r="O26" s="25">
        <f>Tbl_Loan1[[#This Row],[Annuity]]-Tbl_Loan1[[#This Row],[Interest amount]]</f>
        <v>3955.9099819621938</v>
      </c>
      <c r="P26" s="25">
        <f>Tbl_Loan1[[#This Row],[Initial debt]]-Tbl_Loan1[[#This Row],[Redemption amount]]</f>
        <v>1403175.8885002956</v>
      </c>
    </row>
    <row r="27" spans="2:16" x14ac:dyDescent="0.25">
      <c r="D27" t="str">
        <f>_xlfn.CONCAT(Tbl_Loan1[[#This Row],[Maandnummer ]],Tbl_Loan1[[#This Row],[Year]])</f>
        <v>22013</v>
      </c>
      <c r="E27" s="23">
        <f t="shared" si="2"/>
        <v>26</v>
      </c>
      <c r="F27" s="28">
        <v>41330</v>
      </c>
      <c r="G27" s="23">
        <f>MONTH(Tbl_Loan1[[#This Row],[Payment date]])</f>
        <v>2</v>
      </c>
      <c r="H27" s="23" t="str">
        <f>VLOOKUP(Tbl_Loan1[[#This Row],[Maandnummer ]],Tbl_Months[],2,FALSE)</f>
        <v>February</v>
      </c>
      <c r="I27" s="23" t="str">
        <f>VLOOKUP(Tbl_Loan1[[#This Row],[Maandnummer ]],Tbl_Months[],3,FALSE)</f>
        <v>I</v>
      </c>
      <c r="J27" s="23">
        <f>YEAR(Tbl_Loan1[[#This Row],[Payment date]])</f>
        <v>2013</v>
      </c>
      <c r="K27" s="23" t="str">
        <f>_xlfn.CONCAT(Tbl_Loan1[[#This Row],[Year]],Tbl_Loan1[[#This Row],[Quarter]])</f>
        <v>2013I</v>
      </c>
      <c r="L27" s="25">
        <f t="shared" si="0"/>
        <v>1403175.8885002956</v>
      </c>
      <c r="M27" s="26">
        <f t="shared" si="1"/>
        <v>6452.5136626411149</v>
      </c>
      <c r="N27" s="25">
        <f>B$5*Tbl_Loan1[[#This Row],[Initial debt]]</f>
        <v>2489.5849071482157</v>
      </c>
      <c r="O27" s="25">
        <f>Tbl_Loan1[[#This Row],[Annuity]]-Tbl_Loan1[[#This Row],[Interest amount]]</f>
        <v>3962.9287554928992</v>
      </c>
      <c r="P27" s="25">
        <f>Tbl_Loan1[[#This Row],[Initial debt]]-Tbl_Loan1[[#This Row],[Redemption amount]]</f>
        <v>1399212.9597448027</v>
      </c>
    </row>
    <row r="28" spans="2:16" x14ac:dyDescent="0.25">
      <c r="D28" t="str">
        <f>_xlfn.CONCAT(Tbl_Loan1[[#This Row],[Maandnummer ]],Tbl_Loan1[[#This Row],[Year]])</f>
        <v>32013</v>
      </c>
      <c r="E28" s="23">
        <f t="shared" si="2"/>
        <v>27</v>
      </c>
      <c r="F28" s="28">
        <v>41358</v>
      </c>
      <c r="G28" s="23">
        <f>MONTH(Tbl_Loan1[[#This Row],[Payment date]])</f>
        <v>3</v>
      </c>
      <c r="H28" s="23" t="str">
        <f>VLOOKUP(Tbl_Loan1[[#This Row],[Maandnummer ]],Tbl_Months[],2,FALSE)</f>
        <v>March</v>
      </c>
      <c r="I28" s="23" t="str">
        <f>VLOOKUP(Tbl_Loan1[[#This Row],[Maandnummer ]],Tbl_Months[],3,FALSE)</f>
        <v>I</v>
      </c>
      <c r="J28" s="23">
        <f>YEAR(Tbl_Loan1[[#This Row],[Payment date]])</f>
        <v>2013</v>
      </c>
      <c r="K28" s="23" t="str">
        <f>_xlfn.CONCAT(Tbl_Loan1[[#This Row],[Year]],Tbl_Loan1[[#This Row],[Quarter]])</f>
        <v>2013I</v>
      </c>
      <c r="L28" s="25">
        <f t="shared" si="0"/>
        <v>1399212.9597448027</v>
      </c>
      <c r="M28" s="26">
        <f t="shared" si="1"/>
        <v>6452.5136626411149</v>
      </c>
      <c r="N28" s="25">
        <f>B$5*Tbl_Loan1[[#This Row],[Initial debt]]</f>
        <v>2482.5536805581382</v>
      </c>
      <c r="O28" s="25">
        <f>Tbl_Loan1[[#This Row],[Annuity]]-Tbl_Loan1[[#This Row],[Interest amount]]</f>
        <v>3969.9599820829767</v>
      </c>
      <c r="P28" s="25">
        <f>Tbl_Loan1[[#This Row],[Initial debt]]-Tbl_Loan1[[#This Row],[Redemption amount]]</f>
        <v>1395242.9997627197</v>
      </c>
    </row>
    <row r="29" spans="2:16" x14ac:dyDescent="0.25">
      <c r="D29" t="str">
        <f>_xlfn.CONCAT(Tbl_Loan1[[#This Row],[Maandnummer ]],Tbl_Loan1[[#This Row],[Year]])</f>
        <v>42013</v>
      </c>
      <c r="E29" s="23">
        <f t="shared" si="2"/>
        <v>28</v>
      </c>
      <c r="F29" s="28">
        <v>41389</v>
      </c>
      <c r="G29" s="23">
        <f>MONTH(Tbl_Loan1[[#This Row],[Payment date]])</f>
        <v>4</v>
      </c>
      <c r="H29" s="23" t="str">
        <f>VLOOKUP(Tbl_Loan1[[#This Row],[Maandnummer ]],Tbl_Months[],2,FALSE)</f>
        <v>April</v>
      </c>
      <c r="I29" s="23" t="str">
        <f>VLOOKUP(Tbl_Loan1[[#This Row],[Maandnummer ]],Tbl_Months[],3,FALSE)</f>
        <v>II</v>
      </c>
      <c r="J29" s="23">
        <f>YEAR(Tbl_Loan1[[#This Row],[Payment date]])</f>
        <v>2013</v>
      </c>
      <c r="K29" s="23" t="str">
        <f>_xlfn.CONCAT(Tbl_Loan1[[#This Row],[Year]],Tbl_Loan1[[#This Row],[Quarter]])</f>
        <v>2013II</v>
      </c>
      <c r="L29" s="25">
        <f t="shared" si="0"/>
        <v>1395242.9997627197</v>
      </c>
      <c r="M29" s="26">
        <f t="shared" si="1"/>
        <v>6452.5136626411149</v>
      </c>
      <c r="N29" s="25">
        <f>B$5*Tbl_Loan1[[#This Row],[Initial debt]]</f>
        <v>2475.5099788138473</v>
      </c>
      <c r="O29" s="25">
        <f>Tbl_Loan1[[#This Row],[Annuity]]-Tbl_Loan1[[#This Row],[Interest amount]]</f>
        <v>3977.0036838272677</v>
      </c>
      <c r="P29" s="25">
        <f>Tbl_Loan1[[#This Row],[Initial debt]]-Tbl_Loan1[[#This Row],[Redemption amount]]</f>
        <v>1391265.9960788924</v>
      </c>
    </row>
    <row r="30" spans="2:16" x14ac:dyDescent="0.25">
      <c r="D30" t="str">
        <f>_xlfn.CONCAT(Tbl_Loan1[[#This Row],[Maandnummer ]],Tbl_Loan1[[#This Row],[Year]])</f>
        <v>52013</v>
      </c>
      <c r="E30" s="23">
        <f t="shared" si="2"/>
        <v>29</v>
      </c>
      <c r="F30" s="28">
        <v>41419</v>
      </c>
      <c r="G30" s="23">
        <f>MONTH(Tbl_Loan1[[#This Row],[Payment date]])</f>
        <v>5</v>
      </c>
      <c r="H30" s="23" t="str">
        <f>VLOOKUP(Tbl_Loan1[[#This Row],[Maandnummer ]],Tbl_Months[],2,FALSE)</f>
        <v>May</v>
      </c>
      <c r="I30" s="23" t="str">
        <f>VLOOKUP(Tbl_Loan1[[#This Row],[Maandnummer ]],Tbl_Months[],3,FALSE)</f>
        <v>II</v>
      </c>
      <c r="J30" s="23">
        <f>YEAR(Tbl_Loan1[[#This Row],[Payment date]])</f>
        <v>2013</v>
      </c>
      <c r="K30" s="23" t="str">
        <f>_xlfn.CONCAT(Tbl_Loan1[[#This Row],[Year]],Tbl_Loan1[[#This Row],[Quarter]])</f>
        <v>2013II</v>
      </c>
      <c r="L30" s="25">
        <f t="shared" si="0"/>
        <v>1391265.9960788924</v>
      </c>
      <c r="M30" s="26">
        <f t="shared" si="1"/>
        <v>6452.5136626411149</v>
      </c>
      <c r="N30" s="25">
        <f>B$5*Tbl_Loan1[[#This Row],[Initial debt]]</f>
        <v>2468.4537797813005</v>
      </c>
      <c r="O30" s="25">
        <f>Tbl_Loan1[[#This Row],[Annuity]]-Tbl_Loan1[[#This Row],[Interest amount]]</f>
        <v>3984.0598828598145</v>
      </c>
      <c r="P30" s="25">
        <f>Tbl_Loan1[[#This Row],[Initial debt]]-Tbl_Loan1[[#This Row],[Redemption amount]]</f>
        <v>1387281.9361960327</v>
      </c>
    </row>
    <row r="31" spans="2:16" x14ac:dyDescent="0.25">
      <c r="D31" t="str">
        <f>_xlfn.CONCAT(Tbl_Loan1[[#This Row],[Maandnummer ]],Tbl_Loan1[[#This Row],[Year]])</f>
        <v>62013</v>
      </c>
      <c r="E31" s="23">
        <f t="shared" si="2"/>
        <v>30</v>
      </c>
      <c r="F31" s="28">
        <v>41450</v>
      </c>
      <c r="G31" s="23">
        <f>MONTH(Tbl_Loan1[[#This Row],[Payment date]])</f>
        <v>6</v>
      </c>
      <c r="H31" s="23" t="str">
        <f>VLOOKUP(Tbl_Loan1[[#This Row],[Maandnummer ]],Tbl_Months[],2,FALSE)</f>
        <v>June</v>
      </c>
      <c r="I31" s="23" t="str">
        <f>VLOOKUP(Tbl_Loan1[[#This Row],[Maandnummer ]],Tbl_Months[],3,FALSE)</f>
        <v>II</v>
      </c>
      <c r="J31" s="23">
        <f>YEAR(Tbl_Loan1[[#This Row],[Payment date]])</f>
        <v>2013</v>
      </c>
      <c r="K31" s="23" t="str">
        <f>_xlfn.CONCAT(Tbl_Loan1[[#This Row],[Year]],Tbl_Loan1[[#This Row],[Quarter]])</f>
        <v>2013II</v>
      </c>
      <c r="L31" s="25">
        <f t="shared" si="0"/>
        <v>1387281.9361960327</v>
      </c>
      <c r="M31" s="26">
        <f t="shared" si="1"/>
        <v>6452.5136626411149</v>
      </c>
      <c r="N31" s="25">
        <f>B$5*Tbl_Loan1[[#This Row],[Initial debt]]</f>
        <v>2461.3850612871825</v>
      </c>
      <c r="O31" s="25">
        <f>Tbl_Loan1[[#This Row],[Annuity]]-Tbl_Loan1[[#This Row],[Interest amount]]</f>
        <v>3991.1286013539325</v>
      </c>
      <c r="P31" s="25">
        <f>Tbl_Loan1[[#This Row],[Initial debt]]-Tbl_Loan1[[#This Row],[Redemption amount]]</f>
        <v>1383290.8075946788</v>
      </c>
    </row>
    <row r="32" spans="2:16" x14ac:dyDescent="0.25">
      <c r="D32" t="str">
        <f>_xlfn.CONCAT(Tbl_Loan1[[#This Row],[Maandnummer ]],Tbl_Loan1[[#This Row],[Year]])</f>
        <v>72013</v>
      </c>
      <c r="E32" s="23">
        <f t="shared" si="2"/>
        <v>31</v>
      </c>
      <c r="F32" s="28">
        <v>41480</v>
      </c>
      <c r="G32" s="23">
        <f>MONTH(Tbl_Loan1[[#This Row],[Payment date]])</f>
        <v>7</v>
      </c>
      <c r="H32" s="23" t="str">
        <f>VLOOKUP(Tbl_Loan1[[#This Row],[Maandnummer ]],Tbl_Months[],2,FALSE)</f>
        <v>July</v>
      </c>
      <c r="I32" s="23" t="str">
        <f>VLOOKUP(Tbl_Loan1[[#This Row],[Maandnummer ]],Tbl_Months[],3,FALSE)</f>
        <v>III</v>
      </c>
      <c r="J32" s="23">
        <f>YEAR(Tbl_Loan1[[#This Row],[Payment date]])</f>
        <v>2013</v>
      </c>
      <c r="K32" s="23" t="str">
        <f>_xlfn.CONCAT(Tbl_Loan1[[#This Row],[Year]],Tbl_Loan1[[#This Row],[Quarter]])</f>
        <v>2013III</v>
      </c>
      <c r="L32" s="25">
        <f t="shared" si="0"/>
        <v>1383290.8075946788</v>
      </c>
      <c r="M32" s="26">
        <f t="shared" si="1"/>
        <v>6452.5136626411149</v>
      </c>
      <c r="N32" s="25">
        <f>B$5*Tbl_Loan1[[#This Row],[Initial debt]]</f>
        <v>2454.3038011188382</v>
      </c>
      <c r="O32" s="25">
        <f>Tbl_Loan1[[#This Row],[Annuity]]-Tbl_Loan1[[#This Row],[Interest amount]]</f>
        <v>3998.2098615222767</v>
      </c>
      <c r="P32" s="25">
        <f>Tbl_Loan1[[#This Row],[Initial debt]]-Tbl_Loan1[[#This Row],[Redemption amount]]</f>
        <v>1379292.5977331565</v>
      </c>
    </row>
    <row r="33" spans="4:16" x14ac:dyDescent="0.25">
      <c r="D33" t="str">
        <f>_xlfn.CONCAT(Tbl_Loan1[[#This Row],[Maandnummer ]],Tbl_Loan1[[#This Row],[Year]])</f>
        <v>82013</v>
      </c>
      <c r="E33" s="23">
        <f t="shared" si="2"/>
        <v>32</v>
      </c>
      <c r="F33" s="28">
        <v>41511</v>
      </c>
      <c r="G33" s="23">
        <f>MONTH(Tbl_Loan1[[#This Row],[Payment date]])</f>
        <v>8</v>
      </c>
      <c r="H33" s="23" t="str">
        <f>VLOOKUP(Tbl_Loan1[[#This Row],[Maandnummer ]],Tbl_Months[],2,FALSE)</f>
        <v>August</v>
      </c>
      <c r="I33" s="23" t="str">
        <f>VLOOKUP(Tbl_Loan1[[#This Row],[Maandnummer ]],Tbl_Months[],3,FALSE)</f>
        <v>III</v>
      </c>
      <c r="J33" s="23">
        <f>YEAR(Tbl_Loan1[[#This Row],[Payment date]])</f>
        <v>2013</v>
      </c>
      <c r="K33" s="23" t="str">
        <f>_xlfn.CONCAT(Tbl_Loan1[[#This Row],[Year]],Tbl_Loan1[[#This Row],[Quarter]])</f>
        <v>2013III</v>
      </c>
      <c r="L33" s="25">
        <f t="shared" si="0"/>
        <v>1379292.5977331565</v>
      </c>
      <c r="M33" s="26">
        <f t="shared" si="1"/>
        <v>6452.5136626411149</v>
      </c>
      <c r="N33" s="25">
        <f>B$5*Tbl_Loan1[[#This Row],[Initial debt]]</f>
        <v>2447.2099770242012</v>
      </c>
      <c r="O33" s="25">
        <f>Tbl_Loan1[[#This Row],[Annuity]]-Tbl_Loan1[[#This Row],[Interest amount]]</f>
        <v>4005.3036856169138</v>
      </c>
      <c r="P33" s="25">
        <f>Tbl_Loan1[[#This Row],[Initial debt]]-Tbl_Loan1[[#This Row],[Redemption amount]]</f>
        <v>1375287.2940475396</v>
      </c>
    </row>
    <row r="34" spans="4:16" x14ac:dyDescent="0.25">
      <c r="D34" t="str">
        <f>_xlfn.CONCAT(Tbl_Loan1[[#This Row],[Maandnummer ]],Tbl_Loan1[[#This Row],[Year]])</f>
        <v>92013</v>
      </c>
      <c r="E34" s="23">
        <f t="shared" si="2"/>
        <v>33</v>
      </c>
      <c r="F34" s="28">
        <v>41542</v>
      </c>
      <c r="G34" s="23">
        <f>MONTH(Tbl_Loan1[[#This Row],[Payment date]])</f>
        <v>9</v>
      </c>
      <c r="H34" s="23" t="str">
        <f>VLOOKUP(Tbl_Loan1[[#This Row],[Maandnummer ]],Tbl_Months[],2,FALSE)</f>
        <v>September</v>
      </c>
      <c r="I34" s="23" t="str">
        <f>VLOOKUP(Tbl_Loan1[[#This Row],[Maandnummer ]],Tbl_Months[],3,FALSE)</f>
        <v>III</v>
      </c>
      <c r="J34" s="23">
        <f>YEAR(Tbl_Loan1[[#This Row],[Payment date]])</f>
        <v>2013</v>
      </c>
      <c r="K34" s="23" t="str">
        <f>_xlfn.CONCAT(Tbl_Loan1[[#This Row],[Year]],Tbl_Loan1[[#This Row],[Quarter]])</f>
        <v>2013III</v>
      </c>
      <c r="L34" s="25">
        <f t="shared" si="0"/>
        <v>1375287.2940475396</v>
      </c>
      <c r="M34" s="26">
        <f t="shared" si="1"/>
        <v>6452.5136626411149</v>
      </c>
      <c r="N34" s="25">
        <f>B$5*Tbl_Loan1[[#This Row],[Initial debt]]</f>
        <v>2440.1035667117249</v>
      </c>
      <c r="O34" s="25">
        <f>Tbl_Loan1[[#This Row],[Annuity]]-Tbl_Loan1[[#This Row],[Interest amount]]</f>
        <v>4012.4100959293901</v>
      </c>
      <c r="P34" s="25">
        <f>Tbl_Loan1[[#This Row],[Initial debt]]-Tbl_Loan1[[#This Row],[Redemption amount]]</f>
        <v>1371274.8839516102</v>
      </c>
    </row>
    <row r="35" spans="4:16" x14ac:dyDescent="0.25">
      <c r="D35" t="str">
        <f>_xlfn.CONCAT(Tbl_Loan1[[#This Row],[Maandnummer ]],Tbl_Loan1[[#This Row],[Year]])</f>
        <v>102013</v>
      </c>
      <c r="E35" s="23">
        <f t="shared" si="2"/>
        <v>34</v>
      </c>
      <c r="F35" s="28">
        <v>41572</v>
      </c>
      <c r="G35" s="23">
        <f>MONTH(Tbl_Loan1[[#This Row],[Payment date]])</f>
        <v>10</v>
      </c>
      <c r="H35" s="23" t="str">
        <f>VLOOKUP(Tbl_Loan1[[#This Row],[Maandnummer ]],Tbl_Months[],2,FALSE)</f>
        <v>October</v>
      </c>
      <c r="I35" s="23" t="str">
        <f>VLOOKUP(Tbl_Loan1[[#This Row],[Maandnummer ]],Tbl_Months[],3,FALSE)</f>
        <v>IV</v>
      </c>
      <c r="J35" s="23">
        <f>YEAR(Tbl_Loan1[[#This Row],[Payment date]])</f>
        <v>2013</v>
      </c>
      <c r="K35" s="23" t="str">
        <f>_xlfn.CONCAT(Tbl_Loan1[[#This Row],[Year]],Tbl_Loan1[[#This Row],[Quarter]])</f>
        <v>2013IV</v>
      </c>
      <c r="L35" s="25">
        <f t="shared" si="0"/>
        <v>1371274.8839516102</v>
      </c>
      <c r="M35" s="26">
        <f t="shared" si="1"/>
        <v>6452.5136626411149</v>
      </c>
      <c r="N35" s="25">
        <f>B$5*Tbl_Loan1[[#This Row],[Initial debt]]</f>
        <v>2432.9845478503107</v>
      </c>
      <c r="O35" s="25">
        <f>Tbl_Loan1[[#This Row],[Annuity]]-Tbl_Loan1[[#This Row],[Interest amount]]</f>
        <v>4019.5291147908042</v>
      </c>
      <c r="P35" s="25">
        <f>Tbl_Loan1[[#This Row],[Initial debt]]-Tbl_Loan1[[#This Row],[Redemption amount]]</f>
        <v>1367255.3548368195</v>
      </c>
    </row>
    <row r="36" spans="4:16" x14ac:dyDescent="0.25">
      <c r="D36" t="str">
        <f>_xlfn.CONCAT(Tbl_Loan1[[#This Row],[Maandnummer ]],Tbl_Loan1[[#This Row],[Year]])</f>
        <v>112013</v>
      </c>
      <c r="E36" s="23">
        <f t="shared" si="2"/>
        <v>35</v>
      </c>
      <c r="F36" s="28">
        <v>41603</v>
      </c>
      <c r="G36" s="23">
        <f>MONTH(Tbl_Loan1[[#This Row],[Payment date]])</f>
        <v>11</v>
      </c>
      <c r="H36" s="23" t="str">
        <f>VLOOKUP(Tbl_Loan1[[#This Row],[Maandnummer ]],Tbl_Months[],2,FALSE)</f>
        <v>November</v>
      </c>
      <c r="I36" s="23" t="str">
        <f>VLOOKUP(Tbl_Loan1[[#This Row],[Maandnummer ]],Tbl_Months[],3,FALSE)</f>
        <v>IV</v>
      </c>
      <c r="J36" s="23">
        <f>YEAR(Tbl_Loan1[[#This Row],[Payment date]])</f>
        <v>2013</v>
      </c>
      <c r="K36" s="23" t="str">
        <f>_xlfn.CONCAT(Tbl_Loan1[[#This Row],[Year]],Tbl_Loan1[[#This Row],[Quarter]])</f>
        <v>2013IV</v>
      </c>
      <c r="L36" s="25">
        <f t="shared" si="0"/>
        <v>1367255.3548368195</v>
      </c>
      <c r="M36" s="26">
        <f t="shared" si="1"/>
        <v>6452.5136626411149</v>
      </c>
      <c r="N36" s="25">
        <f>B$5*Tbl_Loan1[[#This Row],[Initial debt]]</f>
        <v>2425.8528980692408</v>
      </c>
      <c r="O36" s="25">
        <f>Tbl_Loan1[[#This Row],[Annuity]]-Tbl_Loan1[[#This Row],[Interest amount]]</f>
        <v>4026.6607645718741</v>
      </c>
      <c r="P36" s="25">
        <f>Tbl_Loan1[[#This Row],[Initial debt]]-Tbl_Loan1[[#This Row],[Redemption amount]]</f>
        <v>1363228.6940722475</v>
      </c>
    </row>
    <row r="37" spans="4:16" x14ac:dyDescent="0.25">
      <c r="D37" t="str">
        <f>_xlfn.CONCAT(Tbl_Loan1[[#This Row],[Maandnummer ]],Tbl_Loan1[[#This Row],[Year]])</f>
        <v>122013</v>
      </c>
      <c r="E37" s="23">
        <f t="shared" si="2"/>
        <v>36</v>
      </c>
      <c r="F37" s="28">
        <v>41633</v>
      </c>
      <c r="G37" s="23">
        <f>MONTH(Tbl_Loan1[[#This Row],[Payment date]])</f>
        <v>12</v>
      </c>
      <c r="H37" s="23" t="str">
        <f>VLOOKUP(Tbl_Loan1[[#This Row],[Maandnummer ]],Tbl_Months[],2,FALSE)</f>
        <v>December</v>
      </c>
      <c r="I37" s="23" t="str">
        <f>VLOOKUP(Tbl_Loan1[[#This Row],[Maandnummer ]],Tbl_Months[],3,FALSE)</f>
        <v>IV</v>
      </c>
      <c r="J37" s="23">
        <f>YEAR(Tbl_Loan1[[#This Row],[Payment date]])</f>
        <v>2013</v>
      </c>
      <c r="K37" s="23" t="str">
        <f>_xlfn.CONCAT(Tbl_Loan1[[#This Row],[Year]],Tbl_Loan1[[#This Row],[Quarter]])</f>
        <v>2013IV</v>
      </c>
      <c r="L37" s="25">
        <f t="shared" si="0"/>
        <v>1363228.6940722475</v>
      </c>
      <c r="M37" s="26">
        <f t="shared" si="1"/>
        <v>6452.5136626411149</v>
      </c>
      <c r="N37" s="25">
        <f>B$5*Tbl_Loan1[[#This Row],[Initial debt]]</f>
        <v>2418.7085949581042</v>
      </c>
      <c r="O37" s="25">
        <f>Tbl_Loan1[[#This Row],[Annuity]]-Tbl_Loan1[[#This Row],[Interest amount]]</f>
        <v>4033.8050676830107</v>
      </c>
      <c r="P37" s="25">
        <f>Tbl_Loan1[[#This Row],[Initial debt]]-Tbl_Loan1[[#This Row],[Redemption amount]]</f>
        <v>1359194.8890045644</v>
      </c>
    </row>
    <row r="38" spans="4:16" x14ac:dyDescent="0.25">
      <c r="D38" t="str">
        <f>_xlfn.CONCAT(Tbl_Loan1[[#This Row],[Maandnummer ]],Tbl_Loan1[[#This Row],[Year]])</f>
        <v>12014</v>
      </c>
      <c r="E38" s="23">
        <f t="shared" si="2"/>
        <v>37</v>
      </c>
      <c r="F38" s="28">
        <v>41664</v>
      </c>
      <c r="G38" s="23">
        <f>MONTH(Tbl_Loan1[[#This Row],[Payment date]])</f>
        <v>1</v>
      </c>
      <c r="H38" s="23" t="str">
        <f>VLOOKUP(Tbl_Loan1[[#This Row],[Maandnummer ]],Tbl_Months[],2,FALSE)</f>
        <v>January</v>
      </c>
      <c r="I38" s="23" t="str">
        <f>VLOOKUP(Tbl_Loan1[[#This Row],[Maandnummer ]],Tbl_Months[],3,FALSE)</f>
        <v>I</v>
      </c>
      <c r="J38" s="23">
        <f>YEAR(Tbl_Loan1[[#This Row],[Payment date]])</f>
        <v>2014</v>
      </c>
      <c r="K38" s="23" t="str">
        <f>_xlfn.CONCAT(Tbl_Loan1[[#This Row],[Year]],Tbl_Loan1[[#This Row],[Quarter]])</f>
        <v>2014I</v>
      </c>
      <c r="L38" s="25">
        <f t="shared" si="0"/>
        <v>1359194.8890045644</v>
      </c>
      <c r="M38" s="26">
        <f t="shared" si="1"/>
        <v>6452.5136626411149</v>
      </c>
      <c r="N38" s="25">
        <f>B$5*Tbl_Loan1[[#This Row],[Initial debt]]</f>
        <v>2411.5516160667298</v>
      </c>
      <c r="O38" s="25">
        <f>Tbl_Loan1[[#This Row],[Annuity]]-Tbl_Loan1[[#This Row],[Interest amount]]</f>
        <v>4040.9620465743851</v>
      </c>
      <c r="P38" s="25">
        <f>Tbl_Loan1[[#This Row],[Initial debt]]-Tbl_Loan1[[#This Row],[Redemption amount]]</f>
        <v>1355153.92695799</v>
      </c>
    </row>
    <row r="39" spans="4:16" x14ac:dyDescent="0.25">
      <c r="D39" t="str">
        <f>_xlfn.CONCAT(Tbl_Loan1[[#This Row],[Maandnummer ]],Tbl_Loan1[[#This Row],[Year]])</f>
        <v>22014</v>
      </c>
      <c r="E39" s="23">
        <f t="shared" si="2"/>
        <v>38</v>
      </c>
      <c r="F39" s="28">
        <v>41695</v>
      </c>
      <c r="G39" s="23">
        <f>MONTH(Tbl_Loan1[[#This Row],[Payment date]])</f>
        <v>2</v>
      </c>
      <c r="H39" s="23" t="str">
        <f>VLOOKUP(Tbl_Loan1[[#This Row],[Maandnummer ]],Tbl_Months[],2,FALSE)</f>
        <v>February</v>
      </c>
      <c r="I39" s="23" t="str">
        <f>VLOOKUP(Tbl_Loan1[[#This Row],[Maandnummer ]],Tbl_Months[],3,FALSE)</f>
        <v>I</v>
      </c>
      <c r="J39" s="23">
        <f>YEAR(Tbl_Loan1[[#This Row],[Payment date]])</f>
        <v>2014</v>
      </c>
      <c r="K39" s="23" t="str">
        <f>_xlfn.CONCAT(Tbl_Loan1[[#This Row],[Year]],Tbl_Loan1[[#This Row],[Quarter]])</f>
        <v>2014I</v>
      </c>
      <c r="L39" s="25">
        <f t="shared" si="0"/>
        <v>1355153.92695799</v>
      </c>
      <c r="M39" s="26">
        <f t="shared" si="1"/>
        <v>6452.5136626411149</v>
      </c>
      <c r="N39" s="25">
        <f>B$5*Tbl_Loan1[[#This Row],[Initial debt]]</f>
        <v>2404.3819389051146</v>
      </c>
      <c r="O39" s="25">
        <f>Tbl_Loan1[[#This Row],[Annuity]]-Tbl_Loan1[[#This Row],[Interest amount]]</f>
        <v>4048.1317237360004</v>
      </c>
      <c r="P39" s="25">
        <f>Tbl_Loan1[[#This Row],[Initial debt]]-Tbl_Loan1[[#This Row],[Redemption amount]]</f>
        <v>1351105.7952342541</v>
      </c>
    </row>
    <row r="40" spans="4:16" x14ac:dyDescent="0.25">
      <c r="D40" t="str">
        <f>_xlfn.CONCAT(Tbl_Loan1[[#This Row],[Maandnummer ]],Tbl_Loan1[[#This Row],[Year]])</f>
        <v>32014</v>
      </c>
      <c r="E40" s="23">
        <f t="shared" si="2"/>
        <v>39</v>
      </c>
      <c r="F40" s="28">
        <v>41723</v>
      </c>
      <c r="G40" s="23">
        <f>MONTH(Tbl_Loan1[[#This Row],[Payment date]])</f>
        <v>3</v>
      </c>
      <c r="H40" s="23" t="str">
        <f>VLOOKUP(Tbl_Loan1[[#This Row],[Maandnummer ]],Tbl_Months[],2,FALSE)</f>
        <v>March</v>
      </c>
      <c r="I40" s="23" t="str">
        <f>VLOOKUP(Tbl_Loan1[[#This Row],[Maandnummer ]],Tbl_Months[],3,FALSE)</f>
        <v>I</v>
      </c>
      <c r="J40" s="23">
        <f>YEAR(Tbl_Loan1[[#This Row],[Payment date]])</f>
        <v>2014</v>
      </c>
      <c r="K40" s="23" t="str">
        <f>_xlfn.CONCAT(Tbl_Loan1[[#This Row],[Year]],Tbl_Loan1[[#This Row],[Quarter]])</f>
        <v>2014I</v>
      </c>
      <c r="L40" s="25">
        <f t="shared" si="0"/>
        <v>1351105.7952342541</v>
      </c>
      <c r="M40" s="26">
        <f t="shared" si="1"/>
        <v>6452.5136626411149</v>
      </c>
      <c r="N40" s="25">
        <f>B$5*Tbl_Loan1[[#This Row],[Initial debt]]</f>
        <v>2397.1995409433503</v>
      </c>
      <c r="O40" s="25">
        <f>Tbl_Loan1[[#This Row],[Annuity]]-Tbl_Loan1[[#This Row],[Interest amount]]</f>
        <v>4055.3141216977647</v>
      </c>
      <c r="P40" s="25">
        <f>Tbl_Loan1[[#This Row],[Initial debt]]-Tbl_Loan1[[#This Row],[Redemption amount]]</f>
        <v>1347050.4811125563</v>
      </c>
    </row>
    <row r="41" spans="4:16" x14ac:dyDescent="0.25">
      <c r="D41" t="str">
        <f>_xlfn.CONCAT(Tbl_Loan1[[#This Row],[Maandnummer ]],Tbl_Loan1[[#This Row],[Year]])</f>
        <v>42014</v>
      </c>
      <c r="E41" s="23">
        <f t="shared" si="2"/>
        <v>40</v>
      </c>
      <c r="F41" s="28">
        <v>41754</v>
      </c>
      <c r="G41" s="23">
        <f>MONTH(Tbl_Loan1[[#This Row],[Payment date]])</f>
        <v>4</v>
      </c>
      <c r="H41" s="23" t="str">
        <f>VLOOKUP(Tbl_Loan1[[#This Row],[Maandnummer ]],Tbl_Months[],2,FALSE)</f>
        <v>April</v>
      </c>
      <c r="I41" s="23" t="str">
        <f>VLOOKUP(Tbl_Loan1[[#This Row],[Maandnummer ]],Tbl_Months[],3,FALSE)</f>
        <v>II</v>
      </c>
      <c r="J41" s="23">
        <f>YEAR(Tbl_Loan1[[#This Row],[Payment date]])</f>
        <v>2014</v>
      </c>
      <c r="K41" s="23" t="str">
        <f>_xlfn.CONCAT(Tbl_Loan1[[#This Row],[Year]],Tbl_Loan1[[#This Row],[Quarter]])</f>
        <v>2014II</v>
      </c>
      <c r="L41" s="25">
        <f t="shared" si="0"/>
        <v>1347050.4811125563</v>
      </c>
      <c r="M41" s="26">
        <f t="shared" si="1"/>
        <v>6452.5136626411149</v>
      </c>
      <c r="N41" s="25">
        <f>B$5*Tbl_Loan1[[#This Row],[Initial debt]]</f>
        <v>2390.0043996115573</v>
      </c>
      <c r="O41" s="25">
        <f>Tbl_Loan1[[#This Row],[Annuity]]-Tbl_Loan1[[#This Row],[Interest amount]]</f>
        <v>4062.5092630295576</v>
      </c>
      <c r="P41" s="25">
        <f>Tbl_Loan1[[#This Row],[Initial debt]]-Tbl_Loan1[[#This Row],[Redemption amount]]</f>
        <v>1342987.9718495267</v>
      </c>
    </row>
    <row r="42" spans="4:16" x14ac:dyDescent="0.25">
      <c r="D42" t="str">
        <f>_xlfn.CONCAT(Tbl_Loan1[[#This Row],[Maandnummer ]],Tbl_Loan1[[#This Row],[Year]])</f>
        <v>52014</v>
      </c>
      <c r="E42" s="23">
        <f t="shared" si="2"/>
        <v>41</v>
      </c>
      <c r="F42" s="28">
        <v>41784</v>
      </c>
      <c r="G42" s="23">
        <f>MONTH(Tbl_Loan1[[#This Row],[Payment date]])</f>
        <v>5</v>
      </c>
      <c r="H42" s="23" t="str">
        <f>VLOOKUP(Tbl_Loan1[[#This Row],[Maandnummer ]],Tbl_Months[],2,FALSE)</f>
        <v>May</v>
      </c>
      <c r="I42" s="23" t="str">
        <f>VLOOKUP(Tbl_Loan1[[#This Row],[Maandnummer ]],Tbl_Months[],3,FALSE)</f>
        <v>II</v>
      </c>
      <c r="J42" s="23">
        <f>YEAR(Tbl_Loan1[[#This Row],[Payment date]])</f>
        <v>2014</v>
      </c>
      <c r="K42" s="23" t="str">
        <f>_xlfn.CONCAT(Tbl_Loan1[[#This Row],[Year]],Tbl_Loan1[[#This Row],[Quarter]])</f>
        <v>2014II</v>
      </c>
      <c r="L42" s="25">
        <f t="shared" si="0"/>
        <v>1342987.9718495267</v>
      </c>
      <c r="M42" s="26">
        <f t="shared" si="1"/>
        <v>6452.5136626411149</v>
      </c>
      <c r="N42" s="25">
        <f>B$5*Tbl_Loan1[[#This Row],[Initial debt]]</f>
        <v>2382.7964922998103</v>
      </c>
      <c r="O42" s="25">
        <f>Tbl_Loan1[[#This Row],[Annuity]]-Tbl_Loan1[[#This Row],[Interest amount]]</f>
        <v>4069.7171703413046</v>
      </c>
      <c r="P42" s="25">
        <f>Tbl_Loan1[[#This Row],[Initial debt]]-Tbl_Loan1[[#This Row],[Redemption amount]]</f>
        <v>1338918.2546791853</v>
      </c>
    </row>
    <row r="43" spans="4:16" x14ac:dyDescent="0.25">
      <c r="D43" t="str">
        <f>_xlfn.CONCAT(Tbl_Loan1[[#This Row],[Maandnummer ]],Tbl_Loan1[[#This Row],[Year]])</f>
        <v>62014</v>
      </c>
      <c r="E43" s="23">
        <f t="shared" si="2"/>
        <v>42</v>
      </c>
      <c r="F43" s="28">
        <v>41815</v>
      </c>
      <c r="G43" s="23">
        <f>MONTH(Tbl_Loan1[[#This Row],[Payment date]])</f>
        <v>6</v>
      </c>
      <c r="H43" s="23" t="str">
        <f>VLOOKUP(Tbl_Loan1[[#This Row],[Maandnummer ]],Tbl_Months[],2,FALSE)</f>
        <v>June</v>
      </c>
      <c r="I43" s="23" t="str">
        <f>VLOOKUP(Tbl_Loan1[[#This Row],[Maandnummer ]],Tbl_Months[],3,FALSE)</f>
        <v>II</v>
      </c>
      <c r="J43" s="23">
        <f>YEAR(Tbl_Loan1[[#This Row],[Payment date]])</f>
        <v>2014</v>
      </c>
      <c r="K43" s="23" t="str">
        <f>_xlfn.CONCAT(Tbl_Loan1[[#This Row],[Year]],Tbl_Loan1[[#This Row],[Quarter]])</f>
        <v>2014II</v>
      </c>
      <c r="L43" s="25">
        <f t="shared" si="0"/>
        <v>1338918.2546791853</v>
      </c>
      <c r="M43" s="26">
        <f t="shared" si="1"/>
        <v>6452.5136626411149</v>
      </c>
      <c r="N43" s="25">
        <f>B$5*Tbl_Loan1[[#This Row],[Initial debt]]</f>
        <v>2375.5757963580691</v>
      </c>
      <c r="O43" s="25">
        <f>Tbl_Loan1[[#This Row],[Annuity]]-Tbl_Loan1[[#This Row],[Interest amount]]</f>
        <v>4076.9378662830459</v>
      </c>
      <c r="P43" s="25">
        <f>Tbl_Loan1[[#This Row],[Initial debt]]-Tbl_Loan1[[#This Row],[Redemption amount]]</f>
        <v>1334841.3168129022</v>
      </c>
    </row>
    <row r="44" spans="4:16" x14ac:dyDescent="0.25">
      <c r="D44" t="str">
        <f>_xlfn.CONCAT(Tbl_Loan1[[#This Row],[Maandnummer ]],Tbl_Loan1[[#This Row],[Year]])</f>
        <v>72014</v>
      </c>
      <c r="E44" s="23">
        <f t="shared" si="2"/>
        <v>43</v>
      </c>
      <c r="F44" s="28">
        <v>41845</v>
      </c>
      <c r="G44" s="23">
        <f>MONTH(Tbl_Loan1[[#This Row],[Payment date]])</f>
        <v>7</v>
      </c>
      <c r="H44" s="23" t="str">
        <f>VLOOKUP(Tbl_Loan1[[#This Row],[Maandnummer ]],Tbl_Months[],2,FALSE)</f>
        <v>July</v>
      </c>
      <c r="I44" s="23" t="str">
        <f>VLOOKUP(Tbl_Loan1[[#This Row],[Maandnummer ]],Tbl_Months[],3,FALSE)</f>
        <v>III</v>
      </c>
      <c r="J44" s="23">
        <f>YEAR(Tbl_Loan1[[#This Row],[Payment date]])</f>
        <v>2014</v>
      </c>
      <c r="K44" s="23" t="str">
        <f>_xlfn.CONCAT(Tbl_Loan1[[#This Row],[Year]],Tbl_Loan1[[#This Row],[Quarter]])</f>
        <v>2014III</v>
      </c>
      <c r="L44" s="25">
        <f t="shared" si="0"/>
        <v>1334841.3168129022</v>
      </c>
      <c r="M44" s="26">
        <f t="shared" si="1"/>
        <v>6452.5136626411149</v>
      </c>
      <c r="N44" s="25">
        <f>B$5*Tbl_Loan1[[#This Row],[Initial debt]]</f>
        <v>2368.3422890961051</v>
      </c>
      <c r="O44" s="25">
        <f>Tbl_Loan1[[#This Row],[Annuity]]-Tbl_Loan1[[#This Row],[Interest amount]]</f>
        <v>4084.1713735450098</v>
      </c>
      <c r="P44" s="25">
        <f>Tbl_Loan1[[#This Row],[Initial debt]]-Tbl_Loan1[[#This Row],[Redemption amount]]</f>
        <v>1330757.1454393573</v>
      </c>
    </row>
    <row r="45" spans="4:16" x14ac:dyDescent="0.25">
      <c r="D45" t="str">
        <f>_xlfn.CONCAT(Tbl_Loan1[[#This Row],[Maandnummer ]],Tbl_Loan1[[#This Row],[Year]])</f>
        <v>82014</v>
      </c>
      <c r="E45" s="23">
        <f t="shared" si="2"/>
        <v>44</v>
      </c>
      <c r="F45" s="28">
        <v>41876</v>
      </c>
      <c r="G45" s="23">
        <f>MONTH(Tbl_Loan1[[#This Row],[Payment date]])</f>
        <v>8</v>
      </c>
      <c r="H45" s="23" t="str">
        <f>VLOOKUP(Tbl_Loan1[[#This Row],[Maandnummer ]],Tbl_Months[],2,FALSE)</f>
        <v>August</v>
      </c>
      <c r="I45" s="23" t="str">
        <f>VLOOKUP(Tbl_Loan1[[#This Row],[Maandnummer ]],Tbl_Months[],3,FALSE)</f>
        <v>III</v>
      </c>
      <c r="J45" s="23">
        <f>YEAR(Tbl_Loan1[[#This Row],[Payment date]])</f>
        <v>2014</v>
      </c>
      <c r="K45" s="23" t="str">
        <f>_xlfn.CONCAT(Tbl_Loan1[[#This Row],[Year]],Tbl_Loan1[[#This Row],[Quarter]])</f>
        <v>2014III</v>
      </c>
      <c r="L45" s="25">
        <f t="shared" si="0"/>
        <v>1330757.1454393573</v>
      </c>
      <c r="M45" s="26">
        <f t="shared" si="1"/>
        <v>6452.5136626411149</v>
      </c>
      <c r="N45" s="25">
        <f>B$5*Tbl_Loan1[[#This Row],[Initial debt]]</f>
        <v>2361.0959477834335</v>
      </c>
      <c r="O45" s="25">
        <f>Tbl_Loan1[[#This Row],[Annuity]]-Tbl_Loan1[[#This Row],[Interest amount]]</f>
        <v>4091.4177148576814</v>
      </c>
      <c r="P45" s="25">
        <f>Tbl_Loan1[[#This Row],[Initial debt]]-Tbl_Loan1[[#This Row],[Redemption amount]]</f>
        <v>1326665.7277244995</v>
      </c>
    </row>
    <row r="46" spans="4:16" x14ac:dyDescent="0.25">
      <c r="D46" t="str">
        <f>_xlfn.CONCAT(Tbl_Loan1[[#This Row],[Maandnummer ]],Tbl_Loan1[[#This Row],[Year]])</f>
        <v>92014</v>
      </c>
      <c r="E46" s="23">
        <f t="shared" si="2"/>
        <v>45</v>
      </c>
      <c r="F46" s="28">
        <v>41907</v>
      </c>
      <c r="G46" s="23">
        <f>MONTH(Tbl_Loan1[[#This Row],[Payment date]])</f>
        <v>9</v>
      </c>
      <c r="H46" s="23" t="str">
        <f>VLOOKUP(Tbl_Loan1[[#This Row],[Maandnummer ]],Tbl_Months[],2,FALSE)</f>
        <v>September</v>
      </c>
      <c r="I46" s="23" t="str">
        <f>VLOOKUP(Tbl_Loan1[[#This Row],[Maandnummer ]],Tbl_Months[],3,FALSE)</f>
        <v>III</v>
      </c>
      <c r="J46" s="23">
        <f>YEAR(Tbl_Loan1[[#This Row],[Payment date]])</f>
        <v>2014</v>
      </c>
      <c r="K46" s="23" t="str">
        <f>_xlfn.CONCAT(Tbl_Loan1[[#This Row],[Year]],Tbl_Loan1[[#This Row],[Quarter]])</f>
        <v>2014III</v>
      </c>
      <c r="L46" s="25">
        <f t="shared" si="0"/>
        <v>1326665.7277244995</v>
      </c>
      <c r="M46" s="26">
        <f t="shared" si="1"/>
        <v>6452.5136626411149</v>
      </c>
      <c r="N46" s="25">
        <f>B$5*Tbl_Loan1[[#This Row],[Initial debt]]</f>
        <v>2353.8367496492383</v>
      </c>
      <c r="O46" s="25">
        <f>Tbl_Loan1[[#This Row],[Annuity]]-Tbl_Loan1[[#This Row],[Interest amount]]</f>
        <v>4098.6769129918766</v>
      </c>
      <c r="P46" s="25">
        <f>Tbl_Loan1[[#This Row],[Initial debt]]-Tbl_Loan1[[#This Row],[Redemption amount]]</f>
        <v>1322567.0508115077</v>
      </c>
    </row>
    <row r="47" spans="4:16" x14ac:dyDescent="0.25">
      <c r="D47" t="str">
        <f>_xlfn.CONCAT(Tbl_Loan1[[#This Row],[Maandnummer ]],Tbl_Loan1[[#This Row],[Year]])</f>
        <v>102014</v>
      </c>
      <c r="E47" s="23">
        <f t="shared" si="2"/>
        <v>46</v>
      </c>
      <c r="F47" s="28">
        <v>41937</v>
      </c>
      <c r="G47" s="23">
        <f>MONTH(Tbl_Loan1[[#This Row],[Payment date]])</f>
        <v>10</v>
      </c>
      <c r="H47" s="23" t="str">
        <f>VLOOKUP(Tbl_Loan1[[#This Row],[Maandnummer ]],Tbl_Months[],2,FALSE)</f>
        <v>October</v>
      </c>
      <c r="I47" s="23" t="str">
        <f>VLOOKUP(Tbl_Loan1[[#This Row],[Maandnummer ]],Tbl_Months[],3,FALSE)</f>
        <v>IV</v>
      </c>
      <c r="J47" s="23">
        <f>YEAR(Tbl_Loan1[[#This Row],[Payment date]])</f>
        <v>2014</v>
      </c>
      <c r="K47" s="23" t="str">
        <f>_xlfn.CONCAT(Tbl_Loan1[[#This Row],[Year]],Tbl_Loan1[[#This Row],[Quarter]])</f>
        <v>2014IV</v>
      </c>
      <c r="L47" s="25">
        <f t="shared" si="0"/>
        <v>1322567.0508115077</v>
      </c>
      <c r="M47" s="26">
        <f t="shared" si="1"/>
        <v>6452.5136626411149</v>
      </c>
      <c r="N47" s="25">
        <f>B$5*Tbl_Loan1[[#This Row],[Initial debt]]</f>
        <v>2346.5646718823041</v>
      </c>
      <c r="O47" s="25">
        <f>Tbl_Loan1[[#This Row],[Annuity]]-Tbl_Loan1[[#This Row],[Interest amount]]</f>
        <v>4105.9489907588104</v>
      </c>
      <c r="P47" s="25">
        <f>Tbl_Loan1[[#This Row],[Initial debt]]-Tbl_Loan1[[#This Row],[Redemption amount]]</f>
        <v>1318461.101820749</v>
      </c>
    </row>
    <row r="48" spans="4:16" x14ac:dyDescent="0.25">
      <c r="D48" t="str">
        <f>_xlfn.CONCAT(Tbl_Loan1[[#This Row],[Maandnummer ]],Tbl_Loan1[[#This Row],[Year]])</f>
        <v>112014</v>
      </c>
      <c r="E48" s="23">
        <f t="shared" si="2"/>
        <v>47</v>
      </c>
      <c r="F48" s="28">
        <v>41968</v>
      </c>
      <c r="G48" s="23">
        <f>MONTH(Tbl_Loan1[[#This Row],[Payment date]])</f>
        <v>11</v>
      </c>
      <c r="H48" s="23" t="str">
        <f>VLOOKUP(Tbl_Loan1[[#This Row],[Maandnummer ]],Tbl_Months[],2,FALSE)</f>
        <v>November</v>
      </c>
      <c r="I48" s="23" t="str">
        <f>VLOOKUP(Tbl_Loan1[[#This Row],[Maandnummer ]],Tbl_Months[],3,FALSE)</f>
        <v>IV</v>
      </c>
      <c r="J48" s="23">
        <f>YEAR(Tbl_Loan1[[#This Row],[Payment date]])</f>
        <v>2014</v>
      </c>
      <c r="K48" s="23" t="str">
        <f>_xlfn.CONCAT(Tbl_Loan1[[#This Row],[Year]],Tbl_Loan1[[#This Row],[Quarter]])</f>
        <v>2014IV</v>
      </c>
      <c r="L48" s="25">
        <f t="shared" si="0"/>
        <v>1318461.101820749</v>
      </c>
      <c r="M48" s="26">
        <f t="shared" si="1"/>
        <v>6452.5136626411149</v>
      </c>
      <c r="N48" s="25">
        <f>B$5*Tbl_Loan1[[#This Row],[Initial debt]]</f>
        <v>2339.2796916309412</v>
      </c>
      <c r="O48" s="25">
        <f>Tbl_Loan1[[#This Row],[Annuity]]-Tbl_Loan1[[#This Row],[Interest amount]]</f>
        <v>4113.2339710101733</v>
      </c>
      <c r="P48" s="25">
        <f>Tbl_Loan1[[#This Row],[Initial debt]]-Tbl_Loan1[[#This Row],[Redemption amount]]</f>
        <v>1314347.8678497388</v>
      </c>
    </row>
    <row r="49" spans="4:16" x14ac:dyDescent="0.25">
      <c r="D49" t="str">
        <f>_xlfn.CONCAT(Tbl_Loan1[[#This Row],[Maandnummer ]],Tbl_Loan1[[#This Row],[Year]])</f>
        <v>122014</v>
      </c>
      <c r="E49" s="23">
        <f t="shared" si="2"/>
        <v>48</v>
      </c>
      <c r="F49" s="28">
        <v>41998</v>
      </c>
      <c r="G49" s="23">
        <f>MONTH(Tbl_Loan1[[#This Row],[Payment date]])</f>
        <v>12</v>
      </c>
      <c r="H49" s="23" t="str">
        <f>VLOOKUP(Tbl_Loan1[[#This Row],[Maandnummer ]],Tbl_Months[],2,FALSE)</f>
        <v>December</v>
      </c>
      <c r="I49" s="23" t="str">
        <f>VLOOKUP(Tbl_Loan1[[#This Row],[Maandnummer ]],Tbl_Months[],3,FALSE)</f>
        <v>IV</v>
      </c>
      <c r="J49" s="23">
        <f>YEAR(Tbl_Loan1[[#This Row],[Payment date]])</f>
        <v>2014</v>
      </c>
      <c r="K49" s="23" t="str">
        <f>_xlfn.CONCAT(Tbl_Loan1[[#This Row],[Year]],Tbl_Loan1[[#This Row],[Quarter]])</f>
        <v>2014IV</v>
      </c>
      <c r="L49" s="25">
        <f t="shared" si="0"/>
        <v>1314347.8678497388</v>
      </c>
      <c r="M49" s="26">
        <f t="shared" si="1"/>
        <v>6452.5136626411149</v>
      </c>
      <c r="N49" s="25">
        <f>B$5*Tbl_Loan1[[#This Row],[Initial debt]]</f>
        <v>2331.9817860029157</v>
      </c>
      <c r="O49" s="25">
        <f>Tbl_Loan1[[#This Row],[Annuity]]-Tbl_Loan1[[#This Row],[Interest amount]]</f>
        <v>4120.5318766381988</v>
      </c>
      <c r="P49" s="25">
        <f>Tbl_Loan1[[#This Row],[Initial debt]]-Tbl_Loan1[[#This Row],[Redemption amount]]</f>
        <v>1310227.3359731005</v>
      </c>
    </row>
    <row r="50" spans="4:16" x14ac:dyDescent="0.25">
      <c r="D50" t="str">
        <f>_xlfn.CONCAT(Tbl_Loan1[[#This Row],[Maandnummer ]],Tbl_Loan1[[#This Row],[Year]])</f>
        <v>12015</v>
      </c>
      <c r="E50" s="23">
        <f t="shared" si="2"/>
        <v>49</v>
      </c>
      <c r="F50" s="28">
        <v>42029</v>
      </c>
      <c r="G50" s="23">
        <f>MONTH(Tbl_Loan1[[#This Row],[Payment date]])</f>
        <v>1</v>
      </c>
      <c r="H50" s="23" t="str">
        <f>VLOOKUP(Tbl_Loan1[[#This Row],[Maandnummer ]],Tbl_Months[],2,FALSE)</f>
        <v>January</v>
      </c>
      <c r="I50" s="23" t="str">
        <f>VLOOKUP(Tbl_Loan1[[#This Row],[Maandnummer ]],Tbl_Months[],3,FALSE)</f>
        <v>I</v>
      </c>
      <c r="J50" s="23">
        <f>YEAR(Tbl_Loan1[[#This Row],[Payment date]])</f>
        <v>2015</v>
      </c>
      <c r="K50" s="23" t="str">
        <f>_xlfn.CONCAT(Tbl_Loan1[[#This Row],[Year]],Tbl_Loan1[[#This Row],[Quarter]])</f>
        <v>2015I</v>
      </c>
      <c r="L50" s="25">
        <f t="shared" si="0"/>
        <v>1310227.3359731005</v>
      </c>
      <c r="M50" s="26">
        <f t="shared" si="1"/>
        <v>6452.5136626411149</v>
      </c>
      <c r="N50" s="25">
        <f>B$5*Tbl_Loan1[[#This Row],[Initial debt]]</f>
        <v>2324.6709320653767</v>
      </c>
      <c r="O50" s="25">
        <f>Tbl_Loan1[[#This Row],[Annuity]]-Tbl_Loan1[[#This Row],[Interest amount]]</f>
        <v>4127.8427305757377</v>
      </c>
      <c r="P50" s="25">
        <f>Tbl_Loan1[[#This Row],[Initial debt]]-Tbl_Loan1[[#This Row],[Redemption amount]]</f>
        <v>1306099.4932425248</v>
      </c>
    </row>
    <row r="51" spans="4:16" x14ac:dyDescent="0.25">
      <c r="D51" t="str">
        <f>_xlfn.CONCAT(Tbl_Loan1[[#This Row],[Maandnummer ]],Tbl_Loan1[[#This Row],[Year]])</f>
        <v>22015</v>
      </c>
      <c r="E51" s="23">
        <f t="shared" si="2"/>
        <v>50</v>
      </c>
      <c r="F51" s="28">
        <v>42060</v>
      </c>
      <c r="G51" s="23">
        <f>MONTH(Tbl_Loan1[[#This Row],[Payment date]])</f>
        <v>2</v>
      </c>
      <c r="H51" s="23" t="str">
        <f>VLOOKUP(Tbl_Loan1[[#This Row],[Maandnummer ]],Tbl_Months[],2,FALSE)</f>
        <v>February</v>
      </c>
      <c r="I51" s="23" t="str">
        <f>VLOOKUP(Tbl_Loan1[[#This Row],[Maandnummer ]],Tbl_Months[],3,FALSE)</f>
        <v>I</v>
      </c>
      <c r="J51" s="23">
        <f>YEAR(Tbl_Loan1[[#This Row],[Payment date]])</f>
        <v>2015</v>
      </c>
      <c r="K51" s="23" t="str">
        <f>_xlfn.CONCAT(Tbl_Loan1[[#This Row],[Year]],Tbl_Loan1[[#This Row],[Quarter]])</f>
        <v>2015I</v>
      </c>
      <c r="L51" s="25">
        <f t="shared" si="0"/>
        <v>1306099.4932425248</v>
      </c>
      <c r="M51" s="26">
        <f t="shared" si="1"/>
        <v>6452.5136626411149</v>
      </c>
      <c r="N51" s="25">
        <f>B$5*Tbl_Loan1[[#This Row],[Initial debt]]</f>
        <v>2317.3471068447861</v>
      </c>
      <c r="O51" s="25">
        <f>Tbl_Loan1[[#This Row],[Annuity]]-Tbl_Loan1[[#This Row],[Interest amount]]</f>
        <v>4135.1665557963288</v>
      </c>
      <c r="P51" s="25">
        <f>Tbl_Loan1[[#This Row],[Initial debt]]-Tbl_Loan1[[#This Row],[Redemption amount]]</f>
        <v>1301964.3266867285</v>
      </c>
    </row>
    <row r="52" spans="4:16" x14ac:dyDescent="0.25">
      <c r="D52" t="str">
        <f>_xlfn.CONCAT(Tbl_Loan1[[#This Row],[Maandnummer ]],Tbl_Loan1[[#This Row],[Year]])</f>
        <v>32015</v>
      </c>
      <c r="E52" s="23">
        <f t="shared" si="2"/>
        <v>51</v>
      </c>
      <c r="F52" s="28">
        <v>42088</v>
      </c>
      <c r="G52" s="23">
        <f>MONTH(Tbl_Loan1[[#This Row],[Payment date]])</f>
        <v>3</v>
      </c>
      <c r="H52" s="23" t="str">
        <f>VLOOKUP(Tbl_Loan1[[#This Row],[Maandnummer ]],Tbl_Months[],2,FALSE)</f>
        <v>March</v>
      </c>
      <c r="I52" s="23" t="str">
        <f>VLOOKUP(Tbl_Loan1[[#This Row],[Maandnummer ]],Tbl_Months[],3,FALSE)</f>
        <v>I</v>
      </c>
      <c r="J52" s="23">
        <f>YEAR(Tbl_Loan1[[#This Row],[Payment date]])</f>
        <v>2015</v>
      </c>
      <c r="K52" s="23" t="str">
        <f>_xlfn.CONCAT(Tbl_Loan1[[#This Row],[Year]],Tbl_Loan1[[#This Row],[Quarter]])</f>
        <v>2015I</v>
      </c>
      <c r="L52" s="25">
        <f t="shared" si="0"/>
        <v>1301964.3266867285</v>
      </c>
      <c r="M52" s="26">
        <f t="shared" si="1"/>
        <v>6452.5136626411149</v>
      </c>
      <c r="N52" s="25">
        <f>B$5*Tbl_Loan1[[#This Row],[Initial debt]]</f>
        <v>2310.0102873268443</v>
      </c>
      <c r="O52" s="25">
        <f>Tbl_Loan1[[#This Row],[Annuity]]-Tbl_Loan1[[#This Row],[Interest amount]]</f>
        <v>4142.5033753142707</v>
      </c>
      <c r="P52" s="25">
        <f>Tbl_Loan1[[#This Row],[Initial debt]]-Tbl_Loan1[[#This Row],[Redemption amount]]</f>
        <v>1297821.8233114143</v>
      </c>
    </row>
    <row r="53" spans="4:16" x14ac:dyDescent="0.25">
      <c r="D53" t="str">
        <f>_xlfn.CONCAT(Tbl_Loan1[[#This Row],[Maandnummer ]],Tbl_Loan1[[#This Row],[Year]])</f>
        <v>42015</v>
      </c>
      <c r="E53" s="23">
        <f t="shared" si="2"/>
        <v>52</v>
      </c>
      <c r="F53" s="28">
        <v>42119</v>
      </c>
      <c r="G53" s="23">
        <f>MONTH(Tbl_Loan1[[#This Row],[Payment date]])</f>
        <v>4</v>
      </c>
      <c r="H53" s="23" t="str">
        <f>VLOOKUP(Tbl_Loan1[[#This Row],[Maandnummer ]],Tbl_Months[],2,FALSE)</f>
        <v>April</v>
      </c>
      <c r="I53" s="23" t="str">
        <f>VLOOKUP(Tbl_Loan1[[#This Row],[Maandnummer ]],Tbl_Months[],3,FALSE)</f>
        <v>II</v>
      </c>
      <c r="J53" s="23">
        <f>YEAR(Tbl_Loan1[[#This Row],[Payment date]])</f>
        <v>2015</v>
      </c>
      <c r="K53" s="23" t="str">
        <f>_xlfn.CONCAT(Tbl_Loan1[[#This Row],[Year]],Tbl_Loan1[[#This Row],[Quarter]])</f>
        <v>2015II</v>
      </c>
      <c r="L53" s="25">
        <f t="shared" si="0"/>
        <v>1297821.8233114143</v>
      </c>
      <c r="M53" s="26">
        <f t="shared" si="1"/>
        <v>6452.5136626411149</v>
      </c>
      <c r="N53" s="25">
        <f>B$5*Tbl_Loan1[[#This Row],[Initial debt]]</f>
        <v>2302.6604504564179</v>
      </c>
      <c r="O53" s="25">
        <f>Tbl_Loan1[[#This Row],[Annuity]]-Tbl_Loan1[[#This Row],[Interest amount]]</f>
        <v>4149.8532121846965</v>
      </c>
      <c r="P53" s="25">
        <f>Tbl_Loan1[[#This Row],[Initial debt]]-Tbl_Loan1[[#This Row],[Redemption amount]]</f>
        <v>1293671.9700992296</v>
      </c>
    </row>
    <row r="54" spans="4:16" x14ac:dyDescent="0.25">
      <c r="D54" t="str">
        <f>_xlfn.CONCAT(Tbl_Loan1[[#This Row],[Maandnummer ]],Tbl_Loan1[[#This Row],[Year]])</f>
        <v>52015</v>
      </c>
      <c r="E54" s="23">
        <f t="shared" si="2"/>
        <v>53</v>
      </c>
      <c r="F54" s="28">
        <v>42149</v>
      </c>
      <c r="G54" s="23">
        <f>MONTH(Tbl_Loan1[[#This Row],[Payment date]])</f>
        <v>5</v>
      </c>
      <c r="H54" s="23" t="str">
        <f>VLOOKUP(Tbl_Loan1[[#This Row],[Maandnummer ]],Tbl_Months[],2,FALSE)</f>
        <v>May</v>
      </c>
      <c r="I54" s="23" t="str">
        <f>VLOOKUP(Tbl_Loan1[[#This Row],[Maandnummer ]],Tbl_Months[],3,FALSE)</f>
        <v>II</v>
      </c>
      <c r="J54" s="23">
        <f>YEAR(Tbl_Loan1[[#This Row],[Payment date]])</f>
        <v>2015</v>
      </c>
      <c r="K54" s="23" t="str">
        <f>_xlfn.CONCAT(Tbl_Loan1[[#This Row],[Year]],Tbl_Loan1[[#This Row],[Quarter]])</f>
        <v>2015II</v>
      </c>
      <c r="L54" s="25">
        <f t="shared" si="0"/>
        <v>1293671.9700992296</v>
      </c>
      <c r="M54" s="26">
        <f t="shared" si="1"/>
        <v>6452.5136626411149</v>
      </c>
      <c r="N54" s="25">
        <f>B$5*Tbl_Loan1[[#This Row],[Initial debt]]</f>
        <v>2295.2975731374686</v>
      </c>
      <c r="O54" s="25">
        <f>Tbl_Loan1[[#This Row],[Annuity]]-Tbl_Loan1[[#This Row],[Interest amount]]</f>
        <v>4157.2160895036468</v>
      </c>
      <c r="P54" s="25">
        <f>Tbl_Loan1[[#This Row],[Initial debt]]-Tbl_Loan1[[#This Row],[Redemption amount]]</f>
        <v>1289514.754009726</v>
      </c>
    </row>
    <row r="55" spans="4:16" x14ac:dyDescent="0.25">
      <c r="D55" t="str">
        <f>_xlfn.CONCAT(Tbl_Loan1[[#This Row],[Maandnummer ]],Tbl_Loan1[[#This Row],[Year]])</f>
        <v>62015</v>
      </c>
      <c r="E55" s="23">
        <f t="shared" si="2"/>
        <v>54</v>
      </c>
      <c r="F55" s="28">
        <v>42180</v>
      </c>
      <c r="G55" s="23">
        <f>MONTH(Tbl_Loan1[[#This Row],[Payment date]])</f>
        <v>6</v>
      </c>
      <c r="H55" s="23" t="str">
        <f>VLOOKUP(Tbl_Loan1[[#This Row],[Maandnummer ]],Tbl_Months[],2,FALSE)</f>
        <v>June</v>
      </c>
      <c r="I55" s="23" t="str">
        <f>VLOOKUP(Tbl_Loan1[[#This Row],[Maandnummer ]],Tbl_Months[],3,FALSE)</f>
        <v>II</v>
      </c>
      <c r="J55" s="23">
        <f>YEAR(Tbl_Loan1[[#This Row],[Payment date]])</f>
        <v>2015</v>
      </c>
      <c r="K55" s="23" t="str">
        <f>_xlfn.CONCAT(Tbl_Loan1[[#This Row],[Year]],Tbl_Loan1[[#This Row],[Quarter]])</f>
        <v>2015II</v>
      </c>
      <c r="L55" s="25">
        <f t="shared" si="0"/>
        <v>1289514.754009726</v>
      </c>
      <c r="M55" s="26">
        <f t="shared" si="1"/>
        <v>6452.5136626411149</v>
      </c>
      <c r="N55" s="25">
        <f>B$5*Tbl_Loan1[[#This Row],[Initial debt]]</f>
        <v>2287.9216322329798</v>
      </c>
      <c r="O55" s="25">
        <f>Tbl_Loan1[[#This Row],[Annuity]]-Tbl_Loan1[[#This Row],[Interest amount]]</f>
        <v>4164.5920304081355</v>
      </c>
      <c r="P55" s="25">
        <f>Tbl_Loan1[[#This Row],[Initial debt]]-Tbl_Loan1[[#This Row],[Redemption amount]]</f>
        <v>1285350.1619793179</v>
      </c>
    </row>
    <row r="56" spans="4:16" x14ac:dyDescent="0.25">
      <c r="D56" t="str">
        <f>_xlfn.CONCAT(Tbl_Loan1[[#This Row],[Maandnummer ]],Tbl_Loan1[[#This Row],[Year]])</f>
        <v>72015</v>
      </c>
      <c r="E56" s="23">
        <f t="shared" si="2"/>
        <v>55</v>
      </c>
      <c r="F56" s="28">
        <v>42210</v>
      </c>
      <c r="G56" s="23">
        <f>MONTH(Tbl_Loan1[[#This Row],[Payment date]])</f>
        <v>7</v>
      </c>
      <c r="H56" s="23" t="str">
        <f>VLOOKUP(Tbl_Loan1[[#This Row],[Maandnummer ]],Tbl_Months[],2,FALSE)</f>
        <v>July</v>
      </c>
      <c r="I56" s="23" t="str">
        <f>VLOOKUP(Tbl_Loan1[[#This Row],[Maandnummer ]],Tbl_Months[],3,FALSE)</f>
        <v>III</v>
      </c>
      <c r="J56" s="23">
        <f>YEAR(Tbl_Loan1[[#This Row],[Payment date]])</f>
        <v>2015</v>
      </c>
      <c r="K56" s="23" t="str">
        <f>_xlfn.CONCAT(Tbl_Loan1[[#This Row],[Year]],Tbl_Loan1[[#This Row],[Quarter]])</f>
        <v>2015III</v>
      </c>
      <c r="L56" s="25">
        <f t="shared" si="0"/>
        <v>1285350.1619793179</v>
      </c>
      <c r="M56" s="26">
        <f t="shared" si="1"/>
        <v>6452.5136626411149</v>
      </c>
      <c r="N56" s="25">
        <f>B$5*Tbl_Loan1[[#This Row],[Initial debt]]</f>
        <v>2280.532604564884</v>
      </c>
      <c r="O56" s="25">
        <f>Tbl_Loan1[[#This Row],[Annuity]]-Tbl_Loan1[[#This Row],[Interest amount]]</f>
        <v>4171.9810580762314</v>
      </c>
      <c r="P56" s="25">
        <f>Tbl_Loan1[[#This Row],[Initial debt]]-Tbl_Loan1[[#This Row],[Redemption amount]]</f>
        <v>1281178.1809212416</v>
      </c>
    </row>
    <row r="57" spans="4:16" x14ac:dyDescent="0.25">
      <c r="D57" t="str">
        <f>_xlfn.CONCAT(Tbl_Loan1[[#This Row],[Maandnummer ]],Tbl_Loan1[[#This Row],[Year]])</f>
        <v>82015</v>
      </c>
      <c r="E57" s="23">
        <f t="shared" si="2"/>
        <v>56</v>
      </c>
      <c r="F57" s="28">
        <v>42241</v>
      </c>
      <c r="G57" s="23">
        <f>MONTH(Tbl_Loan1[[#This Row],[Payment date]])</f>
        <v>8</v>
      </c>
      <c r="H57" s="23" t="str">
        <f>VLOOKUP(Tbl_Loan1[[#This Row],[Maandnummer ]],Tbl_Months[],2,FALSE)</f>
        <v>August</v>
      </c>
      <c r="I57" s="23" t="str">
        <f>VLOOKUP(Tbl_Loan1[[#This Row],[Maandnummer ]],Tbl_Months[],3,FALSE)</f>
        <v>III</v>
      </c>
      <c r="J57" s="23">
        <f>YEAR(Tbl_Loan1[[#This Row],[Payment date]])</f>
        <v>2015</v>
      </c>
      <c r="K57" s="23" t="str">
        <f>_xlfn.CONCAT(Tbl_Loan1[[#This Row],[Year]],Tbl_Loan1[[#This Row],[Quarter]])</f>
        <v>2015III</v>
      </c>
      <c r="L57" s="25">
        <f t="shared" si="0"/>
        <v>1281178.1809212416</v>
      </c>
      <c r="M57" s="26">
        <f t="shared" si="1"/>
        <v>6452.5136626411149</v>
      </c>
      <c r="N57" s="25">
        <f>B$5*Tbl_Loan1[[#This Row],[Initial debt]]</f>
        <v>2273.1304669139895</v>
      </c>
      <c r="O57" s="25">
        <f>Tbl_Loan1[[#This Row],[Annuity]]-Tbl_Loan1[[#This Row],[Interest amount]]</f>
        <v>4179.383195727125</v>
      </c>
      <c r="P57" s="25">
        <f>Tbl_Loan1[[#This Row],[Initial debt]]-Tbl_Loan1[[#This Row],[Redemption amount]]</f>
        <v>1276998.7977255145</v>
      </c>
    </row>
    <row r="58" spans="4:16" x14ac:dyDescent="0.25">
      <c r="D58" t="str">
        <f>_xlfn.CONCAT(Tbl_Loan1[[#This Row],[Maandnummer ]],Tbl_Loan1[[#This Row],[Year]])</f>
        <v>92015</v>
      </c>
      <c r="E58" s="23">
        <f t="shared" si="2"/>
        <v>57</v>
      </c>
      <c r="F58" s="28">
        <v>42272</v>
      </c>
      <c r="G58" s="23">
        <f>MONTH(Tbl_Loan1[[#This Row],[Payment date]])</f>
        <v>9</v>
      </c>
      <c r="H58" s="23" t="str">
        <f>VLOOKUP(Tbl_Loan1[[#This Row],[Maandnummer ]],Tbl_Months[],2,FALSE)</f>
        <v>September</v>
      </c>
      <c r="I58" s="23" t="str">
        <f>VLOOKUP(Tbl_Loan1[[#This Row],[Maandnummer ]],Tbl_Months[],3,FALSE)</f>
        <v>III</v>
      </c>
      <c r="J58" s="23">
        <f>YEAR(Tbl_Loan1[[#This Row],[Payment date]])</f>
        <v>2015</v>
      </c>
      <c r="K58" s="23" t="str">
        <f>_xlfn.CONCAT(Tbl_Loan1[[#This Row],[Year]],Tbl_Loan1[[#This Row],[Quarter]])</f>
        <v>2015III</v>
      </c>
      <c r="L58" s="25">
        <f t="shared" si="0"/>
        <v>1276998.7977255145</v>
      </c>
      <c r="M58" s="26">
        <f t="shared" si="1"/>
        <v>6452.5136626411149</v>
      </c>
      <c r="N58" s="25">
        <f>B$5*Tbl_Loan1[[#This Row],[Initial debt]]</f>
        <v>2265.7151960199094</v>
      </c>
      <c r="O58" s="25">
        <f>Tbl_Loan1[[#This Row],[Annuity]]-Tbl_Loan1[[#This Row],[Interest amount]]</f>
        <v>4186.7984666212051</v>
      </c>
      <c r="P58" s="25">
        <f>Tbl_Loan1[[#This Row],[Initial debt]]-Tbl_Loan1[[#This Row],[Redemption amount]]</f>
        <v>1272811.9992588933</v>
      </c>
    </row>
    <row r="59" spans="4:16" x14ac:dyDescent="0.25">
      <c r="D59" t="str">
        <f>_xlfn.CONCAT(Tbl_Loan1[[#This Row],[Maandnummer ]],Tbl_Loan1[[#This Row],[Year]])</f>
        <v>102015</v>
      </c>
      <c r="E59" s="23">
        <f t="shared" si="2"/>
        <v>58</v>
      </c>
      <c r="F59" s="28">
        <v>42302</v>
      </c>
      <c r="G59" s="23">
        <f>MONTH(Tbl_Loan1[[#This Row],[Payment date]])</f>
        <v>10</v>
      </c>
      <c r="H59" s="23" t="str">
        <f>VLOOKUP(Tbl_Loan1[[#This Row],[Maandnummer ]],Tbl_Months[],2,FALSE)</f>
        <v>October</v>
      </c>
      <c r="I59" s="23" t="str">
        <f>VLOOKUP(Tbl_Loan1[[#This Row],[Maandnummer ]],Tbl_Months[],3,FALSE)</f>
        <v>IV</v>
      </c>
      <c r="J59" s="23">
        <f>YEAR(Tbl_Loan1[[#This Row],[Payment date]])</f>
        <v>2015</v>
      </c>
      <c r="K59" s="23" t="str">
        <f>_xlfn.CONCAT(Tbl_Loan1[[#This Row],[Year]],Tbl_Loan1[[#This Row],[Quarter]])</f>
        <v>2015IV</v>
      </c>
      <c r="L59" s="25">
        <f t="shared" si="0"/>
        <v>1272811.9992588933</v>
      </c>
      <c r="M59" s="26">
        <f t="shared" si="1"/>
        <v>6452.5136626411149</v>
      </c>
      <c r="N59" s="25">
        <f>B$5*Tbl_Loan1[[#This Row],[Initial debt]]</f>
        <v>2258.2867685809861</v>
      </c>
      <c r="O59" s="25">
        <f>Tbl_Loan1[[#This Row],[Annuity]]-Tbl_Loan1[[#This Row],[Interest amount]]</f>
        <v>4194.2268940601289</v>
      </c>
      <c r="P59" s="25">
        <f>Tbl_Loan1[[#This Row],[Initial debt]]-Tbl_Loan1[[#This Row],[Redemption amount]]</f>
        <v>1268617.7723648332</v>
      </c>
    </row>
    <row r="60" spans="4:16" x14ac:dyDescent="0.25">
      <c r="D60" t="str">
        <f>_xlfn.CONCAT(Tbl_Loan1[[#This Row],[Maandnummer ]],Tbl_Loan1[[#This Row],[Year]])</f>
        <v>112015</v>
      </c>
      <c r="E60" s="23">
        <f t="shared" si="2"/>
        <v>59</v>
      </c>
      <c r="F60" s="28">
        <v>42333</v>
      </c>
      <c r="G60" s="23">
        <f>MONTH(Tbl_Loan1[[#This Row],[Payment date]])</f>
        <v>11</v>
      </c>
      <c r="H60" s="23" t="str">
        <f>VLOOKUP(Tbl_Loan1[[#This Row],[Maandnummer ]],Tbl_Months[],2,FALSE)</f>
        <v>November</v>
      </c>
      <c r="I60" s="23" t="str">
        <f>VLOOKUP(Tbl_Loan1[[#This Row],[Maandnummer ]],Tbl_Months[],3,FALSE)</f>
        <v>IV</v>
      </c>
      <c r="J60" s="23">
        <f>YEAR(Tbl_Loan1[[#This Row],[Payment date]])</f>
        <v>2015</v>
      </c>
      <c r="K60" s="23" t="str">
        <f>_xlfn.CONCAT(Tbl_Loan1[[#This Row],[Year]],Tbl_Loan1[[#This Row],[Quarter]])</f>
        <v>2015IV</v>
      </c>
      <c r="L60" s="25">
        <f t="shared" si="0"/>
        <v>1268617.7723648332</v>
      </c>
      <c r="M60" s="26">
        <f t="shared" si="1"/>
        <v>6452.5136626411149</v>
      </c>
      <c r="N60" s="25">
        <f>B$5*Tbl_Loan1[[#This Row],[Initial debt]]</f>
        <v>2250.8451612542185</v>
      </c>
      <c r="O60" s="25">
        <f>Tbl_Loan1[[#This Row],[Annuity]]-Tbl_Loan1[[#This Row],[Interest amount]]</f>
        <v>4201.6685013868964</v>
      </c>
      <c r="P60" s="25">
        <f>Tbl_Loan1[[#This Row],[Initial debt]]-Tbl_Loan1[[#This Row],[Redemption amount]]</f>
        <v>1264416.1038634463</v>
      </c>
    </row>
    <row r="61" spans="4:16" x14ac:dyDescent="0.25">
      <c r="D61" t="str">
        <f>_xlfn.CONCAT(Tbl_Loan1[[#This Row],[Maandnummer ]],Tbl_Loan1[[#This Row],[Year]])</f>
        <v>122015</v>
      </c>
      <c r="E61" s="23">
        <f t="shared" si="2"/>
        <v>60</v>
      </c>
      <c r="F61" s="28">
        <v>42363</v>
      </c>
      <c r="G61" s="23">
        <f>MONTH(Tbl_Loan1[[#This Row],[Payment date]])</f>
        <v>12</v>
      </c>
      <c r="H61" s="23" t="str">
        <f>VLOOKUP(Tbl_Loan1[[#This Row],[Maandnummer ]],Tbl_Months[],2,FALSE)</f>
        <v>December</v>
      </c>
      <c r="I61" s="23" t="str">
        <f>VLOOKUP(Tbl_Loan1[[#This Row],[Maandnummer ]],Tbl_Months[],3,FALSE)</f>
        <v>IV</v>
      </c>
      <c r="J61" s="23">
        <f>YEAR(Tbl_Loan1[[#This Row],[Payment date]])</f>
        <v>2015</v>
      </c>
      <c r="K61" s="23" t="str">
        <f>_xlfn.CONCAT(Tbl_Loan1[[#This Row],[Year]],Tbl_Loan1[[#This Row],[Quarter]])</f>
        <v>2015IV</v>
      </c>
      <c r="L61" s="25">
        <f t="shared" si="0"/>
        <v>1264416.1038634463</v>
      </c>
      <c r="M61" s="26">
        <f t="shared" si="1"/>
        <v>6452.5136626411149</v>
      </c>
      <c r="N61" s="25">
        <f>B$5*Tbl_Loan1[[#This Row],[Initial debt]]</f>
        <v>2243.3903506551906</v>
      </c>
      <c r="O61" s="25">
        <f>Tbl_Loan1[[#This Row],[Annuity]]-Tbl_Loan1[[#This Row],[Interest amount]]</f>
        <v>4209.1233119859244</v>
      </c>
      <c r="P61" s="25">
        <f>Tbl_Loan1[[#This Row],[Initial debt]]-Tbl_Loan1[[#This Row],[Redemption amount]]</f>
        <v>1260206.9805514603</v>
      </c>
    </row>
    <row r="62" spans="4:16" x14ac:dyDescent="0.25">
      <c r="D62" t="str">
        <f>_xlfn.CONCAT(Tbl_Loan1[[#This Row],[Maandnummer ]],Tbl_Loan1[[#This Row],[Year]])</f>
        <v>12016</v>
      </c>
      <c r="E62" s="23">
        <f t="shared" si="2"/>
        <v>61</v>
      </c>
      <c r="F62" s="28">
        <v>42394</v>
      </c>
      <c r="G62" s="23">
        <f>MONTH(Tbl_Loan1[[#This Row],[Payment date]])</f>
        <v>1</v>
      </c>
      <c r="H62" s="23" t="str">
        <f>VLOOKUP(Tbl_Loan1[[#This Row],[Maandnummer ]],Tbl_Months[],2,FALSE)</f>
        <v>January</v>
      </c>
      <c r="I62" s="23" t="str">
        <f>VLOOKUP(Tbl_Loan1[[#This Row],[Maandnummer ]],Tbl_Months[],3,FALSE)</f>
        <v>I</v>
      </c>
      <c r="J62" s="23">
        <f>YEAR(Tbl_Loan1[[#This Row],[Payment date]])</f>
        <v>2016</v>
      </c>
      <c r="K62" s="23" t="str">
        <f>_xlfn.CONCAT(Tbl_Loan1[[#This Row],[Year]],Tbl_Loan1[[#This Row],[Quarter]])</f>
        <v>2016I</v>
      </c>
      <c r="L62" s="25">
        <f t="shared" si="0"/>
        <v>1260206.9805514603</v>
      </c>
      <c r="M62" s="26">
        <f t="shared" si="1"/>
        <v>6452.5136626411149</v>
      </c>
      <c r="N62" s="25">
        <f>B$5*Tbl_Loan1[[#This Row],[Initial debt]]</f>
        <v>2235.9223133579944</v>
      </c>
      <c r="O62" s="25">
        <f>Tbl_Loan1[[#This Row],[Annuity]]-Tbl_Loan1[[#This Row],[Interest amount]]</f>
        <v>4216.5913492831205</v>
      </c>
      <c r="P62" s="25">
        <f>Tbl_Loan1[[#This Row],[Initial debt]]-Tbl_Loan1[[#This Row],[Redemption amount]]</f>
        <v>1255990.3892021771</v>
      </c>
    </row>
    <row r="63" spans="4:16" x14ac:dyDescent="0.25">
      <c r="D63" t="str">
        <f>_xlfn.CONCAT(Tbl_Loan1[[#This Row],[Maandnummer ]],Tbl_Loan1[[#This Row],[Year]])</f>
        <v>22016</v>
      </c>
      <c r="E63" s="23">
        <f t="shared" si="2"/>
        <v>62</v>
      </c>
      <c r="F63" s="28">
        <v>42425</v>
      </c>
      <c r="G63" s="23">
        <f>MONTH(Tbl_Loan1[[#This Row],[Payment date]])</f>
        <v>2</v>
      </c>
      <c r="H63" s="23" t="str">
        <f>VLOOKUP(Tbl_Loan1[[#This Row],[Maandnummer ]],Tbl_Months[],2,FALSE)</f>
        <v>February</v>
      </c>
      <c r="I63" s="23" t="str">
        <f>VLOOKUP(Tbl_Loan1[[#This Row],[Maandnummer ]],Tbl_Months[],3,FALSE)</f>
        <v>I</v>
      </c>
      <c r="J63" s="23">
        <f>YEAR(Tbl_Loan1[[#This Row],[Payment date]])</f>
        <v>2016</v>
      </c>
      <c r="K63" s="23" t="str">
        <f>_xlfn.CONCAT(Tbl_Loan1[[#This Row],[Year]],Tbl_Loan1[[#This Row],[Quarter]])</f>
        <v>2016I</v>
      </c>
      <c r="L63" s="25">
        <f t="shared" si="0"/>
        <v>1255990.3892021771</v>
      </c>
      <c r="M63" s="26">
        <f t="shared" si="1"/>
        <v>6452.5136626411149</v>
      </c>
      <c r="N63" s="25">
        <f>B$5*Tbl_Loan1[[#This Row],[Initial debt]]</f>
        <v>2228.4410258951611</v>
      </c>
      <c r="O63" s="25">
        <f>Tbl_Loan1[[#This Row],[Annuity]]-Tbl_Loan1[[#This Row],[Interest amount]]</f>
        <v>4224.0726367459538</v>
      </c>
      <c r="P63" s="25">
        <f>Tbl_Loan1[[#This Row],[Initial debt]]-Tbl_Loan1[[#This Row],[Redemption amount]]</f>
        <v>1251766.3165654312</v>
      </c>
    </row>
    <row r="64" spans="4:16" x14ac:dyDescent="0.25">
      <c r="D64" t="str">
        <f>_xlfn.CONCAT(Tbl_Loan1[[#This Row],[Maandnummer ]],Tbl_Loan1[[#This Row],[Year]])</f>
        <v>32016</v>
      </c>
      <c r="E64" s="23">
        <f t="shared" si="2"/>
        <v>63</v>
      </c>
      <c r="F64" s="28">
        <v>42454</v>
      </c>
      <c r="G64" s="23">
        <f>MONTH(Tbl_Loan1[[#This Row],[Payment date]])</f>
        <v>3</v>
      </c>
      <c r="H64" s="23" t="str">
        <f>VLOOKUP(Tbl_Loan1[[#This Row],[Maandnummer ]],Tbl_Months[],2,FALSE)</f>
        <v>March</v>
      </c>
      <c r="I64" s="23" t="str">
        <f>VLOOKUP(Tbl_Loan1[[#This Row],[Maandnummer ]],Tbl_Months[],3,FALSE)</f>
        <v>I</v>
      </c>
      <c r="J64" s="23">
        <f>YEAR(Tbl_Loan1[[#This Row],[Payment date]])</f>
        <v>2016</v>
      </c>
      <c r="K64" s="23" t="str">
        <f>_xlfn.CONCAT(Tbl_Loan1[[#This Row],[Year]],Tbl_Loan1[[#This Row],[Quarter]])</f>
        <v>2016I</v>
      </c>
      <c r="L64" s="25">
        <f t="shared" si="0"/>
        <v>1251766.3165654312</v>
      </c>
      <c r="M64" s="26">
        <f t="shared" si="1"/>
        <v>6452.5136626411149</v>
      </c>
      <c r="N64" s="25">
        <f>B$5*Tbl_Loan1[[#This Row],[Initial debt]]</f>
        <v>2220.9464647575837</v>
      </c>
      <c r="O64" s="25">
        <f>Tbl_Loan1[[#This Row],[Annuity]]-Tbl_Loan1[[#This Row],[Interest amount]]</f>
        <v>4231.5671978835308</v>
      </c>
      <c r="P64" s="25">
        <f>Tbl_Loan1[[#This Row],[Initial debt]]-Tbl_Loan1[[#This Row],[Redemption amount]]</f>
        <v>1247534.7493675477</v>
      </c>
    </row>
    <row r="65" spans="4:16" x14ac:dyDescent="0.25">
      <c r="D65" t="str">
        <f>_xlfn.CONCAT(Tbl_Loan1[[#This Row],[Maandnummer ]],Tbl_Loan1[[#This Row],[Year]])</f>
        <v>42016</v>
      </c>
      <c r="E65" s="23">
        <f t="shared" si="2"/>
        <v>64</v>
      </c>
      <c r="F65" s="28">
        <v>42485</v>
      </c>
      <c r="G65" s="23">
        <f>MONTH(Tbl_Loan1[[#This Row],[Payment date]])</f>
        <v>4</v>
      </c>
      <c r="H65" s="23" t="str">
        <f>VLOOKUP(Tbl_Loan1[[#This Row],[Maandnummer ]],Tbl_Months[],2,FALSE)</f>
        <v>April</v>
      </c>
      <c r="I65" s="23" t="str">
        <f>VLOOKUP(Tbl_Loan1[[#This Row],[Maandnummer ]],Tbl_Months[],3,FALSE)</f>
        <v>II</v>
      </c>
      <c r="J65" s="23">
        <f>YEAR(Tbl_Loan1[[#This Row],[Payment date]])</f>
        <v>2016</v>
      </c>
      <c r="K65" s="23" t="str">
        <f>_xlfn.CONCAT(Tbl_Loan1[[#This Row],[Year]],Tbl_Loan1[[#This Row],[Quarter]])</f>
        <v>2016II</v>
      </c>
      <c r="L65" s="25">
        <f t="shared" si="0"/>
        <v>1247534.7493675477</v>
      </c>
      <c r="M65" s="26">
        <f t="shared" si="1"/>
        <v>6452.5136626411149</v>
      </c>
      <c r="N65" s="25">
        <f>B$5*Tbl_Loan1[[#This Row],[Initial debt]]</f>
        <v>2213.438606394443</v>
      </c>
      <c r="O65" s="25">
        <f>Tbl_Loan1[[#This Row],[Annuity]]-Tbl_Loan1[[#This Row],[Interest amount]]</f>
        <v>4239.0750562466719</v>
      </c>
      <c r="P65" s="25">
        <f>Tbl_Loan1[[#This Row],[Initial debt]]-Tbl_Loan1[[#This Row],[Redemption amount]]</f>
        <v>1243295.674311301</v>
      </c>
    </row>
    <row r="66" spans="4:16" x14ac:dyDescent="0.25">
      <c r="D66" t="str">
        <f>_xlfn.CONCAT(Tbl_Loan1[[#This Row],[Maandnummer ]],Tbl_Loan1[[#This Row],[Year]])</f>
        <v>52016</v>
      </c>
      <c r="E66" s="23">
        <f t="shared" si="2"/>
        <v>65</v>
      </c>
      <c r="F66" s="28">
        <v>42515</v>
      </c>
      <c r="G66" s="23">
        <f>MONTH(Tbl_Loan1[[#This Row],[Payment date]])</f>
        <v>5</v>
      </c>
      <c r="H66" s="23" t="str">
        <f>VLOOKUP(Tbl_Loan1[[#This Row],[Maandnummer ]],Tbl_Months[],2,FALSE)</f>
        <v>May</v>
      </c>
      <c r="I66" s="23" t="str">
        <f>VLOOKUP(Tbl_Loan1[[#This Row],[Maandnummer ]],Tbl_Months[],3,FALSE)</f>
        <v>II</v>
      </c>
      <c r="J66" s="23">
        <f>YEAR(Tbl_Loan1[[#This Row],[Payment date]])</f>
        <v>2016</v>
      </c>
      <c r="K66" s="23" t="str">
        <f>_xlfn.CONCAT(Tbl_Loan1[[#This Row],[Year]],Tbl_Loan1[[#This Row],[Quarter]])</f>
        <v>2016II</v>
      </c>
      <c r="L66" s="25">
        <f t="shared" ref="L66:L129" si="3">IF(P65="Residual debt",B$1,P65)</f>
        <v>1243295.674311301</v>
      </c>
      <c r="M66" s="26">
        <f t="shared" ref="M66:M129" si="4">B$6</f>
        <v>6452.5136626411149</v>
      </c>
      <c r="N66" s="25">
        <f>B$5*Tbl_Loan1[[#This Row],[Initial debt]]</f>
        <v>2205.9174272131359</v>
      </c>
      <c r="O66" s="25">
        <f>Tbl_Loan1[[#This Row],[Annuity]]-Tbl_Loan1[[#This Row],[Interest amount]]</f>
        <v>4246.5962354279791</v>
      </c>
      <c r="P66" s="25">
        <f>Tbl_Loan1[[#This Row],[Initial debt]]-Tbl_Loan1[[#This Row],[Redemption amount]]</f>
        <v>1239049.078075873</v>
      </c>
    </row>
    <row r="67" spans="4:16" x14ac:dyDescent="0.25">
      <c r="D67" t="str">
        <f>_xlfn.CONCAT(Tbl_Loan1[[#This Row],[Maandnummer ]],Tbl_Loan1[[#This Row],[Year]])</f>
        <v>62016</v>
      </c>
      <c r="E67" s="23">
        <f t="shared" si="2"/>
        <v>66</v>
      </c>
      <c r="F67" s="28">
        <v>42546</v>
      </c>
      <c r="G67" s="23">
        <f>MONTH(Tbl_Loan1[[#This Row],[Payment date]])</f>
        <v>6</v>
      </c>
      <c r="H67" s="23" t="str">
        <f>VLOOKUP(Tbl_Loan1[[#This Row],[Maandnummer ]],Tbl_Months[],2,FALSE)</f>
        <v>June</v>
      </c>
      <c r="I67" s="23" t="str">
        <f>VLOOKUP(Tbl_Loan1[[#This Row],[Maandnummer ]],Tbl_Months[],3,FALSE)</f>
        <v>II</v>
      </c>
      <c r="J67" s="23">
        <f>YEAR(Tbl_Loan1[[#This Row],[Payment date]])</f>
        <v>2016</v>
      </c>
      <c r="K67" s="23" t="str">
        <f>_xlfn.CONCAT(Tbl_Loan1[[#This Row],[Year]],Tbl_Loan1[[#This Row],[Quarter]])</f>
        <v>2016II</v>
      </c>
      <c r="L67" s="25">
        <f t="shared" si="3"/>
        <v>1239049.078075873</v>
      </c>
      <c r="M67" s="26">
        <f t="shared" si="4"/>
        <v>6452.5136626411149</v>
      </c>
      <c r="N67" s="25">
        <f>B$5*Tbl_Loan1[[#This Row],[Initial debt]]</f>
        <v>2198.3829035792005</v>
      </c>
      <c r="O67" s="25">
        <f>Tbl_Loan1[[#This Row],[Annuity]]-Tbl_Loan1[[#This Row],[Interest amount]]</f>
        <v>4254.1307590619144</v>
      </c>
      <c r="P67" s="25">
        <f>Tbl_Loan1[[#This Row],[Initial debt]]-Tbl_Loan1[[#This Row],[Redemption amount]]</f>
        <v>1234794.947316811</v>
      </c>
    </row>
    <row r="68" spans="4:16" x14ac:dyDescent="0.25">
      <c r="D68" t="str">
        <f>_xlfn.CONCAT(Tbl_Loan1[[#This Row],[Maandnummer ]],Tbl_Loan1[[#This Row],[Year]])</f>
        <v>72016</v>
      </c>
      <c r="E68" s="23">
        <f t="shared" si="2"/>
        <v>67</v>
      </c>
      <c r="F68" s="28">
        <v>42576</v>
      </c>
      <c r="G68" s="23">
        <f>MONTH(Tbl_Loan1[[#This Row],[Payment date]])</f>
        <v>7</v>
      </c>
      <c r="H68" s="23" t="str">
        <f>VLOOKUP(Tbl_Loan1[[#This Row],[Maandnummer ]],Tbl_Months[],2,FALSE)</f>
        <v>July</v>
      </c>
      <c r="I68" s="23" t="str">
        <f>VLOOKUP(Tbl_Loan1[[#This Row],[Maandnummer ]],Tbl_Months[],3,FALSE)</f>
        <v>III</v>
      </c>
      <c r="J68" s="23">
        <f>YEAR(Tbl_Loan1[[#This Row],[Payment date]])</f>
        <v>2016</v>
      </c>
      <c r="K68" s="23" t="str">
        <f>_xlfn.CONCAT(Tbl_Loan1[[#This Row],[Year]],Tbl_Loan1[[#This Row],[Quarter]])</f>
        <v>2016III</v>
      </c>
      <c r="L68" s="25">
        <f t="shared" si="3"/>
        <v>1234794.947316811</v>
      </c>
      <c r="M68" s="26">
        <f t="shared" si="4"/>
        <v>6452.5136626411149</v>
      </c>
      <c r="N68" s="25">
        <f>B$5*Tbl_Loan1[[#This Row],[Initial debt]]</f>
        <v>2190.8350118162402</v>
      </c>
      <c r="O68" s="25">
        <f>Tbl_Loan1[[#This Row],[Annuity]]-Tbl_Loan1[[#This Row],[Interest amount]]</f>
        <v>4261.6786508248751</v>
      </c>
      <c r="P68" s="25">
        <f>Tbl_Loan1[[#This Row],[Initial debt]]-Tbl_Loan1[[#This Row],[Redemption amount]]</f>
        <v>1230533.2686659861</v>
      </c>
    </row>
    <row r="69" spans="4:16" x14ac:dyDescent="0.25">
      <c r="D69" t="str">
        <f>_xlfn.CONCAT(Tbl_Loan1[[#This Row],[Maandnummer ]],Tbl_Loan1[[#This Row],[Year]])</f>
        <v>82016</v>
      </c>
      <c r="E69" s="23">
        <f t="shared" ref="E69:E132" si="5">E68+1</f>
        <v>68</v>
      </c>
      <c r="F69" s="28">
        <v>42607</v>
      </c>
      <c r="G69" s="23">
        <f>MONTH(Tbl_Loan1[[#This Row],[Payment date]])</f>
        <v>8</v>
      </c>
      <c r="H69" s="23" t="str">
        <f>VLOOKUP(Tbl_Loan1[[#This Row],[Maandnummer ]],Tbl_Months[],2,FALSE)</f>
        <v>August</v>
      </c>
      <c r="I69" s="23" t="str">
        <f>VLOOKUP(Tbl_Loan1[[#This Row],[Maandnummer ]],Tbl_Months[],3,FALSE)</f>
        <v>III</v>
      </c>
      <c r="J69" s="23">
        <f>YEAR(Tbl_Loan1[[#This Row],[Payment date]])</f>
        <v>2016</v>
      </c>
      <c r="K69" s="23" t="str">
        <f>_xlfn.CONCAT(Tbl_Loan1[[#This Row],[Year]],Tbl_Loan1[[#This Row],[Quarter]])</f>
        <v>2016III</v>
      </c>
      <c r="L69" s="25">
        <f t="shared" si="3"/>
        <v>1230533.2686659861</v>
      </c>
      <c r="M69" s="26">
        <f t="shared" si="4"/>
        <v>6452.5136626411149</v>
      </c>
      <c r="N69" s="25">
        <f>B$5*Tbl_Loan1[[#This Row],[Initial debt]]</f>
        <v>2183.273728205852</v>
      </c>
      <c r="O69" s="25">
        <f>Tbl_Loan1[[#This Row],[Annuity]]-Tbl_Loan1[[#This Row],[Interest amount]]</f>
        <v>4269.2399344352634</v>
      </c>
      <c r="P69" s="25">
        <f>Tbl_Loan1[[#This Row],[Initial debt]]-Tbl_Loan1[[#This Row],[Redemption amount]]</f>
        <v>1226264.0287315508</v>
      </c>
    </row>
    <row r="70" spans="4:16" x14ac:dyDescent="0.25">
      <c r="D70" t="str">
        <f>_xlfn.CONCAT(Tbl_Loan1[[#This Row],[Maandnummer ]],Tbl_Loan1[[#This Row],[Year]])</f>
        <v>92016</v>
      </c>
      <c r="E70" s="23">
        <f t="shared" si="5"/>
        <v>69</v>
      </c>
      <c r="F70" s="28">
        <v>42638</v>
      </c>
      <c r="G70" s="23">
        <f>MONTH(Tbl_Loan1[[#This Row],[Payment date]])</f>
        <v>9</v>
      </c>
      <c r="H70" s="23" t="str">
        <f>VLOOKUP(Tbl_Loan1[[#This Row],[Maandnummer ]],Tbl_Months[],2,FALSE)</f>
        <v>September</v>
      </c>
      <c r="I70" s="23" t="str">
        <f>VLOOKUP(Tbl_Loan1[[#This Row],[Maandnummer ]],Tbl_Months[],3,FALSE)</f>
        <v>III</v>
      </c>
      <c r="J70" s="23">
        <f>YEAR(Tbl_Loan1[[#This Row],[Payment date]])</f>
        <v>2016</v>
      </c>
      <c r="K70" s="23" t="str">
        <f>_xlfn.CONCAT(Tbl_Loan1[[#This Row],[Year]],Tbl_Loan1[[#This Row],[Quarter]])</f>
        <v>2016III</v>
      </c>
      <c r="L70" s="25">
        <f t="shared" si="3"/>
        <v>1226264.0287315508</v>
      </c>
      <c r="M70" s="26">
        <f t="shared" si="4"/>
        <v>6452.5136626411149</v>
      </c>
      <c r="N70" s="25">
        <f>B$5*Tbl_Loan1[[#This Row],[Initial debt]]</f>
        <v>2175.6990289875494</v>
      </c>
      <c r="O70" s="25">
        <f>Tbl_Loan1[[#This Row],[Annuity]]-Tbl_Loan1[[#This Row],[Interest amount]]</f>
        <v>4276.8146336535656</v>
      </c>
      <c r="P70" s="25">
        <f>Tbl_Loan1[[#This Row],[Initial debt]]-Tbl_Loan1[[#This Row],[Redemption amount]]</f>
        <v>1221987.2140978973</v>
      </c>
    </row>
    <row r="71" spans="4:16" x14ac:dyDescent="0.25">
      <c r="D71" t="str">
        <f>_xlfn.CONCAT(Tbl_Loan1[[#This Row],[Maandnummer ]],Tbl_Loan1[[#This Row],[Year]])</f>
        <v>102016</v>
      </c>
      <c r="E71" s="23">
        <f t="shared" si="5"/>
        <v>70</v>
      </c>
      <c r="F71" s="28">
        <v>42668</v>
      </c>
      <c r="G71" s="23">
        <f>MONTH(Tbl_Loan1[[#This Row],[Payment date]])</f>
        <v>10</v>
      </c>
      <c r="H71" s="23" t="str">
        <f>VLOOKUP(Tbl_Loan1[[#This Row],[Maandnummer ]],Tbl_Months[],2,FALSE)</f>
        <v>October</v>
      </c>
      <c r="I71" s="23" t="str">
        <f>VLOOKUP(Tbl_Loan1[[#This Row],[Maandnummer ]],Tbl_Months[],3,FALSE)</f>
        <v>IV</v>
      </c>
      <c r="J71" s="23">
        <f>YEAR(Tbl_Loan1[[#This Row],[Payment date]])</f>
        <v>2016</v>
      </c>
      <c r="K71" s="23" t="str">
        <f>_xlfn.CONCAT(Tbl_Loan1[[#This Row],[Year]],Tbl_Loan1[[#This Row],[Quarter]])</f>
        <v>2016IV</v>
      </c>
      <c r="L71" s="25">
        <f t="shared" si="3"/>
        <v>1221987.2140978973</v>
      </c>
      <c r="M71" s="26">
        <f t="shared" si="4"/>
        <v>6452.5136626411149</v>
      </c>
      <c r="N71" s="25">
        <f>B$5*Tbl_Loan1[[#This Row],[Initial debt]]</f>
        <v>2168.1108903586887</v>
      </c>
      <c r="O71" s="25">
        <f>Tbl_Loan1[[#This Row],[Annuity]]-Tbl_Loan1[[#This Row],[Interest amount]]</f>
        <v>4284.4027722824267</v>
      </c>
      <c r="P71" s="25">
        <f>Tbl_Loan1[[#This Row],[Initial debt]]-Tbl_Loan1[[#This Row],[Redemption amount]]</f>
        <v>1217702.8113256148</v>
      </c>
    </row>
    <row r="72" spans="4:16" x14ac:dyDescent="0.25">
      <c r="D72" t="str">
        <f>_xlfn.CONCAT(Tbl_Loan1[[#This Row],[Maandnummer ]],Tbl_Loan1[[#This Row],[Year]])</f>
        <v>112016</v>
      </c>
      <c r="E72" s="23">
        <f t="shared" si="5"/>
        <v>71</v>
      </c>
      <c r="F72" s="28">
        <v>42699</v>
      </c>
      <c r="G72" s="23">
        <f>MONTH(Tbl_Loan1[[#This Row],[Payment date]])</f>
        <v>11</v>
      </c>
      <c r="H72" s="23" t="str">
        <f>VLOOKUP(Tbl_Loan1[[#This Row],[Maandnummer ]],Tbl_Months[],2,FALSE)</f>
        <v>November</v>
      </c>
      <c r="I72" s="23" t="str">
        <f>VLOOKUP(Tbl_Loan1[[#This Row],[Maandnummer ]],Tbl_Months[],3,FALSE)</f>
        <v>IV</v>
      </c>
      <c r="J72" s="23">
        <f>YEAR(Tbl_Loan1[[#This Row],[Payment date]])</f>
        <v>2016</v>
      </c>
      <c r="K72" s="23" t="str">
        <f>_xlfn.CONCAT(Tbl_Loan1[[#This Row],[Year]],Tbl_Loan1[[#This Row],[Quarter]])</f>
        <v>2016IV</v>
      </c>
      <c r="L72" s="25">
        <f t="shared" si="3"/>
        <v>1217702.8113256148</v>
      </c>
      <c r="M72" s="26">
        <f t="shared" si="4"/>
        <v>6452.5136626411149</v>
      </c>
      <c r="N72" s="25">
        <f>B$5*Tbl_Loan1[[#This Row],[Initial debt]]</f>
        <v>2160.5092884743958</v>
      </c>
      <c r="O72" s="25">
        <f>Tbl_Loan1[[#This Row],[Annuity]]-Tbl_Loan1[[#This Row],[Interest amount]]</f>
        <v>4292.0043741667196</v>
      </c>
      <c r="P72" s="25">
        <f>Tbl_Loan1[[#This Row],[Initial debt]]-Tbl_Loan1[[#This Row],[Redemption amount]]</f>
        <v>1213410.8069514481</v>
      </c>
    </row>
    <row r="73" spans="4:16" x14ac:dyDescent="0.25">
      <c r="D73" t="str">
        <f>_xlfn.CONCAT(Tbl_Loan1[[#This Row],[Maandnummer ]],Tbl_Loan1[[#This Row],[Year]])</f>
        <v>122016</v>
      </c>
      <c r="E73" s="23">
        <f t="shared" si="5"/>
        <v>72</v>
      </c>
      <c r="F73" s="28">
        <v>42729</v>
      </c>
      <c r="G73" s="23">
        <f>MONTH(Tbl_Loan1[[#This Row],[Payment date]])</f>
        <v>12</v>
      </c>
      <c r="H73" s="23" t="str">
        <f>VLOOKUP(Tbl_Loan1[[#This Row],[Maandnummer ]],Tbl_Months[],2,FALSE)</f>
        <v>December</v>
      </c>
      <c r="I73" s="23" t="str">
        <f>VLOOKUP(Tbl_Loan1[[#This Row],[Maandnummer ]],Tbl_Months[],3,FALSE)</f>
        <v>IV</v>
      </c>
      <c r="J73" s="23">
        <f>YEAR(Tbl_Loan1[[#This Row],[Payment date]])</f>
        <v>2016</v>
      </c>
      <c r="K73" s="23" t="str">
        <f>_xlfn.CONCAT(Tbl_Loan1[[#This Row],[Year]],Tbl_Loan1[[#This Row],[Quarter]])</f>
        <v>2016IV</v>
      </c>
      <c r="L73" s="25">
        <f t="shared" si="3"/>
        <v>1213410.8069514481</v>
      </c>
      <c r="M73" s="26">
        <f t="shared" si="4"/>
        <v>6452.5136626411149</v>
      </c>
      <c r="N73" s="25">
        <f>B$5*Tbl_Loan1[[#This Row],[Initial debt]]</f>
        <v>2152.8941994474885</v>
      </c>
      <c r="O73" s="25">
        <f>Tbl_Loan1[[#This Row],[Annuity]]-Tbl_Loan1[[#This Row],[Interest amount]]</f>
        <v>4299.6194631936269</v>
      </c>
      <c r="P73" s="25">
        <f>Tbl_Loan1[[#This Row],[Initial debt]]-Tbl_Loan1[[#This Row],[Redemption amount]]</f>
        <v>1209111.1874882544</v>
      </c>
    </row>
    <row r="74" spans="4:16" x14ac:dyDescent="0.25">
      <c r="D74" t="str">
        <f>_xlfn.CONCAT(Tbl_Loan1[[#This Row],[Maandnummer ]],Tbl_Loan1[[#This Row],[Year]])</f>
        <v>12017</v>
      </c>
      <c r="E74" s="23">
        <f t="shared" si="5"/>
        <v>73</v>
      </c>
      <c r="F74" s="28">
        <v>42760</v>
      </c>
      <c r="G74" s="23">
        <f>MONTH(Tbl_Loan1[[#This Row],[Payment date]])</f>
        <v>1</v>
      </c>
      <c r="H74" s="23" t="str">
        <f>VLOOKUP(Tbl_Loan1[[#This Row],[Maandnummer ]],Tbl_Months[],2,FALSE)</f>
        <v>January</v>
      </c>
      <c r="I74" s="23" t="str">
        <f>VLOOKUP(Tbl_Loan1[[#This Row],[Maandnummer ]],Tbl_Months[],3,FALSE)</f>
        <v>I</v>
      </c>
      <c r="J74" s="23">
        <f>YEAR(Tbl_Loan1[[#This Row],[Payment date]])</f>
        <v>2017</v>
      </c>
      <c r="K74" s="23" t="str">
        <f>_xlfn.CONCAT(Tbl_Loan1[[#This Row],[Year]],Tbl_Loan1[[#This Row],[Quarter]])</f>
        <v>2017I</v>
      </c>
      <c r="L74" s="25">
        <f t="shared" si="3"/>
        <v>1209111.1874882544</v>
      </c>
      <c r="M74" s="26">
        <f t="shared" si="4"/>
        <v>6452.5136626411149</v>
      </c>
      <c r="N74" s="25">
        <f>B$5*Tbl_Loan1[[#This Row],[Initial debt]]</f>
        <v>2145.2655993484032</v>
      </c>
      <c r="O74" s="25">
        <f>Tbl_Loan1[[#This Row],[Annuity]]-Tbl_Loan1[[#This Row],[Interest amount]]</f>
        <v>4307.2480632927118</v>
      </c>
      <c r="P74" s="25">
        <f>Tbl_Loan1[[#This Row],[Initial debt]]-Tbl_Loan1[[#This Row],[Redemption amount]]</f>
        <v>1204803.9394249616</v>
      </c>
    </row>
    <row r="75" spans="4:16" x14ac:dyDescent="0.25">
      <c r="D75" t="str">
        <f>_xlfn.CONCAT(Tbl_Loan1[[#This Row],[Maandnummer ]],Tbl_Loan1[[#This Row],[Year]])</f>
        <v>22017</v>
      </c>
      <c r="E75" s="23">
        <f t="shared" si="5"/>
        <v>74</v>
      </c>
      <c r="F75" s="28">
        <v>42791</v>
      </c>
      <c r="G75" s="23">
        <f>MONTH(Tbl_Loan1[[#This Row],[Payment date]])</f>
        <v>2</v>
      </c>
      <c r="H75" s="23" t="str">
        <f>VLOOKUP(Tbl_Loan1[[#This Row],[Maandnummer ]],Tbl_Months[],2,FALSE)</f>
        <v>February</v>
      </c>
      <c r="I75" s="23" t="str">
        <f>VLOOKUP(Tbl_Loan1[[#This Row],[Maandnummer ]],Tbl_Months[],3,FALSE)</f>
        <v>I</v>
      </c>
      <c r="J75" s="23">
        <f>YEAR(Tbl_Loan1[[#This Row],[Payment date]])</f>
        <v>2017</v>
      </c>
      <c r="K75" s="23" t="str">
        <f>_xlfn.CONCAT(Tbl_Loan1[[#This Row],[Year]],Tbl_Loan1[[#This Row],[Quarter]])</f>
        <v>2017I</v>
      </c>
      <c r="L75" s="25">
        <f t="shared" si="3"/>
        <v>1204803.9394249616</v>
      </c>
      <c r="M75" s="26">
        <f t="shared" si="4"/>
        <v>6452.5136626411149</v>
      </c>
      <c r="N75" s="25">
        <f>B$5*Tbl_Loan1[[#This Row],[Initial debt]]</f>
        <v>2137.6234642051186</v>
      </c>
      <c r="O75" s="25">
        <f>Tbl_Loan1[[#This Row],[Annuity]]-Tbl_Loan1[[#This Row],[Interest amount]]</f>
        <v>4314.8901984359964</v>
      </c>
      <c r="P75" s="25">
        <f>Tbl_Loan1[[#This Row],[Initial debt]]-Tbl_Loan1[[#This Row],[Redemption amount]]</f>
        <v>1200489.0492265255</v>
      </c>
    </row>
    <row r="76" spans="4:16" x14ac:dyDescent="0.25">
      <c r="D76" t="str">
        <f>_xlfn.CONCAT(Tbl_Loan1[[#This Row],[Maandnummer ]],Tbl_Loan1[[#This Row],[Year]])</f>
        <v>32017</v>
      </c>
      <c r="E76" s="23">
        <f t="shared" si="5"/>
        <v>75</v>
      </c>
      <c r="F76" s="28">
        <v>42819</v>
      </c>
      <c r="G76" s="23">
        <f>MONTH(Tbl_Loan1[[#This Row],[Payment date]])</f>
        <v>3</v>
      </c>
      <c r="H76" s="23" t="str">
        <f>VLOOKUP(Tbl_Loan1[[#This Row],[Maandnummer ]],Tbl_Months[],2,FALSE)</f>
        <v>March</v>
      </c>
      <c r="I76" s="23" t="str">
        <f>VLOOKUP(Tbl_Loan1[[#This Row],[Maandnummer ]],Tbl_Months[],3,FALSE)</f>
        <v>I</v>
      </c>
      <c r="J76" s="23">
        <f>YEAR(Tbl_Loan1[[#This Row],[Payment date]])</f>
        <v>2017</v>
      </c>
      <c r="K76" s="23" t="str">
        <f>_xlfn.CONCAT(Tbl_Loan1[[#This Row],[Year]],Tbl_Loan1[[#This Row],[Quarter]])</f>
        <v>2017I</v>
      </c>
      <c r="L76" s="25">
        <f t="shared" si="3"/>
        <v>1200489.0492265255</v>
      </c>
      <c r="M76" s="26">
        <f t="shared" si="4"/>
        <v>6452.5136626411149</v>
      </c>
      <c r="N76" s="25">
        <f>B$5*Tbl_Loan1[[#This Row],[Initial debt]]</f>
        <v>2129.9677700030829</v>
      </c>
      <c r="O76" s="25">
        <f>Tbl_Loan1[[#This Row],[Annuity]]-Tbl_Loan1[[#This Row],[Interest amount]]</f>
        <v>4322.5458926380325</v>
      </c>
      <c r="P76" s="25">
        <f>Tbl_Loan1[[#This Row],[Initial debt]]-Tbl_Loan1[[#This Row],[Redemption amount]]</f>
        <v>1196166.5033338876</v>
      </c>
    </row>
    <row r="77" spans="4:16" x14ac:dyDescent="0.25">
      <c r="D77" t="str">
        <f>_xlfn.CONCAT(Tbl_Loan1[[#This Row],[Maandnummer ]],Tbl_Loan1[[#This Row],[Year]])</f>
        <v>42017</v>
      </c>
      <c r="E77" s="23">
        <f t="shared" si="5"/>
        <v>76</v>
      </c>
      <c r="F77" s="28">
        <v>42850</v>
      </c>
      <c r="G77" s="23">
        <f>MONTH(Tbl_Loan1[[#This Row],[Payment date]])</f>
        <v>4</v>
      </c>
      <c r="H77" s="23" t="str">
        <f>VLOOKUP(Tbl_Loan1[[#This Row],[Maandnummer ]],Tbl_Months[],2,FALSE)</f>
        <v>April</v>
      </c>
      <c r="I77" s="23" t="str">
        <f>VLOOKUP(Tbl_Loan1[[#This Row],[Maandnummer ]],Tbl_Months[],3,FALSE)</f>
        <v>II</v>
      </c>
      <c r="J77" s="23">
        <f>YEAR(Tbl_Loan1[[#This Row],[Payment date]])</f>
        <v>2017</v>
      </c>
      <c r="K77" s="23" t="str">
        <f>_xlfn.CONCAT(Tbl_Loan1[[#This Row],[Year]],Tbl_Loan1[[#This Row],[Quarter]])</f>
        <v>2017II</v>
      </c>
      <c r="L77" s="25">
        <f t="shared" si="3"/>
        <v>1196166.5033338876</v>
      </c>
      <c r="M77" s="26">
        <f t="shared" si="4"/>
        <v>6452.5136626411149</v>
      </c>
      <c r="N77" s="25">
        <f>B$5*Tbl_Loan1[[#This Row],[Initial debt]]</f>
        <v>2122.298492685135</v>
      </c>
      <c r="O77" s="25">
        <f>Tbl_Loan1[[#This Row],[Annuity]]-Tbl_Loan1[[#This Row],[Interest amount]]</f>
        <v>4330.2151699559799</v>
      </c>
      <c r="P77" s="25">
        <f>Tbl_Loan1[[#This Row],[Initial debt]]-Tbl_Loan1[[#This Row],[Redemption amount]]</f>
        <v>1191836.2881639316</v>
      </c>
    </row>
    <row r="78" spans="4:16" x14ac:dyDescent="0.25">
      <c r="D78" t="str">
        <f>_xlfn.CONCAT(Tbl_Loan1[[#This Row],[Maandnummer ]],Tbl_Loan1[[#This Row],[Year]])</f>
        <v>52017</v>
      </c>
      <c r="E78" s="23">
        <f t="shared" si="5"/>
        <v>77</v>
      </c>
      <c r="F78" s="28">
        <v>42880</v>
      </c>
      <c r="G78" s="23">
        <f>MONTH(Tbl_Loan1[[#This Row],[Payment date]])</f>
        <v>5</v>
      </c>
      <c r="H78" s="23" t="str">
        <f>VLOOKUP(Tbl_Loan1[[#This Row],[Maandnummer ]],Tbl_Months[],2,FALSE)</f>
        <v>May</v>
      </c>
      <c r="I78" s="23" t="str">
        <f>VLOOKUP(Tbl_Loan1[[#This Row],[Maandnummer ]],Tbl_Months[],3,FALSE)</f>
        <v>II</v>
      </c>
      <c r="J78" s="23">
        <f>YEAR(Tbl_Loan1[[#This Row],[Payment date]])</f>
        <v>2017</v>
      </c>
      <c r="K78" s="23" t="str">
        <f>_xlfn.CONCAT(Tbl_Loan1[[#This Row],[Year]],Tbl_Loan1[[#This Row],[Quarter]])</f>
        <v>2017II</v>
      </c>
      <c r="L78" s="25">
        <f t="shared" si="3"/>
        <v>1191836.2881639316</v>
      </c>
      <c r="M78" s="26">
        <f t="shared" si="4"/>
        <v>6452.5136626411149</v>
      </c>
      <c r="N78" s="25">
        <f>B$5*Tbl_Loan1[[#This Row],[Initial debt]]</f>
        <v>2114.61560815143</v>
      </c>
      <c r="O78" s="25">
        <f>Tbl_Loan1[[#This Row],[Annuity]]-Tbl_Loan1[[#This Row],[Interest amount]]</f>
        <v>4337.8980544896849</v>
      </c>
      <c r="P78" s="25">
        <f>Tbl_Loan1[[#This Row],[Initial debt]]-Tbl_Loan1[[#This Row],[Redemption amount]]</f>
        <v>1187498.3901094419</v>
      </c>
    </row>
    <row r="79" spans="4:16" x14ac:dyDescent="0.25">
      <c r="D79" t="str">
        <f>_xlfn.CONCAT(Tbl_Loan1[[#This Row],[Maandnummer ]],Tbl_Loan1[[#This Row],[Year]])</f>
        <v>62017</v>
      </c>
      <c r="E79" s="23">
        <f t="shared" si="5"/>
        <v>78</v>
      </c>
      <c r="F79" s="28">
        <v>42911</v>
      </c>
      <c r="G79" s="23">
        <f>MONTH(Tbl_Loan1[[#This Row],[Payment date]])</f>
        <v>6</v>
      </c>
      <c r="H79" s="23" t="str">
        <f>VLOOKUP(Tbl_Loan1[[#This Row],[Maandnummer ]],Tbl_Months[],2,FALSE)</f>
        <v>June</v>
      </c>
      <c r="I79" s="23" t="str">
        <f>VLOOKUP(Tbl_Loan1[[#This Row],[Maandnummer ]],Tbl_Months[],3,FALSE)</f>
        <v>II</v>
      </c>
      <c r="J79" s="23">
        <f>YEAR(Tbl_Loan1[[#This Row],[Payment date]])</f>
        <v>2017</v>
      </c>
      <c r="K79" s="23" t="str">
        <f>_xlfn.CONCAT(Tbl_Loan1[[#This Row],[Year]],Tbl_Loan1[[#This Row],[Quarter]])</f>
        <v>2017II</v>
      </c>
      <c r="L79" s="25">
        <f t="shared" si="3"/>
        <v>1187498.3901094419</v>
      </c>
      <c r="M79" s="26">
        <f t="shared" si="4"/>
        <v>6452.5136626411149</v>
      </c>
      <c r="N79" s="25">
        <f>B$5*Tbl_Loan1[[#This Row],[Initial debt]]</f>
        <v>2106.9190922593648</v>
      </c>
      <c r="O79" s="25">
        <f>Tbl_Loan1[[#This Row],[Annuity]]-Tbl_Loan1[[#This Row],[Interest amount]]</f>
        <v>4345.5945703817506</v>
      </c>
      <c r="P79" s="25">
        <f>Tbl_Loan1[[#This Row],[Initial debt]]-Tbl_Loan1[[#This Row],[Redemption amount]]</f>
        <v>1183152.7955390601</v>
      </c>
    </row>
    <row r="80" spans="4:16" x14ac:dyDescent="0.25">
      <c r="D80" t="str">
        <f>_xlfn.CONCAT(Tbl_Loan1[[#This Row],[Maandnummer ]],Tbl_Loan1[[#This Row],[Year]])</f>
        <v>72017</v>
      </c>
      <c r="E80" s="23">
        <f t="shared" si="5"/>
        <v>79</v>
      </c>
      <c r="F80" s="28">
        <v>42941</v>
      </c>
      <c r="G80" s="23">
        <f>MONTH(Tbl_Loan1[[#This Row],[Payment date]])</f>
        <v>7</v>
      </c>
      <c r="H80" s="23" t="str">
        <f>VLOOKUP(Tbl_Loan1[[#This Row],[Maandnummer ]],Tbl_Months[],2,FALSE)</f>
        <v>July</v>
      </c>
      <c r="I80" s="23" t="str">
        <f>VLOOKUP(Tbl_Loan1[[#This Row],[Maandnummer ]],Tbl_Months[],3,FALSE)</f>
        <v>III</v>
      </c>
      <c r="J80" s="23">
        <f>YEAR(Tbl_Loan1[[#This Row],[Payment date]])</f>
        <v>2017</v>
      </c>
      <c r="K80" s="23" t="str">
        <f>_xlfn.CONCAT(Tbl_Loan1[[#This Row],[Year]],Tbl_Loan1[[#This Row],[Quarter]])</f>
        <v>2017III</v>
      </c>
      <c r="L80" s="25">
        <f t="shared" si="3"/>
        <v>1183152.7955390601</v>
      </c>
      <c r="M80" s="26">
        <f t="shared" si="4"/>
        <v>6452.5136626411149</v>
      </c>
      <c r="N80" s="25">
        <f>B$5*Tbl_Loan1[[#This Row],[Initial debt]]</f>
        <v>2099.2089208235011</v>
      </c>
      <c r="O80" s="25">
        <f>Tbl_Loan1[[#This Row],[Annuity]]-Tbl_Loan1[[#This Row],[Interest amount]]</f>
        <v>4353.3047418176138</v>
      </c>
      <c r="P80" s="25">
        <f>Tbl_Loan1[[#This Row],[Initial debt]]-Tbl_Loan1[[#This Row],[Redemption amount]]</f>
        <v>1178799.4907972426</v>
      </c>
    </row>
    <row r="81" spans="4:16" x14ac:dyDescent="0.25">
      <c r="D81" t="str">
        <f>_xlfn.CONCAT(Tbl_Loan1[[#This Row],[Maandnummer ]],Tbl_Loan1[[#This Row],[Year]])</f>
        <v>82017</v>
      </c>
      <c r="E81" s="23">
        <f t="shared" si="5"/>
        <v>80</v>
      </c>
      <c r="F81" s="28">
        <v>42972</v>
      </c>
      <c r="G81" s="23">
        <f>MONTH(Tbl_Loan1[[#This Row],[Payment date]])</f>
        <v>8</v>
      </c>
      <c r="H81" s="23" t="str">
        <f>VLOOKUP(Tbl_Loan1[[#This Row],[Maandnummer ]],Tbl_Months[],2,FALSE)</f>
        <v>August</v>
      </c>
      <c r="I81" s="23" t="str">
        <f>VLOOKUP(Tbl_Loan1[[#This Row],[Maandnummer ]],Tbl_Months[],3,FALSE)</f>
        <v>III</v>
      </c>
      <c r="J81" s="23">
        <f>YEAR(Tbl_Loan1[[#This Row],[Payment date]])</f>
        <v>2017</v>
      </c>
      <c r="K81" s="23" t="str">
        <f>_xlfn.CONCAT(Tbl_Loan1[[#This Row],[Year]],Tbl_Loan1[[#This Row],[Quarter]])</f>
        <v>2017III</v>
      </c>
      <c r="L81" s="25">
        <f t="shared" si="3"/>
        <v>1178799.4907972426</v>
      </c>
      <c r="M81" s="26">
        <f t="shared" si="4"/>
        <v>6452.5136626411149</v>
      </c>
      <c r="N81" s="25">
        <f>B$5*Tbl_Loan1[[#This Row],[Initial debt]]</f>
        <v>2091.4850696154895</v>
      </c>
      <c r="O81" s="25">
        <f>Tbl_Loan1[[#This Row],[Annuity]]-Tbl_Loan1[[#This Row],[Interest amount]]</f>
        <v>4361.028593025625</v>
      </c>
      <c r="P81" s="25">
        <f>Tbl_Loan1[[#This Row],[Initial debt]]-Tbl_Loan1[[#This Row],[Redemption amount]]</f>
        <v>1174438.462204217</v>
      </c>
    </row>
    <row r="82" spans="4:16" x14ac:dyDescent="0.25">
      <c r="D82" t="str">
        <f>_xlfn.CONCAT(Tbl_Loan1[[#This Row],[Maandnummer ]],Tbl_Loan1[[#This Row],[Year]])</f>
        <v>92017</v>
      </c>
      <c r="E82" s="23">
        <f t="shared" si="5"/>
        <v>81</v>
      </c>
      <c r="F82" s="28">
        <v>43003</v>
      </c>
      <c r="G82" s="23">
        <f>MONTH(Tbl_Loan1[[#This Row],[Payment date]])</f>
        <v>9</v>
      </c>
      <c r="H82" s="23" t="str">
        <f>VLOOKUP(Tbl_Loan1[[#This Row],[Maandnummer ]],Tbl_Months[],2,FALSE)</f>
        <v>September</v>
      </c>
      <c r="I82" s="23" t="str">
        <f>VLOOKUP(Tbl_Loan1[[#This Row],[Maandnummer ]],Tbl_Months[],3,FALSE)</f>
        <v>III</v>
      </c>
      <c r="J82" s="23">
        <f>YEAR(Tbl_Loan1[[#This Row],[Payment date]])</f>
        <v>2017</v>
      </c>
      <c r="K82" s="23" t="str">
        <f>_xlfn.CONCAT(Tbl_Loan1[[#This Row],[Year]],Tbl_Loan1[[#This Row],[Quarter]])</f>
        <v>2017III</v>
      </c>
      <c r="L82" s="25">
        <f t="shared" si="3"/>
        <v>1174438.462204217</v>
      </c>
      <c r="M82" s="26">
        <f t="shared" si="4"/>
        <v>6452.5136626411149</v>
      </c>
      <c r="N82" s="25">
        <f>B$5*Tbl_Loan1[[#This Row],[Initial debt]]</f>
        <v>2083.7475143639931</v>
      </c>
      <c r="O82" s="25">
        <f>Tbl_Loan1[[#This Row],[Annuity]]-Tbl_Loan1[[#This Row],[Interest amount]]</f>
        <v>4368.7661482771218</v>
      </c>
      <c r="P82" s="25">
        <f>Tbl_Loan1[[#This Row],[Initial debt]]-Tbl_Loan1[[#This Row],[Redemption amount]]</f>
        <v>1170069.6960559399</v>
      </c>
    </row>
    <row r="83" spans="4:16" x14ac:dyDescent="0.25">
      <c r="D83" t="str">
        <f>_xlfn.CONCAT(Tbl_Loan1[[#This Row],[Maandnummer ]],Tbl_Loan1[[#This Row],[Year]])</f>
        <v>102017</v>
      </c>
      <c r="E83" s="23">
        <f t="shared" si="5"/>
        <v>82</v>
      </c>
      <c r="F83" s="28">
        <v>43033</v>
      </c>
      <c r="G83" s="23">
        <f>MONTH(Tbl_Loan1[[#This Row],[Payment date]])</f>
        <v>10</v>
      </c>
      <c r="H83" s="23" t="str">
        <f>VLOOKUP(Tbl_Loan1[[#This Row],[Maandnummer ]],Tbl_Months[],2,FALSE)</f>
        <v>October</v>
      </c>
      <c r="I83" s="23" t="str">
        <f>VLOOKUP(Tbl_Loan1[[#This Row],[Maandnummer ]],Tbl_Months[],3,FALSE)</f>
        <v>IV</v>
      </c>
      <c r="J83" s="23">
        <f>YEAR(Tbl_Loan1[[#This Row],[Payment date]])</f>
        <v>2017</v>
      </c>
      <c r="K83" s="23" t="str">
        <f>_xlfn.CONCAT(Tbl_Loan1[[#This Row],[Year]],Tbl_Loan1[[#This Row],[Quarter]])</f>
        <v>2017IV</v>
      </c>
      <c r="L83" s="25">
        <f t="shared" si="3"/>
        <v>1170069.6960559399</v>
      </c>
      <c r="M83" s="26">
        <f t="shared" si="4"/>
        <v>6452.5136626411149</v>
      </c>
      <c r="N83" s="25">
        <f>B$5*Tbl_Loan1[[#This Row],[Initial debt]]</f>
        <v>2075.9962307546125</v>
      </c>
      <c r="O83" s="25">
        <f>Tbl_Loan1[[#This Row],[Annuity]]-Tbl_Loan1[[#This Row],[Interest amount]]</f>
        <v>4376.5174318865029</v>
      </c>
      <c r="P83" s="25">
        <f>Tbl_Loan1[[#This Row],[Initial debt]]-Tbl_Loan1[[#This Row],[Redemption amount]]</f>
        <v>1165693.1786240535</v>
      </c>
    </row>
    <row r="84" spans="4:16" x14ac:dyDescent="0.25">
      <c r="D84" t="str">
        <f>_xlfn.CONCAT(Tbl_Loan1[[#This Row],[Maandnummer ]],Tbl_Loan1[[#This Row],[Year]])</f>
        <v>112017</v>
      </c>
      <c r="E84" s="23">
        <f t="shared" si="5"/>
        <v>83</v>
      </c>
      <c r="F84" s="28">
        <v>43064</v>
      </c>
      <c r="G84" s="23">
        <f>MONTH(Tbl_Loan1[[#This Row],[Payment date]])</f>
        <v>11</v>
      </c>
      <c r="H84" s="23" t="str">
        <f>VLOOKUP(Tbl_Loan1[[#This Row],[Maandnummer ]],Tbl_Months[],2,FALSE)</f>
        <v>November</v>
      </c>
      <c r="I84" s="23" t="str">
        <f>VLOOKUP(Tbl_Loan1[[#This Row],[Maandnummer ]],Tbl_Months[],3,FALSE)</f>
        <v>IV</v>
      </c>
      <c r="J84" s="23">
        <f>YEAR(Tbl_Loan1[[#This Row],[Payment date]])</f>
        <v>2017</v>
      </c>
      <c r="K84" s="23" t="str">
        <f>_xlfn.CONCAT(Tbl_Loan1[[#This Row],[Year]],Tbl_Loan1[[#This Row],[Quarter]])</f>
        <v>2017IV</v>
      </c>
      <c r="L84" s="25">
        <f t="shared" si="3"/>
        <v>1165693.1786240535</v>
      </c>
      <c r="M84" s="26">
        <f t="shared" si="4"/>
        <v>6452.5136626411149</v>
      </c>
      <c r="N84" s="25">
        <f>B$5*Tbl_Loan1[[#This Row],[Initial debt]]</f>
        <v>2068.2311944298071</v>
      </c>
      <c r="O84" s="25">
        <f>Tbl_Loan1[[#This Row],[Annuity]]-Tbl_Loan1[[#This Row],[Interest amount]]</f>
        <v>4384.2824682113078</v>
      </c>
      <c r="P84" s="25">
        <f>Tbl_Loan1[[#This Row],[Initial debt]]-Tbl_Loan1[[#This Row],[Redemption amount]]</f>
        <v>1161308.8961558421</v>
      </c>
    </row>
    <row r="85" spans="4:16" x14ac:dyDescent="0.25">
      <c r="D85" t="str">
        <f>_xlfn.CONCAT(Tbl_Loan1[[#This Row],[Maandnummer ]],Tbl_Loan1[[#This Row],[Year]])</f>
        <v>122017</v>
      </c>
      <c r="E85" s="23">
        <f t="shared" si="5"/>
        <v>84</v>
      </c>
      <c r="F85" s="28">
        <v>43094</v>
      </c>
      <c r="G85" s="23">
        <f>MONTH(Tbl_Loan1[[#This Row],[Payment date]])</f>
        <v>12</v>
      </c>
      <c r="H85" s="23" t="str">
        <f>VLOOKUP(Tbl_Loan1[[#This Row],[Maandnummer ]],Tbl_Months[],2,FALSE)</f>
        <v>December</v>
      </c>
      <c r="I85" s="23" t="str">
        <f>VLOOKUP(Tbl_Loan1[[#This Row],[Maandnummer ]],Tbl_Months[],3,FALSE)</f>
        <v>IV</v>
      </c>
      <c r="J85" s="23">
        <f>YEAR(Tbl_Loan1[[#This Row],[Payment date]])</f>
        <v>2017</v>
      </c>
      <c r="K85" s="23" t="str">
        <f>_xlfn.CONCAT(Tbl_Loan1[[#This Row],[Year]],Tbl_Loan1[[#This Row],[Quarter]])</f>
        <v>2017IV</v>
      </c>
      <c r="L85" s="25">
        <f t="shared" si="3"/>
        <v>1161308.8961558421</v>
      </c>
      <c r="M85" s="26">
        <f t="shared" si="4"/>
        <v>6452.5136626411149</v>
      </c>
      <c r="N85" s="25">
        <f>B$5*Tbl_Loan1[[#This Row],[Initial debt]]</f>
        <v>2060.4523809888215</v>
      </c>
      <c r="O85" s="25">
        <f>Tbl_Loan1[[#This Row],[Annuity]]-Tbl_Loan1[[#This Row],[Interest amount]]</f>
        <v>4392.0612816522935</v>
      </c>
      <c r="P85" s="25">
        <f>Tbl_Loan1[[#This Row],[Initial debt]]-Tbl_Loan1[[#This Row],[Redemption amount]]</f>
        <v>1156916.8348741899</v>
      </c>
    </row>
    <row r="86" spans="4:16" x14ac:dyDescent="0.25">
      <c r="D86" t="str">
        <f>_xlfn.CONCAT(Tbl_Loan1[[#This Row],[Maandnummer ]],Tbl_Loan1[[#This Row],[Year]])</f>
        <v>12018</v>
      </c>
      <c r="E86" s="23">
        <f t="shared" si="5"/>
        <v>85</v>
      </c>
      <c r="F86" s="28">
        <v>43125</v>
      </c>
      <c r="G86" s="23">
        <f>MONTH(Tbl_Loan1[[#This Row],[Payment date]])</f>
        <v>1</v>
      </c>
      <c r="H86" s="23" t="str">
        <f>VLOOKUP(Tbl_Loan1[[#This Row],[Maandnummer ]],Tbl_Months[],2,FALSE)</f>
        <v>January</v>
      </c>
      <c r="I86" s="23" t="str">
        <f>VLOOKUP(Tbl_Loan1[[#This Row],[Maandnummer ]],Tbl_Months[],3,FALSE)</f>
        <v>I</v>
      </c>
      <c r="J86" s="23">
        <f>YEAR(Tbl_Loan1[[#This Row],[Payment date]])</f>
        <v>2018</v>
      </c>
      <c r="K86" s="23" t="str">
        <f>_xlfn.CONCAT(Tbl_Loan1[[#This Row],[Year]],Tbl_Loan1[[#This Row],[Quarter]])</f>
        <v>2018I</v>
      </c>
      <c r="L86" s="25">
        <f t="shared" si="3"/>
        <v>1156916.8348741899</v>
      </c>
      <c r="M86" s="26">
        <f t="shared" si="4"/>
        <v>6452.5136626411149</v>
      </c>
      <c r="N86" s="25">
        <f>B$5*Tbl_Loan1[[#This Row],[Initial debt]]</f>
        <v>2052.6597659876056</v>
      </c>
      <c r="O86" s="25">
        <f>Tbl_Loan1[[#This Row],[Annuity]]-Tbl_Loan1[[#This Row],[Interest amount]]</f>
        <v>4399.8538966535089</v>
      </c>
      <c r="P86" s="25">
        <f>Tbl_Loan1[[#This Row],[Initial debt]]-Tbl_Loan1[[#This Row],[Redemption amount]]</f>
        <v>1152516.9809775364</v>
      </c>
    </row>
    <row r="87" spans="4:16" x14ac:dyDescent="0.25">
      <c r="D87" t="str">
        <f>_xlfn.CONCAT(Tbl_Loan1[[#This Row],[Maandnummer ]],Tbl_Loan1[[#This Row],[Year]])</f>
        <v>22018</v>
      </c>
      <c r="E87" s="23">
        <f t="shared" si="5"/>
        <v>86</v>
      </c>
      <c r="F87" s="28">
        <v>43156</v>
      </c>
      <c r="G87" s="23">
        <f>MONTH(Tbl_Loan1[[#This Row],[Payment date]])</f>
        <v>2</v>
      </c>
      <c r="H87" s="23" t="str">
        <f>VLOOKUP(Tbl_Loan1[[#This Row],[Maandnummer ]],Tbl_Months[],2,FALSE)</f>
        <v>February</v>
      </c>
      <c r="I87" s="23" t="str">
        <f>VLOOKUP(Tbl_Loan1[[#This Row],[Maandnummer ]],Tbl_Months[],3,FALSE)</f>
        <v>I</v>
      </c>
      <c r="J87" s="23">
        <f>YEAR(Tbl_Loan1[[#This Row],[Payment date]])</f>
        <v>2018</v>
      </c>
      <c r="K87" s="23" t="str">
        <f>_xlfn.CONCAT(Tbl_Loan1[[#This Row],[Year]],Tbl_Loan1[[#This Row],[Quarter]])</f>
        <v>2018I</v>
      </c>
      <c r="L87" s="25">
        <f t="shared" si="3"/>
        <v>1152516.9809775364</v>
      </c>
      <c r="M87" s="26">
        <f t="shared" si="4"/>
        <v>6452.5136626411149</v>
      </c>
      <c r="N87" s="25">
        <f>B$5*Tbl_Loan1[[#This Row],[Initial debt]]</f>
        <v>2044.853324938741</v>
      </c>
      <c r="O87" s="25">
        <f>Tbl_Loan1[[#This Row],[Annuity]]-Tbl_Loan1[[#This Row],[Interest amount]]</f>
        <v>4407.6603377023739</v>
      </c>
      <c r="P87" s="25">
        <f>Tbl_Loan1[[#This Row],[Initial debt]]-Tbl_Loan1[[#This Row],[Redemption amount]]</f>
        <v>1148109.320639834</v>
      </c>
    </row>
    <row r="88" spans="4:16" x14ac:dyDescent="0.25">
      <c r="D88" t="str">
        <f>_xlfn.CONCAT(Tbl_Loan1[[#This Row],[Maandnummer ]],Tbl_Loan1[[#This Row],[Year]])</f>
        <v>32018</v>
      </c>
      <c r="E88" s="23">
        <f t="shared" si="5"/>
        <v>87</v>
      </c>
      <c r="F88" s="28">
        <v>43184</v>
      </c>
      <c r="G88" s="23">
        <f>MONTH(Tbl_Loan1[[#This Row],[Payment date]])</f>
        <v>3</v>
      </c>
      <c r="H88" s="23" t="str">
        <f>VLOOKUP(Tbl_Loan1[[#This Row],[Maandnummer ]],Tbl_Months[],2,FALSE)</f>
        <v>March</v>
      </c>
      <c r="I88" s="23" t="str">
        <f>VLOOKUP(Tbl_Loan1[[#This Row],[Maandnummer ]],Tbl_Months[],3,FALSE)</f>
        <v>I</v>
      </c>
      <c r="J88" s="23">
        <f>YEAR(Tbl_Loan1[[#This Row],[Payment date]])</f>
        <v>2018</v>
      </c>
      <c r="K88" s="23" t="str">
        <f>_xlfn.CONCAT(Tbl_Loan1[[#This Row],[Year]],Tbl_Loan1[[#This Row],[Quarter]])</f>
        <v>2018I</v>
      </c>
      <c r="L88" s="25">
        <f t="shared" si="3"/>
        <v>1148109.320639834</v>
      </c>
      <c r="M88" s="26">
        <f t="shared" si="4"/>
        <v>6452.5136626411149</v>
      </c>
      <c r="N88" s="25">
        <f>B$5*Tbl_Loan1[[#This Row],[Initial debt]]</f>
        <v>2037.0330333113616</v>
      </c>
      <c r="O88" s="25">
        <f>Tbl_Loan1[[#This Row],[Annuity]]-Tbl_Loan1[[#This Row],[Interest amount]]</f>
        <v>4415.4806293297534</v>
      </c>
      <c r="P88" s="25">
        <f>Tbl_Loan1[[#This Row],[Initial debt]]-Tbl_Loan1[[#This Row],[Redemption amount]]</f>
        <v>1143693.8400105042</v>
      </c>
    </row>
    <row r="89" spans="4:16" x14ac:dyDescent="0.25">
      <c r="D89" t="str">
        <f>_xlfn.CONCAT(Tbl_Loan1[[#This Row],[Maandnummer ]],Tbl_Loan1[[#This Row],[Year]])</f>
        <v>42018</v>
      </c>
      <c r="E89" s="23">
        <f t="shared" si="5"/>
        <v>88</v>
      </c>
      <c r="F89" s="28">
        <v>43215</v>
      </c>
      <c r="G89" s="23">
        <f>MONTH(Tbl_Loan1[[#This Row],[Payment date]])</f>
        <v>4</v>
      </c>
      <c r="H89" s="23" t="str">
        <f>VLOOKUP(Tbl_Loan1[[#This Row],[Maandnummer ]],Tbl_Months[],2,FALSE)</f>
        <v>April</v>
      </c>
      <c r="I89" s="23" t="str">
        <f>VLOOKUP(Tbl_Loan1[[#This Row],[Maandnummer ]],Tbl_Months[],3,FALSE)</f>
        <v>II</v>
      </c>
      <c r="J89" s="23">
        <f>YEAR(Tbl_Loan1[[#This Row],[Payment date]])</f>
        <v>2018</v>
      </c>
      <c r="K89" s="23" t="str">
        <f>_xlfn.CONCAT(Tbl_Loan1[[#This Row],[Year]],Tbl_Loan1[[#This Row],[Quarter]])</f>
        <v>2018II</v>
      </c>
      <c r="L89" s="25">
        <f t="shared" si="3"/>
        <v>1143693.8400105042</v>
      </c>
      <c r="M89" s="26">
        <f t="shared" si="4"/>
        <v>6452.5136626411149</v>
      </c>
      <c r="N89" s="25">
        <f>B$5*Tbl_Loan1[[#This Row],[Initial debt]]</f>
        <v>2029.1988665310776</v>
      </c>
      <c r="O89" s="25">
        <f>Tbl_Loan1[[#This Row],[Annuity]]-Tbl_Loan1[[#This Row],[Interest amount]]</f>
        <v>4423.3147961100376</v>
      </c>
      <c r="P89" s="25">
        <f>Tbl_Loan1[[#This Row],[Initial debt]]-Tbl_Loan1[[#This Row],[Redemption amount]]</f>
        <v>1139270.5252143941</v>
      </c>
    </row>
    <row r="90" spans="4:16" x14ac:dyDescent="0.25">
      <c r="D90" t="str">
        <f>_xlfn.CONCAT(Tbl_Loan1[[#This Row],[Maandnummer ]],Tbl_Loan1[[#This Row],[Year]])</f>
        <v>52018</v>
      </c>
      <c r="E90" s="23">
        <f t="shared" si="5"/>
        <v>89</v>
      </c>
      <c r="F90" s="28">
        <v>43245</v>
      </c>
      <c r="G90" s="23">
        <f>MONTH(Tbl_Loan1[[#This Row],[Payment date]])</f>
        <v>5</v>
      </c>
      <c r="H90" s="23" t="str">
        <f>VLOOKUP(Tbl_Loan1[[#This Row],[Maandnummer ]],Tbl_Months[],2,FALSE)</f>
        <v>May</v>
      </c>
      <c r="I90" s="23" t="str">
        <f>VLOOKUP(Tbl_Loan1[[#This Row],[Maandnummer ]],Tbl_Months[],3,FALSE)</f>
        <v>II</v>
      </c>
      <c r="J90" s="23">
        <f>YEAR(Tbl_Loan1[[#This Row],[Payment date]])</f>
        <v>2018</v>
      </c>
      <c r="K90" s="23" t="str">
        <f>_xlfn.CONCAT(Tbl_Loan1[[#This Row],[Year]],Tbl_Loan1[[#This Row],[Quarter]])</f>
        <v>2018II</v>
      </c>
      <c r="L90" s="25">
        <f t="shared" si="3"/>
        <v>1139270.5252143941</v>
      </c>
      <c r="M90" s="26">
        <f t="shared" si="4"/>
        <v>6452.5136626411149</v>
      </c>
      <c r="N90" s="25">
        <f>B$5*Tbl_Loan1[[#This Row],[Initial debt]]</f>
        <v>2021.3507999798976</v>
      </c>
      <c r="O90" s="25">
        <f>Tbl_Loan1[[#This Row],[Annuity]]-Tbl_Loan1[[#This Row],[Interest amount]]</f>
        <v>4431.1628626612173</v>
      </c>
      <c r="P90" s="25">
        <f>Tbl_Loan1[[#This Row],[Initial debt]]-Tbl_Loan1[[#This Row],[Redemption amount]]</f>
        <v>1134839.3623517328</v>
      </c>
    </row>
    <row r="91" spans="4:16" x14ac:dyDescent="0.25">
      <c r="D91" t="str">
        <f>_xlfn.CONCAT(Tbl_Loan1[[#This Row],[Maandnummer ]],Tbl_Loan1[[#This Row],[Year]])</f>
        <v>62018</v>
      </c>
      <c r="E91" s="23">
        <f t="shared" si="5"/>
        <v>90</v>
      </c>
      <c r="F91" s="28">
        <v>43276</v>
      </c>
      <c r="G91" s="23">
        <f>MONTH(Tbl_Loan1[[#This Row],[Payment date]])</f>
        <v>6</v>
      </c>
      <c r="H91" s="23" t="str">
        <f>VLOOKUP(Tbl_Loan1[[#This Row],[Maandnummer ]],Tbl_Months[],2,FALSE)</f>
        <v>June</v>
      </c>
      <c r="I91" s="23" t="str">
        <f>VLOOKUP(Tbl_Loan1[[#This Row],[Maandnummer ]],Tbl_Months[],3,FALSE)</f>
        <v>II</v>
      </c>
      <c r="J91" s="23">
        <f>YEAR(Tbl_Loan1[[#This Row],[Payment date]])</f>
        <v>2018</v>
      </c>
      <c r="K91" s="23" t="str">
        <f>_xlfn.CONCAT(Tbl_Loan1[[#This Row],[Year]],Tbl_Loan1[[#This Row],[Quarter]])</f>
        <v>2018II</v>
      </c>
      <c r="L91" s="25">
        <f t="shared" si="3"/>
        <v>1134839.3623517328</v>
      </c>
      <c r="M91" s="26">
        <f t="shared" si="4"/>
        <v>6452.5136626411149</v>
      </c>
      <c r="N91" s="25">
        <f>B$5*Tbl_Loan1[[#This Row],[Initial debt]]</f>
        <v>2013.488808996153</v>
      </c>
      <c r="O91" s="25">
        <f>Tbl_Loan1[[#This Row],[Annuity]]-Tbl_Loan1[[#This Row],[Interest amount]]</f>
        <v>4439.0248536449617</v>
      </c>
      <c r="P91" s="25">
        <f>Tbl_Loan1[[#This Row],[Initial debt]]-Tbl_Loan1[[#This Row],[Redemption amount]]</f>
        <v>1130400.3374980879</v>
      </c>
    </row>
    <row r="92" spans="4:16" x14ac:dyDescent="0.25">
      <c r="D92" t="str">
        <f>_xlfn.CONCAT(Tbl_Loan1[[#This Row],[Maandnummer ]],Tbl_Loan1[[#This Row],[Year]])</f>
        <v>72018</v>
      </c>
      <c r="E92" s="23">
        <f t="shared" si="5"/>
        <v>91</v>
      </c>
      <c r="F92" s="28">
        <v>43306</v>
      </c>
      <c r="G92" s="23">
        <f>MONTH(Tbl_Loan1[[#This Row],[Payment date]])</f>
        <v>7</v>
      </c>
      <c r="H92" s="23" t="str">
        <f>VLOOKUP(Tbl_Loan1[[#This Row],[Maandnummer ]],Tbl_Months[],2,FALSE)</f>
        <v>July</v>
      </c>
      <c r="I92" s="23" t="str">
        <f>VLOOKUP(Tbl_Loan1[[#This Row],[Maandnummer ]],Tbl_Months[],3,FALSE)</f>
        <v>III</v>
      </c>
      <c r="J92" s="23">
        <f>YEAR(Tbl_Loan1[[#This Row],[Payment date]])</f>
        <v>2018</v>
      </c>
      <c r="K92" s="23" t="str">
        <f>_xlfn.CONCAT(Tbl_Loan1[[#This Row],[Year]],Tbl_Loan1[[#This Row],[Quarter]])</f>
        <v>2018III</v>
      </c>
      <c r="L92" s="25">
        <f t="shared" si="3"/>
        <v>1130400.3374980879</v>
      </c>
      <c r="M92" s="26">
        <f t="shared" si="4"/>
        <v>6452.5136626411149</v>
      </c>
      <c r="N92" s="25">
        <f>B$5*Tbl_Loan1[[#This Row],[Initial debt]]</f>
        <v>2005.6128688744184</v>
      </c>
      <c r="O92" s="25">
        <f>Tbl_Loan1[[#This Row],[Annuity]]-Tbl_Loan1[[#This Row],[Interest amount]]</f>
        <v>4446.9007937666966</v>
      </c>
      <c r="P92" s="25">
        <f>Tbl_Loan1[[#This Row],[Initial debt]]-Tbl_Loan1[[#This Row],[Redemption amount]]</f>
        <v>1125953.4367043213</v>
      </c>
    </row>
    <row r="93" spans="4:16" x14ac:dyDescent="0.25">
      <c r="D93" t="str">
        <f>_xlfn.CONCAT(Tbl_Loan1[[#This Row],[Maandnummer ]],Tbl_Loan1[[#This Row],[Year]])</f>
        <v>82018</v>
      </c>
      <c r="E93" s="23">
        <f t="shared" si="5"/>
        <v>92</v>
      </c>
      <c r="F93" s="28">
        <v>43337</v>
      </c>
      <c r="G93" s="23">
        <f>MONTH(Tbl_Loan1[[#This Row],[Payment date]])</f>
        <v>8</v>
      </c>
      <c r="H93" s="23" t="str">
        <f>VLOOKUP(Tbl_Loan1[[#This Row],[Maandnummer ]],Tbl_Months[],2,FALSE)</f>
        <v>August</v>
      </c>
      <c r="I93" s="23" t="str">
        <f>VLOOKUP(Tbl_Loan1[[#This Row],[Maandnummer ]],Tbl_Months[],3,FALSE)</f>
        <v>III</v>
      </c>
      <c r="J93" s="23">
        <f>YEAR(Tbl_Loan1[[#This Row],[Payment date]])</f>
        <v>2018</v>
      </c>
      <c r="K93" s="23" t="str">
        <f>_xlfn.CONCAT(Tbl_Loan1[[#This Row],[Year]],Tbl_Loan1[[#This Row],[Quarter]])</f>
        <v>2018III</v>
      </c>
      <c r="L93" s="25">
        <f t="shared" si="3"/>
        <v>1125953.4367043213</v>
      </c>
      <c r="M93" s="26">
        <f t="shared" si="4"/>
        <v>6452.5136626411149</v>
      </c>
      <c r="N93" s="25">
        <f>B$5*Tbl_Loan1[[#This Row],[Initial debt]]</f>
        <v>1997.7229548654345</v>
      </c>
      <c r="O93" s="25">
        <f>Tbl_Loan1[[#This Row],[Annuity]]-Tbl_Loan1[[#This Row],[Interest amount]]</f>
        <v>4454.7907077756809</v>
      </c>
      <c r="P93" s="25">
        <f>Tbl_Loan1[[#This Row],[Initial debt]]-Tbl_Loan1[[#This Row],[Redemption amount]]</f>
        <v>1121498.6459965457</v>
      </c>
    </row>
    <row r="94" spans="4:16" x14ac:dyDescent="0.25">
      <c r="D94" t="str">
        <f>_xlfn.CONCAT(Tbl_Loan1[[#This Row],[Maandnummer ]],Tbl_Loan1[[#This Row],[Year]])</f>
        <v>92018</v>
      </c>
      <c r="E94" s="23">
        <f t="shared" si="5"/>
        <v>93</v>
      </c>
      <c r="F94" s="28">
        <v>43368</v>
      </c>
      <c r="G94" s="23">
        <f>MONTH(Tbl_Loan1[[#This Row],[Payment date]])</f>
        <v>9</v>
      </c>
      <c r="H94" s="23" t="str">
        <f>VLOOKUP(Tbl_Loan1[[#This Row],[Maandnummer ]],Tbl_Months[],2,FALSE)</f>
        <v>September</v>
      </c>
      <c r="I94" s="23" t="str">
        <f>VLOOKUP(Tbl_Loan1[[#This Row],[Maandnummer ]],Tbl_Months[],3,FALSE)</f>
        <v>III</v>
      </c>
      <c r="J94" s="23">
        <f>YEAR(Tbl_Loan1[[#This Row],[Payment date]])</f>
        <v>2018</v>
      </c>
      <c r="K94" s="23" t="str">
        <f>_xlfn.CONCAT(Tbl_Loan1[[#This Row],[Year]],Tbl_Loan1[[#This Row],[Quarter]])</f>
        <v>2018III</v>
      </c>
      <c r="L94" s="25">
        <f t="shared" si="3"/>
        <v>1121498.6459965457</v>
      </c>
      <c r="M94" s="26">
        <f t="shared" si="4"/>
        <v>6452.5136626411149</v>
      </c>
      <c r="N94" s="25">
        <f>B$5*Tbl_Loan1[[#This Row],[Initial debt]]</f>
        <v>1989.8190421760312</v>
      </c>
      <c r="O94" s="25">
        <f>Tbl_Loan1[[#This Row],[Annuity]]-Tbl_Loan1[[#This Row],[Interest amount]]</f>
        <v>4462.694620465084</v>
      </c>
      <c r="P94" s="25">
        <f>Tbl_Loan1[[#This Row],[Initial debt]]-Tbl_Loan1[[#This Row],[Redemption amount]]</f>
        <v>1117035.9513760805</v>
      </c>
    </row>
    <row r="95" spans="4:16" x14ac:dyDescent="0.25">
      <c r="D95" t="str">
        <f>_xlfn.CONCAT(Tbl_Loan1[[#This Row],[Maandnummer ]],Tbl_Loan1[[#This Row],[Year]])</f>
        <v>102018</v>
      </c>
      <c r="E95" s="23">
        <f t="shared" si="5"/>
        <v>94</v>
      </c>
      <c r="F95" s="28">
        <v>43398</v>
      </c>
      <c r="G95" s="23">
        <f>MONTH(Tbl_Loan1[[#This Row],[Payment date]])</f>
        <v>10</v>
      </c>
      <c r="H95" s="23" t="str">
        <f>VLOOKUP(Tbl_Loan1[[#This Row],[Maandnummer ]],Tbl_Months[],2,FALSE)</f>
        <v>October</v>
      </c>
      <c r="I95" s="23" t="str">
        <f>VLOOKUP(Tbl_Loan1[[#This Row],[Maandnummer ]],Tbl_Months[],3,FALSE)</f>
        <v>IV</v>
      </c>
      <c r="J95" s="23">
        <f>YEAR(Tbl_Loan1[[#This Row],[Payment date]])</f>
        <v>2018</v>
      </c>
      <c r="K95" s="23" t="str">
        <f>_xlfn.CONCAT(Tbl_Loan1[[#This Row],[Year]],Tbl_Loan1[[#This Row],[Quarter]])</f>
        <v>2018IV</v>
      </c>
      <c r="L95" s="25">
        <f t="shared" si="3"/>
        <v>1117035.9513760805</v>
      </c>
      <c r="M95" s="26">
        <f t="shared" si="4"/>
        <v>6452.5136626411149</v>
      </c>
      <c r="N95" s="25">
        <f>B$5*Tbl_Loan1[[#This Row],[Initial debt]]</f>
        <v>1981.9011059690486</v>
      </c>
      <c r="O95" s="25">
        <f>Tbl_Loan1[[#This Row],[Annuity]]-Tbl_Loan1[[#This Row],[Interest amount]]</f>
        <v>4470.6125566720666</v>
      </c>
      <c r="P95" s="25">
        <f>Tbl_Loan1[[#This Row],[Initial debt]]-Tbl_Loan1[[#This Row],[Redemption amount]]</f>
        <v>1112565.3388194086</v>
      </c>
    </row>
    <row r="96" spans="4:16" x14ac:dyDescent="0.25">
      <c r="D96" t="str">
        <f>_xlfn.CONCAT(Tbl_Loan1[[#This Row],[Maandnummer ]],Tbl_Loan1[[#This Row],[Year]])</f>
        <v>112018</v>
      </c>
      <c r="E96" s="23">
        <f t="shared" si="5"/>
        <v>95</v>
      </c>
      <c r="F96" s="28">
        <v>43429</v>
      </c>
      <c r="G96" s="23">
        <f>MONTH(Tbl_Loan1[[#This Row],[Payment date]])</f>
        <v>11</v>
      </c>
      <c r="H96" s="23" t="str">
        <f>VLOOKUP(Tbl_Loan1[[#This Row],[Maandnummer ]],Tbl_Months[],2,FALSE)</f>
        <v>November</v>
      </c>
      <c r="I96" s="23" t="str">
        <f>VLOOKUP(Tbl_Loan1[[#This Row],[Maandnummer ]],Tbl_Months[],3,FALSE)</f>
        <v>IV</v>
      </c>
      <c r="J96" s="23">
        <f>YEAR(Tbl_Loan1[[#This Row],[Payment date]])</f>
        <v>2018</v>
      </c>
      <c r="K96" s="23" t="str">
        <f>_xlfn.CONCAT(Tbl_Loan1[[#This Row],[Year]],Tbl_Loan1[[#This Row],[Quarter]])</f>
        <v>2018IV</v>
      </c>
      <c r="L96" s="25">
        <f t="shared" si="3"/>
        <v>1112565.3388194086</v>
      </c>
      <c r="M96" s="26">
        <f t="shared" si="4"/>
        <v>6452.5136626411149</v>
      </c>
      <c r="N96" s="25">
        <f>B$5*Tbl_Loan1[[#This Row],[Initial debt]]</f>
        <v>1973.96912136326</v>
      </c>
      <c r="O96" s="25">
        <f>Tbl_Loan1[[#This Row],[Annuity]]-Tbl_Loan1[[#This Row],[Interest amount]]</f>
        <v>4478.5445412778554</v>
      </c>
      <c r="P96" s="25">
        <f>Tbl_Loan1[[#This Row],[Initial debt]]-Tbl_Loan1[[#This Row],[Redemption amount]]</f>
        <v>1108086.7942781306</v>
      </c>
    </row>
    <row r="97" spans="4:16" x14ac:dyDescent="0.25">
      <c r="D97" t="str">
        <f>_xlfn.CONCAT(Tbl_Loan1[[#This Row],[Maandnummer ]],Tbl_Loan1[[#This Row],[Year]])</f>
        <v>122018</v>
      </c>
      <c r="E97" s="23">
        <f t="shared" si="5"/>
        <v>96</v>
      </c>
      <c r="F97" s="28">
        <v>43459</v>
      </c>
      <c r="G97" s="23">
        <f>MONTH(Tbl_Loan1[[#This Row],[Payment date]])</f>
        <v>12</v>
      </c>
      <c r="H97" s="23" t="str">
        <f>VLOOKUP(Tbl_Loan1[[#This Row],[Maandnummer ]],Tbl_Months[],2,FALSE)</f>
        <v>December</v>
      </c>
      <c r="I97" s="23" t="str">
        <f>VLOOKUP(Tbl_Loan1[[#This Row],[Maandnummer ]],Tbl_Months[],3,FALSE)</f>
        <v>IV</v>
      </c>
      <c r="J97" s="23">
        <f>YEAR(Tbl_Loan1[[#This Row],[Payment date]])</f>
        <v>2018</v>
      </c>
      <c r="K97" s="23" t="str">
        <f>_xlfn.CONCAT(Tbl_Loan1[[#This Row],[Year]],Tbl_Loan1[[#This Row],[Quarter]])</f>
        <v>2018IV</v>
      </c>
      <c r="L97" s="25">
        <f t="shared" si="3"/>
        <v>1108086.7942781306</v>
      </c>
      <c r="M97" s="26">
        <f t="shared" si="4"/>
        <v>6452.5136626411149</v>
      </c>
      <c r="N97" s="25">
        <f>B$5*Tbl_Loan1[[#This Row],[Initial debt]]</f>
        <v>1966.0230634332929</v>
      </c>
      <c r="O97" s="25">
        <f>Tbl_Loan1[[#This Row],[Annuity]]-Tbl_Loan1[[#This Row],[Interest amount]]</f>
        <v>4486.490599207822</v>
      </c>
      <c r="P97" s="25">
        <f>Tbl_Loan1[[#This Row],[Initial debt]]-Tbl_Loan1[[#This Row],[Redemption amount]]</f>
        <v>1103600.3036789228</v>
      </c>
    </row>
    <row r="98" spans="4:16" x14ac:dyDescent="0.25">
      <c r="D98" t="str">
        <f>_xlfn.CONCAT(Tbl_Loan1[[#This Row],[Maandnummer ]],Tbl_Loan1[[#This Row],[Year]])</f>
        <v>12019</v>
      </c>
      <c r="E98" s="23">
        <f t="shared" si="5"/>
        <v>97</v>
      </c>
      <c r="F98" s="28">
        <v>43490</v>
      </c>
      <c r="G98" s="23">
        <f>MONTH(Tbl_Loan1[[#This Row],[Payment date]])</f>
        <v>1</v>
      </c>
      <c r="H98" s="23" t="str">
        <f>VLOOKUP(Tbl_Loan1[[#This Row],[Maandnummer ]],Tbl_Months[],2,FALSE)</f>
        <v>January</v>
      </c>
      <c r="I98" s="23" t="str">
        <f>VLOOKUP(Tbl_Loan1[[#This Row],[Maandnummer ]],Tbl_Months[],3,FALSE)</f>
        <v>I</v>
      </c>
      <c r="J98" s="23">
        <f>YEAR(Tbl_Loan1[[#This Row],[Payment date]])</f>
        <v>2019</v>
      </c>
      <c r="K98" s="23" t="str">
        <f>_xlfn.CONCAT(Tbl_Loan1[[#This Row],[Year]],Tbl_Loan1[[#This Row],[Quarter]])</f>
        <v>2019I</v>
      </c>
      <c r="L98" s="25">
        <f t="shared" si="3"/>
        <v>1103600.3036789228</v>
      </c>
      <c r="M98" s="26">
        <f t="shared" si="4"/>
        <v>6452.5136626411149</v>
      </c>
      <c r="N98" s="25">
        <f>B$5*Tbl_Loan1[[#This Row],[Initial debt]]</f>
        <v>1958.062907209551</v>
      </c>
      <c r="O98" s="25">
        <f>Tbl_Loan1[[#This Row],[Annuity]]-Tbl_Loan1[[#This Row],[Interest amount]]</f>
        <v>4494.4507554315642</v>
      </c>
      <c r="P98" s="25">
        <f>Tbl_Loan1[[#This Row],[Initial debt]]-Tbl_Loan1[[#This Row],[Redemption amount]]</f>
        <v>1099105.8529234913</v>
      </c>
    </row>
    <row r="99" spans="4:16" x14ac:dyDescent="0.25">
      <c r="D99" t="str">
        <f>_xlfn.CONCAT(Tbl_Loan1[[#This Row],[Maandnummer ]],Tbl_Loan1[[#This Row],[Year]])</f>
        <v>22019</v>
      </c>
      <c r="E99" s="23">
        <f t="shared" si="5"/>
        <v>98</v>
      </c>
      <c r="F99" s="28">
        <v>43521</v>
      </c>
      <c r="G99" s="23">
        <f>MONTH(Tbl_Loan1[[#This Row],[Payment date]])</f>
        <v>2</v>
      </c>
      <c r="H99" s="23" t="str">
        <f>VLOOKUP(Tbl_Loan1[[#This Row],[Maandnummer ]],Tbl_Months[],2,FALSE)</f>
        <v>February</v>
      </c>
      <c r="I99" s="23" t="str">
        <f>VLOOKUP(Tbl_Loan1[[#This Row],[Maandnummer ]],Tbl_Months[],3,FALSE)</f>
        <v>I</v>
      </c>
      <c r="J99" s="23">
        <f>YEAR(Tbl_Loan1[[#This Row],[Payment date]])</f>
        <v>2019</v>
      </c>
      <c r="K99" s="23" t="str">
        <f>_xlfn.CONCAT(Tbl_Loan1[[#This Row],[Year]],Tbl_Loan1[[#This Row],[Quarter]])</f>
        <v>2019I</v>
      </c>
      <c r="L99" s="25">
        <f t="shared" si="3"/>
        <v>1099105.8529234913</v>
      </c>
      <c r="M99" s="26">
        <f t="shared" si="4"/>
        <v>6452.5136626411149</v>
      </c>
      <c r="N99" s="25">
        <f>B$5*Tbl_Loan1[[#This Row],[Initial debt]]</f>
        <v>1950.0886276781357</v>
      </c>
      <c r="O99" s="25">
        <f>Tbl_Loan1[[#This Row],[Annuity]]-Tbl_Loan1[[#This Row],[Interest amount]]</f>
        <v>4502.4250349629792</v>
      </c>
      <c r="P99" s="25">
        <f>Tbl_Loan1[[#This Row],[Initial debt]]-Tbl_Loan1[[#This Row],[Redemption amount]]</f>
        <v>1094603.4278885282</v>
      </c>
    </row>
    <row r="100" spans="4:16" x14ac:dyDescent="0.25">
      <c r="D100" t="str">
        <f>_xlfn.CONCAT(Tbl_Loan1[[#This Row],[Maandnummer ]],Tbl_Loan1[[#This Row],[Year]])</f>
        <v>32019</v>
      </c>
      <c r="E100" s="23">
        <f t="shared" si="5"/>
        <v>99</v>
      </c>
      <c r="F100" s="28">
        <v>43549</v>
      </c>
      <c r="G100" s="23">
        <f>MONTH(Tbl_Loan1[[#This Row],[Payment date]])</f>
        <v>3</v>
      </c>
      <c r="H100" s="23" t="str">
        <f>VLOOKUP(Tbl_Loan1[[#This Row],[Maandnummer ]],Tbl_Months[],2,FALSE)</f>
        <v>March</v>
      </c>
      <c r="I100" s="23" t="str">
        <f>VLOOKUP(Tbl_Loan1[[#This Row],[Maandnummer ]],Tbl_Months[],3,FALSE)</f>
        <v>I</v>
      </c>
      <c r="J100" s="23">
        <f>YEAR(Tbl_Loan1[[#This Row],[Payment date]])</f>
        <v>2019</v>
      </c>
      <c r="K100" s="23" t="str">
        <f>_xlfn.CONCAT(Tbl_Loan1[[#This Row],[Year]],Tbl_Loan1[[#This Row],[Quarter]])</f>
        <v>2019I</v>
      </c>
      <c r="L100" s="25">
        <f t="shared" si="3"/>
        <v>1094603.4278885282</v>
      </c>
      <c r="M100" s="26">
        <f t="shared" si="4"/>
        <v>6452.5136626411149</v>
      </c>
      <c r="N100" s="25">
        <f>B$5*Tbl_Loan1[[#This Row],[Initial debt]]</f>
        <v>1942.1001997807675</v>
      </c>
      <c r="O100" s="25">
        <f>Tbl_Loan1[[#This Row],[Annuity]]-Tbl_Loan1[[#This Row],[Interest amount]]</f>
        <v>4510.4134628603479</v>
      </c>
      <c r="P100" s="25">
        <f>Tbl_Loan1[[#This Row],[Initial debt]]-Tbl_Loan1[[#This Row],[Redemption amount]]</f>
        <v>1090093.0144256679</v>
      </c>
    </row>
    <row r="101" spans="4:16" x14ac:dyDescent="0.25">
      <c r="D101" t="str">
        <f>_xlfn.CONCAT(Tbl_Loan1[[#This Row],[Maandnummer ]],Tbl_Loan1[[#This Row],[Year]])</f>
        <v>42019</v>
      </c>
      <c r="E101" s="23">
        <f t="shared" si="5"/>
        <v>100</v>
      </c>
      <c r="F101" s="28">
        <v>43580</v>
      </c>
      <c r="G101" s="23">
        <f>MONTH(Tbl_Loan1[[#This Row],[Payment date]])</f>
        <v>4</v>
      </c>
      <c r="H101" s="23" t="str">
        <f>VLOOKUP(Tbl_Loan1[[#This Row],[Maandnummer ]],Tbl_Months[],2,FALSE)</f>
        <v>April</v>
      </c>
      <c r="I101" s="23" t="str">
        <f>VLOOKUP(Tbl_Loan1[[#This Row],[Maandnummer ]],Tbl_Months[],3,FALSE)</f>
        <v>II</v>
      </c>
      <c r="J101" s="23">
        <f>YEAR(Tbl_Loan1[[#This Row],[Payment date]])</f>
        <v>2019</v>
      </c>
      <c r="K101" s="23" t="str">
        <f>_xlfn.CONCAT(Tbl_Loan1[[#This Row],[Year]],Tbl_Loan1[[#This Row],[Quarter]])</f>
        <v>2019II</v>
      </c>
      <c r="L101" s="25">
        <f t="shared" si="3"/>
        <v>1090093.0144256679</v>
      </c>
      <c r="M101" s="26">
        <f t="shared" si="4"/>
        <v>6452.5136626411149</v>
      </c>
      <c r="N101" s="25">
        <f>B$5*Tbl_Loan1[[#This Row],[Initial debt]]</f>
        <v>1934.0975984147074</v>
      </c>
      <c r="O101" s="25">
        <f>Tbl_Loan1[[#This Row],[Annuity]]-Tbl_Loan1[[#This Row],[Interest amount]]</f>
        <v>4518.4160642264078</v>
      </c>
      <c r="P101" s="25">
        <f>Tbl_Loan1[[#This Row],[Initial debt]]-Tbl_Loan1[[#This Row],[Redemption amount]]</f>
        <v>1085574.5983614416</v>
      </c>
    </row>
    <row r="102" spans="4:16" x14ac:dyDescent="0.25">
      <c r="D102" t="str">
        <f>_xlfn.CONCAT(Tbl_Loan1[[#This Row],[Maandnummer ]],Tbl_Loan1[[#This Row],[Year]])</f>
        <v>52019</v>
      </c>
      <c r="E102" s="23">
        <f t="shared" si="5"/>
        <v>101</v>
      </c>
      <c r="F102" s="28">
        <v>43610</v>
      </c>
      <c r="G102" s="23">
        <f>MONTH(Tbl_Loan1[[#This Row],[Payment date]])</f>
        <v>5</v>
      </c>
      <c r="H102" s="23" t="str">
        <f>VLOOKUP(Tbl_Loan1[[#This Row],[Maandnummer ]],Tbl_Months[],2,FALSE)</f>
        <v>May</v>
      </c>
      <c r="I102" s="23" t="str">
        <f>VLOOKUP(Tbl_Loan1[[#This Row],[Maandnummer ]],Tbl_Months[],3,FALSE)</f>
        <v>II</v>
      </c>
      <c r="J102" s="23">
        <f>YEAR(Tbl_Loan1[[#This Row],[Payment date]])</f>
        <v>2019</v>
      </c>
      <c r="K102" s="23" t="str">
        <f>_xlfn.CONCAT(Tbl_Loan1[[#This Row],[Year]],Tbl_Loan1[[#This Row],[Quarter]])</f>
        <v>2019II</v>
      </c>
      <c r="L102" s="25">
        <f t="shared" si="3"/>
        <v>1085574.5983614416</v>
      </c>
      <c r="M102" s="26">
        <f t="shared" si="4"/>
        <v>6452.5136626411149</v>
      </c>
      <c r="N102" s="25">
        <f>B$5*Tbl_Loan1[[#This Row],[Initial debt]]</f>
        <v>1926.0807984326775</v>
      </c>
      <c r="O102" s="25">
        <f>Tbl_Loan1[[#This Row],[Annuity]]-Tbl_Loan1[[#This Row],[Interest amount]]</f>
        <v>4526.4328642084374</v>
      </c>
      <c r="P102" s="25">
        <f>Tbl_Loan1[[#This Row],[Initial debt]]-Tbl_Loan1[[#This Row],[Redemption amount]]</f>
        <v>1081048.1654972332</v>
      </c>
    </row>
    <row r="103" spans="4:16" x14ac:dyDescent="0.25">
      <c r="D103" t="str">
        <f>_xlfn.CONCAT(Tbl_Loan1[[#This Row],[Maandnummer ]],Tbl_Loan1[[#This Row],[Year]])</f>
        <v>62019</v>
      </c>
      <c r="E103" s="23">
        <f t="shared" si="5"/>
        <v>102</v>
      </c>
      <c r="F103" s="28">
        <v>43641</v>
      </c>
      <c r="G103" s="23">
        <f>MONTH(Tbl_Loan1[[#This Row],[Payment date]])</f>
        <v>6</v>
      </c>
      <c r="H103" s="23" t="str">
        <f>VLOOKUP(Tbl_Loan1[[#This Row],[Maandnummer ]],Tbl_Months[],2,FALSE)</f>
        <v>June</v>
      </c>
      <c r="I103" s="23" t="str">
        <f>VLOOKUP(Tbl_Loan1[[#This Row],[Maandnummer ]],Tbl_Months[],3,FALSE)</f>
        <v>II</v>
      </c>
      <c r="J103" s="23">
        <f>YEAR(Tbl_Loan1[[#This Row],[Payment date]])</f>
        <v>2019</v>
      </c>
      <c r="K103" s="23" t="str">
        <f>_xlfn.CONCAT(Tbl_Loan1[[#This Row],[Year]],Tbl_Loan1[[#This Row],[Quarter]])</f>
        <v>2019II</v>
      </c>
      <c r="L103" s="25">
        <f t="shared" si="3"/>
        <v>1081048.1654972332</v>
      </c>
      <c r="M103" s="26">
        <f t="shared" si="4"/>
        <v>6452.5136626411149</v>
      </c>
      <c r="N103" s="25">
        <f>B$5*Tbl_Loan1[[#This Row],[Initial debt]]</f>
        <v>1918.0497746427825</v>
      </c>
      <c r="O103" s="25">
        <f>Tbl_Loan1[[#This Row],[Annuity]]-Tbl_Loan1[[#This Row],[Interest amount]]</f>
        <v>4534.4638879983322</v>
      </c>
      <c r="P103" s="25">
        <f>Tbl_Loan1[[#This Row],[Initial debt]]-Tbl_Loan1[[#This Row],[Redemption amount]]</f>
        <v>1076513.7016092348</v>
      </c>
    </row>
    <row r="104" spans="4:16" x14ac:dyDescent="0.25">
      <c r="D104" t="str">
        <f>_xlfn.CONCAT(Tbl_Loan1[[#This Row],[Maandnummer ]],Tbl_Loan1[[#This Row],[Year]])</f>
        <v>72019</v>
      </c>
      <c r="E104" s="23">
        <f t="shared" si="5"/>
        <v>103</v>
      </c>
      <c r="F104" s="28">
        <v>43671</v>
      </c>
      <c r="G104" s="23">
        <f>MONTH(Tbl_Loan1[[#This Row],[Payment date]])</f>
        <v>7</v>
      </c>
      <c r="H104" s="23" t="str">
        <f>VLOOKUP(Tbl_Loan1[[#This Row],[Maandnummer ]],Tbl_Months[],2,FALSE)</f>
        <v>July</v>
      </c>
      <c r="I104" s="23" t="str">
        <f>VLOOKUP(Tbl_Loan1[[#This Row],[Maandnummer ]],Tbl_Months[],3,FALSE)</f>
        <v>III</v>
      </c>
      <c r="J104" s="23">
        <f>YEAR(Tbl_Loan1[[#This Row],[Payment date]])</f>
        <v>2019</v>
      </c>
      <c r="K104" s="23" t="str">
        <f>_xlfn.CONCAT(Tbl_Loan1[[#This Row],[Year]],Tbl_Loan1[[#This Row],[Quarter]])</f>
        <v>2019III</v>
      </c>
      <c r="L104" s="25">
        <f t="shared" si="3"/>
        <v>1076513.7016092348</v>
      </c>
      <c r="M104" s="26">
        <f t="shared" si="4"/>
        <v>6452.5136626411149</v>
      </c>
      <c r="N104" s="25">
        <f>B$5*Tbl_Loan1[[#This Row],[Initial debt]]</f>
        <v>1910.0045018084304</v>
      </c>
      <c r="O104" s="25">
        <f>Tbl_Loan1[[#This Row],[Annuity]]-Tbl_Loan1[[#This Row],[Interest amount]]</f>
        <v>4542.5091608326848</v>
      </c>
      <c r="P104" s="25">
        <f>Tbl_Loan1[[#This Row],[Initial debt]]-Tbl_Loan1[[#This Row],[Redemption amount]]</f>
        <v>1071971.1924484021</v>
      </c>
    </row>
    <row r="105" spans="4:16" x14ac:dyDescent="0.25">
      <c r="D105" t="str">
        <f>_xlfn.CONCAT(Tbl_Loan1[[#This Row],[Maandnummer ]],Tbl_Loan1[[#This Row],[Year]])</f>
        <v>82019</v>
      </c>
      <c r="E105" s="23">
        <f t="shared" si="5"/>
        <v>104</v>
      </c>
      <c r="F105" s="28">
        <v>43702</v>
      </c>
      <c r="G105" s="23">
        <f>MONTH(Tbl_Loan1[[#This Row],[Payment date]])</f>
        <v>8</v>
      </c>
      <c r="H105" s="23" t="str">
        <f>VLOOKUP(Tbl_Loan1[[#This Row],[Maandnummer ]],Tbl_Months[],2,FALSE)</f>
        <v>August</v>
      </c>
      <c r="I105" s="23" t="str">
        <f>VLOOKUP(Tbl_Loan1[[#This Row],[Maandnummer ]],Tbl_Months[],3,FALSE)</f>
        <v>III</v>
      </c>
      <c r="J105" s="23">
        <f>YEAR(Tbl_Loan1[[#This Row],[Payment date]])</f>
        <v>2019</v>
      </c>
      <c r="K105" s="23" t="str">
        <f>_xlfn.CONCAT(Tbl_Loan1[[#This Row],[Year]],Tbl_Loan1[[#This Row],[Quarter]])</f>
        <v>2019III</v>
      </c>
      <c r="L105" s="25">
        <f t="shared" si="3"/>
        <v>1071971.1924484021</v>
      </c>
      <c r="M105" s="26">
        <f t="shared" si="4"/>
        <v>6452.5136626411149</v>
      </c>
      <c r="N105" s="25">
        <f>B$5*Tbl_Loan1[[#This Row],[Initial debt]]</f>
        <v>1901.9449546482531</v>
      </c>
      <c r="O105" s="25">
        <f>Tbl_Loan1[[#This Row],[Annuity]]-Tbl_Loan1[[#This Row],[Interest amount]]</f>
        <v>4550.5687079928621</v>
      </c>
      <c r="P105" s="25">
        <f>Tbl_Loan1[[#This Row],[Initial debt]]-Tbl_Loan1[[#This Row],[Redemption amount]]</f>
        <v>1067420.6237404093</v>
      </c>
    </row>
    <row r="106" spans="4:16" x14ac:dyDescent="0.25">
      <c r="D106" t="str">
        <f>_xlfn.CONCAT(Tbl_Loan1[[#This Row],[Maandnummer ]],Tbl_Loan1[[#This Row],[Year]])</f>
        <v>92019</v>
      </c>
      <c r="E106" s="23">
        <f t="shared" si="5"/>
        <v>105</v>
      </c>
      <c r="F106" s="28">
        <v>43733</v>
      </c>
      <c r="G106" s="23">
        <f>MONTH(Tbl_Loan1[[#This Row],[Payment date]])</f>
        <v>9</v>
      </c>
      <c r="H106" s="23" t="str">
        <f>VLOOKUP(Tbl_Loan1[[#This Row],[Maandnummer ]],Tbl_Months[],2,FALSE)</f>
        <v>September</v>
      </c>
      <c r="I106" s="23" t="str">
        <f>VLOOKUP(Tbl_Loan1[[#This Row],[Maandnummer ]],Tbl_Months[],3,FALSE)</f>
        <v>III</v>
      </c>
      <c r="J106" s="23">
        <f>YEAR(Tbl_Loan1[[#This Row],[Payment date]])</f>
        <v>2019</v>
      </c>
      <c r="K106" s="23" t="str">
        <f>_xlfn.CONCAT(Tbl_Loan1[[#This Row],[Year]],Tbl_Loan1[[#This Row],[Quarter]])</f>
        <v>2019III</v>
      </c>
      <c r="L106" s="25">
        <f t="shared" si="3"/>
        <v>1067420.6237404093</v>
      </c>
      <c r="M106" s="26">
        <f t="shared" si="4"/>
        <v>6452.5136626411149</v>
      </c>
      <c r="N106" s="25">
        <f>B$5*Tbl_Loan1[[#This Row],[Initial debt]]</f>
        <v>1893.8711078360277</v>
      </c>
      <c r="O106" s="25">
        <f>Tbl_Loan1[[#This Row],[Annuity]]-Tbl_Loan1[[#This Row],[Interest amount]]</f>
        <v>4558.6425548050875</v>
      </c>
      <c r="P106" s="25">
        <f>Tbl_Loan1[[#This Row],[Initial debt]]-Tbl_Loan1[[#This Row],[Redemption amount]]</f>
        <v>1062861.9811856041</v>
      </c>
    </row>
    <row r="107" spans="4:16" x14ac:dyDescent="0.25">
      <c r="D107" t="str">
        <f>_xlfn.CONCAT(Tbl_Loan1[[#This Row],[Maandnummer ]],Tbl_Loan1[[#This Row],[Year]])</f>
        <v>102019</v>
      </c>
      <c r="E107" s="23">
        <f t="shared" si="5"/>
        <v>106</v>
      </c>
      <c r="F107" s="28">
        <v>43763</v>
      </c>
      <c r="G107" s="23">
        <f>MONTH(Tbl_Loan1[[#This Row],[Payment date]])</f>
        <v>10</v>
      </c>
      <c r="H107" s="23" t="str">
        <f>VLOOKUP(Tbl_Loan1[[#This Row],[Maandnummer ]],Tbl_Months[],2,FALSE)</f>
        <v>October</v>
      </c>
      <c r="I107" s="23" t="str">
        <f>VLOOKUP(Tbl_Loan1[[#This Row],[Maandnummer ]],Tbl_Months[],3,FALSE)</f>
        <v>IV</v>
      </c>
      <c r="J107" s="23">
        <f>YEAR(Tbl_Loan1[[#This Row],[Payment date]])</f>
        <v>2019</v>
      </c>
      <c r="K107" s="23" t="str">
        <f>_xlfn.CONCAT(Tbl_Loan1[[#This Row],[Year]],Tbl_Loan1[[#This Row],[Quarter]])</f>
        <v>2019IV</v>
      </c>
      <c r="L107" s="25">
        <f t="shared" si="3"/>
        <v>1062861.9811856041</v>
      </c>
      <c r="M107" s="26">
        <f t="shared" si="4"/>
        <v>6452.5136626411149</v>
      </c>
      <c r="N107" s="25">
        <f>B$5*Tbl_Loan1[[#This Row],[Initial debt]]</f>
        <v>1885.7829360005949</v>
      </c>
      <c r="O107" s="25">
        <f>Tbl_Loan1[[#This Row],[Annuity]]-Tbl_Loan1[[#This Row],[Interest amount]]</f>
        <v>4566.7307266405205</v>
      </c>
      <c r="P107" s="25">
        <f>Tbl_Loan1[[#This Row],[Initial debt]]-Tbl_Loan1[[#This Row],[Redemption amount]]</f>
        <v>1058295.2504589637</v>
      </c>
    </row>
    <row r="108" spans="4:16" x14ac:dyDescent="0.25">
      <c r="D108" t="str">
        <f>_xlfn.CONCAT(Tbl_Loan1[[#This Row],[Maandnummer ]],Tbl_Loan1[[#This Row],[Year]])</f>
        <v>112019</v>
      </c>
      <c r="E108" s="23">
        <f t="shared" si="5"/>
        <v>107</v>
      </c>
      <c r="F108" s="28">
        <v>43794</v>
      </c>
      <c r="G108" s="23">
        <f>MONTH(Tbl_Loan1[[#This Row],[Payment date]])</f>
        <v>11</v>
      </c>
      <c r="H108" s="23" t="str">
        <f>VLOOKUP(Tbl_Loan1[[#This Row],[Maandnummer ]],Tbl_Months[],2,FALSE)</f>
        <v>November</v>
      </c>
      <c r="I108" s="23" t="str">
        <f>VLOOKUP(Tbl_Loan1[[#This Row],[Maandnummer ]],Tbl_Months[],3,FALSE)</f>
        <v>IV</v>
      </c>
      <c r="J108" s="23">
        <f>YEAR(Tbl_Loan1[[#This Row],[Payment date]])</f>
        <v>2019</v>
      </c>
      <c r="K108" s="23" t="str">
        <f>_xlfn.CONCAT(Tbl_Loan1[[#This Row],[Year]],Tbl_Loan1[[#This Row],[Quarter]])</f>
        <v>2019IV</v>
      </c>
      <c r="L108" s="25">
        <f t="shared" si="3"/>
        <v>1058295.2504589637</v>
      </c>
      <c r="M108" s="26">
        <f t="shared" si="4"/>
        <v>6452.5136626411149</v>
      </c>
      <c r="N108" s="25">
        <f>B$5*Tbl_Loan1[[#This Row],[Initial debt]]</f>
        <v>1877.6804137257818</v>
      </c>
      <c r="O108" s="25">
        <f>Tbl_Loan1[[#This Row],[Annuity]]-Tbl_Loan1[[#This Row],[Interest amount]]</f>
        <v>4574.8332489153327</v>
      </c>
      <c r="P108" s="25">
        <f>Tbl_Loan1[[#This Row],[Initial debt]]-Tbl_Loan1[[#This Row],[Redemption amount]]</f>
        <v>1053720.4172100483</v>
      </c>
    </row>
    <row r="109" spans="4:16" x14ac:dyDescent="0.25">
      <c r="D109" t="str">
        <f>_xlfn.CONCAT(Tbl_Loan1[[#This Row],[Maandnummer ]],Tbl_Loan1[[#This Row],[Year]])</f>
        <v>122019</v>
      </c>
      <c r="E109" s="23">
        <f t="shared" si="5"/>
        <v>108</v>
      </c>
      <c r="F109" s="28">
        <v>43824</v>
      </c>
      <c r="G109" s="23">
        <f>MONTH(Tbl_Loan1[[#This Row],[Payment date]])</f>
        <v>12</v>
      </c>
      <c r="H109" s="23" t="str">
        <f>VLOOKUP(Tbl_Loan1[[#This Row],[Maandnummer ]],Tbl_Months[],2,FALSE)</f>
        <v>December</v>
      </c>
      <c r="I109" s="23" t="str">
        <f>VLOOKUP(Tbl_Loan1[[#This Row],[Maandnummer ]],Tbl_Months[],3,FALSE)</f>
        <v>IV</v>
      </c>
      <c r="J109" s="23">
        <f>YEAR(Tbl_Loan1[[#This Row],[Payment date]])</f>
        <v>2019</v>
      </c>
      <c r="K109" s="23" t="str">
        <f>_xlfn.CONCAT(Tbl_Loan1[[#This Row],[Year]],Tbl_Loan1[[#This Row],[Quarter]])</f>
        <v>2019IV</v>
      </c>
      <c r="L109" s="25">
        <f t="shared" si="3"/>
        <v>1053720.4172100483</v>
      </c>
      <c r="M109" s="26">
        <f t="shared" si="4"/>
        <v>6452.5136626411149</v>
      </c>
      <c r="N109" s="25">
        <f>B$5*Tbl_Loan1[[#This Row],[Initial debt]]</f>
        <v>1869.5635155503205</v>
      </c>
      <c r="O109" s="25">
        <f>Tbl_Loan1[[#This Row],[Annuity]]-Tbl_Loan1[[#This Row],[Interest amount]]</f>
        <v>4582.9501470907944</v>
      </c>
      <c r="P109" s="25">
        <f>Tbl_Loan1[[#This Row],[Initial debt]]-Tbl_Loan1[[#This Row],[Redemption amount]]</f>
        <v>1049137.4670629576</v>
      </c>
    </row>
    <row r="110" spans="4:16" x14ac:dyDescent="0.25">
      <c r="D110" t="str">
        <f>_xlfn.CONCAT(Tbl_Loan1[[#This Row],[Maandnummer ]],Tbl_Loan1[[#This Row],[Year]])</f>
        <v>12020</v>
      </c>
      <c r="E110" s="23">
        <f t="shared" si="5"/>
        <v>109</v>
      </c>
      <c r="F110" s="28">
        <v>43855</v>
      </c>
      <c r="G110" s="23">
        <f>MONTH(Tbl_Loan1[[#This Row],[Payment date]])</f>
        <v>1</v>
      </c>
      <c r="H110" s="23" t="str">
        <f>VLOOKUP(Tbl_Loan1[[#This Row],[Maandnummer ]],Tbl_Months[],2,FALSE)</f>
        <v>January</v>
      </c>
      <c r="I110" s="23" t="str">
        <f>VLOOKUP(Tbl_Loan1[[#This Row],[Maandnummer ]],Tbl_Months[],3,FALSE)</f>
        <v>I</v>
      </c>
      <c r="J110" s="23">
        <f>YEAR(Tbl_Loan1[[#This Row],[Payment date]])</f>
        <v>2020</v>
      </c>
      <c r="K110" s="23" t="str">
        <f>_xlfn.CONCAT(Tbl_Loan1[[#This Row],[Year]],Tbl_Loan1[[#This Row],[Quarter]])</f>
        <v>2020I</v>
      </c>
      <c r="L110" s="25">
        <f t="shared" si="3"/>
        <v>1049137.4670629576</v>
      </c>
      <c r="M110" s="26">
        <f t="shared" si="4"/>
        <v>6452.5136626411149</v>
      </c>
      <c r="N110" s="25">
        <f>B$5*Tbl_Loan1[[#This Row],[Initial debt]]</f>
        <v>1861.4322159677683</v>
      </c>
      <c r="O110" s="25">
        <f>Tbl_Loan1[[#This Row],[Annuity]]-Tbl_Loan1[[#This Row],[Interest amount]]</f>
        <v>4591.0814466733464</v>
      </c>
      <c r="P110" s="25">
        <f>Tbl_Loan1[[#This Row],[Initial debt]]-Tbl_Loan1[[#This Row],[Redemption amount]]</f>
        <v>1044546.3856162842</v>
      </c>
    </row>
    <row r="111" spans="4:16" x14ac:dyDescent="0.25">
      <c r="D111" t="str">
        <f>_xlfn.CONCAT(Tbl_Loan1[[#This Row],[Maandnummer ]],Tbl_Loan1[[#This Row],[Year]])</f>
        <v>22020</v>
      </c>
      <c r="E111" s="23">
        <f t="shared" si="5"/>
        <v>110</v>
      </c>
      <c r="F111" s="28">
        <v>43886</v>
      </c>
      <c r="G111" s="23">
        <f>MONTH(Tbl_Loan1[[#This Row],[Payment date]])</f>
        <v>2</v>
      </c>
      <c r="H111" s="23" t="str">
        <f>VLOOKUP(Tbl_Loan1[[#This Row],[Maandnummer ]],Tbl_Months[],2,FALSE)</f>
        <v>February</v>
      </c>
      <c r="I111" s="23" t="str">
        <f>VLOOKUP(Tbl_Loan1[[#This Row],[Maandnummer ]],Tbl_Months[],3,FALSE)</f>
        <v>I</v>
      </c>
      <c r="J111" s="23">
        <f>YEAR(Tbl_Loan1[[#This Row],[Payment date]])</f>
        <v>2020</v>
      </c>
      <c r="K111" s="23" t="str">
        <f>_xlfn.CONCAT(Tbl_Loan1[[#This Row],[Year]],Tbl_Loan1[[#This Row],[Quarter]])</f>
        <v>2020I</v>
      </c>
      <c r="L111" s="25">
        <f t="shared" si="3"/>
        <v>1044546.3856162842</v>
      </c>
      <c r="M111" s="26">
        <f t="shared" si="4"/>
        <v>6452.5136626411149</v>
      </c>
      <c r="N111" s="25">
        <f>B$5*Tbl_Loan1[[#This Row],[Initial debt]]</f>
        <v>1853.2864894264276</v>
      </c>
      <c r="O111" s="25">
        <f>Tbl_Loan1[[#This Row],[Annuity]]-Tbl_Loan1[[#This Row],[Interest amount]]</f>
        <v>4599.2271732146874</v>
      </c>
      <c r="P111" s="25">
        <f>Tbl_Loan1[[#This Row],[Initial debt]]-Tbl_Loan1[[#This Row],[Redemption amount]]</f>
        <v>1039947.1584430696</v>
      </c>
    </row>
    <row r="112" spans="4:16" x14ac:dyDescent="0.25">
      <c r="D112" t="str">
        <f>_xlfn.CONCAT(Tbl_Loan1[[#This Row],[Maandnummer ]],Tbl_Loan1[[#This Row],[Year]])</f>
        <v>32020</v>
      </c>
      <c r="E112" s="23">
        <f t="shared" si="5"/>
        <v>111</v>
      </c>
      <c r="F112" s="28">
        <v>43915</v>
      </c>
      <c r="G112" s="23">
        <f>MONTH(Tbl_Loan1[[#This Row],[Payment date]])</f>
        <v>3</v>
      </c>
      <c r="H112" s="23" t="str">
        <f>VLOOKUP(Tbl_Loan1[[#This Row],[Maandnummer ]],Tbl_Months[],2,FALSE)</f>
        <v>March</v>
      </c>
      <c r="I112" s="23" t="str">
        <f>VLOOKUP(Tbl_Loan1[[#This Row],[Maandnummer ]],Tbl_Months[],3,FALSE)</f>
        <v>I</v>
      </c>
      <c r="J112" s="23">
        <f>YEAR(Tbl_Loan1[[#This Row],[Payment date]])</f>
        <v>2020</v>
      </c>
      <c r="K112" s="23" t="str">
        <f>_xlfn.CONCAT(Tbl_Loan1[[#This Row],[Year]],Tbl_Loan1[[#This Row],[Quarter]])</f>
        <v>2020I</v>
      </c>
      <c r="L112" s="25">
        <f t="shared" si="3"/>
        <v>1039947.1584430696</v>
      </c>
      <c r="M112" s="26">
        <f t="shared" si="4"/>
        <v>6452.5136626411149</v>
      </c>
      <c r="N112" s="25">
        <f>B$5*Tbl_Loan1[[#This Row],[Initial debt]]</f>
        <v>1845.1263103292661</v>
      </c>
      <c r="O112" s="25">
        <f>Tbl_Loan1[[#This Row],[Annuity]]-Tbl_Loan1[[#This Row],[Interest amount]]</f>
        <v>4607.3873523118491</v>
      </c>
      <c r="P112" s="25">
        <f>Tbl_Loan1[[#This Row],[Initial debt]]-Tbl_Loan1[[#This Row],[Redemption amount]]</f>
        <v>1035339.7710907577</v>
      </c>
    </row>
    <row r="113" spans="4:16" x14ac:dyDescent="0.25">
      <c r="D113" t="str">
        <f>_xlfn.CONCAT(Tbl_Loan1[[#This Row],[Maandnummer ]],Tbl_Loan1[[#This Row],[Year]])</f>
        <v>42020</v>
      </c>
      <c r="E113" s="23">
        <f t="shared" si="5"/>
        <v>112</v>
      </c>
      <c r="F113" s="28">
        <v>43946</v>
      </c>
      <c r="G113" s="23">
        <f>MONTH(Tbl_Loan1[[#This Row],[Payment date]])</f>
        <v>4</v>
      </c>
      <c r="H113" s="23" t="str">
        <f>VLOOKUP(Tbl_Loan1[[#This Row],[Maandnummer ]],Tbl_Months[],2,FALSE)</f>
        <v>April</v>
      </c>
      <c r="I113" s="23" t="str">
        <f>VLOOKUP(Tbl_Loan1[[#This Row],[Maandnummer ]],Tbl_Months[],3,FALSE)</f>
        <v>II</v>
      </c>
      <c r="J113" s="23">
        <f>YEAR(Tbl_Loan1[[#This Row],[Payment date]])</f>
        <v>2020</v>
      </c>
      <c r="K113" s="23" t="str">
        <f>_xlfn.CONCAT(Tbl_Loan1[[#This Row],[Year]],Tbl_Loan1[[#This Row],[Quarter]])</f>
        <v>2020II</v>
      </c>
      <c r="L113" s="25">
        <f t="shared" si="3"/>
        <v>1035339.7710907577</v>
      </c>
      <c r="M113" s="26">
        <f t="shared" si="4"/>
        <v>6452.5136626411149</v>
      </c>
      <c r="N113" s="25">
        <f>B$5*Tbl_Loan1[[#This Row],[Initial debt]]</f>
        <v>1836.9516530338353</v>
      </c>
      <c r="O113" s="25">
        <f>Tbl_Loan1[[#This Row],[Annuity]]-Tbl_Loan1[[#This Row],[Interest amount]]</f>
        <v>4615.5620096072798</v>
      </c>
      <c r="P113" s="25">
        <f>Tbl_Loan1[[#This Row],[Initial debt]]-Tbl_Loan1[[#This Row],[Redemption amount]]</f>
        <v>1030724.2090811504</v>
      </c>
    </row>
    <row r="114" spans="4:16" x14ac:dyDescent="0.25">
      <c r="D114" t="str">
        <f>_xlfn.CONCAT(Tbl_Loan1[[#This Row],[Maandnummer ]],Tbl_Loan1[[#This Row],[Year]])</f>
        <v>52020</v>
      </c>
      <c r="E114" s="23">
        <f t="shared" si="5"/>
        <v>113</v>
      </c>
      <c r="F114" s="28">
        <v>43976</v>
      </c>
      <c r="G114" s="23">
        <f>MONTH(Tbl_Loan1[[#This Row],[Payment date]])</f>
        <v>5</v>
      </c>
      <c r="H114" s="23" t="str">
        <f>VLOOKUP(Tbl_Loan1[[#This Row],[Maandnummer ]],Tbl_Months[],2,FALSE)</f>
        <v>May</v>
      </c>
      <c r="I114" s="23" t="str">
        <f>VLOOKUP(Tbl_Loan1[[#This Row],[Maandnummer ]],Tbl_Months[],3,FALSE)</f>
        <v>II</v>
      </c>
      <c r="J114" s="23">
        <f>YEAR(Tbl_Loan1[[#This Row],[Payment date]])</f>
        <v>2020</v>
      </c>
      <c r="K114" s="23" t="str">
        <f>_xlfn.CONCAT(Tbl_Loan1[[#This Row],[Year]],Tbl_Loan1[[#This Row],[Quarter]])</f>
        <v>2020II</v>
      </c>
      <c r="L114" s="25">
        <f t="shared" si="3"/>
        <v>1030724.2090811504</v>
      </c>
      <c r="M114" s="26">
        <f t="shared" si="4"/>
        <v>6452.5136626411149</v>
      </c>
      <c r="N114" s="25">
        <f>B$5*Tbl_Loan1[[#This Row],[Initial debt]]</f>
        <v>1828.7624918521917</v>
      </c>
      <c r="O114" s="25">
        <f>Tbl_Loan1[[#This Row],[Annuity]]-Tbl_Loan1[[#This Row],[Interest amount]]</f>
        <v>4623.7511707889234</v>
      </c>
      <c r="P114" s="25">
        <f>Tbl_Loan1[[#This Row],[Initial debt]]-Tbl_Loan1[[#This Row],[Redemption amount]]</f>
        <v>1026100.4579103615</v>
      </c>
    </row>
    <row r="115" spans="4:16" x14ac:dyDescent="0.25">
      <c r="D115" t="str">
        <f>_xlfn.CONCAT(Tbl_Loan1[[#This Row],[Maandnummer ]],Tbl_Loan1[[#This Row],[Year]])</f>
        <v>62020</v>
      </c>
      <c r="E115" s="23">
        <f t="shared" si="5"/>
        <v>114</v>
      </c>
      <c r="F115" s="28">
        <v>44007</v>
      </c>
      <c r="G115" s="23">
        <f>MONTH(Tbl_Loan1[[#This Row],[Payment date]])</f>
        <v>6</v>
      </c>
      <c r="H115" s="23" t="str">
        <f>VLOOKUP(Tbl_Loan1[[#This Row],[Maandnummer ]],Tbl_Months[],2,FALSE)</f>
        <v>June</v>
      </c>
      <c r="I115" s="23" t="str">
        <f>VLOOKUP(Tbl_Loan1[[#This Row],[Maandnummer ]],Tbl_Months[],3,FALSE)</f>
        <v>II</v>
      </c>
      <c r="J115" s="23">
        <f>YEAR(Tbl_Loan1[[#This Row],[Payment date]])</f>
        <v>2020</v>
      </c>
      <c r="K115" s="23" t="str">
        <f>_xlfn.CONCAT(Tbl_Loan1[[#This Row],[Year]],Tbl_Loan1[[#This Row],[Quarter]])</f>
        <v>2020II</v>
      </c>
      <c r="L115" s="25">
        <f t="shared" si="3"/>
        <v>1026100.4579103615</v>
      </c>
      <c r="M115" s="26">
        <f t="shared" si="4"/>
        <v>6452.5136626411149</v>
      </c>
      <c r="N115" s="25">
        <f>B$5*Tbl_Loan1[[#This Row],[Initial debt]]</f>
        <v>1820.5588010508141</v>
      </c>
      <c r="O115" s="25">
        <f>Tbl_Loan1[[#This Row],[Annuity]]-Tbl_Loan1[[#This Row],[Interest amount]]</f>
        <v>4631.9548615903004</v>
      </c>
      <c r="P115" s="25">
        <f>Tbl_Loan1[[#This Row],[Initial debt]]-Tbl_Loan1[[#This Row],[Redemption amount]]</f>
        <v>1021468.5030487712</v>
      </c>
    </row>
    <row r="116" spans="4:16" x14ac:dyDescent="0.25">
      <c r="D116" t="str">
        <f>_xlfn.CONCAT(Tbl_Loan1[[#This Row],[Maandnummer ]],Tbl_Loan1[[#This Row],[Year]])</f>
        <v>72020</v>
      </c>
      <c r="E116" s="23">
        <f t="shared" si="5"/>
        <v>115</v>
      </c>
      <c r="F116" s="28">
        <v>44037</v>
      </c>
      <c r="G116" s="23">
        <f>MONTH(Tbl_Loan1[[#This Row],[Payment date]])</f>
        <v>7</v>
      </c>
      <c r="H116" s="23" t="str">
        <f>VLOOKUP(Tbl_Loan1[[#This Row],[Maandnummer ]],Tbl_Months[],2,FALSE)</f>
        <v>July</v>
      </c>
      <c r="I116" s="23" t="str">
        <f>VLOOKUP(Tbl_Loan1[[#This Row],[Maandnummer ]],Tbl_Months[],3,FALSE)</f>
        <v>III</v>
      </c>
      <c r="J116" s="23">
        <f>YEAR(Tbl_Loan1[[#This Row],[Payment date]])</f>
        <v>2020</v>
      </c>
      <c r="K116" s="23" t="str">
        <f>_xlfn.CONCAT(Tbl_Loan1[[#This Row],[Year]],Tbl_Loan1[[#This Row],[Quarter]])</f>
        <v>2020III</v>
      </c>
      <c r="L116" s="25">
        <f t="shared" si="3"/>
        <v>1021468.5030487712</v>
      </c>
      <c r="M116" s="26">
        <f t="shared" si="4"/>
        <v>6452.5136626411149</v>
      </c>
      <c r="N116" s="25">
        <f>B$5*Tbl_Loan1[[#This Row],[Initial debt]]</f>
        <v>1812.3405548505234</v>
      </c>
      <c r="O116" s="25">
        <f>Tbl_Loan1[[#This Row],[Annuity]]-Tbl_Loan1[[#This Row],[Interest amount]]</f>
        <v>4640.1731077905915</v>
      </c>
      <c r="P116" s="25">
        <f>Tbl_Loan1[[#This Row],[Initial debt]]-Tbl_Loan1[[#This Row],[Redemption amount]]</f>
        <v>1016828.3299409805</v>
      </c>
    </row>
    <row r="117" spans="4:16" x14ac:dyDescent="0.25">
      <c r="D117" t="str">
        <f>_xlfn.CONCAT(Tbl_Loan1[[#This Row],[Maandnummer ]],Tbl_Loan1[[#This Row],[Year]])</f>
        <v>82020</v>
      </c>
      <c r="E117" s="23">
        <f t="shared" si="5"/>
        <v>116</v>
      </c>
      <c r="F117" s="28">
        <v>44068</v>
      </c>
      <c r="G117" s="23">
        <f>MONTH(Tbl_Loan1[[#This Row],[Payment date]])</f>
        <v>8</v>
      </c>
      <c r="H117" s="23" t="str">
        <f>VLOOKUP(Tbl_Loan1[[#This Row],[Maandnummer ]],Tbl_Months[],2,FALSE)</f>
        <v>August</v>
      </c>
      <c r="I117" s="23" t="str">
        <f>VLOOKUP(Tbl_Loan1[[#This Row],[Maandnummer ]],Tbl_Months[],3,FALSE)</f>
        <v>III</v>
      </c>
      <c r="J117" s="23">
        <f>YEAR(Tbl_Loan1[[#This Row],[Payment date]])</f>
        <v>2020</v>
      </c>
      <c r="K117" s="23" t="str">
        <f>_xlfn.CONCAT(Tbl_Loan1[[#This Row],[Year]],Tbl_Loan1[[#This Row],[Quarter]])</f>
        <v>2020III</v>
      </c>
      <c r="L117" s="25">
        <f t="shared" si="3"/>
        <v>1016828.3299409805</v>
      </c>
      <c r="M117" s="26">
        <f t="shared" si="4"/>
        <v>6452.5136626411149</v>
      </c>
      <c r="N117" s="25">
        <f>B$5*Tbl_Loan1[[#This Row],[Initial debt]]</f>
        <v>1804.1077274264023</v>
      </c>
      <c r="O117" s="25">
        <f>Tbl_Loan1[[#This Row],[Annuity]]-Tbl_Loan1[[#This Row],[Interest amount]]</f>
        <v>4648.4059352147124</v>
      </c>
      <c r="P117" s="25">
        <f>Tbl_Loan1[[#This Row],[Initial debt]]-Tbl_Loan1[[#This Row],[Redemption amount]]</f>
        <v>1012179.9240057658</v>
      </c>
    </row>
    <row r="118" spans="4:16" x14ac:dyDescent="0.25">
      <c r="D118" t="str">
        <f>_xlfn.CONCAT(Tbl_Loan1[[#This Row],[Maandnummer ]],Tbl_Loan1[[#This Row],[Year]])</f>
        <v>92020</v>
      </c>
      <c r="E118" s="23">
        <f t="shared" si="5"/>
        <v>117</v>
      </c>
      <c r="F118" s="28">
        <v>44099</v>
      </c>
      <c r="G118" s="23">
        <f>MONTH(Tbl_Loan1[[#This Row],[Payment date]])</f>
        <v>9</v>
      </c>
      <c r="H118" s="23" t="str">
        <f>VLOOKUP(Tbl_Loan1[[#This Row],[Maandnummer ]],Tbl_Months[],2,FALSE)</f>
        <v>September</v>
      </c>
      <c r="I118" s="23" t="str">
        <f>VLOOKUP(Tbl_Loan1[[#This Row],[Maandnummer ]],Tbl_Months[],3,FALSE)</f>
        <v>III</v>
      </c>
      <c r="J118" s="23">
        <f>YEAR(Tbl_Loan1[[#This Row],[Payment date]])</f>
        <v>2020</v>
      </c>
      <c r="K118" s="23" t="str">
        <f>_xlfn.CONCAT(Tbl_Loan1[[#This Row],[Year]],Tbl_Loan1[[#This Row],[Quarter]])</f>
        <v>2020III</v>
      </c>
      <c r="L118" s="25">
        <f t="shared" si="3"/>
        <v>1012179.9240057658</v>
      </c>
      <c r="M118" s="26">
        <f t="shared" si="4"/>
        <v>6452.5136626411149</v>
      </c>
      <c r="N118" s="25">
        <f>B$5*Tbl_Loan1[[#This Row],[Initial debt]]</f>
        <v>1795.8602929077138</v>
      </c>
      <c r="O118" s="25">
        <f>Tbl_Loan1[[#This Row],[Annuity]]-Tbl_Loan1[[#This Row],[Interest amount]]</f>
        <v>4656.6533697334016</v>
      </c>
      <c r="P118" s="25">
        <f>Tbl_Loan1[[#This Row],[Initial debt]]-Tbl_Loan1[[#This Row],[Redemption amount]]</f>
        <v>1007523.2706360325</v>
      </c>
    </row>
    <row r="119" spans="4:16" x14ac:dyDescent="0.25">
      <c r="D119" t="str">
        <f>_xlfn.CONCAT(Tbl_Loan1[[#This Row],[Maandnummer ]],Tbl_Loan1[[#This Row],[Year]])</f>
        <v>102020</v>
      </c>
      <c r="E119" s="23">
        <f t="shared" si="5"/>
        <v>118</v>
      </c>
      <c r="F119" s="28">
        <v>44129</v>
      </c>
      <c r="G119" s="23">
        <f>MONTH(Tbl_Loan1[[#This Row],[Payment date]])</f>
        <v>10</v>
      </c>
      <c r="H119" s="23" t="str">
        <f>VLOOKUP(Tbl_Loan1[[#This Row],[Maandnummer ]],Tbl_Months[],2,FALSE)</f>
        <v>October</v>
      </c>
      <c r="I119" s="23" t="str">
        <f>VLOOKUP(Tbl_Loan1[[#This Row],[Maandnummer ]],Tbl_Months[],3,FALSE)</f>
        <v>IV</v>
      </c>
      <c r="J119" s="23">
        <f>YEAR(Tbl_Loan1[[#This Row],[Payment date]])</f>
        <v>2020</v>
      </c>
      <c r="K119" s="23" t="str">
        <f>_xlfn.CONCAT(Tbl_Loan1[[#This Row],[Year]],Tbl_Loan1[[#This Row],[Quarter]])</f>
        <v>2020IV</v>
      </c>
      <c r="L119" s="25">
        <f t="shared" si="3"/>
        <v>1007523.2706360325</v>
      </c>
      <c r="M119" s="26">
        <f t="shared" si="4"/>
        <v>6452.5136626411149</v>
      </c>
      <c r="N119" s="25">
        <f>B$5*Tbl_Loan1[[#This Row],[Initial debt]]</f>
        <v>1787.5982253778193</v>
      </c>
      <c r="O119" s="25">
        <f>Tbl_Loan1[[#This Row],[Annuity]]-Tbl_Loan1[[#This Row],[Interest amount]]</f>
        <v>4664.9154372632956</v>
      </c>
      <c r="P119" s="25">
        <f>Tbl_Loan1[[#This Row],[Initial debt]]-Tbl_Loan1[[#This Row],[Redemption amount]]</f>
        <v>1002858.3551987691</v>
      </c>
    </row>
    <row r="120" spans="4:16" x14ac:dyDescent="0.25">
      <c r="D120" t="str">
        <f>_xlfn.CONCAT(Tbl_Loan1[[#This Row],[Maandnummer ]],Tbl_Loan1[[#This Row],[Year]])</f>
        <v>112020</v>
      </c>
      <c r="E120" s="23">
        <f t="shared" si="5"/>
        <v>119</v>
      </c>
      <c r="F120" s="28">
        <v>44160</v>
      </c>
      <c r="G120" s="23">
        <f>MONTH(Tbl_Loan1[[#This Row],[Payment date]])</f>
        <v>11</v>
      </c>
      <c r="H120" s="23" t="str">
        <f>VLOOKUP(Tbl_Loan1[[#This Row],[Maandnummer ]],Tbl_Months[],2,FALSE)</f>
        <v>November</v>
      </c>
      <c r="I120" s="23" t="str">
        <f>VLOOKUP(Tbl_Loan1[[#This Row],[Maandnummer ]],Tbl_Months[],3,FALSE)</f>
        <v>IV</v>
      </c>
      <c r="J120" s="23">
        <f>YEAR(Tbl_Loan1[[#This Row],[Payment date]])</f>
        <v>2020</v>
      </c>
      <c r="K120" s="23" t="str">
        <f>_xlfn.CONCAT(Tbl_Loan1[[#This Row],[Year]],Tbl_Loan1[[#This Row],[Quarter]])</f>
        <v>2020IV</v>
      </c>
      <c r="L120" s="25">
        <f t="shared" si="3"/>
        <v>1002858.3551987691</v>
      </c>
      <c r="M120" s="26">
        <f t="shared" si="4"/>
        <v>6452.5136626411149</v>
      </c>
      <c r="N120" s="25">
        <f>B$5*Tbl_Loan1[[#This Row],[Initial debt]]</f>
        <v>1779.3214988740979</v>
      </c>
      <c r="O120" s="25">
        <f>Tbl_Loan1[[#This Row],[Annuity]]-Tbl_Loan1[[#This Row],[Interest amount]]</f>
        <v>4673.1921637670166</v>
      </c>
      <c r="P120" s="25">
        <f>Tbl_Loan1[[#This Row],[Initial debt]]-Tbl_Loan1[[#This Row],[Redemption amount]]</f>
        <v>998185.16303500207</v>
      </c>
    </row>
    <row r="121" spans="4:16" x14ac:dyDescent="0.25">
      <c r="D121" t="str">
        <f>_xlfn.CONCAT(Tbl_Loan1[[#This Row],[Maandnummer ]],Tbl_Loan1[[#This Row],[Year]])</f>
        <v>122020</v>
      </c>
      <c r="E121" s="23">
        <f t="shared" si="5"/>
        <v>120</v>
      </c>
      <c r="F121" s="28">
        <v>44190</v>
      </c>
      <c r="G121" s="23">
        <f>MONTH(Tbl_Loan1[[#This Row],[Payment date]])</f>
        <v>12</v>
      </c>
      <c r="H121" s="23" t="str">
        <f>VLOOKUP(Tbl_Loan1[[#This Row],[Maandnummer ]],Tbl_Months[],2,FALSE)</f>
        <v>December</v>
      </c>
      <c r="I121" s="23" t="str">
        <f>VLOOKUP(Tbl_Loan1[[#This Row],[Maandnummer ]],Tbl_Months[],3,FALSE)</f>
        <v>IV</v>
      </c>
      <c r="J121" s="23">
        <f>YEAR(Tbl_Loan1[[#This Row],[Payment date]])</f>
        <v>2020</v>
      </c>
      <c r="K121" s="23" t="str">
        <f>_xlfn.CONCAT(Tbl_Loan1[[#This Row],[Year]],Tbl_Loan1[[#This Row],[Quarter]])</f>
        <v>2020IV</v>
      </c>
      <c r="L121" s="25">
        <f t="shared" si="3"/>
        <v>998185.16303500207</v>
      </c>
      <c r="M121" s="26">
        <f t="shared" si="4"/>
        <v>6452.5136626411149</v>
      </c>
      <c r="N121" s="25">
        <f>B$5*Tbl_Loan1[[#This Row],[Initial debt]]</f>
        <v>1771.0300873878639</v>
      </c>
      <c r="O121" s="25">
        <f>Tbl_Loan1[[#This Row],[Annuity]]-Tbl_Loan1[[#This Row],[Interest amount]]</f>
        <v>4681.4835752532508</v>
      </c>
      <c r="P121" s="25">
        <f>Tbl_Loan1[[#This Row],[Initial debt]]-Tbl_Loan1[[#This Row],[Redemption amount]]</f>
        <v>993503.67945974879</v>
      </c>
    </row>
    <row r="122" spans="4:16" x14ac:dyDescent="0.25">
      <c r="D122" t="str">
        <f>_xlfn.CONCAT(Tbl_Loan1[[#This Row],[Maandnummer ]],Tbl_Loan1[[#This Row],[Year]])</f>
        <v>12021</v>
      </c>
      <c r="E122" s="23">
        <f t="shared" si="5"/>
        <v>121</v>
      </c>
      <c r="F122" s="28">
        <v>44221</v>
      </c>
      <c r="G122" s="23">
        <f>MONTH(Tbl_Loan1[[#This Row],[Payment date]])</f>
        <v>1</v>
      </c>
      <c r="H122" s="23" t="str">
        <f>VLOOKUP(Tbl_Loan1[[#This Row],[Maandnummer ]],Tbl_Months[],2,FALSE)</f>
        <v>January</v>
      </c>
      <c r="I122" s="23" t="str">
        <f>VLOOKUP(Tbl_Loan1[[#This Row],[Maandnummer ]],Tbl_Months[],3,FALSE)</f>
        <v>I</v>
      </c>
      <c r="J122" s="23">
        <f>YEAR(Tbl_Loan1[[#This Row],[Payment date]])</f>
        <v>2021</v>
      </c>
      <c r="K122" s="23" t="str">
        <f>_xlfn.CONCAT(Tbl_Loan1[[#This Row],[Year]],Tbl_Loan1[[#This Row],[Quarter]])</f>
        <v>2021I</v>
      </c>
      <c r="L122" s="25">
        <f t="shared" si="3"/>
        <v>993503.67945974879</v>
      </c>
      <c r="M122" s="26">
        <f t="shared" si="4"/>
        <v>6452.5136626411149</v>
      </c>
      <c r="N122" s="25">
        <f>B$5*Tbl_Loan1[[#This Row],[Initial debt]]</f>
        <v>1762.7239648642867</v>
      </c>
      <c r="O122" s="25">
        <f>Tbl_Loan1[[#This Row],[Annuity]]-Tbl_Loan1[[#This Row],[Interest amount]]</f>
        <v>4689.7896977768287</v>
      </c>
      <c r="P122" s="25">
        <f>Tbl_Loan1[[#This Row],[Initial debt]]-Tbl_Loan1[[#This Row],[Redemption amount]]</f>
        <v>988813.88976197201</v>
      </c>
    </row>
    <row r="123" spans="4:16" x14ac:dyDescent="0.25">
      <c r="D123" t="str">
        <f>_xlfn.CONCAT(Tbl_Loan1[[#This Row],[Maandnummer ]],Tbl_Loan1[[#This Row],[Year]])</f>
        <v>22021</v>
      </c>
      <c r="E123" s="23">
        <f t="shared" si="5"/>
        <v>122</v>
      </c>
      <c r="F123" s="28">
        <v>44252</v>
      </c>
      <c r="G123" s="23">
        <f>MONTH(Tbl_Loan1[[#This Row],[Payment date]])</f>
        <v>2</v>
      </c>
      <c r="H123" s="23" t="str">
        <f>VLOOKUP(Tbl_Loan1[[#This Row],[Maandnummer ]],Tbl_Months[],2,FALSE)</f>
        <v>February</v>
      </c>
      <c r="I123" s="23" t="str">
        <f>VLOOKUP(Tbl_Loan1[[#This Row],[Maandnummer ]],Tbl_Months[],3,FALSE)</f>
        <v>I</v>
      </c>
      <c r="J123" s="23">
        <f>YEAR(Tbl_Loan1[[#This Row],[Payment date]])</f>
        <v>2021</v>
      </c>
      <c r="K123" s="23" t="str">
        <f>_xlfn.CONCAT(Tbl_Loan1[[#This Row],[Year]],Tbl_Loan1[[#This Row],[Quarter]])</f>
        <v>2021I</v>
      </c>
      <c r="L123" s="25">
        <f t="shared" si="3"/>
        <v>988813.88976197201</v>
      </c>
      <c r="M123" s="26">
        <f t="shared" si="4"/>
        <v>6452.5136626411149</v>
      </c>
      <c r="N123" s="25">
        <f>B$5*Tbl_Loan1[[#This Row],[Initial debt]]</f>
        <v>1754.4031052023072</v>
      </c>
      <c r="O123" s="25">
        <f>Tbl_Loan1[[#This Row],[Annuity]]-Tbl_Loan1[[#This Row],[Interest amount]]</f>
        <v>4698.1105574388075</v>
      </c>
      <c r="P123" s="25">
        <f>Tbl_Loan1[[#This Row],[Initial debt]]-Tbl_Loan1[[#This Row],[Redemption amount]]</f>
        <v>984115.7792045332</v>
      </c>
    </row>
    <row r="124" spans="4:16" x14ac:dyDescent="0.25">
      <c r="D124" t="str">
        <f>_xlfn.CONCAT(Tbl_Loan1[[#This Row],[Maandnummer ]],Tbl_Loan1[[#This Row],[Year]])</f>
        <v>32021</v>
      </c>
      <c r="E124" s="23">
        <f t="shared" si="5"/>
        <v>123</v>
      </c>
      <c r="F124" s="28">
        <v>44280</v>
      </c>
      <c r="G124" s="23">
        <f>MONTH(Tbl_Loan1[[#This Row],[Payment date]])</f>
        <v>3</v>
      </c>
      <c r="H124" s="23" t="str">
        <f>VLOOKUP(Tbl_Loan1[[#This Row],[Maandnummer ]],Tbl_Months[],2,FALSE)</f>
        <v>March</v>
      </c>
      <c r="I124" s="23" t="str">
        <f>VLOOKUP(Tbl_Loan1[[#This Row],[Maandnummer ]],Tbl_Months[],3,FALSE)</f>
        <v>I</v>
      </c>
      <c r="J124" s="23">
        <f>YEAR(Tbl_Loan1[[#This Row],[Payment date]])</f>
        <v>2021</v>
      </c>
      <c r="K124" s="23" t="str">
        <f>_xlfn.CONCAT(Tbl_Loan1[[#This Row],[Year]],Tbl_Loan1[[#This Row],[Quarter]])</f>
        <v>2021I</v>
      </c>
      <c r="L124" s="25">
        <f t="shared" si="3"/>
        <v>984115.7792045332</v>
      </c>
      <c r="M124" s="26">
        <f t="shared" si="4"/>
        <v>6452.5136626411149</v>
      </c>
      <c r="N124" s="25">
        <f>B$5*Tbl_Loan1[[#This Row],[Initial debt]]</f>
        <v>1746.0674822545566</v>
      </c>
      <c r="O124" s="25">
        <f>Tbl_Loan1[[#This Row],[Annuity]]-Tbl_Loan1[[#This Row],[Interest amount]]</f>
        <v>4706.4461803865579</v>
      </c>
      <c r="P124" s="25">
        <f>Tbl_Loan1[[#This Row],[Initial debt]]-Tbl_Loan1[[#This Row],[Redemption amount]]</f>
        <v>979409.33302414662</v>
      </c>
    </row>
    <row r="125" spans="4:16" x14ac:dyDescent="0.25">
      <c r="D125" t="str">
        <f>_xlfn.CONCAT(Tbl_Loan1[[#This Row],[Maandnummer ]],Tbl_Loan1[[#This Row],[Year]])</f>
        <v>42021</v>
      </c>
      <c r="E125" s="23">
        <f t="shared" si="5"/>
        <v>124</v>
      </c>
      <c r="F125" s="28">
        <v>44311</v>
      </c>
      <c r="G125" s="23">
        <f>MONTH(Tbl_Loan1[[#This Row],[Payment date]])</f>
        <v>4</v>
      </c>
      <c r="H125" s="23" t="str">
        <f>VLOOKUP(Tbl_Loan1[[#This Row],[Maandnummer ]],Tbl_Months[],2,FALSE)</f>
        <v>April</v>
      </c>
      <c r="I125" s="23" t="str">
        <f>VLOOKUP(Tbl_Loan1[[#This Row],[Maandnummer ]],Tbl_Months[],3,FALSE)</f>
        <v>II</v>
      </c>
      <c r="J125" s="23">
        <f>YEAR(Tbl_Loan1[[#This Row],[Payment date]])</f>
        <v>2021</v>
      </c>
      <c r="K125" s="23" t="str">
        <f>_xlfn.CONCAT(Tbl_Loan1[[#This Row],[Year]],Tbl_Loan1[[#This Row],[Quarter]])</f>
        <v>2021II</v>
      </c>
      <c r="L125" s="25">
        <f t="shared" si="3"/>
        <v>979409.33302414662</v>
      </c>
      <c r="M125" s="26">
        <f t="shared" si="4"/>
        <v>6452.5136626411149</v>
      </c>
      <c r="N125" s="25">
        <f>B$5*Tbl_Loan1[[#This Row],[Initial debt]]</f>
        <v>1737.7170698272744</v>
      </c>
      <c r="O125" s="25">
        <f>Tbl_Loan1[[#This Row],[Annuity]]-Tbl_Loan1[[#This Row],[Interest amount]]</f>
        <v>4714.7965928138401</v>
      </c>
      <c r="P125" s="25">
        <f>Tbl_Loan1[[#This Row],[Initial debt]]-Tbl_Loan1[[#This Row],[Redemption amount]]</f>
        <v>974694.53643133282</v>
      </c>
    </row>
    <row r="126" spans="4:16" x14ac:dyDescent="0.25">
      <c r="D126" t="str">
        <f>_xlfn.CONCAT(Tbl_Loan1[[#This Row],[Maandnummer ]],Tbl_Loan1[[#This Row],[Year]])</f>
        <v>52021</v>
      </c>
      <c r="E126" s="23">
        <f t="shared" si="5"/>
        <v>125</v>
      </c>
      <c r="F126" s="28">
        <v>44341</v>
      </c>
      <c r="G126" s="23">
        <f>MONTH(Tbl_Loan1[[#This Row],[Payment date]])</f>
        <v>5</v>
      </c>
      <c r="H126" s="23" t="str">
        <f>VLOOKUP(Tbl_Loan1[[#This Row],[Maandnummer ]],Tbl_Months[],2,FALSE)</f>
        <v>May</v>
      </c>
      <c r="I126" s="23" t="str">
        <f>VLOOKUP(Tbl_Loan1[[#This Row],[Maandnummer ]],Tbl_Months[],3,FALSE)</f>
        <v>II</v>
      </c>
      <c r="J126" s="23">
        <f>YEAR(Tbl_Loan1[[#This Row],[Payment date]])</f>
        <v>2021</v>
      </c>
      <c r="K126" s="23" t="str">
        <f>_xlfn.CONCAT(Tbl_Loan1[[#This Row],[Year]],Tbl_Loan1[[#This Row],[Quarter]])</f>
        <v>2021II</v>
      </c>
      <c r="L126" s="25">
        <f t="shared" si="3"/>
        <v>974694.53643133282</v>
      </c>
      <c r="M126" s="26">
        <f t="shared" si="4"/>
        <v>6452.5136626411149</v>
      </c>
      <c r="N126" s="25">
        <f>B$5*Tbl_Loan1[[#This Row],[Initial debt]]</f>
        <v>1729.3518416802253</v>
      </c>
      <c r="O126" s="25">
        <f>Tbl_Loan1[[#This Row],[Annuity]]-Tbl_Loan1[[#This Row],[Interest amount]]</f>
        <v>4723.1618209608896</v>
      </c>
      <c r="P126" s="25">
        <f>Tbl_Loan1[[#This Row],[Initial debt]]-Tbl_Loan1[[#This Row],[Redemption amount]]</f>
        <v>969971.37461037189</v>
      </c>
    </row>
    <row r="127" spans="4:16" x14ac:dyDescent="0.25">
      <c r="D127" t="str">
        <f>_xlfn.CONCAT(Tbl_Loan1[[#This Row],[Maandnummer ]],Tbl_Loan1[[#This Row],[Year]])</f>
        <v>62021</v>
      </c>
      <c r="E127" s="23">
        <f t="shared" si="5"/>
        <v>126</v>
      </c>
      <c r="F127" s="28">
        <v>44372</v>
      </c>
      <c r="G127" s="23">
        <f>MONTH(Tbl_Loan1[[#This Row],[Payment date]])</f>
        <v>6</v>
      </c>
      <c r="H127" s="23" t="str">
        <f>VLOOKUP(Tbl_Loan1[[#This Row],[Maandnummer ]],Tbl_Months[],2,FALSE)</f>
        <v>June</v>
      </c>
      <c r="I127" s="23" t="str">
        <f>VLOOKUP(Tbl_Loan1[[#This Row],[Maandnummer ]],Tbl_Months[],3,FALSE)</f>
        <v>II</v>
      </c>
      <c r="J127" s="23">
        <f>YEAR(Tbl_Loan1[[#This Row],[Payment date]])</f>
        <v>2021</v>
      </c>
      <c r="K127" s="23" t="str">
        <f>_xlfn.CONCAT(Tbl_Loan1[[#This Row],[Year]],Tbl_Loan1[[#This Row],[Quarter]])</f>
        <v>2021II</v>
      </c>
      <c r="L127" s="25">
        <f t="shared" si="3"/>
        <v>969971.37461037189</v>
      </c>
      <c r="M127" s="26">
        <f t="shared" si="4"/>
        <v>6452.5136626411149</v>
      </c>
      <c r="N127" s="25">
        <f>B$5*Tbl_Loan1[[#This Row],[Initial debt]]</f>
        <v>1720.9717715266179</v>
      </c>
      <c r="O127" s="25">
        <f>Tbl_Loan1[[#This Row],[Annuity]]-Tbl_Loan1[[#This Row],[Interest amount]]</f>
        <v>4731.541891114497</v>
      </c>
      <c r="P127" s="25">
        <f>Tbl_Loan1[[#This Row],[Initial debt]]-Tbl_Loan1[[#This Row],[Redemption amount]]</f>
        <v>965239.83271925733</v>
      </c>
    </row>
    <row r="128" spans="4:16" x14ac:dyDescent="0.25">
      <c r="D128" t="str">
        <f>_xlfn.CONCAT(Tbl_Loan1[[#This Row],[Maandnummer ]],Tbl_Loan1[[#This Row],[Year]])</f>
        <v>72021</v>
      </c>
      <c r="E128" s="23">
        <f t="shared" si="5"/>
        <v>127</v>
      </c>
      <c r="F128" s="28">
        <v>44402</v>
      </c>
      <c r="G128" s="23">
        <f>MONTH(Tbl_Loan1[[#This Row],[Payment date]])</f>
        <v>7</v>
      </c>
      <c r="H128" s="23" t="str">
        <f>VLOOKUP(Tbl_Loan1[[#This Row],[Maandnummer ]],Tbl_Months[],2,FALSE)</f>
        <v>July</v>
      </c>
      <c r="I128" s="23" t="str">
        <f>VLOOKUP(Tbl_Loan1[[#This Row],[Maandnummer ]],Tbl_Months[],3,FALSE)</f>
        <v>III</v>
      </c>
      <c r="J128" s="23">
        <f>YEAR(Tbl_Loan1[[#This Row],[Payment date]])</f>
        <v>2021</v>
      </c>
      <c r="K128" s="23" t="str">
        <f>_xlfn.CONCAT(Tbl_Loan1[[#This Row],[Year]],Tbl_Loan1[[#This Row],[Quarter]])</f>
        <v>2021III</v>
      </c>
      <c r="L128" s="25">
        <f t="shared" si="3"/>
        <v>965239.83271925733</v>
      </c>
      <c r="M128" s="26">
        <f t="shared" si="4"/>
        <v>6452.5136626411149</v>
      </c>
      <c r="N128" s="25">
        <f>B$5*Tbl_Loan1[[#This Row],[Initial debt]]</f>
        <v>1712.5768330330209</v>
      </c>
      <c r="O128" s="25">
        <f>Tbl_Loan1[[#This Row],[Annuity]]-Tbl_Loan1[[#This Row],[Interest amount]]</f>
        <v>4739.9368296080938</v>
      </c>
      <c r="P128" s="25">
        <f>Tbl_Loan1[[#This Row],[Initial debt]]-Tbl_Loan1[[#This Row],[Redemption amount]]</f>
        <v>960499.89588964928</v>
      </c>
    </row>
    <row r="129" spans="4:16" x14ac:dyDescent="0.25">
      <c r="D129" t="str">
        <f>_xlfn.CONCAT(Tbl_Loan1[[#This Row],[Maandnummer ]],Tbl_Loan1[[#This Row],[Year]])</f>
        <v>82021</v>
      </c>
      <c r="E129" s="23">
        <f t="shared" si="5"/>
        <v>128</v>
      </c>
      <c r="F129" s="28">
        <v>44433</v>
      </c>
      <c r="G129" s="23">
        <f>MONTH(Tbl_Loan1[[#This Row],[Payment date]])</f>
        <v>8</v>
      </c>
      <c r="H129" s="23" t="str">
        <f>VLOOKUP(Tbl_Loan1[[#This Row],[Maandnummer ]],Tbl_Months[],2,FALSE)</f>
        <v>August</v>
      </c>
      <c r="I129" s="23" t="str">
        <f>VLOOKUP(Tbl_Loan1[[#This Row],[Maandnummer ]],Tbl_Months[],3,FALSE)</f>
        <v>III</v>
      </c>
      <c r="J129" s="23">
        <f>YEAR(Tbl_Loan1[[#This Row],[Payment date]])</f>
        <v>2021</v>
      </c>
      <c r="K129" s="23" t="str">
        <f>_xlfn.CONCAT(Tbl_Loan1[[#This Row],[Year]],Tbl_Loan1[[#This Row],[Quarter]])</f>
        <v>2021III</v>
      </c>
      <c r="L129" s="25">
        <f t="shared" si="3"/>
        <v>960499.89588964928</v>
      </c>
      <c r="M129" s="26">
        <f t="shared" si="4"/>
        <v>6452.5136626411149</v>
      </c>
      <c r="N129" s="25">
        <f>B$5*Tbl_Loan1[[#This Row],[Initial debt]]</f>
        <v>1704.1669998192815</v>
      </c>
      <c r="O129" s="25">
        <f>Tbl_Loan1[[#This Row],[Annuity]]-Tbl_Loan1[[#This Row],[Interest amount]]</f>
        <v>4748.3466628218339</v>
      </c>
      <c r="P129" s="25">
        <f>Tbl_Loan1[[#This Row],[Initial debt]]-Tbl_Loan1[[#This Row],[Redemption amount]]</f>
        <v>955751.54922682745</v>
      </c>
    </row>
    <row r="130" spans="4:16" s="104" customFormat="1" ht="13.8" thickBot="1" x14ac:dyDescent="0.3">
      <c r="D130" s="104" t="str">
        <f>_xlfn.CONCAT(Tbl_Loan1[[#This Row],[Maandnummer ]],Tbl_Loan1[[#This Row],[Year]])</f>
        <v>92021</v>
      </c>
      <c r="E130" s="105">
        <f t="shared" si="5"/>
        <v>129</v>
      </c>
      <c r="F130" s="106">
        <v>44464</v>
      </c>
      <c r="G130" s="105">
        <f>MONTH(Tbl_Loan1[[#This Row],[Payment date]])</f>
        <v>9</v>
      </c>
      <c r="H130" s="105" t="str">
        <f>VLOOKUP(Tbl_Loan1[[#This Row],[Maandnummer ]],Tbl_Months[],2,FALSE)</f>
        <v>September</v>
      </c>
      <c r="I130" s="105" t="str">
        <f>VLOOKUP(Tbl_Loan1[[#This Row],[Maandnummer ]],Tbl_Months[],3,FALSE)</f>
        <v>III</v>
      </c>
      <c r="J130" s="105">
        <f>YEAR(Tbl_Loan1[[#This Row],[Payment date]])</f>
        <v>2021</v>
      </c>
      <c r="K130" s="105" t="str">
        <f>_xlfn.CONCAT(Tbl_Loan1[[#This Row],[Year]],Tbl_Loan1[[#This Row],[Quarter]])</f>
        <v>2021III</v>
      </c>
      <c r="L130" s="107">
        <f t="shared" ref="L130:L193" si="6">IF(P129="Residual debt",B$1,P129)</f>
        <v>955751.54922682745</v>
      </c>
      <c r="M130" s="108">
        <f t="shared" ref="M130:M193" si="7">B$6</f>
        <v>6452.5136626411149</v>
      </c>
      <c r="N130" s="107">
        <f>B$5*Tbl_Loan1[[#This Row],[Initial debt]]</f>
        <v>1695.7422454584412</v>
      </c>
      <c r="O130" s="107">
        <f>Tbl_Loan1[[#This Row],[Annuity]]-Tbl_Loan1[[#This Row],[Interest amount]]</f>
        <v>4756.7714171826738</v>
      </c>
      <c r="P130" s="107">
        <f>Tbl_Loan1[[#This Row],[Initial debt]]-Tbl_Loan1[[#This Row],[Redemption amount]]</f>
        <v>950994.77780964482</v>
      </c>
    </row>
    <row r="131" spans="4:16" x14ac:dyDescent="0.25">
      <c r="D131" t="str">
        <f>_xlfn.CONCAT(Tbl_Loan1[[#This Row],[Maandnummer ]],Tbl_Loan1[[#This Row],[Year]])</f>
        <v>102021</v>
      </c>
      <c r="E131" s="23">
        <f t="shared" si="5"/>
        <v>130</v>
      </c>
      <c r="F131" s="28">
        <v>44494</v>
      </c>
      <c r="G131" s="23">
        <f>MONTH(Tbl_Loan1[[#This Row],[Payment date]])</f>
        <v>10</v>
      </c>
      <c r="H131" s="23" t="str">
        <f>VLOOKUP(Tbl_Loan1[[#This Row],[Maandnummer ]],Tbl_Months[],2,FALSE)</f>
        <v>October</v>
      </c>
      <c r="I131" s="23" t="str">
        <f>VLOOKUP(Tbl_Loan1[[#This Row],[Maandnummer ]],Tbl_Months[],3,FALSE)</f>
        <v>IV</v>
      </c>
      <c r="J131" s="23">
        <f>YEAR(Tbl_Loan1[[#This Row],[Payment date]])</f>
        <v>2021</v>
      </c>
      <c r="K131" s="23" t="str">
        <f>_xlfn.CONCAT(Tbl_Loan1[[#This Row],[Year]],Tbl_Loan1[[#This Row],[Quarter]])</f>
        <v>2021IV</v>
      </c>
      <c r="L131" s="25">
        <f t="shared" si="6"/>
        <v>950994.77780964482</v>
      </c>
      <c r="M131" s="109">
        <f t="shared" si="7"/>
        <v>6452.5136626411149</v>
      </c>
      <c r="N131" s="25">
        <f>B$5*Tbl_Loan1[[#This Row],[Initial debt]]</f>
        <v>1687.3025434766539</v>
      </c>
      <c r="O131" s="25">
        <f>Tbl_Loan1[[#This Row],[Annuity]]-Tbl_Loan1[[#This Row],[Interest amount]]</f>
        <v>4765.2111191644608</v>
      </c>
      <c r="P131" s="25">
        <f>Tbl_Loan1[[#This Row],[Initial debt]]-Tbl_Loan1[[#This Row],[Redemption amount]]</f>
        <v>946229.56669048034</v>
      </c>
    </row>
    <row r="132" spans="4:16" x14ac:dyDescent="0.25">
      <c r="D132" t="str">
        <f>_xlfn.CONCAT(Tbl_Loan1[[#This Row],[Maandnummer ]],Tbl_Loan1[[#This Row],[Year]])</f>
        <v>112021</v>
      </c>
      <c r="E132" s="23">
        <f t="shared" si="5"/>
        <v>131</v>
      </c>
      <c r="F132" s="28">
        <v>44525</v>
      </c>
      <c r="G132" s="23">
        <f>MONTH(Tbl_Loan1[[#This Row],[Payment date]])</f>
        <v>11</v>
      </c>
      <c r="H132" s="23" t="str">
        <f>VLOOKUP(Tbl_Loan1[[#This Row],[Maandnummer ]],Tbl_Months[],2,FALSE)</f>
        <v>November</v>
      </c>
      <c r="I132" s="23" t="str">
        <f>VLOOKUP(Tbl_Loan1[[#This Row],[Maandnummer ]],Tbl_Months[],3,FALSE)</f>
        <v>IV</v>
      </c>
      <c r="J132" s="23">
        <f>YEAR(Tbl_Loan1[[#This Row],[Payment date]])</f>
        <v>2021</v>
      </c>
      <c r="K132" s="23" t="str">
        <f>_xlfn.CONCAT(Tbl_Loan1[[#This Row],[Year]],Tbl_Loan1[[#This Row],[Quarter]])</f>
        <v>2021IV</v>
      </c>
      <c r="L132" s="25">
        <f t="shared" si="6"/>
        <v>946229.56669048034</v>
      </c>
      <c r="M132" s="110">
        <f t="shared" si="7"/>
        <v>6452.5136626411149</v>
      </c>
      <c r="N132" s="25">
        <f>B$5*Tbl_Loan1[[#This Row],[Initial debt]]</f>
        <v>1678.8478673531024</v>
      </c>
      <c r="O132" s="25">
        <f>Tbl_Loan1[[#This Row],[Annuity]]-Tbl_Loan1[[#This Row],[Interest amount]]</f>
        <v>4773.6657952880123</v>
      </c>
      <c r="P132" s="25">
        <f>Tbl_Loan1[[#This Row],[Initial debt]]-Tbl_Loan1[[#This Row],[Redemption amount]]</f>
        <v>941455.90089519229</v>
      </c>
    </row>
    <row r="133" spans="4:16" ht="13.8" thickBot="1" x14ac:dyDescent="0.3">
      <c r="D133" t="str">
        <f>_xlfn.CONCAT(Tbl_Loan1[[#This Row],[Maandnummer ]],Tbl_Loan1[[#This Row],[Year]])</f>
        <v>122021</v>
      </c>
      <c r="E133" s="23">
        <f t="shared" ref="E133:E196" si="8">E132+1</f>
        <v>132</v>
      </c>
      <c r="F133" s="28">
        <v>44555</v>
      </c>
      <c r="G133" s="23">
        <f>MONTH(Tbl_Loan1[[#This Row],[Payment date]])</f>
        <v>12</v>
      </c>
      <c r="H133" s="23" t="str">
        <f>VLOOKUP(Tbl_Loan1[[#This Row],[Maandnummer ]],Tbl_Months[],2,FALSE)</f>
        <v>December</v>
      </c>
      <c r="I133" s="23" t="str">
        <f>VLOOKUP(Tbl_Loan1[[#This Row],[Maandnummer ]],Tbl_Months[],3,FALSE)</f>
        <v>IV</v>
      </c>
      <c r="J133" s="23">
        <f>YEAR(Tbl_Loan1[[#This Row],[Payment date]])</f>
        <v>2021</v>
      </c>
      <c r="K133" s="23" t="str">
        <f>_xlfn.CONCAT(Tbl_Loan1[[#This Row],[Year]],Tbl_Loan1[[#This Row],[Quarter]])</f>
        <v>2021IV</v>
      </c>
      <c r="L133" s="25">
        <f t="shared" si="6"/>
        <v>941455.90089519229</v>
      </c>
      <c r="M133" s="111">
        <f t="shared" si="7"/>
        <v>6452.5136626411149</v>
      </c>
      <c r="N133" s="25">
        <f>B$5*Tbl_Loan1[[#This Row],[Initial debt]]</f>
        <v>1670.3781905199144</v>
      </c>
      <c r="O133" s="25">
        <f>Tbl_Loan1[[#This Row],[Annuity]]-Tbl_Loan1[[#This Row],[Interest amount]]</f>
        <v>4782.135472121201</v>
      </c>
      <c r="P133" s="25">
        <f>Tbl_Loan1[[#This Row],[Initial debt]]-Tbl_Loan1[[#This Row],[Redemption amount]]</f>
        <v>936673.76542307111</v>
      </c>
    </row>
    <row r="134" spans="4:16" x14ac:dyDescent="0.25">
      <c r="D134" t="str">
        <f>_xlfn.CONCAT(Tbl_Loan1[[#This Row],[Maandnummer ]],Tbl_Loan1[[#This Row],[Year]])</f>
        <v>12022</v>
      </c>
      <c r="E134" s="23">
        <f t="shared" si="8"/>
        <v>133</v>
      </c>
      <c r="F134" s="28">
        <v>44586</v>
      </c>
      <c r="G134" s="23">
        <f>MONTH(Tbl_Loan1[[#This Row],[Payment date]])</f>
        <v>1</v>
      </c>
      <c r="H134" s="23" t="str">
        <f>VLOOKUP(Tbl_Loan1[[#This Row],[Maandnummer ]],Tbl_Months[],2,FALSE)</f>
        <v>January</v>
      </c>
      <c r="I134" s="23" t="str">
        <f>VLOOKUP(Tbl_Loan1[[#This Row],[Maandnummer ]],Tbl_Months[],3,FALSE)</f>
        <v>I</v>
      </c>
      <c r="J134" s="23">
        <f>YEAR(Tbl_Loan1[[#This Row],[Payment date]])</f>
        <v>2022</v>
      </c>
      <c r="K134" s="23" t="str">
        <f>_xlfn.CONCAT(Tbl_Loan1[[#This Row],[Year]],Tbl_Loan1[[#This Row],[Quarter]])</f>
        <v>2022I</v>
      </c>
      <c r="L134" s="25">
        <f t="shared" si="6"/>
        <v>936673.76542307111</v>
      </c>
      <c r="M134" s="26">
        <f t="shared" si="7"/>
        <v>6452.5136626411149</v>
      </c>
      <c r="N134" s="25">
        <f>B$5*Tbl_Loan1[[#This Row],[Initial debt]]</f>
        <v>1661.8934863620802</v>
      </c>
      <c r="O134" s="25">
        <f>Tbl_Loan1[[#This Row],[Annuity]]-Tbl_Loan1[[#This Row],[Interest amount]]</f>
        <v>4790.6201762790351</v>
      </c>
      <c r="P134" s="25">
        <f>Tbl_Loan1[[#This Row],[Initial debt]]-Tbl_Loan1[[#This Row],[Redemption amount]]</f>
        <v>931883.14524679212</v>
      </c>
    </row>
    <row r="135" spans="4:16" x14ac:dyDescent="0.25">
      <c r="D135" t="str">
        <f>_xlfn.CONCAT(Tbl_Loan1[[#This Row],[Maandnummer ]],Tbl_Loan1[[#This Row],[Year]])</f>
        <v>22022</v>
      </c>
      <c r="E135" s="23">
        <f t="shared" si="8"/>
        <v>134</v>
      </c>
      <c r="F135" s="28">
        <v>44617</v>
      </c>
      <c r="G135" s="23">
        <f>MONTH(Tbl_Loan1[[#This Row],[Payment date]])</f>
        <v>2</v>
      </c>
      <c r="H135" s="23" t="str">
        <f>VLOOKUP(Tbl_Loan1[[#This Row],[Maandnummer ]],Tbl_Months[],2,FALSE)</f>
        <v>February</v>
      </c>
      <c r="I135" s="23" t="str">
        <f>VLOOKUP(Tbl_Loan1[[#This Row],[Maandnummer ]],Tbl_Months[],3,FALSE)</f>
        <v>I</v>
      </c>
      <c r="J135" s="23">
        <f>YEAR(Tbl_Loan1[[#This Row],[Payment date]])</f>
        <v>2022</v>
      </c>
      <c r="K135" s="23" t="str">
        <f>_xlfn.CONCAT(Tbl_Loan1[[#This Row],[Year]],Tbl_Loan1[[#This Row],[Quarter]])</f>
        <v>2022I</v>
      </c>
      <c r="L135" s="25">
        <f t="shared" si="6"/>
        <v>931883.14524679212</v>
      </c>
      <c r="M135" s="26">
        <f t="shared" si="7"/>
        <v>6452.5136626411149</v>
      </c>
      <c r="N135" s="25">
        <f>B$5*Tbl_Loan1[[#This Row],[Initial debt]]</f>
        <v>1653.3937282173683</v>
      </c>
      <c r="O135" s="25">
        <f>Tbl_Loan1[[#This Row],[Annuity]]-Tbl_Loan1[[#This Row],[Interest amount]]</f>
        <v>4799.1199344237466</v>
      </c>
      <c r="P135" s="25">
        <f>Tbl_Loan1[[#This Row],[Initial debt]]-Tbl_Loan1[[#This Row],[Redemption amount]]</f>
        <v>927084.02531236841</v>
      </c>
    </row>
    <row r="136" spans="4:16" x14ac:dyDescent="0.25">
      <c r="D136" t="str">
        <f>_xlfn.CONCAT(Tbl_Loan1[[#This Row],[Maandnummer ]],Tbl_Loan1[[#This Row],[Year]])</f>
        <v>32022</v>
      </c>
      <c r="E136" s="23">
        <f t="shared" si="8"/>
        <v>135</v>
      </c>
      <c r="F136" s="28">
        <v>44645</v>
      </c>
      <c r="G136" s="23">
        <f>MONTH(Tbl_Loan1[[#This Row],[Payment date]])</f>
        <v>3</v>
      </c>
      <c r="H136" s="23" t="str">
        <f>VLOOKUP(Tbl_Loan1[[#This Row],[Maandnummer ]],Tbl_Months[],2,FALSE)</f>
        <v>March</v>
      </c>
      <c r="I136" s="23" t="str">
        <f>VLOOKUP(Tbl_Loan1[[#This Row],[Maandnummer ]],Tbl_Months[],3,FALSE)</f>
        <v>I</v>
      </c>
      <c r="J136" s="23">
        <f>YEAR(Tbl_Loan1[[#This Row],[Payment date]])</f>
        <v>2022</v>
      </c>
      <c r="K136" s="23" t="str">
        <f>_xlfn.CONCAT(Tbl_Loan1[[#This Row],[Year]],Tbl_Loan1[[#This Row],[Quarter]])</f>
        <v>2022I</v>
      </c>
      <c r="L136" s="25">
        <f t="shared" si="6"/>
        <v>927084.02531236841</v>
      </c>
      <c r="M136" s="26">
        <f t="shared" si="7"/>
        <v>6452.5136626411149</v>
      </c>
      <c r="N136" s="25">
        <f>B$5*Tbl_Loan1[[#This Row],[Initial debt]]</f>
        <v>1644.8788893762412</v>
      </c>
      <c r="O136" s="25">
        <f>Tbl_Loan1[[#This Row],[Annuity]]-Tbl_Loan1[[#This Row],[Interest amount]]</f>
        <v>4807.6347732648737</v>
      </c>
      <c r="P136" s="25">
        <f>Tbl_Loan1[[#This Row],[Initial debt]]-Tbl_Loan1[[#This Row],[Redemption amount]]</f>
        <v>922276.39053910354</v>
      </c>
    </row>
    <row r="137" spans="4:16" x14ac:dyDescent="0.25">
      <c r="D137" t="str">
        <f>_xlfn.CONCAT(Tbl_Loan1[[#This Row],[Maandnummer ]],Tbl_Loan1[[#This Row],[Year]])</f>
        <v>42022</v>
      </c>
      <c r="E137" s="23">
        <f t="shared" si="8"/>
        <v>136</v>
      </c>
      <c r="F137" s="28">
        <v>44676</v>
      </c>
      <c r="G137" s="23">
        <f>MONTH(Tbl_Loan1[[#This Row],[Payment date]])</f>
        <v>4</v>
      </c>
      <c r="H137" s="23" t="str">
        <f>VLOOKUP(Tbl_Loan1[[#This Row],[Maandnummer ]],Tbl_Months[],2,FALSE)</f>
        <v>April</v>
      </c>
      <c r="I137" s="23" t="str">
        <f>VLOOKUP(Tbl_Loan1[[#This Row],[Maandnummer ]],Tbl_Months[],3,FALSE)</f>
        <v>II</v>
      </c>
      <c r="J137" s="23">
        <f>YEAR(Tbl_Loan1[[#This Row],[Payment date]])</f>
        <v>2022</v>
      </c>
      <c r="K137" s="23" t="str">
        <f>_xlfn.CONCAT(Tbl_Loan1[[#This Row],[Year]],Tbl_Loan1[[#This Row],[Quarter]])</f>
        <v>2022II</v>
      </c>
      <c r="L137" s="25">
        <f t="shared" si="6"/>
        <v>922276.39053910354</v>
      </c>
      <c r="M137" s="26">
        <f t="shared" si="7"/>
        <v>6452.5136626411149</v>
      </c>
      <c r="N137" s="25">
        <f>B$5*Tbl_Loan1[[#This Row],[Initial debt]]</f>
        <v>1636.3489430817724</v>
      </c>
      <c r="O137" s="25">
        <f>Tbl_Loan1[[#This Row],[Annuity]]-Tbl_Loan1[[#This Row],[Interest amount]]</f>
        <v>4816.1647195593423</v>
      </c>
      <c r="P137" s="25">
        <f>Tbl_Loan1[[#This Row],[Initial debt]]-Tbl_Loan1[[#This Row],[Redemption amount]]</f>
        <v>917460.22581954417</v>
      </c>
    </row>
    <row r="138" spans="4:16" x14ac:dyDescent="0.25">
      <c r="D138" t="str">
        <f>_xlfn.CONCAT(Tbl_Loan1[[#This Row],[Maandnummer ]],Tbl_Loan1[[#This Row],[Year]])</f>
        <v>52022</v>
      </c>
      <c r="E138" s="23">
        <f t="shared" si="8"/>
        <v>137</v>
      </c>
      <c r="F138" s="28">
        <v>44706</v>
      </c>
      <c r="G138" s="23">
        <f>MONTH(Tbl_Loan1[[#This Row],[Payment date]])</f>
        <v>5</v>
      </c>
      <c r="H138" s="23" t="str">
        <f>VLOOKUP(Tbl_Loan1[[#This Row],[Maandnummer ]],Tbl_Months[],2,FALSE)</f>
        <v>May</v>
      </c>
      <c r="I138" s="23" t="str">
        <f>VLOOKUP(Tbl_Loan1[[#This Row],[Maandnummer ]],Tbl_Months[],3,FALSE)</f>
        <v>II</v>
      </c>
      <c r="J138" s="23">
        <f>YEAR(Tbl_Loan1[[#This Row],[Payment date]])</f>
        <v>2022</v>
      </c>
      <c r="K138" s="23" t="str">
        <f>_xlfn.CONCAT(Tbl_Loan1[[#This Row],[Year]],Tbl_Loan1[[#This Row],[Quarter]])</f>
        <v>2022II</v>
      </c>
      <c r="L138" s="25">
        <f t="shared" si="6"/>
        <v>917460.22581954417</v>
      </c>
      <c r="M138" s="26">
        <f t="shared" si="7"/>
        <v>6452.5136626411149</v>
      </c>
      <c r="N138" s="25">
        <f>B$5*Tbl_Loan1[[#This Row],[Initial debt]]</f>
        <v>1627.8038625295617</v>
      </c>
      <c r="O138" s="25">
        <f>Tbl_Loan1[[#This Row],[Annuity]]-Tbl_Loan1[[#This Row],[Interest amount]]</f>
        <v>4824.7098001115537</v>
      </c>
      <c r="P138" s="25">
        <f>Tbl_Loan1[[#This Row],[Initial debt]]-Tbl_Loan1[[#This Row],[Redemption amount]]</f>
        <v>912635.51601943257</v>
      </c>
    </row>
    <row r="139" spans="4:16" x14ac:dyDescent="0.25">
      <c r="D139" t="str">
        <f>_xlfn.CONCAT(Tbl_Loan1[[#This Row],[Maandnummer ]],Tbl_Loan1[[#This Row],[Year]])</f>
        <v>62022</v>
      </c>
      <c r="E139" s="23">
        <f t="shared" si="8"/>
        <v>138</v>
      </c>
      <c r="F139" s="28">
        <v>44737</v>
      </c>
      <c r="G139" s="23">
        <f>MONTH(Tbl_Loan1[[#This Row],[Payment date]])</f>
        <v>6</v>
      </c>
      <c r="H139" s="23" t="str">
        <f>VLOOKUP(Tbl_Loan1[[#This Row],[Maandnummer ]],Tbl_Months[],2,FALSE)</f>
        <v>June</v>
      </c>
      <c r="I139" s="23" t="str">
        <f>VLOOKUP(Tbl_Loan1[[#This Row],[Maandnummer ]],Tbl_Months[],3,FALSE)</f>
        <v>II</v>
      </c>
      <c r="J139" s="23">
        <f>YEAR(Tbl_Loan1[[#This Row],[Payment date]])</f>
        <v>2022</v>
      </c>
      <c r="K139" s="23" t="str">
        <f>_xlfn.CONCAT(Tbl_Loan1[[#This Row],[Year]],Tbl_Loan1[[#This Row],[Quarter]])</f>
        <v>2022II</v>
      </c>
      <c r="L139" s="25">
        <f t="shared" si="6"/>
        <v>912635.51601943257</v>
      </c>
      <c r="M139" s="26">
        <f t="shared" si="7"/>
        <v>6452.5136626411149</v>
      </c>
      <c r="N139" s="25">
        <f>B$5*Tbl_Loan1[[#This Row],[Initial debt]]</f>
        <v>1619.2436208676515</v>
      </c>
      <c r="O139" s="25">
        <f>Tbl_Loan1[[#This Row],[Annuity]]-Tbl_Loan1[[#This Row],[Interest amount]]</f>
        <v>4833.2700417734632</v>
      </c>
      <c r="P139" s="25">
        <f>Tbl_Loan1[[#This Row],[Initial debt]]-Tbl_Loan1[[#This Row],[Redemption amount]]</f>
        <v>907802.24597765913</v>
      </c>
    </row>
    <row r="140" spans="4:16" x14ac:dyDescent="0.25">
      <c r="D140" t="str">
        <f>_xlfn.CONCAT(Tbl_Loan1[[#This Row],[Maandnummer ]],Tbl_Loan1[[#This Row],[Year]])</f>
        <v>72022</v>
      </c>
      <c r="E140" s="23">
        <f t="shared" si="8"/>
        <v>139</v>
      </c>
      <c r="F140" s="28">
        <v>44767</v>
      </c>
      <c r="G140" s="23">
        <f>MONTH(Tbl_Loan1[[#This Row],[Payment date]])</f>
        <v>7</v>
      </c>
      <c r="H140" s="23" t="str">
        <f>VLOOKUP(Tbl_Loan1[[#This Row],[Maandnummer ]],Tbl_Months[],2,FALSE)</f>
        <v>July</v>
      </c>
      <c r="I140" s="23" t="str">
        <f>VLOOKUP(Tbl_Loan1[[#This Row],[Maandnummer ]],Tbl_Months[],3,FALSE)</f>
        <v>III</v>
      </c>
      <c r="J140" s="23">
        <f>YEAR(Tbl_Loan1[[#This Row],[Payment date]])</f>
        <v>2022</v>
      </c>
      <c r="K140" s="23" t="str">
        <f>_xlfn.CONCAT(Tbl_Loan1[[#This Row],[Year]],Tbl_Loan1[[#This Row],[Quarter]])</f>
        <v>2022III</v>
      </c>
      <c r="L140" s="25">
        <f t="shared" si="6"/>
        <v>907802.24597765913</v>
      </c>
      <c r="M140" s="26">
        <f t="shared" si="7"/>
        <v>6452.5136626411149</v>
      </c>
      <c r="N140" s="25">
        <f>B$5*Tbl_Loan1[[#This Row],[Initial debt]]</f>
        <v>1610.6681911964424</v>
      </c>
      <c r="O140" s="25">
        <f>Tbl_Loan1[[#This Row],[Annuity]]-Tbl_Loan1[[#This Row],[Interest amount]]</f>
        <v>4841.8454714446725</v>
      </c>
      <c r="P140" s="25">
        <f>Tbl_Loan1[[#This Row],[Initial debt]]-Tbl_Loan1[[#This Row],[Redemption amount]]</f>
        <v>902960.40050621447</v>
      </c>
    </row>
    <row r="141" spans="4:16" x14ac:dyDescent="0.25">
      <c r="D141" t="str">
        <f>_xlfn.CONCAT(Tbl_Loan1[[#This Row],[Maandnummer ]],Tbl_Loan1[[#This Row],[Year]])</f>
        <v>82022</v>
      </c>
      <c r="E141" s="23">
        <f t="shared" si="8"/>
        <v>140</v>
      </c>
      <c r="F141" s="28">
        <v>44798</v>
      </c>
      <c r="G141" s="23">
        <f>MONTH(Tbl_Loan1[[#This Row],[Payment date]])</f>
        <v>8</v>
      </c>
      <c r="H141" s="23" t="str">
        <f>VLOOKUP(Tbl_Loan1[[#This Row],[Maandnummer ]],Tbl_Months[],2,FALSE)</f>
        <v>August</v>
      </c>
      <c r="I141" s="23" t="str">
        <f>VLOOKUP(Tbl_Loan1[[#This Row],[Maandnummer ]],Tbl_Months[],3,FALSE)</f>
        <v>III</v>
      </c>
      <c r="J141" s="23">
        <f>YEAR(Tbl_Loan1[[#This Row],[Payment date]])</f>
        <v>2022</v>
      </c>
      <c r="K141" s="23" t="str">
        <f>_xlfn.CONCAT(Tbl_Loan1[[#This Row],[Year]],Tbl_Loan1[[#This Row],[Quarter]])</f>
        <v>2022III</v>
      </c>
      <c r="L141" s="25">
        <f t="shared" si="6"/>
        <v>902960.40050621447</v>
      </c>
      <c r="M141" s="26">
        <f t="shared" si="7"/>
        <v>6452.5136626411149</v>
      </c>
      <c r="N141" s="25">
        <f>B$5*Tbl_Loan1[[#This Row],[Initial debt]]</f>
        <v>1602.0775465686074</v>
      </c>
      <c r="O141" s="25">
        <f>Tbl_Loan1[[#This Row],[Annuity]]-Tbl_Loan1[[#This Row],[Interest amount]]</f>
        <v>4850.4361160725075</v>
      </c>
      <c r="P141" s="25">
        <f>Tbl_Loan1[[#This Row],[Initial debt]]-Tbl_Loan1[[#This Row],[Redemption amount]]</f>
        <v>898109.96439014201</v>
      </c>
    </row>
    <row r="142" spans="4:16" x14ac:dyDescent="0.25">
      <c r="D142" t="str">
        <f>_xlfn.CONCAT(Tbl_Loan1[[#This Row],[Maandnummer ]],Tbl_Loan1[[#This Row],[Year]])</f>
        <v>92022</v>
      </c>
      <c r="E142" s="23">
        <f t="shared" si="8"/>
        <v>141</v>
      </c>
      <c r="F142" s="28">
        <v>44829</v>
      </c>
      <c r="G142" s="23">
        <f>MONTH(Tbl_Loan1[[#This Row],[Payment date]])</f>
        <v>9</v>
      </c>
      <c r="H142" s="23" t="str">
        <f>VLOOKUP(Tbl_Loan1[[#This Row],[Maandnummer ]],Tbl_Months[],2,FALSE)</f>
        <v>September</v>
      </c>
      <c r="I142" s="23" t="str">
        <f>VLOOKUP(Tbl_Loan1[[#This Row],[Maandnummer ]],Tbl_Months[],3,FALSE)</f>
        <v>III</v>
      </c>
      <c r="J142" s="23">
        <f>YEAR(Tbl_Loan1[[#This Row],[Payment date]])</f>
        <v>2022</v>
      </c>
      <c r="K142" s="23" t="str">
        <f>_xlfn.CONCAT(Tbl_Loan1[[#This Row],[Year]],Tbl_Loan1[[#This Row],[Quarter]])</f>
        <v>2022III</v>
      </c>
      <c r="L142" s="25">
        <f t="shared" si="6"/>
        <v>898109.96439014201</v>
      </c>
      <c r="M142" s="26">
        <f t="shared" si="7"/>
        <v>6452.5136626411149</v>
      </c>
      <c r="N142" s="25">
        <f>B$5*Tbl_Loan1[[#This Row],[Initial debt]]</f>
        <v>1593.4716599890091</v>
      </c>
      <c r="O142" s="25">
        <f>Tbl_Loan1[[#This Row],[Annuity]]-Tbl_Loan1[[#This Row],[Interest amount]]</f>
        <v>4859.042002652106</v>
      </c>
      <c r="P142" s="25">
        <f>Tbl_Loan1[[#This Row],[Initial debt]]-Tbl_Loan1[[#This Row],[Redemption amount]]</f>
        <v>893250.92238748993</v>
      </c>
    </row>
    <row r="143" spans="4:16" x14ac:dyDescent="0.25">
      <c r="D143" t="str">
        <f>_xlfn.CONCAT(Tbl_Loan1[[#This Row],[Maandnummer ]],Tbl_Loan1[[#This Row],[Year]])</f>
        <v>102022</v>
      </c>
      <c r="E143" s="23">
        <f t="shared" si="8"/>
        <v>142</v>
      </c>
      <c r="F143" s="28">
        <v>44859</v>
      </c>
      <c r="G143" s="23">
        <f>MONTH(Tbl_Loan1[[#This Row],[Payment date]])</f>
        <v>10</v>
      </c>
      <c r="H143" s="23" t="str">
        <f>VLOOKUP(Tbl_Loan1[[#This Row],[Maandnummer ]],Tbl_Months[],2,FALSE)</f>
        <v>October</v>
      </c>
      <c r="I143" s="23" t="str">
        <f>VLOOKUP(Tbl_Loan1[[#This Row],[Maandnummer ]],Tbl_Months[],3,FALSE)</f>
        <v>IV</v>
      </c>
      <c r="J143" s="23">
        <f>YEAR(Tbl_Loan1[[#This Row],[Payment date]])</f>
        <v>2022</v>
      </c>
      <c r="K143" s="23" t="str">
        <f>_xlfn.CONCAT(Tbl_Loan1[[#This Row],[Year]],Tbl_Loan1[[#This Row],[Quarter]])</f>
        <v>2022IV</v>
      </c>
      <c r="L143" s="25">
        <f t="shared" si="6"/>
        <v>893250.92238748993</v>
      </c>
      <c r="M143" s="26">
        <f t="shared" si="7"/>
        <v>6452.5136626411149</v>
      </c>
      <c r="N143" s="25">
        <f>B$5*Tbl_Loan1[[#This Row],[Initial debt]]</f>
        <v>1584.8505044146136</v>
      </c>
      <c r="O143" s="25">
        <f>Tbl_Loan1[[#This Row],[Annuity]]-Tbl_Loan1[[#This Row],[Interest amount]]</f>
        <v>4867.6631582265018</v>
      </c>
      <c r="P143" s="25">
        <f>Tbl_Loan1[[#This Row],[Initial debt]]-Tbl_Loan1[[#This Row],[Redemption amount]]</f>
        <v>888383.25922926341</v>
      </c>
    </row>
    <row r="144" spans="4:16" x14ac:dyDescent="0.25">
      <c r="D144" t="str">
        <f>_xlfn.CONCAT(Tbl_Loan1[[#This Row],[Maandnummer ]],Tbl_Loan1[[#This Row],[Year]])</f>
        <v>112022</v>
      </c>
      <c r="E144" s="23">
        <f t="shared" si="8"/>
        <v>143</v>
      </c>
      <c r="F144" s="28">
        <v>44890</v>
      </c>
      <c r="G144" s="23">
        <f>MONTH(Tbl_Loan1[[#This Row],[Payment date]])</f>
        <v>11</v>
      </c>
      <c r="H144" s="23" t="str">
        <f>VLOOKUP(Tbl_Loan1[[#This Row],[Maandnummer ]],Tbl_Months[],2,FALSE)</f>
        <v>November</v>
      </c>
      <c r="I144" s="23" t="str">
        <f>VLOOKUP(Tbl_Loan1[[#This Row],[Maandnummer ]],Tbl_Months[],3,FALSE)</f>
        <v>IV</v>
      </c>
      <c r="J144" s="23">
        <f>YEAR(Tbl_Loan1[[#This Row],[Payment date]])</f>
        <v>2022</v>
      </c>
      <c r="K144" s="23" t="str">
        <f>_xlfn.CONCAT(Tbl_Loan1[[#This Row],[Year]],Tbl_Loan1[[#This Row],[Quarter]])</f>
        <v>2022IV</v>
      </c>
      <c r="L144" s="25">
        <f t="shared" si="6"/>
        <v>888383.25922926341</v>
      </c>
      <c r="M144" s="26">
        <f t="shared" si="7"/>
        <v>6452.5136626411149</v>
      </c>
      <c r="N144" s="25">
        <f>B$5*Tbl_Loan1[[#This Row],[Initial debt]]</f>
        <v>1576.2140527544057</v>
      </c>
      <c r="O144" s="25">
        <f>Tbl_Loan1[[#This Row],[Annuity]]-Tbl_Loan1[[#This Row],[Interest amount]]</f>
        <v>4876.2996098867097</v>
      </c>
      <c r="P144" s="25">
        <f>Tbl_Loan1[[#This Row],[Initial debt]]-Tbl_Loan1[[#This Row],[Redemption amount]]</f>
        <v>883506.95961937669</v>
      </c>
    </row>
    <row r="145" spans="4:16" x14ac:dyDescent="0.25">
      <c r="D145" t="str">
        <f>_xlfn.CONCAT(Tbl_Loan1[[#This Row],[Maandnummer ]],Tbl_Loan1[[#This Row],[Year]])</f>
        <v>122022</v>
      </c>
      <c r="E145" s="23">
        <f t="shared" si="8"/>
        <v>144</v>
      </c>
      <c r="F145" s="28">
        <v>44920</v>
      </c>
      <c r="G145" s="23">
        <f>MONTH(Tbl_Loan1[[#This Row],[Payment date]])</f>
        <v>12</v>
      </c>
      <c r="H145" s="23" t="str">
        <f>VLOOKUP(Tbl_Loan1[[#This Row],[Maandnummer ]],Tbl_Months[],2,FALSE)</f>
        <v>December</v>
      </c>
      <c r="I145" s="23" t="str">
        <f>VLOOKUP(Tbl_Loan1[[#This Row],[Maandnummer ]],Tbl_Months[],3,FALSE)</f>
        <v>IV</v>
      </c>
      <c r="J145" s="23">
        <f>YEAR(Tbl_Loan1[[#This Row],[Payment date]])</f>
        <v>2022</v>
      </c>
      <c r="K145" s="23" t="str">
        <f>_xlfn.CONCAT(Tbl_Loan1[[#This Row],[Year]],Tbl_Loan1[[#This Row],[Quarter]])</f>
        <v>2022IV</v>
      </c>
      <c r="L145" s="25">
        <f t="shared" si="6"/>
        <v>883506.95961937669</v>
      </c>
      <c r="M145" s="26">
        <f t="shared" si="7"/>
        <v>6452.5136626411149</v>
      </c>
      <c r="N145" s="25">
        <f>B$5*Tbl_Loan1[[#This Row],[Initial debt]]</f>
        <v>1567.5622778693041</v>
      </c>
      <c r="O145" s="25">
        <f>Tbl_Loan1[[#This Row],[Annuity]]-Tbl_Loan1[[#This Row],[Interest amount]]</f>
        <v>4884.9513847718108</v>
      </c>
      <c r="P145" s="25">
        <f>Tbl_Loan1[[#This Row],[Initial debt]]-Tbl_Loan1[[#This Row],[Redemption amount]]</f>
        <v>878622.00823460484</v>
      </c>
    </row>
    <row r="146" spans="4:16" x14ac:dyDescent="0.25">
      <c r="D146" t="str">
        <f>_xlfn.CONCAT(Tbl_Loan1[[#This Row],[Maandnummer ]],Tbl_Loan1[[#This Row],[Year]])</f>
        <v>12023</v>
      </c>
      <c r="E146" s="23">
        <f t="shared" si="8"/>
        <v>145</v>
      </c>
      <c r="F146" s="28">
        <v>44951</v>
      </c>
      <c r="G146" s="23">
        <f>MONTH(Tbl_Loan1[[#This Row],[Payment date]])</f>
        <v>1</v>
      </c>
      <c r="H146" s="23" t="str">
        <f>VLOOKUP(Tbl_Loan1[[#This Row],[Maandnummer ]],Tbl_Months[],2,FALSE)</f>
        <v>January</v>
      </c>
      <c r="I146" s="23" t="str">
        <f>VLOOKUP(Tbl_Loan1[[#This Row],[Maandnummer ]],Tbl_Months[],3,FALSE)</f>
        <v>I</v>
      </c>
      <c r="J146" s="23">
        <f>YEAR(Tbl_Loan1[[#This Row],[Payment date]])</f>
        <v>2023</v>
      </c>
      <c r="K146" s="23" t="str">
        <f>_xlfn.CONCAT(Tbl_Loan1[[#This Row],[Year]],Tbl_Loan1[[#This Row],[Quarter]])</f>
        <v>2023I</v>
      </c>
      <c r="L146" s="25">
        <f t="shared" si="6"/>
        <v>878622.00823460484</v>
      </c>
      <c r="M146" s="26">
        <f t="shared" si="7"/>
        <v>6452.5136626411149</v>
      </c>
      <c r="N146" s="25">
        <f>B$5*Tbl_Loan1[[#This Row],[Initial debt]]</f>
        <v>1558.8951525720765</v>
      </c>
      <c r="O146" s="25">
        <f>Tbl_Loan1[[#This Row],[Annuity]]-Tbl_Loan1[[#This Row],[Interest amount]]</f>
        <v>4893.6185100690382</v>
      </c>
      <c r="P146" s="25">
        <f>Tbl_Loan1[[#This Row],[Initial debt]]-Tbl_Loan1[[#This Row],[Redemption amount]]</f>
        <v>873728.38972453575</v>
      </c>
    </row>
    <row r="147" spans="4:16" x14ac:dyDescent="0.25">
      <c r="D147" t="str">
        <f>_xlfn.CONCAT(Tbl_Loan1[[#This Row],[Maandnummer ]],Tbl_Loan1[[#This Row],[Year]])</f>
        <v>22023</v>
      </c>
      <c r="E147" s="23">
        <f t="shared" si="8"/>
        <v>146</v>
      </c>
      <c r="F147" s="28">
        <v>44982</v>
      </c>
      <c r="G147" s="23">
        <f>MONTH(Tbl_Loan1[[#This Row],[Payment date]])</f>
        <v>2</v>
      </c>
      <c r="H147" s="23" t="str">
        <f>VLOOKUP(Tbl_Loan1[[#This Row],[Maandnummer ]],Tbl_Months[],2,FALSE)</f>
        <v>February</v>
      </c>
      <c r="I147" s="23" t="str">
        <f>VLOOKUP(Tbl_Loan1[[#This Row],[Maandnummer ]],Tbl_Months[],3,FALSE)</f>
        <v>I</v>
      </c>
      <c r="J147" s="23">
        <f>YEAR(Tbl_Loan1[[#This Row],[Payment date]])</f>
        <v>2023</v>
      </c>
      <c r="K147" s="23" t="str">
        <f>_xlfn.CONCAT(Tbl_Loan1[[#This Row],[Year]],Tbl_Loan1[[#This Row],[Quarter]])</f>
        <v>2023I</v>
      </c>
      <c r="L147" s="25">
        <f t="shared" si="6"/>
        <v>873728.38972453575</v>
      </c>
      <c r="M147" s="26">
        <f t="shared" si="7"/>
        <v>6452.5136626411149</v>
      </c>
      <c r="N147" s="25">
        <f>B$5*Tbl_Loan1[[#This Row],[Initial debt]]</f>
        <v>1550.2126496272531</v>
      </c>
      <c r="O147" s="25">
        <f>Tbl_Loan1[[#This Row],[Annuity]]-Tbl_Loan1[[#This Row],[Interest amount]]</f>
        <v>4902.3010130138618</v>
      </c>
      <c r="P147" s="25">
        <f>Tbl_Loan1[[#This Row],[Initial debt]]-Tbl_Loan1[[#This Row],[Redemption amount]]</f>
        <v>868826.08871152194</v>
      </c>
    </row>
    <row r="148" spans="4:16" x14ac:dyDescent="0.25">
      <c r="D148" t="str">
        <f>_xlfn.CONCAT(Tbl_Loan1[[#This Row],[Maandnummer ]],Tbl_Loan1[[#This Row],[Year]])</f>
        <v>32023</v>
      </c>
      <c r="E148" s="23">
        <f t="shared" si="8"/>
        <v>147</v>
      </c>
      <c r="F148" s="28">
        <v>45010</v>
      </c>
      <c r="G148" s="23">
        <f>MONTH(Tbl_Loan1[[#This Row],[Payment date]])</f>
        <v>3</v>
      </c>
      <c r="H148" s="23" t="str">
        <f>VLOOKUP(Tbl_Loan1[[#This Row],[Maandnummer ]],Tbl_Months[],2,FALSE)</f>
        <v>March</v>
      </c>
      <c r="I148" s="23" t="str">
        <f>VLOOKUP(Tbl_Loan1[[#This Row],[Maandnummer ]],Tbl_Months[],3,FALSE)</f>
        <v>I</v>
      </c>
      <c r="J148" s="23">
        <f>YEAR(Tbl_Loan1[[#This Row],[Payment date]])</f>
        <v>2023</v>
      </c>
      <c r="K148" s="23" t="str">
        <f>_xlfn.CONCAT(Tbl_Loan1[[#This Row],[Year]],Tbl_Loan1[[#This Row],[Quarter]])</f>
        <v>2023I</v>
      </c>
      <c r="L148" s="25">
        <f t="shared" si="6"/>
        <v>868826.08871152194</v>
      </c>
      <c r="M148" s="26">
        <f t="shared" si="7"/>
        <v>6452.5136626411149</v>
      </c>
      <c r="N148" s="25">
        <f>B$5*Tbl_Loan1[[#This Row],[Initial debt]]</f>
        <v>1541.5147417510418</v>
      </c>
      <c r="O148" s="25">
        <f>Tbl_Loan1[[#This Row],[Annuity]]-Tbl_Loan1[[#This Row],[Interest amount]]</f>
        <v>4910.9989208900734</v>
      </c>
      <c r="P148" s="25">
        <f>Tbl_Loan1[[#This Row],[Initial debt]]-Tbl_Loan1[[#This Row],[Redemption amount]]</f>
        <v>863915.0897906319</v>
      </c>
    </row>
    <row r="149" spans="4:16" x14ac:dyDescent="0.25">
      <c r="D149" t="str">
        <f>_xlfn.CONCAT(Tbl_Loan1[[#This Row],[Maandnummer ]],Tbl_Loan1[[#This Row],[Year]])</f>
        <v>42023</v>
      </c>
      <c r="E149" s="23">
        <f t="shared" si="8"/>
        <v>148</v>
      </c>
      <c r="F149" s="28">
        <v>45041</v>
      </c>
      <c r="G149" s="23">
        <f>MONTH(Tbl_Loan1[[#This Row],[Payment date]])</f>
        <v>4</v>
      </c>
      <c r="H149" s="23" t="str">
        <f>VLOOKUP(Tbl_Loan1[[#This Row],[Maandnummer ]],Tbl_Months[],2,FALSE)</f>
        <v>April</v>
      </c>
      <c r="I149" s="23" t="str">
        <f>VLOOKUP(Tbl_Loan1[[#This Row],[Maandnummer ]],Tbl_Months[],3,FALSE)</f>
        <v>II</v>
      </c>
      <c r="J149" s="23">
        <f>YEAR(Tbl_Loan1[[#This Row],[Payment date]])</f>
        <v>2023</v>
      </c>
      <c r="K149" s="23" t="str">
        <f>_xlfn.CONCAT(Tbl_Loan1[[#This Row],[Year]],Tbl_Loan1[[#This Row],[Quarter]])</f>
        <v>2023II</v>
      </c>
      <c r="L149" s="25">
        <f t="shared" si="6"/>
        <v>863915.0897906319</v>
      </c>
      <c r="M149" s="26">
        <f t="shared" si="7"/>
        <v>6452.5136626411149</v>
      </c>
      <c r="N149" s="25">
        <f>B$5*Tbl_Loan1[[#This Row],[Initial debt]]</f>
        <v>1532.8014016112418</v>
      </c>
      <c r="O149" s="25">
        <f>Tbl_Loan1[[#This Row],[Annuity]]-Tbl_Loan1[[#This Row],[Interest amount]]</f>
        <v>4919.7122610298729</v>
      </c>
      <c r="P149" s="25">
        <f>Tbl_Loan1[[#This Row],[Initial debt]]-Tbl_Loan1[[#This Row],[Redemption amount]]</f>
        <v>858995.37752960203</v>
      </c>
    </row>
    <row r="150" spans="4:16" x14ac:dyDescent="0.25">
      <c r="D150" t="str">
        <f>_xlfn.CONCAT(Tbl_Loan1[[#This Row],[Maandnummer ]],Tbl_Loan1[[#This Row],[Year]])</f>
        <v>52023</v>
      </c>
      <c r="E150" s="23">
        <f t="shared" si="8"/>
        <v>149</v>
      </c>
      <c r="F150" s="28">
        <v>45071</v>
      </c>
      <c r="G150" s="23">
        <f>MONTH(Tbl_Loan1[[#This Row],[Payment date]])</f>
        <v>5</v>
      </c>
      <c r="H150" s="23" t="str">
        <f>VLOOKUP(Tbl_Loan1[[#This Row],[Maandnummer ]],Tbl_Months[],2,FALSE)</f>
        <v>May</v>
      </c>
      <c r="I150" s="23" t="str">
        <f>VLOOKUP(Tbl_Loan1[[#This Row],[Maandnummer ]],Tbl_Months[],3,FALSE)</f>
        <v>II</v>
      </c>
      <c r="J150" s="23">
        <f>YEAR(Tbl_Loan1[[#This Row],[Payment date]])</f>
        <v>2023</v>
      </c>
      <c r="K150" s="23" t="str">
        <f>_xlfn.CONCAT(Tbl_Loan1[[#This Row],[Year]],Tbl_Loan1[[#This Row],[Quarter]])</f>
        <v>2023II</v>
      </c>
      <c r="L150" s="25">
        <f t="shared" si="6"/>
        <v>858995.37752960203</v>
      </c>
      <c r="M150" s="26">
        <f t="shared" si="7"/>
        <v>6452.5136626411149</v>
      </c>
      <c r="N150" s="25">
        <f>B$5*Tbl_Loan1[[#This Row],[Initial debt]]</f>
        <v>1524.0726018271587</v>
      </c>
      <c r="O150" s="25">
        <f>Tbl_Loan1[[#This Row],[Annuity]]-Tbl_Loan1[[#This Row],[Interest amount]]</f>
        <v>4928.441060813956</v>
      </c>
      <c r="P150" s="25">
        <f>Tbl_Loan1[[#This Row],[Initial debt]]-Tbl_Loan1[[#This Row],[Redemption amount]]</f>
        <v>854066.93646878807</v>
      </c>
    </row>
    <row r="151" spans="4:16" x14ac:dyDescent="0.25">
      <c r="D151" t="str">
        <f>_xlfn.CONCAT(Tbl_Loan1[[#This Row],[Maandnummer ]],Tbl_Loan1[[#This Row],[Year]])</f>
        <v>62023</v>
      </c>
      <c r="E151" s="23">
        <f t="shared" si="8"/>
        <v>150</v>
      </c>
      <c r="F151" s="28">
        <v>45102</v>
      </c>
      <c r="G151" s="23">
        <f>MONTH(Tbl_Loan1[[#This Row],[Payment date]])</f>
        <v>6</v>
      </c>
      <c r="H151" s="23" t="str">
        <f>VLOOKUP(Tbl_Loan1[[#This Row],[Maandnummer ]],Tbl_Months[],2,FALSE)</f>
        <v>June</v>
      </c>
      <c r="I151" s="23" t="str">
        <f>VLOOKUP(Tbl_Loan1[[#This Row],[Maandnummer ]],Tbl_Months[],3,FALSE)</f>
        <v>II</v>
      </c>
      <c r="J151" s="23">
        <f>YEAR(Tbl_Loan1[[#This Row],[Payment date]])</f>
        <v>2023</v>
      </c>
      <c r="K151" s="23" t="str">
        <f>_xlfn.CONCAT(Tbl_Loan1[[#This Row],[Year]],Tbl_Loan1[[#This Row],[Quarter]])</f>
        <v>2023II</v>
      </c>
      <c r="L151" s="25">
        <f t="shared" si="6"/>
        <v>854066.93646878807</v>
      </c>
      <c r="M151" s="26">
        <f t="shared" si="7"/>
        <v>6452.5136626411149</v>
      </c>
      <c r="N151" s="25">
        <f>B$5*Tbl_Loan1[[#This Row],[Initial debt]]</f>
        <v>1515.3283149695176</v>
      </c>
      <c r="O151" s="25">
        <f>Tbl_Loan1[[#This Row],[Annuity]]-Tbl_Loan1[[#This Row],[Interest amount]]</f>
        <v>4937.1853476715969</v>
      </c>
      <c r="P151" s="25">
        <f>Tbl_Loan1[[#This Row],[Initial debt]]-Tbl_Loan1[[#This Row],[Redemption amount]]</f>
        <v>849129.75112111645</v>
      </c>
    </row>
    <row r="152" spans="4:16" x14ac:dyDescent="0.25">
      <c r="D152" t="str">
        <f>_xlfn.CONCAT(Tbl_Loan1[[#This Row],[Maandnummer ]],Tbl_Loan1[[#This Row],[Year]])</f>
        <v>72023</v>
      </c>
      <c r="E152" s="23">
        <f t="shared" si="8"/>
        <v>151</v>
      </c>
      <c r="F152" s="28">
        <v>45132</v>
      </c>
      <c r="G152" s="23">
        <f>MONTH(Tbl_Loan1[[#This Row],[Payment date]])</f>
        <v>7</v>
      </c>
      <c r="H152" s="23" t="str">
        <f>VLOOKUP(Tbl_Loan1[[#This Row],[Maandnummer ]],Tbl_Months[],2,FALSE)</f>
        <v>July</v>
      </c>
      <c r="I152" s="23" t="str">
        <f>VLOOKUP(Tbl_Loan1[[#This Row],[Maandnummer ]],Tbl_Months[],3,FALSE)</f>
        <v>III</v>
      </c>
      <c r="J152" s="23">
        <f>YEAR(Tbl_Loan1[[#This Row],[Payment date]])</f>
        <v>2023</v>
      </c>
      <c r="K152" s="23" t="str">
        <f>_xlfn.CONCAT(Tbl_Loan1[[#This Row],[Year]],Tbl_Loan1[[#This Row],[Quarter]])</f>
        <v>2023III</v>
      </c>
      <c r="L152" s="25">
        <f t="shared" si="6"/>
        <v>849129.75112111645</v>
      </c>
      <c r="M152" s="26">
        <f t="shared" si="7"/>
        <v>6452.5136626411149</v>
      </c>
      <c r="N152" s="25">
        <f>B$5*Tbl_Loan1[[#This Row],[Initial debt]]</f>
        <v>1506.5685135603774</v>
      </c>
      <c r="O152" s="25">
        <f>Tbl_Loan1[[#This Row],[Annuity]]-Tbl_Loan1[[#This Row],[Interest amount]]</f>
        <v>4945.9451490807378</v>
      </c>
      <c r="P152" s="25">
        <f>Tbl_Loan1[[#This Row],[Initial debt]]-Tbl_Loan1[[#This Row],[Redemption amount]]</f>
        <v>844183.80597203574</v>
      </c>
    </row>
    <row r="153" spans="4:16" x14ac:dyDescent="0.25">
      <c r="D153" t="str">
        <f>_xlfn.CONCAT(Tbl_Loan1[[#This Row],[Maandnummer ]],Tbl_Loan1[[#This Row],[Year]])</f>
        <v>82023</v>
      </c>
      <c r="E153" s="23">
        <f t="shared" si="8"/>
        <v>152</v>
      </c>
      <c r="F153" s="28">
        <v>45163</v>
      </c>
      <c r="G153" s="23">
        <f>MONTH(Tbl_Loan1[[#This Row],[Payment date]])</f>
        <v>8</v>
      </c>
      <c r="H153" s="23" t="str">
        <f>VLOOKUP(Tbl_Loan1[[#This Row],[Maandnummer ]],Tbl_Months[],2,FALSE)</f>
        <v>August</v>
      </c>
      <c r="I153" s="23" t="str">
        <f>VLOOKUP(Tbl_Loan1[[#This Row],[Maandnummer ]],Tbl_Months[],3,FALSE)</f>
        <v>III</v>
      </c>
      <c r="J153" s="23">
        <f>YEAR(Tbl_Loan1[[#This Row],[Payment date]])</f>
        <v>2023</v>
      </c>
      <c r="K153" s="23" t="str">
        <f>_xlfn.CONCAT(Tbl_Loan1[[#This Row],[Year]],Tbl_Loan1[[#This Row],[Quarter]])</f>
        <v>2023III</v>
      </c>
      <c r="L153" s="25">
        <f t="shared" si="6"/>
        <v>844183.80597203574</v>
      </c>
      <c r="M153" s="26">
        <f t="shared" si="7"/>
        <v>6452.5136626411149</v>
      </c>
      <c r="N153" s="25">
        <f>B$5*Tbl_Loan1[[#This Row],[Initial debt]]</f>
        <v>1497.7931700730439</v>
      </c>
      <c r="O153" s="25">
        <f>Tbl_Loan1[[#This Row],[Annuity]]-Tbl_Loan1[[#This Row],[Interest amount]]</f>
        <v>4954.7204925680708</v>
      </c>
      <c r="P153" s="25">
        <f>Tbl_Loan1[[#This Row],[Initial debt]]-Tbl_Loan1[[#This Row],[Redemption amount]]</f>
        <v>839229.08547946764</v>
      </c>
    </row>
    <row r="154" spans="4:16" x14ac:dyDescent="0.25">
      <c r="D154" t="str">
        <f>_xlfn.CONCAT(Tbl_Loan1[[#This Row],[Maandnummer ]],Tbl_Loan1[[#This Row],[Year]])</f>
        <v>92023</v>
      </c>
      <c r="E154" s="23">
        <f t="shared" si="8"/>
        <v>153</v>
      </c>
      <c r="F154" s="28">
        <v>45194</v>
      </c>
      <c r="G154" s="23">
        <f>MONTH(Tbl_Loan1[[#This Row],[Payment date]])</f>
        <v>9</v>
      </c>
      <c r="H154" s="23" t="str">
        <f>VLOOKUP(Tbl_Loan1[[#This Row],[Maandnummer ]],Tbl_Months[],2,FALSE)</f>
        <v>September</v>
      </c>
      <c r="I154" s="23" t="str">
        <f>VLOOKUP(Tbl_Loan1[[#This Row],[Maandnummer ]],Tbl_Months[],3,FALSE)</f>
        <v>III</v>
      </c>
      <c r="J154" s="23">
        <f>YEAR(Tbl_Loan1[[#This Row],[Payment date]])</f>
        <v>2023</v>
      </c>
      <c r="K154" s="23" t="str">
        <f>_xlfn.CONCAT(Tbl_Loan1[[#This Row],[Year]],Tbl_Loan1[[#This Row],[Quarter]])</f>
        <v>2023III</v>
      </c>
      <c r="L154" s="25">
        <f t="shared" si="6"/>
        <v>839229.08547946764</v>
      </c>
      <c r="M154" s="26">
        <f t="shared" si="7"/>
        <v>6452.5136626411149</v>
      </c>
      <c r="N154" s="25">
        <f>B$5*Tbl_Loan1[[#This Row],[Initial debt]]</f>
        <v>1489.0022569319842</v>
      </c>
      <c r="O154" s="25">
        <f>Tbl_Loan1[[#This Row],[Annuity]]-Tbl_Loan1[[#This Row],[Interest amount]]</f>
        <v>4963.5114057091305</v>
      </c>
      <c r="P154" s="25">
        <f>Tbl_Loan1[[#This Row],[Initial debt]]-Tbl_Loan1[[#This Row],[Redemption amount]]</f>
        <v>834265.57407375856</v>
      </c>
    </row>
    <row r="155" spans="4:16" x14ac:dyDescent="0.25">
      <c r="D155" t="str">
        <f>_xlfn.CONCAT(Tbl_Loan1[[#This Row],[Maandnummer ]],Tbl_Loan1[[#This Row],[Year]])</f>
        <v>102023</v>
      </c>
      <c r="E155" s="23">
        <f t="shared" si="8"/>
        <v>154</v>
      </c>
      <c r="F155" s="28">
        <v>45224</v>
      </c>
      <c r="G155" s="23">
        <f>MONTH(Tbl_Loan1[[#This Row],[Payment date]])</f>
        <v>10</v>
      </c>
      <c r="H155" s="23" t="str">
        <f>VLOOKUP(Tbl_Loan1[[#This Row],[Maandnummer ]],Tbl_Months[],2,FALSE)</f>
        <v>October</v>
      </c>
      <c r="I155" s="23" t="str">
        <f>VLOOKUP(Tbl_Loan1[[#This Row],[Maandnummer ]],Tbl_Months[],3,FALSE)</f>
        <v>IV</v>
      </c>
      <c r="J155" s="23">
        <f>YEAR(Tbl_Loan1[[#This Row],[Payment date]])</f>
        <v>2023</v>
      </c>
      <c r="K155" s="23" t="str">
        <f>_xlfn.CONCAT(Tbl_Loan1[[#This Row],[Year]],Tbl_Loan1[[#This Row],[Quarter]])</f>
        <v>2023IV</v>
      </c>
      <c r="L155" s="25">
        <f t="shared" si="6"/>
        <v>834265.57407375856</v>
      </c>
      <c r="M155" s="26">
        <f t="shared" si="7"/>
        <v>6452.5136626411149</v>
      </c>
      <c r="N155" s="25">
        <f>B$5*Tbl_Loan1[[#This Row],[Initial debt]]</f>
        <v>1480.1957465127391</v>
      </c>
      <c r="O155" s="25">
        <f>Tbl_Loan1[[#This Row],[Annuity]]-Tbl_Loan1[[#This Row],[Interest amount]]</f>
        <v>4972.3179161283761</v>
      </c>
      <c r="P155" s="25">
        <f>Tbl_Loan1[[#This Row],[Initial debt]]-Tbl_Loan1[[#This Row],[Redemption amount]]</f>
        <v>829293.25615763024</v>
      </c>
    </row>
    <row r="156" spans="4:16" x14ac:dyDescent="0.25">
      <c r="D156" t="str">
        <f>_xlfn.CONCAT(Tbl_Loan1[[#This Row],[Maandnummer ]],Tbl_Loan1[[#This Row],[Year]])</f>
        <v>112023</v>
      </c>
      <c r="E156" s="23">
        <f t="shared" si="8"/>
        <v>155</v>
      </c>
      <c r="F156" s="28">
        <v>45255</v>
      </c>
      <c r="G156" s="23">
        <f>MONTH(Tbl_Loan1[[#This Row],[Payment date]])</f>
        <v>11</v>
      </c>
      <c r="H156" s="23" t="str">
        <f>VLOOKUP(Tbl_Loan1[[#This Row],[Maandnummer ]],Tbl_Months[],2,FALSE)</f>
        <v>November</v>
      </c>
      <c r="I156" s="23" t="str">
        <f>VLOOKUP(Tbl_Loan1[[#This Row],[Maandnummer ]],Tbl_Months[],3,FALSE)</f>
        <v>IV</v>
      </c>
      <c r="J156" s="23">
        <f>YEAR(Tbl_Loan1[[#This Row],[Payment date]])</f>
        <v>2023</v>
      </c>
      <c r="K156" s="23" t="str">
        <f>_xlfn.CONCAT(Tbl_Loan1[[#This Row],[Year]],Tbl_Loan1[[#This Row],[Quarter]])</f>
        <v>2023IV</v>
      </c>
      <c r="L156" s="25">
        <f t="shared" si="6"/>
        <v>829293.25615763024</v>
      </c>
      <c r="M156" s="26">
        <f t="shared" si="7"/>
        <v>6452.5136626411149</v>
      </c>
      <c r="N156" s="25">
        <f>B$5*Tbl_Loan1[[#This Row],[Initial debt]]</f>
        <v>1471.3736111418368</v>
      </c>
      <c r="O156" s="25">
        <f>Tbl_Loan1[[#This Row],[Annuity]]-Tbl_Loan1[[#This Row],[Interest amount]]</f>
        <v>4981.1400514992783</v>
      </c>
      <c r="P156" s="25">
        <f>Tbl_Loan1[[#This Row],[Initial debt]]-Tbl_Loan1[[#This Row],[Redemption amount]]</f>
        <v>824312.116106131</v>
      </c>
    </row>
    <row r="157" spans="4:16" x14ac:dyDescent="0.25">
      <c r="D157" t="str">
        <f>_xlfn.CONCAT(Tbl_Loan1[[#This Row],[Maandnummer ]],Tbl_Loan1[[#This Row],[Year]])</f>
        <v>122023</v>
      </c>
      <c r="E157" s="23">
        <f t="shared" si="8"/>
        <v>156</v>
      </c>
      <c r="F157" s="28">
        <v>45285</v>
      </c>
      <c r="G157" s="23">
        <f>MONTH(Tbl_Loan1[[#This Row],[Payment date]])</f>
        <v>12</v>
      </c>
      <c r="H157" s="23" t="str">
        <f>VLOOKUP(Tbl_Loan1[[#This Row],[Maandnummer ]],Tbl_Months[],2,FALSE)</f>
        <v>December</v>
      </c>
      <c r="I157" s="23" t="str">
        <f>VLOOKUP(Tbl_Loan1[[#This Row],[Maandnummer ]],Tbl_Months[],3,FALSE)</f>
        <v>IV</v>
      </c>
      <c r="J157" s="23">
        <f>YEAR(Tbl_Loan1[[#This Row],[Payment date]])</f>
        <v>2023</v>
      </c>
      <c r="K157" s="23" t="str">
        <f>_xlfn.CONCAT(Tbl_Loan1[[#This Row],[Year]],Tbl_Loan1[[#This Row],[Quarter]])</f>
        <v>2023IV</v>
      </c>
      <c r="L157" s="25">
        <f t="shared" si="6"/>
        <v>824312.116106131</v>
      </c>
      <c r="M157" s="26">
        <f t="shared" si="7"/>
        <v>6452.5136626411149</v>
      </c>
      <c r="N157" s="25">
        <f>B$5*Tbl_Loan1[[#This Row],[Initial debt]]</f>
        <v>1462.5358230967058</v>
      </c>
      <c r="O157" s="25">
        <f>Tbl_Loan1[[#This Row],[Annuity]]-Tbl_Loan1[[#This Row],[Interest amount]]</f>
        <v>4989.9778395444091</v>
      </c>
      <c r="P157" s="25">
        <f>Tbl_Loan1[[#This Row],[Initial debt]]-Tbl_Loan1[[#This Row],[Redemption amount]]</f>
        <v>819322.13826658658</v>
      </c>
    </row>
    <row r="158" spans="4:16" x14ac:dyDescent="0.25">
      <c r="D158" t="str">
        <f>_xlfn.CONCAT(Tbl_Loan1[[#This Row],[Maandnummer ]],Tbl_Loan1[[#This Row],[Year]])</f>
        <v>12024</v>
      </c>
      <c r="E158" s="23">
        <f t="shared" si="8"/>
        <v>157</v>
      </c>
      <c r="F158" s="28">
        <v>45316</v>
      </c>
      <c r="G158" s="23">
        <f>MONTH(Tbl_Loan1[[#This Row],[Payment date]])</f>
        <v>1</v>
      </c>
      <c r="H158" s="23" t="str">
        <f>VLOOKUP(Tbl_Loan1[[#This Row],[Maandnummer ]],Tbl_Months[],2,FALSE)</f>
        <v>January</v>
      </c>
      <c r="I158" s="23" t="str">
        <f>VLOOKUP(Tbl_Loan1[[#This Row],[Maandnummer ]],Tbl_Months[],3,FALSE)</f>
        <v>I</v>
      </c>
      <c r="J158" s="23">
        <f>YEAR(Tbl_Loan1[[#This Row],[Payment date]])</f>
        <v>2024</v>
      </c>
      <c r="K158" s="23" t="str">
        <f>_xlfn.CONCAT(Tbl_Loan1[[#This Row],[Year]],Tbl_Loan1[[#This Row],[Quarter]])</f>
        <v>2024I</v>
      </c>
      <c r="L158" s="25">
        <f t="shared" si="6"/>
        <v>819322.13826658658</v>
      </c>
      <c r="M158" s="26">
        <f t="shared" si="7"/>
        <v>6452.5136626411149</v>
      </c>
      <c r="N158" s="25">
        <f>B$5*Tbl_Loan1[[#This Row],[Initial debt]]</f>
        <v>1453.6823546055878</v>
      </c>
      <c r="O158" s="25">
        <f>Tbl_Loan1[[#This Row],[Annuity]]-Tbl_Loan1[[#This Row],[Interest amount]]</f>
        <v>4998.8313080355274</v>
      </c>
      <c r="P158" s="25">
        <f>Tbl_Loan1[[#This Row],[Initial debt]]-Tbl_Loan1[[#This Row],[Redemption amount]]</f>
        <v>814323.30695855105</v>
      </c>
    </row>
    <row r="159" spans="4:16" x14ac:dyDescent="0.25">
      <c r="D159" t="str">
        <f>_xlfn.CONCAT(Tbl_Loan1[[#This Row],[Maandnummer ]],Tbl_Loan1[[#This Row],[Year]])</f>
        <v>22024</v>
      </c>
      <c r="E159" s="23">
        <f t="shared" si="8"/>
        <v>158</v>
      </c>
      <c r="F159" s="28">
        <v>45347</v>
      </c>
      <c r="G159" s="23">
        <f>MONTH(Tbl_Loan1[[#This Row],[Payment date]])</f>
        <v>2</v>
      </c>
      <c r="H159" s="23" t="str">
        <f>VLOOKUP(Tbl_Loan1[[#This Row],[Maandnummer ]],Tbl_Months[],2,FALSE)</f>
        <v>February</v>
      </c>
      <c r="I159" s="23" t="str">
        <f>VLOOKUP(Tbl_Loan1[[#This Row],[Maandnummer ]],Tbl_Months[],3,FALSE)</f>
        <v>I</v>
      </c>
      <c r="J159" s="23">
        <f>YEAR(Tbl_Loan1[[#This Row],[Payment date]])</f>
        <v>2024</v>
      </c>
      <c r="K159" s="23" t="str">
        <f>_xlfn.CONCAT(Tbl_Loan1[[#This Row],[Year]],Tbl_Loan1[[#This Row],[Quarter]])</f>
        <v>2024I</v>
      </c>
      <c r="L159" s="25">
        <f t="shared" si="6"/>
        <v>814323.30695855105</v>
      </c>
      <c r="M159" s="26">
        <f t="shared" si="7"/>
        <v>6452.5136626411149</v>
      </c>
      <c r="N159" s="25">
        <f>B$5*Tbl_Loan1[[#This Row],[Initial debt]]</f>
        <v>1444.8131778474506</v>
      </c>
      <c r="O159" s="25">
        <f>Tbl_Loan1[[#This Row],[Annuity]]-Tbl_Loan1[[#This Row],[Interest amount]]</f>
        <v>5007.7004847936641</v>
      </c>
      <c r="P159" s="25">
        <f>Tbl_Loan1[[#This Row],[Initial debt]]-Tbl_Loan1[[#This Row],[Redemption amount]]</f>
        <v>809315.60647375742</v>
      </c>
    </row>
    <row r="160" spans="4:16" x14ac:dyDescent="0.25">
      <c r="D160" t="str">
        <f>_xlfn.CONCAT(Tbl_Loan1[[#This Row],[Maandnummer ]],Tbl_Loan1[[#This Row],[Year]])</f>
        <v>32024</v>
      </c>
      <c r="E160" s="23">
        <f t="shared" si="8"/>
        <v>159</v>
      </c>
      <c r="F160" s="28">
        <v>45376</v>
      </c>
      <c r="G160" s="23">
        <f>MONTH(Tbl_Loan1[[#This Row],[Payment date]])</f>
        <v>3</v>
      </c>
      <c r="H160" s="23" t="str">
        <f>VLOOKUP(Tbl_Loan1[[#This Row],[Maandnummer ]],Tbl_Months[],2,FALSE)</f>
        <v>March</v>
      </c>
      <c r="I160" s="23" t="str">
        <f>VLOOKUP(Tbl_Loan1[[#This Row],[Maandnummer ]],Tbl_Months[],3,FALSE)</f>
        <v>I</v>
      </c>
      <c r="J160" s="23">
        <f>YEAR(Tbl_Loan1[[#This Row],[Payment date]])</f>
        <v>2024</v>
      </c>
      <c r="K160" s="23" t="str">
        <f>_xlfn.CONCAT(Tbl_Loan1[[#This Row],[Year]],Tbl_Loan1[[#This Row],[Quarter]])</f>
        <v>2024I</v>
      </c>
      <c r="L160" s="25">
        <f t="shared" si="6"/>
        <v>809315.60647375742</v>
      </c>
      <c r="M160" s="26">
        <f t="shared" si="7"/>
        <v>6452.5136626411149</v>
      </c>
      <c r="N160" s="25">
        <f>B$5*Tbl_Loan1[[#This Row],[Initial debt]]</f>
        <v>1435.9282649519007</v>
      </c>
      <c r="O160" s="25">
        <f>Tbl_Loan1[[#This Row],[Annuity]]-Tbl_Loan1[[#This Row],[Interest amount]]</f>
        <v>5016.585397689214</v>
      </c>
      <c r="P160" s="25">
        <f>Tbl_Loan1[[#This Row],[Initial debt]]-Tbl_Loan1[[#This Row],[Redemption amount]]</f>
        <v>804299.02107606817</v>
      </c>
    </row>
    <row r="161" spans="4:16" x14ac:dyDescent="0.25">
      <c r="D161" t="str">
        <f>_xlfn.CONCAT(Tbl_Loan1[[#This Row],[Maandnummer ]],Tbl_Loan1[[#This Row],[Year]])</f>
        <v>42024</v>
      </c>
      <c r="E161" s="23">
        <f t="shared" si="8"/>
        <v>160</v>
      </c>
      <c r="F161" s="28">
        <v>45407</v>
      </c>
      <c r="G161" s="23">
        <f>MONTH(Tbl_Loan1[[#This Row],[Payment date]])</f>
        <v>4</v>
      </c>
      <c r="H161" s="23" t="str">
        <f>VLOOKUP(Tbl_Loan1[[#This Row],[Maandnummer ]],Tbl_Months[],2,FALSE)</f>
        <v>April</v>
      </c>
      <c r="I161" s="23" t="str">
        <f>VLOOKUP(Tbl_Loan1[[#This Row],[Maandnummer ]],Tbl_Months[],3,FALSE)</f>
        <v>II</v>
      </c>
      <c r="J161" s="23">
        <f>YEAR(Tbl_Loan1[[#This Row],[Payment date]])</f>
        <v>2024</v>
      </c>
      <c r="K161" s="23" t="str">
        <f>_xlfn.CONCAT(Tbl_Loan1[[#This Row],[Year]],Tbl_Loan1[[#This Row],[Quarter]])</f>
        <v>2024II</v>
      </c>
      <c r="L161" s="25">
        <f t="shared" si="6"/>
        <v>804299.02107606817</v>
      </c>
      <c r="M161" s="26">
        <f t="shared" si="7"/>
        <v>6452.5136626411149</v>
      </c>
      <c r="N161" s="25">
        <f>B$5*Tbl_Loan1[[#This Row],[Initial debt]]</f>
        <v>1427.027587999095</v>
      </c>
      <c r="O161" s="25">
        <f>Tbl_Loan1[[#This Row],[Annuity]]-Tbl_Loan1[[#This Row],[Interest amount]]</f>
        <v>5025.48607464202</v>
      </c>
      <c r="P161" s="25">
        <f>Tbl_Loan1[[#This Row],[Initial debt]]-Tbl_Loan1[[#This Row],[Redemption amount]]</f>
        <v>799273.53500142612</v>
      </c>
    </row>
    <row r="162" spans="4:16" x14ac:dyDescent="0.25">
      <c r="D162" t="str">
        <f>_xlfn.CONCAT(Tbl_Loan1[[#This Row],[Maandnummer ]],Tbl_Loan1[[#This Row],[Year]])</f>
        <v>52024</v>
      </c>
      <c r="E162" s="23">
        <f t="shared" si="8"/>
        <v>161</v>
      </c>
      <c r="F162" s="28">
        <v>45437</v>
      </c>
      <c r="G162" s="23">
        <f>MONTH(Tbl_Loan1[[#This Row],[Payment date]])</f>
        <v>5</v>
      </c>
      <c r="H162" s="23" t="str">
        <f>VLOOKUP(Tbl_Loan1[[#This Row],[Maandnummer ]],Tbl_Months[],2,FALSE)</f>
        <v>May</v>
      </c>
      <c r="I162" s="23" t="str">
        <f>VLOOKUP(Tbl_Loan1[[#This Row],[Maandnummer ]],Tbl_Months[],3,FALSE)</f>
        <v>II</v>
      </c>
      <c r="J162" s="23">
        <f>YEAR(Tbl_Loan1[[#This Row],[Payment date]])</f>
        <v>2024</v>
      </c>
      <c r="K162" s="23" t="str">
        <f>_xlfn.CONCAT(Tbl_Loan1[[#This Row],[Year]],Tbl_Loan1[[#This Row],[Quarter]])</f>
        <v>2024II</v>
      </c>
      <c r="L162" s="25">
        <f t="shared" si="6"/>
        <v>799273.53500142612</v>
      </c>
      <c r="M162" s="26">
        <f t="shared" si="7"/>
        <v>6452.5136626411149</v>
      </c>
      <c r="N162" s="25">
        <f>B$5*Tbl_Loan1[[#This Row],[Initial debt]]</f>
        <v>1418.1111190196541</v>
      </c>
      <c r="O162" s="25">
        <f>Tbl_Loan1[[#This Row],[Annuity]]-Tbl_Loan1[[#This Row],[Interest amount]]</f>
        <v>5034.4025436214606</v>
      </c>
      <c r="P162" s="25">
        <f>Tbl_Loan1[[#This Row],[Initial debt]]-Tbl_Loan1[[#This Row],[Redemption amount]]</f>
        <v>794239.13245780463</v>
      </c>
    </row>
    <row r="163" spans="4:16" x14ac:dyDescent="0.25">
      <c r="D163" t="str">
        <f>_xlfn.CONCAT(Tbl_Loan1[[#This Row],[Maandnummer ]],Tbl_Loan1[[#This Row],[Year]])</f>
        <v>62024</v>
      </c>
      <c r="E163" s="23">
        <f t="shared" si="8"/>
        <v>162</v>
      </c>
      <c r="F163" s="28">
        <v>45468</v>
      </c>
      <c r="G163" s="23">
        <f>MONTH(Tbl_Loan1[[#This Row],[Payment date]])</f>
        <v>6</v>
      </c>
      <c r="H163" s="23" t="str">
        <f>VLOOKUP(Tbl_Loan1[[#This Row],[Maandnummer ]],Tbl_Months[],2,FALSE)</f>
        <v>June</v>
      </c>
      <c r="I163" s="23" t="str">
        <f>VLOOKUP(Tbl_Loan1[[#This Row],[Maandnummer ]],Tbl_Months[],3,FALSE)</f>
        <v>II</v>
      </c>
      <c r="J163" s="23">
        <f>YEAR(Tbl_Loan1[[#This Row],[Payment date]])</f>
        <v>2024</v>
      </c>
      <c r="K163" s="23" t="str">
        <f>_xlfn.CONCAT(Tbl_Loan1[[#This Row],[Year]],Tbl_Loan1[[#This Row],[Quarter]])</f>
        <v>2024II</v>
      </c>
      <c r="L163" s="25">
        <f t="shared" si="6"/>
        <v>794239.13245780463</v>
      </c>
      <c r="M163" s="26">
        <f t="shared" si="7"/>
        <v>6452.5136626411149</v>
      </c>
      <c r="N163" s="25">
        <f>B$5*Tbl_Loan1[[#This Row],[Initial debt]]</f>
        <v>1409.1788299945736</v>
      </c>
      <c r="O163" s="25">
        <f>Tbl_Loan1[[#This Row],[Annuity]]-Tbl_Loan1[[#This Row],[Interest amount]]</f>
        <v>5043.3348326465411</v>
      </c>
      <c r="P163" s="25">
        <f>Tbl_Loan1[[#This Row],[Initial debt]]-Tbl_Loan1[[#This Row],[Redemption amount]]</f>
        <v>789195.7976251581</v>
      </c>
    </row>
    <row r="164" spans="4:16" x14ac:dyDescent="0.25">
      <c r="D164" t="str">
        <f>_xlfn.CONCAT(Tbl_Loan1[[#This Row],[Maandnummer ]],Tbl_Loan1[[#This Row],[Year]])</f>
        <v>72024</v>
      </c>
      <c r="E164" s="23">
        <f t="shared" si="8"/>
        <v>163</v>
      </c>
      <c r="F164" s="28">
        <v>45498</v>
      </c>
      <c r="G164" s="23">
        <f>MONTH(Tbl_Loan1[[#This Row],[Payment date]])</f>
        <v>7</v>
      </c>
      <c r="H164" s="23" t="str">
        <f>VLOOKUP(Tbl_Loan1[[#This Row],[Maandnummer ]],Tbl_Months[],2,FALSE)</f>
        <v>July</v>
      </c>
      <c r="I164" s="23" t="str">
        <f>VLOOKUP(Tbl_Loan1[[#This Row],[Maandnummer ]],Tbl_Months[],3,FALSE)</f>
        <v>III</v>
      </c>
      <c r="J164" s="23">
        <f>YEAR(Tbl_Loan1[[#This Row],[Payment date]])</f>
        <v>2024</v>
      </c>
      <c r="K164" s="23" t="str">
        <f>_xlfn.CONCAT(Tbl_Loan1[[#This Row],[Year]],Tbl_Loan1[[#This Row],[Quarter]])</f>
        <v>2024III</v>
      </c>
      <c r="L164" s="25">
        <f t="shared" si="6"/>
        <v>789195.7976251581</v>
      </c>
      <c r="M164" s="26">
        <f t="shared" si="7"/>
        <v>6452.5136626411149</v>
      </c>
      <c r="N164" s="25">
        <f>B$5*Tbl_Loan1[[#This Row],[Initial debt]]</f>
        <v>1400.2306928551368</v>
      </c>
      <c r="O164" s="25">
        <f>Tbl_Loan1[[#This Row],[Annuity]]-Tbl_Loan1[[#This Row],[Interest amount]]</f>
        <v>5052.2829697859779</v>
      </c>
      <c r="P164" s="25">
        <f>Tbl_Loan1[[#This Row],[Initial debt]]-Tbl_Loan1[[#This Row],[Redemption amount]]</f>
        <v>784143.51465537213</v>
      </c>
    </row>
    <row r="165" spans="4:16" x14ac:dyDescent="0.25">
      <c r="D165" t="str">
        <f>_xlfn.CONCAT(Tbl_Loan1[[#This Row],[Maandnummer ]],Tbl_Loan1[[#This Row],[Year]])</f>
        <v>82024</v>
      </c>
      <c r="E165" s="23">
        <f t="shared" si="8"/>
        <v>164</v>
      </c>
      <c r="F165" s="28">
        <v>45529</v>
      </c>
      <c r="G165" s="23">
        <f>MONTH(Tbl_Loan1[[#This Row],[Payment date]])</f>
        <v>8</v>
      </c>
      <c r="H165" s="23" t="str">
        <f>VLOOKUP(Tbl_Loan1[[#This Row],[Maandnummer ]],Tbl_Months[],2,FALSE)</f>
        <v>August</v>
      </c>
      <c r="I165" s="23" t="str">
        <f>VLOOKUP(Tbl_Loan1[[#This Row],[Maandnummer ]],Tbl_Months[],3,FALSE)</f>
        <v>III</v>
      </c>
      <c r="J165" s="23">
        <f>YEAR(Tbl_Loan1[[#This Row],[Payment date]])</f>
        <v>2024</v>
      </c>
      <c r="K165" s="23" t="str">
        <f>_xlfn.CONCAT(Tbl_Loan1[[#This Row],[Year]],Tbl_Loan1[[#This Row],[Quarter]])</f>
        <v>2024III</v>
      </c>
      <c r="L165" s="25">
        <f t="shared" si="6"/>
        <v>784143.51465537213</v>
      </c>
      <c r="M165" s="26">
        <f t="shared" si="7"/>
        <v>6452.5136626411149</v>
      </c>
      <c r="N165" s="25">
        <f>B$5*Tbl_Loan1[[#This Row],[Initial debt]]</f>
        <v>1391.2666794828258</v>
      </c>
      <c r="O165" s="25">
        <f>Tbl_Loan1[[#This Row],[Annuity]]-Tbl_Loan1[[#This Row],[Interest amount]]</f>
        <v>5061.2469831582894</v>
      </c>
      <c r="P165" s="25">
        <f>Tbl_Loan1[[#This Row],[Initial debt]]-Tbl_Loan1[[#This Row],[Redemption amount]]</f>
        <v>779082.26767221384</v>
      </c>
    </row>
    <row r="166" spans="4:16" x14ac:dyDescent="0.25">
      <c r="D166" t="str">
        <f>_xlfn.CONCAT(Tbl_Loan1[[#This Row],[Maandnummer ]],Tbl_Loan1[[#This Row],[Year]])</f>
        <v>92024</v>
      </c>
      <c r="E166" s="23">
        <f t="shared" si="8"/>
        <v>165</v>
      </c>
      <c r="F166" s="28">
        <v>45560</v>
      </c>
      <c r="G166" s="23">
        <f>MONTH(Tbl_Loan1[[#This Row],[Payment date]])</f>
        <v>9</v>
      </c>
      <c r="H166" s="23" t="str">
        <f>VLOOKUP(Tbl_Loan1[[#This Row],[Maandnummer ]],Tbl_Months[],2,FALSE)</f>
        <v>September</v>
      </c>
      <c r="I166" s="23" t="str">
        <f>VLOOKUP(Tbl_Loan1[[#This Row],[Maandnummer ]],Tbl_Months[],3,FALSE)</f>
        <v>III</v>
      </c>
      <c r="J166" s="23">
        <f>YEAR(Tbl_Loan1[[#This Row],[Payment date]])</f>
        <v>2024</v>
      </c>
      <c r="K166" s="23" t="str">
        <f>_xlfn.CONCAT(Tbl_Loan1[[#This Row],[Year]],Tbl_Loan1[[#This Row],[Quarter]])</f>
        <v>2024III</v>
      </c>
      <c r="L166" s="25">
        <f t="shared" si="6"/>
        <v>779082.26767221384</v>
      </c>
      <c r="M166" s="26">
        <f t="shared" si="7"/>
        <v>6452.5136626411149</v>
      </c>
      <c r="N166" s="25">
        <f>B$5*Tbl_Loan1[[#This Row],[Initial debt]]</f>
        <v>1382.2867617092334</v>
      </c>
      <c r="O166" s="25">
        <f>Tbl_Loan1[[#This Row],[Annuity]]-Tbl_Loan1[[#This Row],[Interest amount]]</f>
        <v>5070.2269009318816</v>
      </c>
      <c r="P166" s="25">
        <f>Tbl_Loan1[[#This Row],[Initial debt]]-Tbl_Loan1[[#This Row],[Redemption amount]]</f>
        <v>774012.04077128193</v>
      </c>
    </row>
    <row r="167" spans="4:16" x14ac:dyDescent="0.25">
      <c r="D167" t="str">
        <f>_xlfn.CONCAT(Tbl_Loan1[[#This Row],[Maandnummer ]],Tbl_Loan1[[#This Row],[Year]])</f>
        <v>102024</v>
      </c>
      <c r="E167" s="23">
        <f t="shared" si="8"/>
        <v>166</v>
      </c>
      <c r="F167" s="28">
        <v>45590</v>
      </c>
      <c r="G167" s="23">
        <f>MONTH(Tbl_Loan1[[#This Row],[Payment date]])</f>
        <v>10</v>
      </c>
      <c r="H167" s="23" t="str">
        <f>VLOOKUP(Tbl_Loan1[[#This Row],[Maandnummer ]],Tbl_Months[],2,FALSE)</f>
        <v>October</v>
      </c>
      <c r="I167" s="23" t="str">
        <f>VLOOKUP(Tbl_Loan1[[#This Row],[Maandnummer ]],Tbl_Months[],3,FALSE)</f>
        <v>IV</v>
      </c>
      <c r="J167" s="23">
        <f>YEAR(Tbl_Loan1[[#This Row],[Payment date]])</f>
        <v>2024</v>
      </c>
      <c r="K167" s="23" t="str">
        <f>_xlfn.CONCAT(Tbl_Loan1[[#This Row],[Year]],Tbl_Loan1[[#This Row],[Quarter]])</f>
        <v>2024IV</v>
      </c>
      <c r="L167" s="25">
        <f t="shared" si="6"/>
        <v>774012.04077128193</v>
      </c>
      <c r="M167" s="26">
        <f t="shared" si="7"/>
        <v>6452.5136626411149</v>
      </c>
      <c r="N167" s="25">
        <f>B$5*Tbl_Loan1[[#This Row],[Initial debt]]</f>
        <v>1373.2909113159742</v>
      </c>
      <c r="O167" s="25">
        <f>Tbl_Loan1[[#This Row],[Annuity]]-Tbl_Loan1[[#This Row],[Interest amount]]</f>
        <v>5079.222751325141</v>
      </c>
      <c r="P167" s="25">
        <f>Tbl_Loan1[[#This Row],[Initial debt]]-Tbl_Loan1[[#This Row],[Redemption amount]]</f>
        <v>768932.81801995682</v>
      </c>
    </row>
    <row r="168" spans="4:16" x14ac:dyDescent="0.25">
      <c r="D168" t="str">
        <f>_xlfn.CONCAT(Tbl_Loan1[[#This Row],[Maandnummer ]],Tbl_Loan1[[#This Row],[Year]])</f>
        <v>112024</v>
      </c>
      <c r="E168" s="23">
        <f t="shared" si="8"/>
        <v>167</v>
      </c>
      <c r="F168" s="28">
        <v>45621</v>
      </c>
      <c r="G168" s="23">
        <f>MONTH(Tbl_Loan1[[#This Row],[Payment date]])</f>
        <v>11</v>
      </c>
      <c r="H168" s="23" t="str">
        <f>VLOOKUP(Tbl_Loan1[[#This Row],[Maandnummer ]],Tbl_Months[],2,FALSE)</f>
        <v>November</v>
      </c>
      <c r="I168" s="23" t="str">
        <f>VLOOKUP(Tbl_Loan1[[#This Row],[Maandnummer ]],Tbl_Months[],3,FALSE)</f>
        <v>IV</v>
      </c>
      <c r="J168" s="23">
        <f>YEAR(Tbl_Loan1[[#This Row],[Payment date]])</f>
        <v>2024</v>
      </c>
      <c r="K168" s="23" t="str">
        <f>_xlfn.CONCAT(Tbl_Loan1[[#This Row],[Year]],Tbl_Loan1[[#This Row],[Quarter]])</f>
        <v>2024IV</v>
      </c>
      <c r="L168" s="25">
        <f t="shared" si="6"/>
        <v>768932.81801995682</v>
      </c>
      <c r="M168" s="26">
        <f t="shared" si="7"/>
        <v>6452.5136626411149</v>
      </c>
      <c r="N168" s="25">
        <f>B$5*Tbl_Loan1[[#This Row],[Initial debt]]</f>
        <v>1364.2791000345974</v>
      </c>
      <c r="O168" s="25">
        <f>Tbl_Loan1[[#This Row],[Annuity]]-Tbl_Loan1[[#This Row],[Interest amount]]</f>
        <v>5088.234562606518</v>
      </c>
      <c r="P168" s="25">
        <f>Tbl_Loan1[[#This Row],[Initial debt]]-Tbl_Loan1[[#This Row],[Redemption amount]]</f>
        <v>763844.58345735027</v>
      </c>
    </row>
    <row r="169" spans="4:16" x14ac:dyDescent="0.25">
      <c r="D169" t="str">
        <f>_xlfn.CONCAT(Tbl_Loan1[[#This Row],[Maandnummer ]],Tbl_Loan1[[#This Row],[Year]])</f>
        <v>122024</v>
      </c>
      <c r="E169" s="23">
        <f t="shared" si="8"/>
        <v>168</v>
      </c>
      <c r="F169" s="28">
        <v>45651</v>
      </c>
      <c r="G169" s="23">
        <f>MONTH(Tbl_Loan1[[#This Row],[Payment date]])</f>
        <v>12</v>
      </c>
      <c r="H169" s="23" t="str">
        <f>VLOOKUP(Tbl_Loan1[[#This Row],[Maandnummer ]],Tbl_Months[],2,FALSE)</f>
        <v>December</v>
      </c>
      <c r="I169" s="23" t="str">
        <f>VLOOKUP(Tbl_Loan1[[#This Row],[Maandnummer ]],Tbl_Months[],3,FALSE)</f>
        <v>IV</v>
      </c>
      <c r="J169" s="23">
        <f>YEAR(Tbl_Loan1[[#This Row],[Payment date]])</f>
        <v>2024</v>
      </c>
      <c r="K169" s="23" t="str">
        <f>_xlfn.CONCAT(Tbl_Loan1[[#This Row],[Year]],Tbl_Loan1[[#This Row],[Quarter]])</f>
        <v>2024IV</v>
      </c>
      <c r="L169" s="25">
        <f t="shared" si="6"/>
        <v>763844.58345735027</v>
      </c>
      <c r="M169" s="26">
        <f t="shared" si="7"/>
        <v>6452.5136626411149</v>
      </c>
      <c r="N169" s="25">
        <f>B$5*Tbl_Loan1[[#This Row],[Initial debt]]</f>
        <v>1355.2512995464961</v>
      </c>
      <c r="O169" s="25">
        <f>Tbl_Loan1[[#This Row],[Annuity]]-Tbl_Loan1[[#This Row],[Interest amount]]</f>
        <v>5097.2623630946191</v>
      </c>
      <c r="P169" s="25">
        <f>Tbl_Loan1[[#This Row],[Initial debt]]-Tbl_Loan1[[#This Row],[Redemption amount]]</f>
        <v>758747.32109425566</v>
      </c>
    </row>
    <row r="170" spans="4:16" x14ac:dyDescent="0.25">
      <c r="D170" t="str">
        <f>_xlfn.CONCAT(Tbl_Loan1[[#This Row],[Maandnummer ]],Tbl_Loan1[[#This Row],[Year]])</f>
        <v>12025</v>
      </c>
      <c r="E170" s="23">
        <f t="shared" si="8"/>
        <v>169</v>
      </c>
      <c r="F170" s="28">
        <v>45682</v>
      </c>
      <c r="G170" s="23">
        <f>MONTH(Tbl_Loan1[[#This Row],[Payment date]])</f>
        <v>1</v>
      </c>
      <c r="H170" s="23" t="str">
        <f>VLOOKUP(Tbl_Loan1[[#This Row],[Maandnummer ]],Tbl_Months[],2,FALSE)</f>
        <v>January</v>
      </c>
      <c r="I170" s="23" t="str">
        <f>VLOOKUP(Tbl_Loan1[[#This Row],[Maandnummer ]],Tbl_Months[],3,FALSE)</f>
        <v>I</v>
      </c>
      <c r="J170" s="23">
        <f>YEAR(Tbl_Loan1[[#This Row],[Payment date]])</f>
        <v>2025</v>
      </c>
      <c r="K170" s="23" t="str">
        <f>_xlfn.CONCAT(Tbl_Loan1[[#This Row],[Year]],Tbl_Loan1[[#This Row],[Quarter]])</f>
        <v>2025I</v>
      </c>
      <c r="L170" s="25">
        <f t="shared" si="6"/>
        <v>758747.32109425566</v>
      </c>
      <c r="M170" s="26">
        <f t="shared" si="7"/>
        <v>6452.5136626411149</v>
      </c>
      <c r="N170" s="25">
        <f>B$5*Tbl_Loan1[[#This Row],[Initial debt]]</f>
        <v>1346.207481482819</v>
      </c>
      <c r="O170" s="25">
        <f>Tbl_Loan1[[#This Row],[Annuity]]-Tbl_Loan1[[#This Row],[Interest amount]]</f>
        <v>5106.3061811582957</v>
      </c>
      <c r="P170" s="25">
        <f>Tbl_Loan1[[#This Row],[Initial debt]]-Tbl_Loan1[[#This Row],[Redemption amount]]</f>
        <v>753641.01491309737</v>
      </c>
    </row>
    <row r="171" spans="4:16" x14ac:dyDescent="0.25">
      <c r="D171" t="str">
        <f>_xlfn.CONCAT(Tbl_Loan1[[#This Row],[Maandnummer ]],Tbl_Loan1[[#This Row],[Year]])</f>
        <v>22025</v>
      </c>
      <c r="E171" s="23">
        <f t="shared" si="8"/>
        <v>170</v>
      </c>
      <c r="F171" s="28">
        <v>45713</v>
      </c>
      <c r="G171" s="23">
        <f>MONTH(Tbl_Loan1[[#This Row],[Payment date]])</f>
        <v>2</v>
      </c>
      <c r="H171" s="23" t="str">
        <f>VLOOKUP(Tbl_Loan1[[#This Row],[Maandnummer ]],Tbl_Months[],2,FALSE)</f>
        <v>February</v>
      </c>
      <c r="I171" s="23" t="str">
        <f>VLOOKUP(Tbl_Loan1[[#This Row],[Maandnummer ]],Tbl_Months[],3,FALSE)</f>
        <v>I</v>
      </c>
      <c r="J171" s="23">
        <f>YEAR(Tbl_Loan1[[#This Row],[Payment date]])</f>
        <v>2025</v>
      </c>
      <c r="K171" s="23" t="str">
        <f>_xlfn.CONCAT(Tbl_Loan1[[#This Row],[Year]],Tbl_Loan1[[#This Row],[Quarter]])</f>
        <v>2025I</v>
      </c>
      <c r="L171" s="25">
        <f t="shared" si="6"/>
        <v>753641.01491309737</v>
      </c>
      <c r="M171" s="26">
        <f t="shared" si="7"/>
        <v>6452.5136626411149</v>
      </c>
      <c r="N171" s="25">
        <f>B$5*Tbl_Loan1[[#This Row],[Initial debt]]</f>
        <v>1337.1476174243819</v>
      </c>
      <c r="O171" s="25">
        <f>Tbl_Loan1[[#This Row],[Annuity]]-Tbl_Loan1[[#This Row],[Interest amount]]</f>
        <v>5115.3660452167333</v>
      </c>
      <c r="P171" s="25">
        <f>Tbl_Loan1[[#This Row],[Initial debt]]-Tbl_Loan1[[#This Row],[Redemption amount]]</f>
        <v>748525.64886788069</v>
      </c>
    </row>
    <row r="172" spans="4:16" x14ac:dyDescent="0.25">
      <c r="D172" t="str">
        <f>_xlfn.CONCAT(Tbl_Loan1[[#This Row],[Maandnummer ]],Tbl_Loan1[[#This Row],[Year]])</f>
        <v>32025</v>
      </c>
      <c r="E172" s="23">
        <f t="shared" si="8"/>
        <v>171</v>
      </c>
      <c r="F172" s="28">
        <v>45741</v>
      </c>
      <c r="G172" s="23">
        <f>MONTH(Tbl_Loan1[[#This Row],[Payment date]])</f>
        <v>3</v>
      </c>
      <c r="H172" s="23" t="str">
        <f>VLOOKUP(Tbl_Loan1[[#This Row],[Maandnummer ]],Tbl_Months[],2,FALSE)</f>
        <v>March</v>
      </c>
      <c r="I172" s="23" t="str">
        <f>VLOOKUP(Tbl_Loan1[[#This Row],[Maandnummer ]],Tbl_Months[],3,FALSE)</f>
        <v>I</v>
      </c>
      <c r="J172" s="23">
        <f>YEAR(Tbl_Loan1[[#This Row],[Payment date]])</f>
        <v>2025</v>
      </c>
      <c r="K172" s="23" t="str">
        <f>_xlfn.CONCAT(Tbl_Loan1[[#This Row],[Year]],Tbl_Loan1[[#This Row],[Quarter]])</f>
        <v>2025I</v>
      </c>
      <c r="L172" s="25">
        <f t="shared" si="6"/>
        <v>748525.64886788069</v>
      </c>
      <c r="M172" s="26">
        <f t="shared" si="7"/>
        <v>6452.5136626411149</v>
      </c>
      <c r="N172" s="25">
        <f>B$5*Tbl_Loan1[[#This Row],[Initial debt]]</f>
        <v>1328.0716789015778</v>
      </c>
      <c r="O172" s="25">
        <f>Tbl_Loan1[[#This Row],[Annuity]]-Tbl_Loan1[[#This Row],[Interest amount]]</f>
        <v>5124.4419837395371</v>
      </c>
      <c r="P172" s="25">
        <f>Tbl_Loan1[[#This Row],[Initial debt]]-Tbl_Loan1[[#This Row],[Redemption amount]]</f>
        <v>743401.2068841412</v>
      </c>
    </row>
    <row r="173" spans="4:16" x14ac:dyDescent="0.25">
      <c r="D173" t="str">
        <f>_xlfn.CONCAT(Tbl_Loan1[[#This Row],[Maandnummer ]],Tbl_Loan1[[#This Row],[Year]])</f>
        <v>42025</v>
      </c>
      <c r="E173" s="23">
        <f t="shared" si="8"/>
        <v>172</v>
      </c>
      <c r="F173" s="28">
        <v>45772</v>
      </c>
      <c r="G173" s="23">
        <f>MONTH(Tbl_Loan1[[#This Row],[Payment date]])</f>
        <v>4</v>
      </c>
      <c r="H173" s="23" t="str">
        <f>VLOOKUP(Tbl_Loan1[[#This Row],[Maandnummer ]],Tbl_Months[],2,FALSE)</f>
        <v>April</v>
      </c>
      <c r="I173" s="23" t="str">
        <f>VLOOKUP(Tbl_Loan1[[#This Row],[Maandnummer ]],Tbl_Months[],3,FALSE)</f>
        <v>II</v>
      </c>
      <c r="J173" s="23">
        <f>YEAR(Tbl_Loan1[[#This Row],[Payment date]])</f>
        <v>2025</v>
      </c>
      <c r="K173" s="23" t="str">
        <f>_xlfn.CONCAT(Tbl_Loan1[[#This Row],[Year]],Tbl_Loan1[[#This Row],[Quarter]])</f>
        <v>2025II</v>
      </c>
      <c r="L173" s="25">
        <f t="shared" si="6"/>
        <v>743401.2068841412</v>
      </c>
      <c r="M173" s="26">
        <f t="shared" si="7"/>
        <v>6452.5136626411149</v>
      </c>
      <c r="N173" s="25">
        <f>B$5*Tbl_Loan1[[#This Row],[Initial debt]]</f>
        <v>1318.9796373942868</v>
      </c>
      <c r="O173" s="25">
        <f>Tbl_Loan1[[#This Row],[Annuity]]-Tbl_Loan1[[#This Row],[Interest amount]]</f>
        <v>5133.5340252468286</v>
      </c>
      <c r="P173" s="25">
        <f>Tbl_Loan1[[#This Row],[Initial debt]]-Tbl_Loan1[[#This Row],[Redemption amount]]</f>
        <v>738267.67285889434</v>
      </c>
    </row>
    <row r="174" spans="4:16" x14ac:dyDescent="0.25">
      <c r="D174" t="str">
        <f>_xlfn.CONCAT(Tbl_Loan1[[#This Row],[Maandnummer ]],Tbl_Loan1[[#This Row],[Year]])</f>
        <v>52025</v>
      </c>
      <c r="E174" s="23">
        <f t="shared" si="8"/>
        <v>173</v>
      </c>
      <c r="F174" s="28">
        <v>45802</v>
      </c>
      <c r="G174" s="23">
        <f>MONTH(Tbl_Loan1[[#This Row],[Payment date]])</f>
        <v>5</v>
      </c>
      <c r="H174" s="23" t="str">
        <f>VLOOKUP(Tbl_Loan1[[#This Row],[Maandnummer ]],Tbl_Months[],2,FALSE)</f>
        <v>May</v>
      </c>
      <c r="I174" s="23" t="str">
        <f>VLOOKUP(Tbl_Loan1[[#This Row],[Maandnummer ]],Tbl_Months[],3,FALSE)</f>
        <v>II</v>
      </c>
      <c r="J174" s="23">
        <f>YEAR(Tbl_Loan1[[#This Row],[Payment date]])</f>
        <v>2025</v>
      </c>
      <c r="K174" s="23" t="str">
        <f>_xlfn.CONCAT(Tbl_Loan1[[#This Row],[Year]],Tbl_Loan1[[#This Row],[Quarter]])</f>
        <v>2025II</v>
      </c>
      <c r="L174" s="25">
        <f t="shared" si="6"/>
        <v>738267.67285889434</v>
      </c>
      <c r="M174" s="26">
        <f t="shared" si="7"/>
        <v>6452.5136626411149</v>
      </c>
      <c r="N174" s="25">
        <f>B$5*Tbl_Loan1[[#This Row],[Initial debt]]</f>
        <v>1309.8714643317878</v>
      </c>
      <c r="O174" s="25">
        <f>Tbl_Loan1[[#This Row],[Annuity]]-Tbl_Loan1[[#This Row],[Interest amount]]</f>
        <v>5142.6421983093269</v>
      </c>
      <c r="P174" s="25">
        <f>Tbl_Loan1[[#This Row],[Initial debt]]-Tbl_Loan1[[#This Row],[Redemption amount]]</f>
        <v>733125.03066058503</v>
      </c>
    </row>
    <row r="175" spans="4:16" x14ac:dyDescent="0.25">
      <c r="D175" t="str">
        <f>_xlfn.CONCAT(Tbl_Loan1[[#This Row],[Maandnummer ]],Tbl_Loan1[[#This Row],[Year]])</f>
        <v>62025</v>
      </c>
      <c r="E175" s="23">
        <f t="shared" si="8"/>
        <v>174</v>
      </c>
      <c r="F175" s="28">
        <v>45833</v>
      </c>
      <c r="G175" s="23">
        <f>MONTH(Tbl_Loan1[[#This Row],[Payment date]])</f>
        <v>6</v>
      </c>
      <c r="H175" s="23" t="str">
        <f>VLOOKUP(Tbl_Loan1[[#This Row],[Maandnummer ]],Tbl_Months[],2,FALSE)</f>
        <v>June</v>
      </c>
      <c r="I175" s="23" t="str">
        <f>VLOOKUP(Tbl_Loan1[[#This Row],[Maandnummer ]],Tbl_Months[],3,FALSE)</f>
        <v>II</v>
      </c>
      <c r="J175" s="23">
        <f>YEAR(Tbl_Loan1[[#This Row],[Payment date]])</f>
        <v>2025</v>
      </c>
      <c r="K175" s="23" t="str">
        <f>_xlfn.CONCAT(Tbl_Loan1[[#This Row],[Year]],Tbl_Loan1[[#This Row],[Quarter]])</f>
        <v>2025II</v>
      </c>
      <c r="L175" s="25">
        <f t="shared" si="6"/>
        <v>733125.03066058503</v>
      </c>
      <c r="M175" s="26">
        <f t="shared" si="7"/>
        <v>6452.5136626411149</v>
      </c>
      <c r="N175" s="25">
        <f>B$5*Tbl_Loan1[[#This Row],[Initial debt]]</f>
        <v>1300.7471310926683</v>
      </c>
      <c r="O175" s="25">
        <f>Tbl_Loan1[[#This Row],[Annuity]]-Tbl_Loan1[[#This Row],[Interest amount]]</f>
        <v>5151.7665315484464</v>
      </c>
      <c r="P175" s="25">
        <f>Tbl_Loan1[[#This Row],[Initial debt]]-Tbl_Loan1[[#This Row],[Redemption amount]]</f>
        <v>727973.26412903657</v>
      </c>
    </row>
    <row r="176" spans="4:16" x14ac:dyDescent="0.25">
      <c r="D176" t="str">
        <f>_xlfn.CONCAT(Tbl_Loan1[[#This Row],[Maandnummer ]],Tbl_Loan1[[#This Row],[Year]])</f>
        <v>72025</v>
      </c>
      <c r="E176" s="23">
        <f t="shared" si="8"/>
        <v>175</v>
      </c>
      <c r="F176" s="28">
        <v>45863</v>
      </c>
      <c r="G176" s="23">
        <f>MONTH(Tbl_Loan1[[#This Row],[Payment date]])</f>
        <v>7</v>
      </c>
      <c r="H176" s="23" t="str">
        <f>VLOOKUP(Tbl_Loan1[[#This Row],[Maandnummer ]],Tbl_Months[],2,FALSE)</f>
        <v>July</v>
      </c>
      <c r="I176" s="23" t="str">
        <f>VLOOKUP(Tbl_Loan1[[#This Row],[Maandnummer ]],Tbl_Months[],3,FALSE)</f>
        <v>III</v>
      </c>
      <c r="J176" s="23">
        <f>YEAR(Tbl_Loan1[[#This Row],[Payment date]])</f>
        <v>2025</v>
      </c>
      <c r="K176" s="23" t="str">
        <f>_xlfn.CONCAT(Tbl_Loan1[[#This Row],[Year]],Tbl_Loan1[[#This Row],[Quarter]])</f>
        <v>2025III</v>
      </c>
      <c r="L176" s="25">
        <f t="shared" si="6"/>
        <v>727973.26412903657</v>
      </c>
      <c r="M176" s="26">
        <f t="shared" si="7"/>
        <v>6452.5136626411149</v>
      </c>
      <c r="N176" s="25">
        <f>B$5*Tbl_Loan1[[#This Row],[Initial debt]]</f>
        <v>1291.6066090047336</v>
      </c>
      <c r="O176" s="25">
        <f>Tbl_Loan1[[#This Row],[Annuity]]-Tbl_Loan1[[#This Row],[Interest amount]]</f>
        <v>5160.9070536363815</v>
      </c>
      <c r="P176" s="25">
        <f>Tbl_Loan1[[#This Row],[Initial debt]]-Tbl_Loan1[[#This Row],[Redemption amount]]</f>
        <v>722812.35707540018</v>
      </c>
    </row>
    <row r="177" spans="4:16" x14ac:dyDescent="0.25">
      <c r="D177" t="str">
        <f>_xlfn.CONCAT(Tbl_Loan1[[#This Row],[Maandnummer ]],Tbl_Loan1[[#This Row],[Year]])</f>
        <v>82025</v>
      </c>
      <c r="E177" s="23">
        <f t="shared" si="8"/>
        <v>176</v>
      </c>
      <c r="F177" s="28">
        <v>45894</v>
      </c>
      <c r="G177" s="23">
        <f>MONTH(Tbl_Loan1[[#This Row],[Payment date]])</f>
        <v>8</v>
      </c>
      <c r="H177" s="23" t="str">
        <f>VLOOKUP(Tbl_Loan1[[#This Row],[Maandnummer ]],Tbl_Months[],2,FALSE)</f>
        <v>August</v>
      </c>
      <c r="I177" s="23" t="str">
        <f>VLOOKUP(Tbl_Loan1[[#This Row],[Maandnummer ]],Tbl_Months[],3,FALSE)</f>
        <v>III</v>
      </c>
      <c r="J177" s="23">
        <f>YEAR(Tbl_Loan1[[#This Row],[Payment date]])</f>
        <v>2025</v>
      </c>
      <c r="K177" s="23" t="str">
        <f>_xlfn.CONCAT(Tbl_Loan1[[#This Row],[Year]],Tbl_Loan1[[#This Row],[Quarter]])</f>
        <v>2025III</v>
      </c>
      <c r="L177" s="25">
        <f t="shared" si="6"/>
        <v>722812.35707540018</v>
      </c>
      <c r="M177" s="26">
        <f t="shared" si="7"/>
        <v>6452.5136626411149</v>
      </c>
      <c r="N177" s="25">
        <f>B$5*Tbl_Loan1[[#This Row],[Initial debt]]</f>
        <v>1282.4498693449177</v>
      </c>
      <c r="O177" s="25">
        <f>Tbl_Loan1[[#This Row],[Annuity]]-Tbl_Loan1[[#This Row],[Interest amount]]</f>
        <v>5170.0637932961972</v>
      </c>
      <c r="P177" s="25">
        <f>Tbl_Loan1[[#This Row],[Initial debt]]-Tbl_Loan1[[#This Row],[Redemption amount]]</f>
        <v>717642.29328210396</v>
      </c>
    </row>
    <row r="178" spans="4:16" x14ac:dyDescent="0.25">
      <c r="D178" t="str">
        <f>_xlfn.CONCAT(Tbl_Loan1[[#This Row],[Maandnummer ]],Tbl_Loan1[[#This Row],[Year]])</f>
        <v>92025</v>
      </c>
      <c r="E178" s="23">
        <f t="shared" si="8"/>
        <v>177</v>
      </c>
      <c r="F178" s="28">
        <v>45925</v>
      </c>
      <c r="G178" s="23">
        <f>MONTH(Tbl_Loan1[[#This Row],[Payment date]])</f>
        <v>9</v>
      </c>
      <c r="H178" s="23" t="str">
        <f>VLOOKUP(Tbl_Loan1[[#This Row],[Maandnummer ]],Tbl_Months[],2,FALSE)</f>
        <v>September</v>
      </c>
      <c r="I178" s="23" t="str">
        <f>VLOOKUP(Tbl_Loan1[[#This Row],[Maandnummer ]],Tbl_Months[],3,FALSE)</f>
        <v>III</v>
      </c>
      <c r="J178" s="23">
        <f>YEAR(Tbl_Loan1[[#This Row],[Payment date]])</f>
        <v>2025</v>
      </c>
      <c r="K178" s="23" t="str">
        <f>_xlfn.CONCAT(Tbl_Loan1[[#This Row],[Year]],Tbl_Loan1[[#This Row],[Quarter]])</f>
        <v>2025III</v>
      </c>
      <c r="L178" s="25">
        <f t="shared" si="6"/>
        <v>717642.29328210396</v>
      </c>
      <c r="M178" s="26">
        <f t="shared" si="7"/>
        <v>6452.5136626411149</v>
      </c>
      <c r="N178" s="25">
        <f>B$5*Tbl_Loan1[[#This Row],[Initial debt]]</f>
        <v>1273.2768833391929</v>
      </c>
      <c r="O178" s="25">
        <f>Tbl_Loan1[[#This Row],[Annuity]]-Tbl_Loan1[[#This Row],[Interest amount]]</f>
        <v>5179.2367793019221</v>
      </c>
      <c r="P178" s="25">
        <f>Tbl_Loan1[[#This Row],[Initial debt]]-Tbl_Loan1[[#This Row],[Redemption amount]]</f>
        <v>712463.05650280206</v>
      </c>
    </row>
    <row r="179" spans="4:16" x14ac:dyDescent="0.25">
      <c r="D179" t="str">
        <f>_xlfn.CONCAT(Tbl_Loan1[[#This Row],[Maandnummer ]],Tbl_Loan1[[#This Row],[Year]])</f>
        <v>102025</v>
      </c>
      <c r="E179" s="23">
        <f t="shared" si="8"/>
        <v>178</v>
      </c>
      <c r="F179" s="28">
        <v>45955</v>
      </c>
      <c r="G179" s="23">
        <f>MONTH(Tbl_Loan1[[#This Row],[Payment date]])</f>
        <v>10</v>
      </c>
      <c r="H179" s="23" t="str">
        <f>VLOOKUP(Tbl_Loan1[[#This Row],[Maandnummer ]],Tbl_Months[],2,FALSE)</f>
        <v>October</v>
      </c>
      <c r="I179" s="23" t="str">
        <f>VLOOKUP(Tbl_Loan1[[#This Row],[Maandnummer ]],Tbl_Months[],3,FALSE)</f>
        <v>IV</v>
      </c>
      <c r="J179" s="23">
        <f>YEAR(Tbl_Loan1[[#This Row],[Payment date]])</f>
        <v>2025</v>
      </c>
      <c r="K179" s="23" t="str">
        <f>_xlfn.CONCAT(Tbl_Loan1[[#This Row],[Year]],Tbl_Loan1[[#This Row],[Quarter]])</f>
        <v>2025IV</v>
      </c>
      <c r="L179" s="25">
        <f t="shared" si="6"/>
        <v>712463.05650280206</v>
      </c>
      <c r="M179" s="26">
        <f t="shared" si="7"/>
        <v>6452.5136626411149</v>
      </c>
      <c r="N179" s="25">
        <f>B$5*Tbl_Loan1[[#This Row],[Initial debt]]</f>
        <v>1264.087622162479</v>
      </c>
      <c r="O179" s="25">
        <f>Tbl_Loan1[[#This Row],[Annuity]]-Tbl_Loan1[[#This Row],[Interest amount]]</f>
        <v>5188.4260404786364</v>
      </c>
      <c r="P179" s="25">
        <f>Tbl_Loan1[[#This Row],[Initial debt]]-Tbl_Loan1[[#This Row],[Redemption amount]]</f>
        <v>707274.63046232343</v>
      </c>
    </row>
    <row r="180" spans="4:16" x14ac:dyDescent="0.25">
      <c r="D180" t="str">
        <f>_xlfn.CONCAT(Tbl_Loan1[[#This Row],[Maandnummer ]],Tbl_Loan1[[#This Row],[Year]])</f>
        <v>112025</v>
      </c>
      <c r="E180" s="23">
        <f t="shared" si="8"/>
        <v>179</v>
      </c>
      <c r="F180" s="28">
        <v>45986</v>
      </c>
      <c r="G180" s="23">
        <f>MONTH(Tbl_Loan1[[#This Row],[Payment date]])</f>
        <v>11</v>
      </c>
      <c r="H180" s="23" t="str">
        <f>VLOOKUP(Tbl_Loan1[[#This Row],[Maandnummer ]],Tbl_Months[],2,FALSE)</f>
        <v>November</v>
      </c>
      <c r="I180" s="23" t="str">
        <f>VLOOKUP(Tbl_Loan1[[#This Row],[Maandnummer ]],Tbl_Months[],3,FALSE)</f>
        <v>IV</v>
      </c>
      <c r="J180" s="23">
        <f>YEAR(Tbl_Loan1[[#This Row],[Payment date]])</f>
        <v>2025</v>
      </c>
      <c r="K180" s="23" t="str">
        <f>_xlfn.CONCAT(Tbl_Loan1[[#This Row],[Year]],Tbl_Loan1[[#This Row],[Quarter]])</f>
        <v>2025IV</v>
      </c>
      <c r="L180" s="25">
        <f t="shared" si="6"/>
        <v>707274.63046232343</v>
      </c>
      <c r="M180" s="26">
        <f t="shared" si="7"/>
        <v>6452.5136626411149</v>
      </c>
      <c r="N180" s="25">
        <f>B$5*Tbl_Loan1[[#This Row],[Initial debt]]</f>
        <v>1254.8820569385525</v>
      </c>
      <c r="O180" s="25">
        <f>Tbl_Loan1[[#This Row],[Annuity]]-Tbl_Loan1[[#This Row],[Interest amount]]</f>
        <v>5197.6316057025624</v>
      </c>
      <c r="P180" s="25">
        <f>Tbl_Loan1[[#This Row],[Initial debt]]-Tbl_Loan1[[#This Row],[Redemption amount]]</f>
        <v>702076.99885662086</v>
      </c>
    </row>
    <row r="181" spans="4:16" x14ac:dyDescent="0.25">
      <c r="D181" t="str">
        <f>_xlfn.CONCAT(Tbl_Loan1[[#This Row],[Maandnummer ]],Tbl_Loan1[[#This Row],[Year]])</f>
        <v>122025</v>
      </c>
      <c r="E181" s="23">
        <f t="shared" si="8"/>
        <v>180</v>
      </c>
      <c r="F181" s="28">
        <v>46016</v>
      </c>
      <c r="G181" s="23">
        <f>MONTH(Tbl_Loan1[[#This Row],[Payment date]])</f>
        <v>12</v>
      </c>
      <c r="H181" s="23" t="str">
        <f>VLOOKUP(Tbl_Loan1[[#This Row],[Maandnummer ]],Tbl_Months[],2,FALSE)</f>
        <v>December</v>
      </c>
      <c r="I181" s="23" t="str">
        <f>VLOOKUP(Tbl_Loan1[[#This Row],[Maandnummer ]],Tbl_Months[],3,FALSE)</f>
        <v>IV</v>
      </c>
      <c r="J181" s="23">
        <f>YEAR(Tbl_Loan1[[#This Row],[Payment date]])</f>
        <v>2025</v>
      </c>
      <c r="K181" s="23" t="str">
        <f>_xlfn.CONCAT(Tbl_Loan1[[#This Row],[Year]],Tbl_Loan1[[#This Row],[Quarter]])</f>
        <v>2025IV</v>
      </c>
      <c r="L181" s="25">
        <f t="shared" si="6"/>
        <v>702076.99885662086</v>
      </c>
      <c r="M181" s="26">
        <f t="shared" si="7"/>
        <v>6452.5136626411149</v>
      </c>
      <c r="N181" s="25">
        <f>B$5*Tbl_Loan1[[#This Row],[Initial debt]]</f>
        <v>1245.6601587399568</v>
      </c>
      <c r="O181" s="25">
        <f>Tbl_Loan1[[#This Row],[Annuity]]-Tbl_Loan1[[#This Row],[Interest amount]]</f>
        <v>5206.8535039011585</v>
      </c>
      <c r="P181" s="25">
        <f>Tbl_Loan1[[#This Row],[Initial debt]]-Tbl_Loan1[[#This Row],[Redemption amount]]</f>
        <v>696870.1453527197</v>
      </c>
    </row>
    <row r="182" spans="4:16" x14ac:dyDescent="0.25">
      <c r="D182" t="str">
        <f>_xlfn.CONCAT(Tbl_Loan1[[#This Row],[Maandnummer ]],Tbl_Loan1[[#This Row],[Year]])</f>
        <v>12026</v>
      </c>
      <c r="E182" s="23">
        <f t="shared" si="8"/>
        <v>181</v>
      </c>
      <c r="F182" s="28">
        <v>46047</v>
      </c>
      <c r="G182" s="23">
        <f>MONTH(Tbl_Loan1[[#This Row],[Payment date]])</f>
        <v>1</v>
      </c>
      <c r="H182" s="23" t="str">
        <f>VLOOKUP(Tbl_Loan1[[#This Row],[Maandnummer ]],Tbl_Months[],2,FALSE)</f>
        <v>January</v>
      </c>
      <c r="I182" s="23" t="str">
        <f>VLOOKUP(Tbl_Loan1[[#This Row],[Maandnummer ]],Tbl_Months[],3,FALSE)</f>
        <v>I</v>
      </c>
      <c r="J182" s="23">
        <f>YEAR(Tbl_Loan1[[#This Row],[Payment date]])</f>
        <v>2026</v>
      </c>
      <c r="K182" s="23" t="str">
        <f>_xlfn.CONCAT(Tbl_Loan1[[#This Row],[Year]],Tbl_Loan1[[#This Row],[Quarter]])</f>
        <v>2026I</v>
      </c>
      <c r="L182" s="25">
        <f t="shared" si="6"/>
        <v>696870.1453527197</v>
      </c>
      <c r="M182" s="26">
        <f t="shared" si="7"/>
        <v>6452.5136626411149</v>
      </c>
      <c r="N182" s="25">
        <f>B$5*Tbl_Loan1[[#This Row],[Initial debt]]</f>
        <v>1236.4218985879108</v>
      </c>
      <c r="O182" s="25">
        <f>Tbl_Loan1[[#This Row],[Annuity]]-Tbl_Loan1[[#This Row],[Interest amount]]</f>
        <v>5216.0917640532043</v>
      </c>
      <c r="P182" s="25">
        <f>Tbl_Loan1[[#This Row],[Initial debt]]-Tbl_Loan1[[#This Row],[Redemption amount]]</f>
        <v>691654.05358866649</v>
      </c>
    </row>
    <row r="183" spans="4:16" x14ac:dyDescent="0.25">
      <c r="D183" t="str">
        <f>_xlfn.CONCAT(Tbl_Loan1[[#This Row],[Maandnummer ]],Tbl_Loan1[[#This Row],[Year]])</f>
        <v>22026</v>
      </c>
      <c r="E183" s="23">
        <f t="shared" si="8"/>
        <v>182</v>
      </c>
      <c r="F183" s="28">
        <v>46078</v>
      </c>
      <c r="G183" s="23">
        <f>MONTH(Tbl_Loan1[[#This Row],[Payment date]])</f>
        <v>2</v>
      </c>
      <c r="H183" s="23" t="str">
        <f>VLOOKUP(Tbl_Loan1[[#This Row],[Maandnummer ]],Tbl_Months[],2,FALSE)</f>
        <v>February</v>
      </c>
      <c r="I183" s="23" t="str">
        <f>VLOOKUP(Tbl_Loan1[[#This Row],[Maandnummer ]],Tbl_Months[],3,FALSE)</f>
        <v>I</v>
      </c>
      <c r="J183" s="23">
        <f>YEAR(Tbl_Loan1[[#This Row],[Payment date]])</f>
        <v>2026</v>
      </c>
      <c r="K183" s="23" t="str">
        <f>_xlfn.CONCAT(Tbl_Loan1[[#This Row],[Year]],Tbl_Loan1[[#This Row],[Quarter]])</f>
        <v>2026I</v>
      </c>
      <c r="L183" s="25">
        <f t="shared" si="6"/>
        <v>691654.05358866649</v>
      </c>
      <c r="M183" s="26">
        <f t="shared" si="7"/>
        <v>6452.5136626411149</v>
      </c>
      <c r="N183" s="25">
        <f>B$5*Tbl_Loan1[[#This Row],[Initial debt]]</f>
        <v>1227.1672474522175</v>
      </c>
      <c r="O183" s="25">
        <f>Tbl_Loan1[[#This Row],[Annuity]]-Tbl_Loan1[[#This Row],[Interest amount]]</f>
        <v>5225.3464151888975</v>
      </c>
      <c r="P183" s="25">
        <f>Tbl_Loan1[[#This Row],[Initial debt]]-Tbl_Loan1[[#This Row],[Redemption amount]]</f>
        <v>686428.70717347763</v>
      </c>
    </row>
    <row r="184" spans="4:16" x14ac:dyDescent="0.25">
      <c r="D184" t="str">
        <f>_xlfn.CONCAT(Tbl_Loan1[[#This Row],[Maandnummer ]],Tbl_Loan1[[#This Row],[Year]])</f>
        <v>32026</v>
      </c>
      <c r="E184" s="23">
        <f t="shared" si="8"/>
        <v>183</v>
      </c>
      <c r="F184" s="28">
        <v>46106</v>
      </c>
      <c r="G184" s="23">
        <f>MONTH(Tbl_Loan1[[#This Row],[Payment date]])</f>
        <v>3</v>
      </c>
      <c r="H184" s="23" t="str">
        <f>VLOOKUP(Tbl_Loan1[[#This Row],[Maandnummer ]],Tbl_Months[],2,FALSE)</f>
        <v>March</v>
      </c>
      <c r="I184" s="23" t="str">
        <f>VLOOKUP(Tbl_Loan1[[#This Row],[Maandnummer ]],Tbl_Months[],3,FALSE)</f>
        <v>I</v>
      </c>
      <c r="J184" s="23">
        <f>YEAR(Tbl_Loan1[[#This Row],[Payment date]])</f>
        <v>2026</v>
      </c>
      <c r="K184" s="23" t="str">
        <f>_xlfn.CONCAT(Tbl_Loan1[[#This Row],[Year]],Tbl_Loan1[[#This Row],[Quarter]])</f>
        <v>2026I</v>
      </c>
      <c r="L184" s="25">
        <f t="shared" si="6"/>
        <v>686428.70717347763</v>
      </c>
      <c r="M184" s="26">
        <f t="shared" si="7"/>
        <v>6452.5136626411149</v>
      </c>
      <c r="N184" s="25">
        <f>B$5*Tbl_Loan1[[#This Row],[Initial debt]]</f>
        <v>1217.8961762511728</v>
      </c>
      <c r="O184" s="25">
        <f>Tbl_Loan1[[#This Row],[Annuity]]-Tbl_Loan1[[#This Row],[Interest amount]]</f>
        <v>5234.6174863899423</v>
      </c>
      <c r="P184" s="25">
        <f>Tbl_Loan1[[#This Row],[Initial debt]]-Tbl_Loan1[[#This Row],[Redemption amount]]</f>
        <v>681194.08968708769</v>
      </c>
    </row>
    <row r="185" spans="4:16" x14ac:dyDescent="0.25">
      <c r="D185" t="str">
        <f>_xlfn.CONCAT(Tbl_Loan1[[#This Row],[Maandnummer ]],Tbl_Loan1[[#This Row],[Year]])</f>
        <v>42026</v>
      </c>
      <c r="E185" s="23">
        <f t="shared" si="8"/>
        <v>184</v>
      </c>
      <c r="F185" s="28">
        <v>46137</v>
      </c>
      <c r="G185" s="23">
        <f>MONTH(Tbl_Loan1[[#This Row],[Payment date]])</f>
        <v>4</v>
      </c>
      <c r="H185" s="23" t="str">
        <f>VLOOKUP(Tbl_Loan1[[#This Row],[Maandnummer ]],Tbl_Months[],2,FALSE)</f>
        <v>April</v>
      </c>
      <c r="I185" s="23" t="str">
        <f>VLOOKUP(Tbl_Loan1[[#This Row],[Maandnummer ]],Tbl_Months[],3,FALSE)</f>
        <v>II</v>
      </c>
      <c r="J185" s="23">
        <f>YEAR(Tbl_Loan1[[#This Row],[Payment date]])</f>
        <v>2026</v>
      </c>
      <c r="K185" s="23" t="str">
        <f>_xlfn.CONCAT(Tbl_Loan1[[#This Row],[Year]],Tbl_Loan1[[#This Row],[Quarter]])</f>
        <v>2026II</v>
      </c>
      <c r="L185" s="25">
        <f t="shared" si="6"/>
        <v>681194.08968708769</v>
      </c>
      <c r="M185" s="26">
        <f t="shared" si="7"/>
        <v>6452.5136626411149</v>
      </c>
      <c r="N185" s="25">
        <f>B$5*Tbl_Loan1[[#This Row],[Initial debt]]</f>
        <v>1208.6086558514751</v>
      </c>
      <c r="O185" s="25">
        <f>Tbl_Loan1[[#This Row],[Annuity]]-Tbl_Loan1[[#This Row],[Interest amount]]</f>
        <v>5243.9050067896396</v>
      </c>
      <c r="P185" s="25">
        <f>Tbl_Loan1[[#This Row],[Initial debt]]-Tbl_Loan1[[#This Row],[Redemption amount]]</f>
        <v>675950.18468029809</v>
      </c>
    </row>
    <row r="186" spans="4:16" x14ac:dyDescent="0.25">
      <c r="D186" t="str">
        <f>_xlfn.CONCAT(Tbl_Loan1[[#This Row],[Maandnummer ]],Tbl_Loan1[[#This Row],[Year]])</f>
        <v>52026</v>
      </c>
      <c r="E186" s="23">
        <f t="shared" si="8"/>
        <v>185</v>
      </c>
      <c r="F186" s="28">
        <v>46167</v>
      </c>
      <c r="G186" s="23">
        <f>MONTH(Tbl_Loan1[[#This Row],[Payment date]])</f>
        <v>5</v>
      </c>
      <c r="H186" s="23" t="str">
        <f>VLOOKUP(Tbl_Loan1[[#This Row],[Maandnummer ]],Tbl_Months[],2,FALSE)</f>
        <v>May</v>
      </c>
      <c r="I186" s="23" t="str">
        <f>VLOOKUP(Tbl_Loan1[[#This Row],[Maandnummer ]],Tbl_Months[],3,FALSE)</f>
        <v>II</v>
      </c>
      <c r="J186" s="23">
        <f>YEAR(Tbl_Loan1[[#This Row],[Payment date]])</f>
        <v>2026</v>
      </c>
      <c r="K186" s="23" t="str">
        <f>_xlfn.CONCAT(Tbl_Loan1[[#This Row],[Year]],Tbl_Loan1[[#This Row],[Quarter]])</f>
        <v>2026II</v>
      </c>
      <c r="L186" s="25">
        <f t="shared" si="6"/>
        <v>675950.18468029809</v>
      </c>
      <c r="M186" s="26">
        <f t="shared" si="7"/>
        <v>6452.5136626411149</v>
      </c>
      <c r="N186" s="25">
        <f>B$5*Tbl_Loan1[[#This Row],[Initial debt]]</f>
        <v>1199.3046570681324</v>
      </c>
      <c r="O186" s="25">
        <f>Tbl_Loan1[[#This Row],[Annuity]]-Tbl_Loan1[[#This Row],[Interest amount]]</f>
        <v>5253.2090055729823</v>
      </c>
      <c r="P186" s="25">
        <f>Tbl_Loan1[[#This Row],[Initial debt]]-Tbl_Loan1[[#This Row],[Redemption amount]]</f>
        <v>670696.97567472514</v>
      </c>
    </row>
    <row r="187" spans="4:16" x14ac:dyDescent="0.25">
      <c r="D187" t="str">
        <f>_xlfn.CONCAT(Tbl_Loan1[[#This Row],[Maandnummer ]],Tbl_Loan1[[#This Row],[Year]])</f>
        <v>62026</v>
      </c>
      <c r="E187" s="23">
        <f t="shared" si="8"/>
        <v>186</v>
      </c>
      <c r="F187" s="28">
        <v>46198</v>
      </c>
      <c r="G187" s="23">
        <f>MONTH(Tbl_Loan1[[#This Row],[Payment date]])</f>
        <v>6</v>
      </c>
      <c r="H187" s="23" t="str">
        <f>VLOOKUP(Tbl_Loan1[[#This Row],[Maandnummer ]],Tbl_Months[],2,FALSE)</f>
        <v>June</v>
      </c>
      <c r="I187" s="23" t="str">
        <f>VLOOKUP(Tbl_Loan1[[#This Row],[Maandnummer ]],Tbl_Months[],3,FALSE)</f>
        <v>II</v>
      </c>
      <c r="J187" s="23">
        <f>YEAR(Tbl_Loan1[[#This Row],[Payment date]])</f>
        <v>2026</v>
      </c>
      <c r="K187" s="23" t="str">
        <f>_xlfn.CONCAT(Tbl_Loan1[[#This Row],[Year]],Tbl_Loan1[[#This Row],[Quarter]])</f>
        <v>2026II</v>
      </c>
      <c r="L187" s="25">
        <f t="shared" si="6"/>
        <v>670696.97567472514</v>
      </c>
      <c r="M187" s="26">
        <f t="shared" si="7"/>
        <v>6452.5136626411149</v>
      </c>
      <c r="N187" s="25">
        <f>B$5*Tbl_Loan1[[#This Row],[Initial debt]]</f>
        <v>1189.9841506643718</v>
      </c>
      <c r="O187" s="25">
        <f>Tbl_Loan1[[#This Row],[Annuity]]-Tbl_Loan1[[#This Row],[Interest amount]]</f>
        <v>5262.5295119767434</v>
      </c>
      <c r="P187" s="25">
        <f>Tbl_Loan1[[#This Row],[Initial debt]]-Tbl_Loan1[[#This Row],[Redemption amount]]</f>
        <v>665434.44616274838</v>
      </c>
    </row>
    <row r="188" spans="4:16" x14ac:dyDescent="0.25">
      <c r="D188" t="str">
        <f>_xlfn.CONCAT(Tbl_Loan1[[#This Row],[Maandnummer ]],Tbl_Loan1[[#This Row],[Year]])</f>
        <v>72026</v>
      </c>
      <c r="E188" s="23">
        <f t="shared" si="8"/>
        <v>187</v>
      </c>
      <c r="F188" s="28">
        <v>46228</v>
      </c>
      <c r="G188" s="23">
        <f>MONTH(Tbl_Loan1[[#This Row],[Payment date]])</f>
        <v>7</v>
      </c>
      <c r="H188" s="23" t="str">
        <f>VLOOKUP(Tbl_Loan1[[#This Row],[Maandnummer ]],Tbl_Months[],2,FALSE)</f>
        <v>July</v>
      </c>
      <c r="I188" s="23" t="str">
        <f>VLOOKUP(Tbl_Loan1[[#This Row],[Maandnummer ]],Tbl_Months[],3,FALSE)</f>
        <v>III</v>
      </c>
      <c r="J188" s="23">
        <f>YEAR(Tbl_Loan1[[#This Row],[Payment date]])</f>
        <v>2026</v>
      </c>
      <c r="K188" s="23" t="str">
        <f>_xlfn.CONCAT(Tbl_Loan1[[#This Row],[Year]],Tbl_Loan1[[#This Row],[Quarter]])</f>
        <v>2026III</v>
      </c>
      <c r="L188" s="25">
        <f t="shared" si="6"/>
        <v>665434.44616274838</v>
      </c>
      <c r="M188" s="26">
        <f t="shared" si="7"/>
        <v>6452.5136626411149</v>
      </c>
      <c r="N188" s="25">
        <f>B$5*Tbl_Loan1[[#This Row],[Initial debt]]</f>
        <v>1180.6471073515465</v>
      </c>
      <c r="O188" s="25">
        <f>Tbl_Loan1[[#This Row],[Annuity]]-Tbl_Loan1[[#This Row],[Interest amount]]</f>
        <v>5271.8665552895682</v>
      </c>
      <c r="P188" s="25">
        <f>Tbl_Loan1[[#This Row],[Initial debt]]-Tbl_Loan1[[#This Row],[Redemption amount]]</f>
        <v>660162.57960745879</v>
      </c>
    </row>
    <row r="189" spans="4:16" x14ac:dyDescent="0.25">
      <c r="D189" t="str">
        <f>_xlfn.CONCAT(Tbl_Loan1[[#This Row],[Maandnummer ]],Tbl_Loan1[[#This Row],[Year]])</f>
        <v>82026</v>
      </c>
      <c r="E189" s="23">
        <f t="shared" si="8"/>
        <v>188</v>
      </c>
      <c r="F189" s="28">
        <v>46259</v>
      </c>
      <c r="G189" s="23">
        <f>MONTH(Tbl_Loan1[[#This Row],[Payment date]])</f>
        <v>8</v>
      </c>
      <c r="H189" s="23" t="str">
        <f>VLOOKUP(Tbl_Loan1[[#This Row],[Maandnummer ]],Tbl_Months[],2,FALSE)</f>
        <v>August</v>
      </c>
      <c r="I189" s="23" t="str">
        <f>VLOOKUP(Tbl_Loan1[[#This Row],[Maandnummer ]],Tbl_Months[],3,FALSE)</f>
        <v>III</v>
      </c>
      <c r="J189" s="23">
        <f>YEAR(Tbl_Loan1[[#This Row],[Payment date]])</f>
        <v>2026</v>
      </c>
      <c r="K189" s="23" t="str">
        <f>_xlfn.CONCAT(Tbl_Loan1[[#This Row],[Year]],Tbl_Loan1[[#This Row],[Quarter]])</f>
        <v>2026III</v>
      </c>
      <c r="L189" s="25">
        <f t="shared" si="6"/>
        <v>660162.57960745879</v>
      </c>
      <c r="M189" s="26">
        <f t="shared" si="7"/>
        <v>6452.5136626411149</v>
      </c>
      <c r="N189" s="25">
        <f>B$5*Tbl_Loan1[[#This Row],[Initial debt]]</f>
        <v>1171.2934977890447</v>
      </c>
      <c r="O189" s="25">
        <f>Tbl_Loan1[[#This Row],[Annuity]]-Tbl_Loan1[[#This Row],[Interest amount]]</f>
        <v>5281.2201648520704</v>
      </c>
      <c r="P189" s="25">
        <f>Tbl_Loan1[[#This Row],[Initial debt]]-Tbl_Loan1[[#This Row],[Redemption amount]]</f>
        <v>654881.35944260668</v>
      </c>
    </row>
    <row r="190" spans="4:16" x14ac:dyDescent="0.25">
      <c r="D190" t="str">
        <f>_xlfn.CONCAT(Tbl_Loan1[[#This Row],[Maandnummer ]],Tbl_Loan1[[#This Row],[Year]])</f>
        <v>92026</v>
      </c>
      <c r="E190" s="23">
        <f t="shared" si="8"/>
        <v>189</v>
      </c>
      <c r="F190" s="28">
        <v>46290</v>
      </c>
      <c r="G190" s="23">
        <f>MONTH(Tbl_Loan1[[#This Row],[Payment date]])</f>
        <v>9</v>
      </c>
      <c r="H190" s="23" t="str">
        <f>VLOOKUP(Tbl_Loan1[[#This Row],[Maandnummer ]],Tbl_Months[],2,FALSE)</f>
        <v>September</v>
      </c>
      <c r="I190" s="23" t="str">
        <f>VLOOKUP(Tbl_Loan1[[#This Row],[Maandnummer ]],Tbl_Months[],3,FALSE)</f>
        <v>III</v>
      </c>
      <c r="J190" s="23">
        <f>YEAR(Tbl_Loan1[[#This Row],[Payment date]])</f>
        <v>2026</v>
      </c>
      <c r="K190" s="23" t="str">
        <f>_xlfn.CONCAT(Tbl_Loan1[[#This Row],[Year]],Tbl_Loan1[[#This Row],[Quarter]])</f>
        <v>2026III</v>
      </c>
      <c r="L190" s="25">
        <f t="shared" si="6"/>
        <v>654881.35944260668</v>
      </c>
      <c r="M190" s="26">
        <f t="shared" si="7"/>
        <v>6452.5136626411149</v>
      </c>
      <c r="N190" s="25">
        <f>B$5*Tbl_Loan1[[#This Row],[Initial debt]]</f>
        <v>1161.9232925841968</v>
      </c>
      <c r="O190" s="25">
        <f>Tbl_Loan1[[#This Row],[Annuity]]-Tbl_Loan1[[#This Row],[Interest amount]]</f>
        <v>5290.5903700569179</v>
      </c>
      <c r="P190" s="25">
        <f>Tbl_Loan1[[#This Row],[Initial debt]]-Tbl_Loan1[[#This Row],[Redemption amount]]</f>
        <v>649590.76907254977</v>
      </c>
    </row>
    <row r="191" spans="4:16" x14ac:dyDescent="0.25">
      <c r="D191" t="str">
        <f>_xlfn.CONCAT(Tbl_Loan1[[#This Row],[Maandnummer ]],Tbl_Loan1[[#This Row],[Year]])</f>
        <v>102026</v>
      </c>
      <c r="E191" s="23">
        <f t="shared" si="8"/>
        <v>190</v>
      </c>
      <c r="F191" s="28">
        <v>46320</v>
      </c>
      <c r="G191" s="23">
        <f>MONTH(Tbl_Loan1[[#This Row],[Payment date]])</f>
        <v>10</v>
      </c>
      <c r="H191" s="23" t="str">
        <f>VLOOKUP(Tbl_Loan1[[#This Row],[Maandnummer ]],Tbl_Months[],2,FALSE)</f>
        <v>October</v>
      </c>
      <c r="I191" s="23" t="str">
        <f>VLOOKUP(Tbl_Loan1[[#This Row],[Maandnummer ]],Tbl_Months[],3,FALSE)</f>
        <v>IV</v>
      </c>
      <c r="J191" s="23">
        <f>YEAR(Tbl_Loan1[[#This Row],[Payment date]])</f>
        <v>2026</v>
      </c>
      <c r="K191" s="23" t="str">
        <f>_xlfn.CONCAT(Tbl_Loan1[[#This Row],[Year]],Tbl_Loan1[[#This Row],[Quarter]])</f>
        <v>2026IV</v>
      </c>
      <c r="L191" s="25">
        <f t="shared" si="6"/>
        <v>649590.76907254977</v>
      </c>
      <c r="M191" s="26">
        <f t="shared" si="7"/>
        <v>6452.5136626411149</v>
      </c>
      <c r="N191" s="25">
        <f>B$5*Tbl_Loan1[[#This Row],[Initial debt]]</f>
        <v>1152.5364622921834</v>
      </c>
      <c r="O191" s="25">
        <f>Tbl_Loan1[[#This Row],[Annuity]]-Tbl_Loan1[[#This Row],[Interest amount]]</f>
        <v>5299.9772003489315</v>
      </c>
      <c r="P191" s="25">
        <f>Tbl_Loan1[[#This Row],[Initial debt]]-Tbl_Loan1[[#This Row],[Redemption amount]]</f>
        <v>644290.79187220079</v>
      </c>
    </row>
    <row r="192" spans="4:16" x14ac:dyDescent="0.25">
      <c r="D192" t="str">
        <f>_xlfn.CONCAT(Tbl_Loan1[[#This Row],[Maandnummer ]],Tbl_Loan1[[#This Row],[Year]])</f>
        <v>112026</v>
      </c>
      <c r="E192" s="23">
        <f t="shared" si="8"/>
        <v>191</v>
      </c>
      <c r="F192" s="28">
        <v>46351</v>
      </c>
      <c r="G192" s="23">
        <f>MONTH(Tbl_Loan1[[#This Row],[Payment date]])</f>
        <v>11</v>
      </c>
      <c r="H192" s="23" t="str">
        <f>VLOOKUP(Tbl_Loan1[[#This Row],[Maandnummer ]],Tbl_Months[],2,FALSE)</f>
        <v>November</v>
      </c>
      <c r="I192" s="23" t="str">
        <f>VLOOKUP(Tbl_Loan1[[#This Row],[Maandnummer ]],Tbl_Months[],3,FALSE)</f>
        <v>IV</v>
      </c>
      <c r="J192" s="23">
        <f>YEAR(Tbl_Loan1[[#This Row],[Payment date]])</f>
        <v>2026</v>
      </c>
      <c r="K192" s="23" t="str">
        <f>_xlfn.CONCAT(Tbl_Loan1[[#This Row],[Year]],Tbl_Loan1[[#This Row],[Quarter]])</f>
        <v>2026IV</v>
      </c>
      <c r="L192" s="25">
        <f t="shared" si="6"/>
        <v>644290.79187220079</v>
      </c>
      <c r="M192" s="26">
        <f t="shared" si="7"/>
        <v>6452.5136626411149</v>
      </c>
      <c r="N192" s="25">
        <f>B$5*Tbl_Loan1[[#This Row],[Initial debt]]</f>
        <v>1143.1329774159424</v>
      </c>
      <c r="O192" s="25">
        <f>Tbl_Loan1[[#This Row],[Annuity]]-Tbl_Loan1[[#This Row],[Interest amount]]</f>
        <v>5309.3806852251728</v>
      </c>
      <c r="P192" s="25">
        <f>Tbl_Loan1[[#This Row],[Initial debt]]-Tbl_Loan1[[#This Row],[Redemption amount]]</f>
        <v>638981.41118697566</v>
      </c>
    </row>
    <row r="193" spans="4:16" x14ac:dyDescent="0.25">
      <c r="D193" t="str">
        <f>_xlfn.CONCAT(Tbl_Loan1[[#This Row],[Maandnummer ]],Tbl_Loan1[[#This Row],[Year]])</f>
        <v>122026</v>
      </c>
      <c r="E193" s="23">
        <f t="shared" si="8"/>
        <v>192</v>
      </c>
      <c r="F193" s="28">
        <v>46381</v>
      </c>
      <c r="G193" s="23">
        <f>MONTH(Tbl_Loan1[[#This Row],[Payment date]])</f>
        <v>12</v>
      </c>
      <c r="H193" s="23" t="str">
        <f>VLOOKUP(Tbl_Loan1[[#This Row],[Maandnummer ]],Tbl_Months[],2,FALSE)</f>
        <v>December</v>
      </c>
      <c r="I193" s="23" t="str">
        <f>VLOOKUP(Tbl_Loan1[[#This Row],[Maandnummer ]],Tbl_Months[],3,FALSE)</f>
        <v>IV</v>
      </c>
      <c r="J193" s="23">
        <f>YEAR(Tbl_Loan1[[#This Row],[Payment date]])</f>
        <v>2026</v>
      </c>
      <c r="K193" s="23" t="str">
        <f>_xlfn.CONCAT(Tbl_Loan1[[#This Row],[Year]],Tbl_Loan1[[#This Row],[Quarter]])</f>
        <v>2026IV</v>
      </c>
      <c r="L193" s="25">
        <f t="shared" si="6"/>
        <v>638981.41118697566</v>
      </c>
      <c r="M193" s="26">
        <f t="shared" si="7"/>
        <v>6452.5136626411149</v>
      </c>
      <c r="N193" s="25">
        <f>B$5*Tbl_Loan1[[#This Row],[Initial debt]]</f>
        <v>1133.7128084060771</v>
      </c>
      <c r="O193" s="25">
        <f>Tbl_Loan1[[#This Row],[Annuity]]-Tbl_Loan1[[#This Row],[Interest amount]]</f>
        <v>5318.8008542350381</v>
      </c>
      <c r="P193" s="25">
        <f>Tbl_Loan1[[#This Row],[Initial debt]]-Tbl_Loan1[[#This Row],[Redemption amount]]</f>
        <v>633662.61033274059</v>
      </c>
    </row>
    <row r="194" spans="4:16" x14ac:dyDescent="0.25">
      <c r="D194" t="str">
        <f>_xlfn.CONCAT(Tbl_Loan1[[#This Row],[Maandnummer ]],Tbl_Loan1[[#This Row],[Year]])</f>
        <v>12027</v>
      </c>
      <c r="E194" s="23">
        <f t="shared" si="8"/>
        <v>193</v>
      </c>
      <c r="F194" s="28">
        <v>46412</v>
      </c>
      <c r="G194" s="23">
        <f>MONTH(Tbl_Loan1[[#This Row],[Payment date]])</f>
        <v>1</v>
      </c>
      <c r="H194" s="23" t="str">
        <f>VLOOKUP(Tbl_Loan1[[#This Row],[Maandnummer ]],Tbl_Months[],2,FALSE)</f>
        <v>January</v>
      </c>
      <c r="I194" s="23" t="str">
        <f>VLOOKUP(Tbl_Loan1[[#This Row],[Maandnummer ]],Tbl_Months[],3,FALSE)</f>
        <v>I</v>
      </c>
      <c r="J194" s="23">
        <f>YEAR(Tbl_Loan1[[#This Row],[Payment date]])</f>
        <v>2027</v>
      </c>
      <c r="K194" s="23" t="str">
        <f>_xlfn.CONCAT(Tbl_Loan1[[#This Row],[Year]],Tbl_Loan1[[#This Row],[Quarter]])</f>
        <v>2027I</v>
      </c>
      <c r="L194" s="25">
        <f t="shared" ref="L194:L257" si="9">IF(P193="Residual debt",B$1,P193)</f>
        <v>633662.61033274059</v>
      </c>
      <c r="M194" s="26">
        <f t="shared" ref="M194:M257" si="10">B$6</f>
        <v>6452.5136626411149</v>
      </c>
      <c r="N194" s="25">
        <f>B$5*Tbl_Loan1[[#This Row],[Initial debt]]</f>
        <v>1124.2759256607619</v>
      </c>
      <c r="O194" s="25">
        <f>Tbl_Loan1[[#This Row],[Annuity]]-Tbl_Loan1[[#This Row],[Interest amount]]</f>
        <v>5328.2377369803526</v>
      </c>
      <c r="P194" s="25">
        <f>Tbl_Loan1[[#This Row],[Initial debt]]-Tbl_Loan1[[#This Row],[Redemption amount]]</f>
        <v>628334.37259576027</v>
      </c>
    </row>
    <row r="195" spans="4:16" x14ac:dyDescent="0.25">
      <c r="D195" t="str">
        <f>_xlfn.CONCAT(Tbl_Loan1[[#This Row],[Maandnummer ]],Tbl_Loan1[[#This Row],[Year]])</f>
        <v>22027</v>
      </c>
      <c r="E195" s="23">
        <f t="shared" si="8"/>
        <v>194</v>
      </c>
      <c r="F195" s="28">
        <v>46443</v>
      </c>
      <c r="G195" s="23">
        <f>MONTH(Tbl_Loan1[[#This Row],[Payment date]])</f>
        <v>2</v>
      </c>
      <c r="H195" s="23" t="str">
        <f>VLOOKUP(Tbl_Loan1[[#This Row],[Maandnummer ]],Tbl_Months[],2,FALSE)</f>
        <v>February</v>
      </c>
      <c r="I195" s="23" t="str">
        <f>VLOOKUP(Tbl_Loan1[[#This Row],[Maandnummer ]],Tbl_Months[],3,FALSE)</f>
        <v>I</v>
      </c>
      <c r="J195" s="23">
        <f>YEAR(Tbl_Loan1[[#This Row],[Payment date]])</f>
        <v>2027</v>
      </c>
      <c r="K195" s="23" t="str">
        <f>_xlfn.CONCAT(Tbl_Loan1[[#This Row],[Year]],Tbl_Loan1[[#This Row],[Quarter]])</f>
        <v>2027I</v>
      </c>
      <c r="L195" s="25">
        <f t="shared" si="9"/>
        <v>628334.37259576027</v>
      </c>
      <c r="M195" s="26">
        <f t="shared" si="10"/>
        <v>6452.5136626411149</v>
      </c>
      <c r="N195" s="25">
        <f>B$5*Tbl_Loan1[[#This Row],[Initial debt]]</f>
        <v>1114.822299525651</v>
      </c>
      <c r="O195" s="25">
        <f>Tbl_Loan1[[#This Row],[Annuity]]-Tbl_Loan1[[#This Row],[Interest amount]]</f>
        <v>5337.6913631154639</v>
      </c>
      <c r="P195" s="25">
        <f>Tbl_Loan1[[#This Row],[Initial debt]]-Tbl_Loan1[[#This Row],[Redemption amount]]</f>
        <v>622996.68123264483</v>
      </c>
    </row>
    <row r="196" spans="4:16" x14ac:dyDescent="0.25">
      <c r="D196" t="str">
        <f>_xlfn.CONCAT(Tbl_Loan1[[#This Row],[Maandnummer ]],Tbl_Loan1[[#This Row],[Year]])</f>
        <v>32027</v>
      </c>
      <c r="E196" s="23">
        <f t="shared" si="8"/>
        <v>195</v>
      </c>
      <c r="F196" s="28">
        <v>46471</v>
      </c>
      <c r="G196" s="23">
        <f>MONTH(Tbl_Loan1[[#This Row],[Payment date]])</f>
        <v>3</v>
      </c>
      <c r="H196" s="23" t="str">
        <f>VLOOKUP(Tbl_Loan1[[#This Row],[Maandnummer ]],Tbl_Months[],2,FALSE)</f>
        <v>March</v>
      </c>
      <c r="I196" s="23" t="str">
        <f>VLOOKUP(Tbl_Loan1[[#This Row],[Maandnummer ]],Tbl_Months[],3,FALSE)</f>
        <v>I</v>
      </c>
      <c r="J196" s="23">
        <f>YEAR(Tbl_Loan1[[#This Row],[Payment date]])</f>
        <v>2027</v>
      </c>
      <c r="K196" s="23" t="str">
        <f>_xlfn.CONCAT(Tbl_Loan1[[#This Row],[Year]],Tbl_Loan1[[#This Row],[Quarter]])</f>
        <v>2027I</v>
      </c>
      <c r="L196" s="25">
        <f t="shared" si="9"/>
        <v>622996.68123264483</v>
      </c>
      <c r="M196" s="26">
        <f t="shared" si="10"/>
        <v>6452.5136626411149</v>
      </c>
      <c r="N196" s="25">
        <f>B$5*Tbl_Loan1[[#This Row],[Initial debt]]</f>
        <v>1105.351900293784</v>
      </c>
      <c r="O196" s="25">
        <f>Tbl_Loan1[[#This Row],[Annuity]]-Tbl_Loan1[[#This Row],[Interest amount]]</f>
        <v>5347.1617623473312</v>
      </c>
      <c r="P196" s="25">
        <f>Tbl_Loan1[[#This Row],[Initial debt]]-Tbl_Loan1[[#This Row],[Redemption amount]]</f>
        <v>617649.5194702975</v>
      </c>
    </row>
    <row r="197" spans="4:16" x14ac:dyDescent="0.25">
      <c r="D197" t="str">
        <f>_xlfn.CONCAT(Tbl_Loan1[[#This Row],[Maandnummer ]],Tbl_Loan1[[#This Row],[Year]])</f>
        <v>42027</v>
      </c>
      <c r="E197" s="23">
        <f t="shared" ref="E197:E260" si="11">E196+1</f>
        <v>196</v>
      </c>
      <c r="F197" s="28">
        <v>46502</v>
      </c>
      <c r="G197" s="23">
        <f>MONTH(Tbl_Loan1[[#This Row],[Payment date]])</f>
        <v>4</v>
      </c>
      <c r="H197" s="23" t="str">
        <f>VLOOKUP(Tbl_Loan1[[#This Row],[Maandnummer ]],Tbl_Months[],2,FALSE)</f>
        <v>April</v>
      </c>
      <c r="I197" s="23" t="str">
        <f>VLOOKUP(Tbl_Loan1[[#This Row],[Maandnummer ]],Tbl_Months[],3,FALSE)</f>
        <v>II</v>
      </c>
      <c r="J197" s="23">
        <f>YEAR(Tbl_Loan1[[#This Row],[Payment date]])</f>
        <v>2027</v>
      </c>
      <c r="K197" s="23" t="str">
        <f>_xlfn.CONCAT(Tbl_Loan1[[#This Row],[Year]],Tbl_Loan1[[#This Row],[Quarter]])</f>
        <v>2027II</v>
      </c>
      <c r="L197" s="25">
        <f t="shared" si="9"/>
        <v>617649.5194702975</v>
      </c>
      <c r="M197" s="26">
        <f t="shared" si="10"/>
        <v>6452.5136626411149</v>
      </c>
      <c r="N197" s="25">
        <f>B$5*Tbl_Loan1[[#This Row],[Initial debt]]</f>
        <v>1095.8646982054927</v>
      </c>
      <c r="O197" s="25">
        <f>Tbl_Loan1[[#This Row],[Annuity]]-Tbl_Loan1[[#This Row],[Interest amount]]</f>
        <v>5356.6489644356225</v>
      </c>
      <c r="P197" s="25">
        <f>Tbl_Loan1[[#This Row],[Initial debt]]-Tbl_Loan1[[#This Row],[Redemption amount]]</f>
        <v>612292.87050586182</v>
      </c>
    </row>
    <row r="198" spans="4:16" x14ac:dyDescent="0.25">
      <c r="D198" t="str">
        <f>_xlfn.CONCAT(Tbl_Loan1[[#This Row],[Maandnummer ]],Tbl_Loan1[[#This Row],[Year]])</f>
        <v>52027</v>
      </c>
      <c r="E198" s="23">
        <f t="shared" si="11"/>
        <v>197</v>
      </c>
      <c r="F198" s="28">
        <v>46532</v>
      </c>
      <c r="G198" s="23">
        <f>MONTH(Tbl_Loan1[[#This Row],[Payment date]])</f>
        <v>5</v>
      </c>
      <c r="H198" s="23" t="str">
        <f>VLOOKUP(Tbl_Loan1[[#This Row],[Maandnummer ]],Tbl_Months[],2,FALSE)</f>
        <v>May</v>
      </c>
      <c r="I198" s="23" t="str">
        <f>VLOOKUP(Tbl_Loan1[[#This Row],[Maandnummer ]],Tbl_Months[],3,FALSE)</f>
        <v>II</v>
      </c>
      <c r="J198" s="23">
        <f>YEAR(Tbl_Loan1[[#This Row],[Payment date]])</f>
        <v>2027</v>
      </c>
      <c r="K198" s="23" t="str">
        <f>_xlfn.CONCAT(Tbl_Loan1[[#This Row],[Year]],Tbl_Loan1[[#This Row],[Quarter]])</f>
        <v>2027II</v>
      </c>
      <c r="L198" s="25">
        <f t="shared" si="9"/>
        <v>612292.87050586182</v>
      </c>
      <c r="M198" s="26">
        <f t="shared" si="10"/>
        <v>6452.5136626411149</v>
      </c>
      <c r="N198" s="25">
        <f>B$5*Tbl_Loan1[[#This Row],[Initial debt]]</f>
        <v>1086.3606634483081</v>
      </c>
      <c r="O198" s="25">
        <f>Tbl_Loan1[[#This Row],[Annuity]]-Tbl_Loan1[[#This Row],[Interest amount]]</f>
        <v>5366.1529991928073</v>
      </c>
      <c r="P198" s="25">
        <f>Tbl_Loan1[[#This Row],[Initial debt]]-Tbl_Loan1[[#This Row],[Redemption amount]]</f>
        <v>606926.717506669</v>
      </c>
    </row>
    <row r="199" spans="4:16" x14ac:dyDescent="0.25">
      <c r="D199" t="str">
        <f>_xlfn.CONCAT(Tbl_Loan1[[#This Row],[Maandnummer ]],Tbl_Loan1[[#This Row],[Year]])</f>
        <v>62027</v>
      </c>
      <c r="E199" s="23">
        <f t="shared" si="11"/>
        <v>198</v>
      </c>
      <c r="F199" s="28">
        <v>46563</v>
      </c>
      <c r="G199" s="23">
        <f>MONTH(Tbl_Loan1[[#This Row],[Payment date]])</f>
        <v>6</v>
      </c>
      <c r="H199" s="23" t="str">
        <f>VLOOKUP(Tbl_Loan1[[#This Row],[Maandnummer ]],Tbl_Months[],2,FALSE)</f>
        <v>June</v>
      </c>
      <c r="I199" s="23" t="str">
        <f>VLOOKUP(Tbl_Loan1[[#This Row],[Maandnummer ]],Tbl_Months[],3,FALSE)</f>
        <v>II</v>
      </c>
      <c r="J199" s="23">
        <f>YEAR(Tbl_Loan1[[#This Row],[Payment date]])</f>
        <v>2027</v>
      </c>
      <c r="K199" s="23" t="str">
        <f>_xlfn.CONCAT(Tbl_Loan1[[#This Row],[Year]],Tbl_Loan1[[#This Row],[Quarter]])</f>
        <v>2027II</v>
      </c>
      <c r="L199" s="25">
        <f t="shared" si="9"/>
        <v>606926.717506669</v>
      </c>
      <c r="M199" s="26">
        <f t="shared" si="10"/>
        <v>6452.5136626411149</v>
      </c>
      <c r="N199" s="25">
        <f>B$5*Tbl_Loan1[[#This Row],[Initial debt]]</f>
        <v>1076.8397661568665</v>
      </c>
      <c r="O199" s="25">
        <f>Tbl_Loan1[[#This Row],[Annuity]]-Tbl_Loan1[[#This Row],[Interest amount]]</f>
        <v>5375.673896484248</v>
      </c>
      <c r="P199" s="25">
        <f>Tbl_Loan1[[#This Row],[Initial debt]]-Tbl_Loan1[[#This Row],[Redemption amount]]</f>
        <v>601551.0436101848</v>
      </c>
    </row>
    <row r="200" spans="4:16" x14ac:dyDescent="0.25">
      <c r="D200" t="str">
        <f>_xlfn.CONCAT(Tbl_Loan1[[#This Row],[Maandnummer ]],Tbl_Loan1[[#This Row],[Year]])</f>
        <v>72027</v>
      </c>
      <c r="E200" s="23">
        <f t="shared" si="11"/>
        <v>199</v>
      </c>
      <c r="F200" s="28">
        <v>46593</v>
      </c>
      <c r="G200" s="23">
        <f>MONTH(Tbl_Loan1[[#This Row],[Payment date]])</f>
        <v>7</v>
      </c>
      <c r="H200" s="23" t="str">
        <f>VLOOKUP(Tbl_Loan1[[#This Row],[Maandnummer ]],Tbl_Months[],2,FALSE)</f>
        <v>July</v>
      </c>
      <c r="I200" s="23" t="str">
        <f>VLOOKUP(Tbl_Loan1[[#This Row],[Maandnummer ]],Tbl_Months[],3,FALSE)</f>
        <v>III</v>
      </c>
      <c r="J200" s="23">
        <f>YEAR(Tbl_Loan1[[#This Row],[Payment date]])</f>
        <v>2027</v>
      </c>
      <c r="K200" s="23" t="str">
        <f>_xlfn.CONCAT(Tbl_Loan1[[#This Row],[Year]],Tbl_Loan1[[#This Row],[Quarter]])</f>
        <v>2027III</v>
      </c>
      <c r="L200" s="25">
        <f t="shared" si="9"/>
        <v>601551.0436101848</v>
      </c>
      <c r="M200" s="26">
        <f t="shared" si="10"/>
        <v>6452.5136626411149</v>
      </c>
      <c r="N200" s="25">
        <f>B$5*Tbl_Loan1[[#This Row],[Initial debt]]</f>
        <v>1067.3019764128157</v>
      </c>
      <c r="O200" s="25">
        <f>Tbl_Loan1[[#This Row],[Annuity]]-Tbl_Loan1[[#This Row],[Interest amount]]</f>
        <v>5385.2116862282992</v>
      </c>
      <c r="P200" s="25">
        <f>Tbl_Loan1[[#This Row],[Initial debt]]-Tbl_Loan1[[#This Row],[Redemption amount]]</f>
        <v>596165.83192395652</v>
      </c>
    </row>
    <row r="201" spans="4:16" x14ac:dyDescent="0.25">
      <c r="D201" t="str">
        <f>_xlfn.CONCAT(Tbl_Loan1[[#This Row],[Maandnummer ]],Tbl_Loan1[[#This Row],[Year]])</f>
        <v>82027</v>
      </c>
      <c r="E201" s="23">
        <f t="shared" si="11"/>
        <v>200</v>
      </c>
      <c r="F201" s="28">
        <v>46624</v>
      </c>
      <c r="G201" s="23">
        <f>MONTH(Tbl_Loan1[[#This Row],[Payment date]])</f>
        <v>8</v>
      </c>
      <c r="H201" s="23" t="str">
        <f>VLOOKUP(Tbl_Loan1[[#This Row],[Maandnummer ]],Tbl_Months[],2,FALSE)</f>
        <v>August</v>
      </c>
      <c r="I201" s="23" t="str">
        <f>VLOOKUP(Tbl_Loan1[[#This Row],[Maandnummer ]],Tbl_Months[],3,FALSE)</f>
        <v>III</v>
      </c>
      <c r="J201" s="23">
        <f>YEAR(Tbl_Loan1[[#This Row],[Payment date]])</f>
        <v>2027</v>
      </c>
      <c r="K201" s="23" t="str">
        <f>_xlfn.CONCAT(Tbl_Loan1[[#This Row],[Year]],Tbl_Loan1[[#This Row],[Quarter]])</f>
        <v>2027III</v>
      </c>
      <c r="L201" s="25">
        <f t="shared" si="9"/>
        <v>596165.83192395652</v>
      </c>
      <c r="M201" s="26">
        <f t="shared" si="10"/>
        <v>6452.5136626411149</v>
      </c>
      <c r="N201" s="25">
        <f>B$5*Tbl_Loan1[[#This Row],[Initial debt]]</f>
        <v>1057.7472642447201</v>
      </c>
      <c r="O201" s="25">
        <f>Tbl_Loan1[[#This Row],[Annuity]]-Tbl_Loan1[[#This Row],[Interest amount]]</f>
        <v>5394.7663983963948</v>
      </c>
      <c r="P201" s="25">
        <f>Tbl_Loan1[[#This Row],[Initial debt]]-Tbl_Loan1[[#This Row],[Redemption amount]]</f>
        <v>590771.06552556017</v>
      </c>
    </row>
    <row r="202" spans="4:16" x14ac:dyDescent="0.25">
      <c r="D202" t="str">
        <f>_xlfn.CONCAT(Tbl_Loan1[[#This Row],[Maandnummer ]],Tbl_Loan1[[#This Row],[Year]])</f>
        <v>92027</v>
      </c>
      <c r="E202" s="23">
        <f t="shared" si="11"/>
        <v>201</v>
      </c>
      <c r="F202" s="28">
        <v>46655</v>
      </c>
      <c r="G202" s="23">
        <f>MONTH(Tbl_Loan1[[#This Row],[Payment date]])</f>
        <v>9</v>
      </c>
      <c r="H202" s="23" t="str">
        <f>VLOOKUP(Tbl_Loan1[[#This Row],[Maandnummer ]],Tbl_Months[],2,FALSE)</f>
        <v>September</v>
      </c>
      <c r="I202" s="23" t="str">
        <f>VLOOKUP(Tbl_Loan1[[#This Row],[Maandnummer ]],Tbl_Months[],3,FALSE)</f>
        <v>III</v>
      </c>
      <c r="J202" s="23">
        <f>YEAR(Tbl_Loan1[[#This Row],[Payment date]])</f>
        <v>2027</v>
      </c>
      <c r="K202" s="23" t="str">
        <f>_xlfn.CONCAT(Tbl_Loan1[[#This Row],[Year]],Tbl_Loan1[[#This Row],[Quarter]])</f>
        <v>2027III</v>
      </c>
      <c r="L202" s="25">
        <f t="shared" si="9"/>
        <v>590771.06552556017</v>
      </c>
      <c r="M202" s="26">
        <f t="shared" si="10"/>
        <v>6452.5136626411149</v>
      </c>
      <c r="N202" s="25">
        <f>B$5*Tbl_Loan1[[#This Row],[Initial debt]]</f>
        <v>1048.175599627968</v>
      </c>
      <c r="O202" s="25">
        <f>Tbl_Loan1[[#This Row],[Annuity]]-Tbl_Loan1[[#This Row],[Interest amount]]</f>
        <v>5404.3380630131469</v>
      </c>
      <c r="P202" s="25">
        <f>Tbl_Loan1[[#This Row],[Initial debt]]-Tbl_Loan1[[#This Row],[Redemption amount]]</f>
        <v>585366.72746254702</v>
      </c>
    </row>
    <row r="203" spans="4:16" x14ac:dyDescent="0.25">
      <c r="D203" t="str">
        <f>_xlfn.CONCAT(Tbl_Loan1[[#This Row],[Maandnummer ]],Tbl_Loan1[[#This Row],[Year]])</f>
        <v>102027</v>
      </c>
      <c r="E203" s="23">
        <f t="shared" si="11"/>
        <v>202</v>
      </c>
      <c r="F203" s="28">
        <v>46685</v>
      </c>
      <c r="G203" s="23">
        <f>MONTH(Tbl_Loan1[[#This Row],[Payment date]])</f>
        <v>10</v>
      </c>
      <c r="H203" s="23" t="str">
        <f>VLOOKUP(Tbl_Loan1[[#This Row],[Maandnummer ]],Tbl_Months[],2,FALSE)</f>
        <v>October</v>
      </c>
      <c r="I203" s="23" t="str">
        <f>VLOOKUP(Tbl_Loan1[[#This Row],[Maandnummer ]],Tbl_Months[],3,FALSE)</f>
        <v>IV</v>
      </c>
      <c r="J203" s="23">
        <f>YEAR(Tbl_Loan1[[#This Row],[Payment date]])</f>
        <v>2027</v>
      </c>
      <c r="K203" s="23" t="str">
        <f>_xlfn.CONCAT(Tbl_Loan1[[#This Row],[Year]],Tbl_Loan1[[#This Row],[Quarter]])</f>
        <v>2027IV</v>
      </c>
      <c r="L203" s="25">
        <f t="shared" si="9"/>
        <v>585366.72746254702</v>
      </c>
      <c r="M203" s="26">
        <f t="shared" si="10"/>
        <v>6452.5136626411149</v>
      </c>
      <c r="N203" s="25">
        <f>B$5*Tbl_Loan1[[#This Row],[Initial debt]]</f>
        <v>1038.5869524846762</v>
      </c>
      <c r="O203" s="25">
        <f>Tbl_Loan1[[#This Row],[Annuity]]-Tbl_Loan1[[#This Row],[Interest amount]]</f>
        <v>5413.9267101564383</v>
      </c>
      <c r="P203" s="25">
        <f>Tbl_Loan1[[#This Row],[Initial debt]]-Tbl_Loan1[[#This Row],[Redemption amount]]</f>
        <v>579952.80075239053</v>
      </c>
    </row>
    <row r="204" spans="4:16" x14ac:dyDescent="0.25">
      <c r="D204" t="str">
        <f>_xlfn.CONCAT(Tbl_Loan1[[#This Row],[Maandnummer ]],Tbl_Loan1[[#This Row],[Year]])</f>
        <v>112027</v>
      </c>
      <c r="E204" s="23">
        <f t="shared" si="11"/>
        <v>203</v>
      </c>
      <c r="F204" s="28">
        <v>46716</v>
      </c>
      <c r="G204" s="23">
        <f>MONTH(Tbl_Loan1[[#This Row],[Payment date]])</f>
        <v>11</v>
      </c>
      <c r="H204" s="23" t="str">
        <f>VLOOKUP(Tbl_Loan1[[#This Row],[Maandnummer ]],Tbl_Months[],2,FALSE)</f>
        <v>November</v>
      </c>
      <c r="I204" s="23" t="str">
        <f>VLOOKUP(Tbl_Loan1[[#This Row],[Maandnummer ]],Tbl_Months[],3,FALSE)</f>
        <v>IV</v>
      </c>
      <c r="J204" s="23">
        <f>YEAR(Tbl_Loan1[[#This Row],[Payment date]])</f>
        <v>2027</v>
      </c>
      <c r="K204" s="23" t="str">
        <f>_xlfn.CONCAT(Tbl_Loan1[[#This Row],[Year]],Tbl_Loan1[[#This Row],[Quarter]])</f>
        <v>2027IV</v>
      </c>
      <c r="L204" s="25">
        <f t="shared" si="9"/>
        <v>579952.80075239053</v>
      </c>
      <c r="M204" s="26">
        <f t="shared" si="10"/>
        <v>6452.5136626411149</v>
      </c>
      <c r="N204" s="25">
        <f>B$5*Tbl_Loan1[[#This Row],[Initial debt]]</f>
        <v>1028.9812926835962</v>
      </c>
      <c r="O204" s="25">
        <f>Tbl_Loan1[[#This Row],[Annuity]]-Tbl_Loan1[[#This Row],[Interest amount]]</f>
        <v>5423.5323699575183</v>
      </c>
      <c r="P204" s="25">
        <f>Tbl_Loan1[[#This Row],[Initial debt]]-Tbl_Loan1[[#This Row],[Redemption amount]]</f>
        <v>574529.26838243299</v>
      </c>
    </row>
    <row r="205" spans="4:16" x14ac:dyDescent="0.25">
      <c r="D205" t="str">
        <f>_xlfn.CONCAT(Tbl_Loan1[[#This Row],[Maandnummer ]],Tbl_Loan1[[#This Row],[Year]])</f>
        <v>122027</v>
      </c>
      <c r="E205" s="23">
        <f t="shared" si="11"/>
        <v>204</v>
      </c>
      <c r="F205" s="28">
        <v>46746</v>
      </c>
      <c r="G205" s="23">
        <f>MONTH(Tbl_Loan1[[#This Row],[Payment date]])</f>
        <v>12</v>
      </c>
      <c r="H205" s="23" t="str">
        <f>VLOOKUP(Tbl_Loan1[[#This Row],[Maandnummer ]],Tbl_Months[],2,FALSE)</f>
        <v>December</v>
      </c>
      <c r="I205" s="23" t="str">
        <f>VLOOKUP(Tbl_Loan1[[#This Row],[Maandnummer ]],Tbl_Months[],3,FALSE)</f>
        <v>IV</v>
      </c>
      <c r="J205" s="23">
        <f>YEAR(Tbl_Loan1[[#This Row],[Payment date]])</f>
        <v>2027</v>
      </c>
      <c r="K205" s="23" t="str">
        <f>_xlfn.CONCAT(Tbl_Loan1[[#This Row],[Year]],Tbl_Loan1[[#This Row],[Quarter]])</f>
        <v>2027IV</v>
      </c>
      <c r="L205" s="25">
        <f t="shared" si="9"/>
        <v>574529.26838243299</v>
      </c>
      <c r="M205" s="26">
        <f t="shared" si="10"/>
        <v>6452.5136626411149</v>
      </c>
      <c r="N205" s="25">
        <f>B$5*Tbl_Loan1[[#This Row],[Initial debt]]</f>
        <v>1019.3585900400186</v>
      </c>
      <c r="O205" s="25">
        <f>Tbl_Loan1[[#This Row],[Annuity]]-Tbl_Loan1[[#This Row],[Interest amount]]</f>
        <v>5433.1550726010964</v>
      </c>
      <c r="P205" s="25">
        <f>Tbl_Loan1[[#This Row],[Initial debt]]-Tbl_Loan1[[#This Row],[Redemption amount]]</f>
        <v>569096.11330983194</v>
      </c>
    </row>
    <row r="206" spans="4:16" x14ac:dyDescent="0.25">
      <c r="D206" t="str">
        <f>_xlfn.CONCAT(Tbl_Loan1[[#This Row],[Maandnummer ]],Tbl_Loan1[[#This Row],[Year]])</f>
        <v>12028</v>
      </c>
      <c r="E206" s="23">
        <f t="shared" si="11"/>
        <v>205</v>
      </c>
      <c r="F206" s="28">
        <v>46777</v>
      </c>
      <c r="G206" s="23">
        <f>MONTH(Tbl_Loan1[[#This Row],[Payment date]])</f>
        <v>1</v>
      </c>
      <c r="H206" s="23" t="str">
        <f>VLOOKUP(Tbl_Loan1[[#This Row],[Maandnummer ]],Tbl_Months[],2,FALSE)</f>
        <v>January</v>
      </c>
      <c r="I206" s="23" t="str">
        <f>VLOOKUP(Tbl_Loan1[[#This Row],[Maandnummer ]],Tbl_Months[],3,FALSE)</f>
        <v>I</v>
      </c>
      <c r="J206" s="23">
        <f>YEAR(Tbl_Loan1[[#This Row],[Payment date]])</f>
        <v>2028</v>
      </c>
      <c r="K206" s="23" t="str">
        <f>_xlfn.CONCAT(Tbl_Loan1[[#This Row],[Year]],Tbl_Loan1[[#This Row],[Quarter]])</f>
        <v>2028I</v>
      </c>
      <c r="L206" s="25">
        <f t="shared" si="9"/>
        <v>569096.11330983194</v>
      </c>
      <c r="M206" s="26">
        <f t="shared" si="10"/>
        <v>6452.5136626411149</v>
      </c>
      <c r="N206" s="25">
        <f>B$5*Tbl_Loan1[[#This Row],[Initial debt]]</f>
        <v>1009.7188143156793</v>
      </c>
      <c r="O206" s="25">
        <f>Tbl_Loan1[[#This Row],[Annuity]]-Tbl_Loan1[[#This Row],[Interest amount]]</f>
        <v>5442.7948483254359</v>
      </c>
      <c r="P206" s="25">
        <f>Tbl_Loan1[[#This Row],[Initial debt]]-Tbl_Loan1[[#This Row],[Redemption amount]]</f>
        <v>563653.31846150651</v>
      </c>
    </row>
    <row r="207" spans="4:16" x14ac:dyDescent="0.25">
      <c r="D207" t="str">
        <f>_xlfn.CONCAT(Tbl_Loan1[[#This Row],[Maandnummer ]],Tbl_Loan1[[#This Row],[Year]])</f>
        <v>22028</v>
      </c>
      <c r="E207" s="23">
        <f t="shared" si="11"/>
        <v>206</v>
      </c>
      <c r="F207" s="28">
        <v>46808</v>
      </c>
      <c r="G207" s="23">
        <f>MONTH(Tbl_Loan1[[#This Row],[Payment date]])</f>
        <v>2</v>
      </c>
      <c r="H207" s="23" t="str">
        <f>VLOOKUP(Tbl_Loan1[[#This Row],[Maandnummer ]],Tbl_Months[],2,FALSE)</f>
        <v>February</v>
      </c>
      <c r="I207" s="23" t="str">
        <f>VLOOKUP(Tbl_Loan1[[#This Row],[Maandnummer ]],Tbl_Months[],3,FALSE)</f>
        <v>I</v>
      </c>
      <c r="J207" s="23">
        <f>YEAR(Tbl_Loan1[[#This Row],[Payment date]])</f>
        <v>2028</v>
      </c>
      <c r="K207" s="23" t="str">
        <f>_xlfn.CONCAT(Tbl_Loan1[[#This Row],[Year]],Tbl_Loan1[[#This Row],[Quarter]])</f>
        <v>2028I</v>
      </c>
      <c r="L207" s="25">
        <f t="shared" si="9"/>
        <v>563653.31846150651</v>
      </c>
      <c r="M207" s="26">
        <f t="shared" si="10"/>
        <v>6452.5136626411149</v>
      </c>
      <c r="N207" s="25">
        <f>B$5*Tbl_Loan1[[#This Row],[Initial debt]]</f>
        <v>1000.0619352186635</v>
      </c>
      <c r="O207" s="25">
        <f>Tbl_Loan1[[#This Row],[Annuity]]-Tbl_Loan1[[#This Row],[Interest amount]]</f>
        <v>5452.4517274224518</v>
      </c>
      <c r="P207" s="25">
        <f>Tbl_Loan1[[#This Row],[Initial debt]]-Tbl_Loan1[[#This Row],[Redemption amount]]</f>
        <v>558200.86673408409</v>
      </c>
    </row>
    <row r="208" spans="4:16" x14ac:dyDescent="0.25">
      <c r="D208" t="str">
        <f>_xlfn.CONCAT(Tbl_Loan1[[#This Row],[Maandnummer ]],Tbl_Loan1[[#This Row],[Year]])</f>
        <v>32028</v>
      </c>
      <c r="E208" s="23">
        <f t="shared" si="11"/>
        <v>207</v>
      </c>
      <c r="F208" s="28">
        <v>46837</v>
      </c>
      <c r="G208" s="23">
        <f>MONTH(Tbl_Loan1[[#This Row],[Payment date]])</f>
        <v>3</v>
      </c>
      <c r="H208" s="23" t="str">
        <f>VLOOKUP(Tbl_Loan1[[#This Row],[Maandnummer ]],Tbl_Months[],2,FALSE)</f>
        <v>March</v>
      </c>
      <c r="I208" s="23" t="str">
        <f>VLOOKUP(Tbl_Loan1[[#This Row],[Maandnummer ]],Tbl_Months[],3,FALSE)</f>
        <v>I</v>
      </c>
      <c r="J208" s="23">
        <f>YEAR(Tbl_Loan1[[#This Row],[Payment date]])</f>
        <v>2028</v>
      </c>
      <c r="K208" s="23" t="str">
        <f>_xlfn.CONCAT(Tbl_Loan1[[#This Row],[Year]],Tbl_Loan1[[#This Row],[Quarter]])</f>
        <v>2028I</v>
      </c>
      <c r="L208" s="25">
        <f t="shared" si="9"/>
        <v>558200.86673408409</v>
      </c>
      <c r="M208" s="26">
        <f t="shared" si="10"/>
        <v>6452.5136626411149</v>
      </c>
      <c r="N208" s="25">
        <f>B$5*Tbl_Loan1[[#This Row],[Initial debt]]</f>
        <v>990.38792240331134</v>
      </c>
      <c r="O208" s="25">
        <f>Tbl_Loan1[[#This Row],[Annuity]]-Tbl_Loan1[[#This Row],[Interest amount]]</f>
        <v>5462.1257402378033</v>
      </c>
      <c r="P208" s="25">
        <f>Tbl_Loan1[[#This Row],[Initial debt]]-Tbl_Loan1[[#This Row],[Redemption amount]]</f>
        <v>552738.74099384632</v>
      </c>
    </row>
    <row r="209" spans="4:16" x14ac:dyDescent="0.25">
      <c r="D209" t="str">
        <f>_xlfn.CONCAT(Tbl_Loan1[[#This Row],[Maandnummer ]],Tbl_Loan1[[#This Row],[Year]])</f>
        <v>42028</v>
      </c>
      <c r="E209" s="23">
        <f t="shared" si="11"/>
        <v>208</v>
      </c>
      <c r="F209" s="28">
        <v>46868</v>
      </c>
      <c r="G209" s="23">
        <f>MONTH(Tbl_Loan1[[#This Row],[Payment date]])</f>
        <v>4</v>
      </c>
      <c r="H209" s="23" t="str">
        <f>VLOOKUP(Tbl_Loan1[[#This Row],[Maandnummer ]],Tbl_Months[],2,FALSE)</f>
        <v>April</v>
      </c>
      <c r="I209" s="23" t="str">
        <f>VLOOKUP(Tbl_Loan1[[#This Row],[Maandnummer ]],Tbl_Months[],3,FALSE)</f>
        <v>II</v>
      </c>
      <c r="J209" s="23">
        <f>YEAR(Tbl_Loan1[[#This Row],[Payment date]])</f>
        <v>2028</v>
      </c>
      <c r="K209" s="23" t="str">
        <f>_xlfn.CONCAT(Tbl_Loan1[[#This Row],[Year]],Tbl_Loan1[[#This Row],[Quarter]])</f>
        <v>2028II</v>
      </c>
      <c r="L209" s="25">
        <f t="shared" si="9"/>
        <v>552738.74099384632</v>
      </c>
      <c r="M209" s="26">
        <f t="shared" si="10"/>
        <v>6452.5136626411149</v>
      </c>
      <c r="N209" s="25">
        <f>B$5*Tbl_Loan1[[#This Row],[Initial debt]]</f>
        <v>980.69674547012187</v>
      </c>
      <c r="O209" s="25">
        <f>Tbl_Loan1[[#This Row],[Annuity]]-Tbl_Loan1[[#This Row],[Interest amount]]</f>
        <v>5471.8169171709933</v>
      </c>
      <c r="P209" s="25">
        <f>Tbl_Loan1[[#This Row],[Initial debt]]-Tbl_Loan1[[#This Row],[Redemption amount]]</f>
        <v>547266.92407667532</v>
      </c>
    </row>
    <row r="210" spans="4:16" x14ac:dyDescent="0.25">
      <c r="D210" t="str">
        <f>_xlfn.CONCAT(Tbl_Loan1[[#This Row],[Maandnummer ]],Tbl_Loan1[[#This Row],[Year]])</f>
        <v>52028</v>
      </c>
      <c r="E210" s="23">
        <f t="shared" si="11"/>
        <v>209</v>
      </c>
      <c r="F210" s="28">
        <v>46898</v>
      </c>
      <c r="G210" s="23">
        <f>MONTH(Tbl_Loan1[[#This Row],[Payment date]])</f>
        <v>5</v>
      </c>
      <c r="H210" s="23" t="str">
        <f>VLOOKUP(Tbl_Loan1[[#This Row],[Maandnummer ]],Tbl_Months[],2,FALSE)</f>
        <v>May</v>
      </c>
      <c r="I210" s="23" t="str">
        <f>VLOOKUP(Tbl_Loan1[[#This Row],[Maandnummer ]],Tbl_Months[],3,FALSE)</f>
        <v>II</v>
      </c>
      <c r="J210" s="23">
        <f>YEAR(Tbl_Loan1[[#This Row],[Payment date]])</f>
        <v>2028</v>
      </c>
      <c r="K210" s="23" t="str">
        <f>_xlfn.CONCAT(Tbl_Loan1[[#This Row],[Year]],Tbl_Loan1[[#This Row],[Quarter]])</f>
        <v>2028II</v>
      </c>
      <c r="L210" s="25">
        <f t="shared" si="9"/>
        <v>547266.92407667532</v>
      </c>
      <c r="M210" s="26">
        <f t="shared" si="10"/>
        <v>6452.5136626411149</v>
      </c>
      <c r="N210" s="25">
        <f>B$5*Tbl_Loan1[[#This Row],[Initial debt]]</f>
        <v>970.98837396565784</v>
      </c>
      <c r="O210" s="25">
        <f>Tbl_Loan1[[#This Row],[Annuity]]-Tbl_Loan1[[#This Row],[Interest amount]]</f>
        <v>5481.525288675457</v>
      </c>
      <c r="P210" s="25">
        <f>Tbl_Loan1[[#This Row],[Initial debt]]-Tbl_Loan1[[#This Row],[Redemption amount]]</f>
        <v>541785.39878799987</v>
      </c>
    </row>
    <row r="211" spans="4:16" x14ac:dyDescent="0.25">
      <c r="D211" t="str">
        <f>_xlfn.CONCAT(Tbl_Loan1[[#This Row],[Maandnummer ]],Tbl_Loan1[[#This Row],[Year]])</f>
        <v>62028</v>
      </c>
      <c r="E211" s="23">
        <f t="shared" si="11"/>
        <v>210</v>
      </c>
      <c r="F211" s="28">
        <v>46929</v>
      </c>
      <c r="G211" s="23">
        <f>MONTH(Tbl_Loan1[[#This Row],[Payment date]])</f>
        <v>6</v>
      </c>
      <c r="H211" s="23" t="str">
        <f>VLOOKUP(Tbl_Loan1[[#This Row],[Maandnummer ]],Tbl_Months[],2,FALSE)</f>
        <v>June</v>
      </c>
      <c r="I211" s="23" t="str">
        <f>VLOOKUP(Tbl_Loan1[[#This Row],[Maandnummer ]],Tbl_Months[],3,FALSE)</f>
        <v>II</v>
      </c>
      <c r="J211" s="23">
        <f>YEAR(Tbl_Loan1[[#This Row],[Payment date]])</f>
        <v>2028</v>
      </c>
      <c r="K211" s="23" t="str">
        <f>_xlfn.CONCAT(Tbl_Loan1[[#This Row],[Year]],Tbl_Loan1[[#This Row],[Quarter]])</f>
        <v>2028II</v>
      </c>
      <c r="L211" s="25">
        <f t="shared" si="9"/>
        <v>541785.39878799987</v>
      </c>
      <c r="M211" s="26">
        <f t="shared" si="10"/>
        <v>6452.5136626411149</v>
      </c>
      <c r="N211" s="25">
        <f>B$5*Tbl_Loan1[[#This Row],[Initial debt]]</f>
        <v>961.26277738245039</v>
      </c>
      <c r="O211" s="25">
        <f>Tbl_Loan1[[#This Row],[Annuity]]-Tbl_Loan1[[#This Row],[Interest amount]]</f>
        <v>5491.2508852586643</v>
      </c>
      <c r="P211" s="25">
        <f>Tbl_Loan1[[#This Row],[Initial debt]]-Tbl_Loan1[[#This Row],[Redemption amount]]</f>
        <v>536294.14790274121</v>
      </c>
    </row>
    <row r="212" spans="4:16" x14ac:dyDescent="0.25">
      <c r="D212" t="str">
        <f>_xlfn.CONCAT(Tbl_Loan1[[#This Row],[Maandnummer ]],Tbl_Loan1[[#This Row],[Year]])</f>
        <v>72028</v>
      </c>
      <c r="E212" s="23">
        <f t="shared" si="11"/>
        <v>211</v>
      </c>
      <c r="F212" s="28">
        <v>46959</v>
      </c>
      <c r="G212" s="23">
        <f>MONTH(Tbl_Loan1[[#This Row],[Payment date]])</f>
        <v>7</v>
      </c>
      <c r="H212" s="23" t="str">
        <f>VLOOKUP(Tbl_Loan1[[#This Row],[Maandnummer ]],Tbl_Months[],2,FALSE)</f>
        <v>July</v>
      </c>
      <c r="I212" s="23" t="str">
        <f>VLOOKUP(Tbl_Loan1[[#This Row],[Maandnummer ]],Tbl_Months[],3,FALSE)</f>
        <v>III</v>
      </c>
      <c r="J212" s="23">
        <f>YEAR(Tbl_Loan1[[#This Row],[Payment date]])</f>
        <v>2028</v>
      </c>
      <c r="K212" s="23" t="str">
        <f>_xlfn.CONCAT(Tbl_Loan1[[#This Row],[Year]],Tbl_Loan1[[#This Row],[Quarter]])</f>
        <v>2028III</v>
      </c>
      <c r="L212" s="25">
        <f t="shared" si="9"/>
        <v>536294.14790274121</v>
      </c>
      <c r="M212" s="26">
        <f t="shared" si="10"/>
        <v>6452.5136626411149</v>
      </c>
      <c r="N212" s="25">
        <f>B$5*Tbl_Loan1[[#This Row],[Initial debt]]</f>
        <v>951.5199251589022</v>
      </c>
      <c r="O212" s="25">
        <f>Tbl_Loan1[[#This Row],[Annuity]]-Tbl_Loan1[[#This Row],[Interest amount]]</f>
        <v>5500.993737482213</v>
      </c>
      <c r="P212" s="25">
        <f>Tbl_Loan1[[#This Row],[Initial debt]]-Tbl_Loan1[[#This Row],[Redemption amount]]</f>
        <v>530793.15416525898</v>
      </c>
    </row>
    <row r="213" spans="4:16" x14ac:dyDescent="0.25">
      <c r="D213" t="str">
        <f>_xlfn.CONCAT(Tbl_Loan1[[#This Row],[Maandnummer ]],Tbl_Loan1[[#This Row],[Year]])</f>
        <v>82028</v>
      </c>
      <c r="E213" s="23">
        <f t="shared" si="11"/>
        <v>212</v>
      </c>
      <c r="F213" s="28">
        <v>46990</v>
      </c>
      <c r="G213" s="23">
        <f>MONTH(Tbl_Loan1[[#This Row],[Payment date]])</f>
        <v>8</v>
      </c>
      <c r="H213" s="23" t="str">
        <f>VLOOKUP(Tbl_Loan1[[#This Row],[Maandnummer ]],Tbl_Months[],2,FALSE)</f>
        <v>August</v>
      </c>
      <c r="I213" s="23" t="str">
        <f>VLOOKUP(Tbl_Loan1[[#This Row],[Maandnummer ]],Tbl_Months[],3,FALSE)</f>
        <v>III</v>
      </c>
      <c r="J213" s="23">
        <f>YEAR(Tbl_Loan1[[#This Row],[Payment date]])</f>
        <v>2028</v>
      </c>
      <c r="K213" s="23" t="str">
        <f>_xlfn.CONCAT(Tbl_Loan1[[#This Row],[Year]],Tbl_Loan1[[#This Row],[Quarter]])</f>
        <v>2028III</v>
      </c>
      <c r="L213" s="25">
        <f t="shared" si="9"/>
        <v>530793.15416525898</v>
      </c>
      <c r="M213" s="26">
        <f t="shared" si="10"/>
        <v>6452.5136626411149</v>
      </c>
      <c r="N213" s="25">
        <f>B$5*Tbl_Loan1[[#This Row],[Initial debt]]</f>
        <v>941.75978667919253</v>
      </c>
      <c r="O213" s="25">
        <f>Tbl_Loan1[[#This Row],[Annuity]]-Tbl_Loan1[[#This Row],[Interest amount]]</f>
        <v>5510.7538759619219</v>
      </c>
      <c r="P213" s="25">
        <f>Tbl_Loan1[[#This Row],[Initial debt]]-Tbl_Loan1[[#This Row],[Redemption amount]]</f>
        <v>525282.4002892971</v>
      </c>
    </row>
    <row r="214" spans="4:16" x14ac:dyDescent="0.25">
      <c r="D214" t="str">
        <f>_xlfn.CONCAT(Tbl_Loan1[[#This Row],[Maandnummer ]],Tbl_Loan1[[#This Row],[Year]])</f>
        <v>92028</v>
      </c>
      <c r="E214" s="23">
        <f t="shared" si="11"/>
        <v>213</v>
      </c>
      <c r="F214" s="28">
        <v>47021</v>
      </c>
      <c r="G214" s="23">
        <f>MONTH(Tbl_Loan1[[#This Row],[Payment date]])</f>
        <v>9</v>
      </c>
      <c r="H214" s="23" t="str">
        <f>VLOOKUP(Tbl_Loan1[[#This Row],[Maandnummer ]],Tbl_Months[],2,FALSE)</f>
        <v>September</v>
      </c>
      <c r="I214" s="23" t="str">
        <f>VLOOKUP(Tbl_Loan1[[#This Row],[Maandnummer ]],Tbl_Months[],3,FALSE)</f>
        <v>III</v>
      </c>
      <c r="J214" s="23">
        <f>YEAR(Tbl_Loan1[[#This Row],[Payment date]])</f>
        <v>2028</v>
      </c>
      <c r="K214" s="23" t="str">
        <f>_xlfn.CONCAT(Tbl_Loan1[[#This Row],[Year]],Tbl_Loan1[[#This Row],[Quarter]])</f>
        <v>2028III</v>
      </c>
      <c r="L214" s="25">
        <f t="shared" si="9"/>
        <v>525282.4002892971</v>
      </c>
      <c r="M214" s="26">
        <f t="shared" si="10"/>
        <v>6452.5136626411149</v>
      </c>
      <c r="N214" s="25">
        <f>B$5*Tbl_Loan1[[#This Row],[Initial debt]]</f>
        <v>931.98233127318031</v>
      </c>
      <c r="O214" s="25">
        <f>Tbl_Loan1[[#This Row],[Annuity]]-Tbl_Loan1[[#This Row],[Interest amount]]</f>
        <v>5520.5313313679344</v>
      </c>
      <c r="P214" s="25">
        <f>Tbl_Loan1[[#This Row],[Initial debt]]-Tbl_Loan1[[#This Row],[Redemption amount]]</f>
        <v>519761.8689579292</v>
      </c>
    </row>
    <row r="215" spans="4:16" x14ac:dyDescent="0.25">
      <c r="D215" t="str">
        <f>_xlfn.CONCAT(Tbl_Loan1[[#This Row],[Maandnummer ]],Tbl_Loan1[[#This Row],[Year]])</f>
        <v>102028</v>
      </c>
      <c r="E215" s="23">
        <f t="shared" si="11"/>
        <v>214</v>
      </c>
      <c r="F215" s="28">
        <v>47051</v>
      </c>
      <c r="G215" s="23">
        <f>MONTH(Tbl_Loan1[[#This Row],[Payment date]])</f>
        <v>10</v>
      </c>
      <c r="H215" s="23" t="str">
        <f>VLOOKUP(Tbl_Loan1[[#This Row],[Maandnummer ]],Tbl_Months[],2,FALSE)</f>
        <v>October</v>
      </c>
      <c r="I215" s="23" t="str">
        <f>VLOOKUP(Tbl_Loan1[[#This Row],[Maandnummer ]],Tbl_Months[],3,FALSE)</f>
        <v>IV</v>
      </c>
      <c r="J215" s="23">
        <f>YEAR(Tbl_Loan1[[#This Row],[Payment date]])</f>
        <v>2028</v>
      </c>
      <c r="K215" s="23" t="str">
        <f>_xlfn.CONCAT(Tbl_Loan1[[#This Row],[Year]],Tbl_Loan1[[#This Row],[Quarter]])</f>
        <v>2028IV</v>
      </c>
      <c r="L215" s="25">
        <f t="shared" si="9"/>
        <v>519761.8689579292</v>
      </c>
      <c r="M215" s="26">
        <f t="shared" si="10"/>
        <v>6452.5136626411149</v>
      </c>
      <c r="N215" s="25">
        <f>B$5*Tbl_Loan1[[#This Row],[Initial debt]]</f>
        <v>922.18752821630778</v>
      </c>
      <c r="O215" s="25">
        <f>Tbl_Loan1[[#This Row],[Annuity]]-Tbl_Loan1[[#This Row],[Interest amount]]</f>
        <v>5530.3261344248076</v>
      </c>
      <c r="P215" s="25">
        <f>Tbl_Loan1[[#This Row],[Initial debt]]-Tbl_Loan1[[#This Row],[Redemption amount]]</f>
        <v>514231.54282350437</v>
      </c>
    </row>
    <row r="216" spans="4:16" x14ac:dyDescent="0.25">
      <c r="D216" t="str">
        <f>_xlfn.CONCAT(Tbl_Loan1[[#This Row],[Maandnummer ]],Tbl_Loan1[[#This Row],[Year]])</f>
        <v>112028</v>
      </c>
      <c r="E216" s="23">
        <f t="shared" si="11"/>
        <v>215</v>
      </c>
      <c r="F216" s="28">
        <v>47082</v>
      </c>
      <c r="G216" s="23">
        <f>MONTH(Tbl_Loan1[[#This Row],[Payment date]])</f>
        <v>11</v>
      </c>
      <c r="H216" s="23" t="str">
        <f>VLOOKUP(Tbl_Loan1[[#This Row],[Maandnummer ]],Tbl_Months[],2,FALSE)</f>
        <v>November</v>
      </c>
      <c r="I216" s="23" t="str">
        <f>VLOOKUP(Tbl_Loan1[[#This Row],[Maandnummer ]],Tbl_Months[],3,FALSE)</f>
        <v>IV</v>
      </c>
      <c r="J216" s="23">
        <f>YEAR(Tbl_Loan1[[#This Row],[Payment date]])</f>
        <v>2028</v>
      </c>
      <c r="K216" s="23" t="str">
        <f>_xlfn.CONCAT(Tbl_Loan1[[#This Row],[Year]],Tbl_Loan1[[#This Row],[Quarter]])</f>
        <v>2028IV</v>
      </c>
      <c r="L216" s="25">
        <f t="shared" si="9"/>
        <v>514231.54282350437</v>
      </c>
      <c r="M216" s="26">
        <f t="shared" si="10"/>
        <v>6452.5136626411149</v>
      </c>
      <c r="N216" s="25">
        <f>B$5*Tbl_Loan1[[#This Row],[Initial debt]]</f>
        <v>912.37534672950449</v>
      </c>
      <c r="O216" s="25">
        <f>Tbl_Loan1[[#This Row],[Annuity]]-Tbl_Loan1[[#This Row],[Interest amount]]</f>
        <v>5540.1383159116103</v>
      </c>
      <c r="P216" s="25">
        <f>Tbl_Loan1[[#This Row],[Initial debt]]-Tbl_Loan1[[#This Row],[Redemption amount]]</f>
        <v>508691.40450759273</v>
      </c>
    </row>
    <row r="217" spans="4:16" x14ac:dyDescent="0.25">
      <c r="D217" t="str">
        <f>_xlfn.CONCAT(Tbl_Loan1[[#This Row],[Maandnummer ]],Tbl_Loan1[[#This Row],[Year]])</f>
        <v>122028</v>
      </c>
      <c r="E217" s="23">
        <f t="shared" si="11"/>
        <v>216</v>
      </c>
      <c r="F217" s="28">
        <v>47112</v>
      </c>
      <c r="G217" s="23">
        <f>MONTH(Tbl_Loan1[[#This Row],[Payment date]])</f>
        <v>12</v>
      </c>
      <c r="H217" s="23" t="str">
        <f>VLOOKUP(Tbl_Loan1[[#This Row],[Maandnummer ]],Tbl_Months[],2,FALSE)</f>
        <v>December</v>
      </c>
      <c r="I217" s="23" t="str">
        <f>VLOOKUP(Tbl_Loan1[[#This Row],[Maandnummer ]],Tbl_Months[],3,FALSE)</f>
        <v>IV</v>
      </c>
      <c r="J217" s="23">
        <f>YEAR(Tbl_Loan1[[#This Row],[Payment date]])</f>
        <v>2028</v>
      </c>
      <c r="K217" s="23" t="str">
        <f>_xlfn.CONCAT(Tbl_Loan1[[#This Row],[Year]],Tbl_Loan1[[#This Row],[Quarter]])</f>
        <v>2028IV</v>
      </c>
      <c r="L217" s="25">
        <f t="shared" si="9"/>
        <v>508691.40450759273</v>
      </c>
      <c r="M217" s="26">
        <f t="shared" si="10"/>
        <v>6452.5136626411149</v>
      </c>
      <c r="N217" s="25">
        <f>B$5*Tbl_Loan1[[#This Row],[Initial debt]]</f>
        <v>902.54575597909002</v>
      </c>
      <c r="O217" s="25">
        <f>Tbl_Loan1[[#This Row],[Annuity]]-Tbl_Loan1[[#This Row],[Interest amount]]</f>
        <v>5549.9679066620247</v>
      </c>
      <c r="P217" s="25">
        <f>Tbl_Loan1[[#This Row],[Initial debt]]-Tbl_Loan1[[#This Row],[Redemption amount]]</f>
        <v>503141.4366009307</v>
      </c>
    </row>
    <row r="218" spans="4:16" x14ac:dyDescent="0.25">
      <c r="D218" t="str">
        <f>_xlfn.CONCAT(Tbl_Loan1[[#This Row],[Maandnummer ]],Tbl_Loan1[[#This Row],[Year]])</f>
        <v>12029</v>
      </c>
      <c r="E218" s="23">
        <f t="shared" si="11"/>
        <v>217</v>
      </c>
      <c r="F218" s="28">
        <v>47143</v>
      </c>
      <c r="G218" s="23">
        <f>MONTH(Tbl_Loan1[[#This Row],[Payment date]])</f>
        <v>1</v>
      </c>
      <c r="H218" s="23" t="str">
        <f>VLOOKUP(Tbl_Loan1[[#This Row],[Maandnummer ]],Tbl_Months[],2,FALSE)</f>
        <v>January</v>
      </c>
      <c r="I218" s="23" t="str">
        <f>VLOOKUP(Tbl_Loan1[[#This Row],[Maandnummer ]],Tbl_Months[],3,FALSE)</f>
        <v>I</v>
      </c>
      <c r="J218" s="23">
        <f>YEAR(Tbl_Loan1[[#This Row],[Payment date]])</f>
        <v>2029</v>
      </c>
      <c r="K218" s="23" t="str">
        <f>_xlfn.CONCAT(Tbl_Loan1[[#This Row],[Year]],Tbl_Loan1[[#This Row],[Quarter]])</f>
        <v>2029I</v>
      </c>
      <c r="L218" s="25">
        <f t="shared" si="9"/>
        <v>503141.4366009307</v>
      </c>
      <c r="M218" s="26">
        <f t="shared" si="10"/>
        <v>6452.5136626411149</v>
      </c>
      <c r="N218" s="25">
        <f>B$5*Tbl_Loan1[[#This Row],[Initial debt]]</f>
        <v>892.69872507667731</v>
      </c>
      <c r="O218" s="25">
        <f>Tbl_Loan1[[#This Row],[Annuity]]-Tbl_Loan1[[#This Row],[Interest amount]]</f>
        <v>5559.814937564438</v>
      </c>
      <c r="P218" s="25">
        <f>Tbl_Loan1[[#This Row],[Initial debt]]-Tbl_Loan1[[#This Row],[Redemption amount]]</f>
        <v>497581.62166336627</v>
      </c>
    </row>
    <row r="219" spans="4:16" x14ac:dyDescent="0.25">
      <c r="D219" t="str">
        <f>_xlfn.CONCAT(Tbl_Loan1[[#This Row],[Maandnummer ]],Tbl_Loan1[[#This Row],[Year]])</f>
        <v>22029</v>
      </c>
      <c r="E219" s="23">
        <f t="shared" si="11"/>
        <v>218</v>
      </c>
      <c r="F219" s="28">
        <v>47174</v>
      </c>
      <c r="G219" s="23">
        <f>MONTH(Tbl_Loan1[[#This Row],[Payment date]])</f>
        <v>2</v>
      </c>
      <c r="H219" s="23" t="str">
        <f>VLOOKUP(Tbl_Loan1[[#This Row],[Maandnummer ]],Tbl_Months[],2,FALSE)</f>
        <v>February</v>
      </c>
      <c r="I219" s="23" t="str">
        <f>VLOOKUP(Tbl_Loan1[[#This Row],[Maandnummer ]],Tbl_Months[],3,FALSE)</f>
        <v>I</v>
      </c>
      <c r="J219" s="23">
        <f>YEAR(Tbl_Loan1[[#This Row],[Payment date]])</f>
        <v>2029</v>
      </c>
      <c r="K219" s="23" t="str">
        <f>_xlfn.CONCAT(Tbl_Loan1[[#This Row],[Year]],Tbl_Loan1[[#This Row],[Quarter]])</f>
        <v>2029I</v>
      </c>
      <c r="L219" s="25">
        <f t="shared" si="9"/>
        <v>497581.62166336627</v>
      </c>
      <c r="M219" s="26">
        <f t="shared" si="10"/>
        <v>6452.5136626411149</v>
      </c>
      <c r="N219" s="25">
        <f>B$5*Tbl_Loan1[[#This Row],[Initial debt]]</f>
        <v>882.83422307907574</v>
      </c>
      <c r="O219" s="25">
        <f>Tbl_Loan1[[#This Row],[Annuity]]-Tbl_Loan1[[#This Row],[Interest amount]]</f>
        <v>5569.6794395620391</v>
      </c>
      <c r="P219" s="25">
        <f>Tbl_Loan1[[#This Row],[Initial debt]]-Tbl_Loan1[[#This Row],[Redemption amount]]</f>
        <v>492011.94222380425</v>
      </c>
    </row>
    <row r="220" spans="4:16" x14ac:dyDescent="0.25">
      <c r="D220" t="str">
        <f>_xlfn.CONCAT(Tbl_Loan1[[#This Row],[Maandnummer ]],Tbl_Loan1[[#This Row],[Year]])</f>
        <v>32029</v>
      </c>
      <c r="E220" s="23">
        <f t="shared" si="11"/>
        <v>219</v>
      </c>
      <c r="F220" s="28">
        <v>47202</v>
      </c>
      <c r="G220" s="23">
        <f>MONTH(Tbl_Loan1[[#This Row],[Payment date]])</f>
        <v>3</v>
      </c>
      <c r="H220" s="23" t="str">
        <f>VLOOKUP(Tbl_Loan1[[#This Row],[Maandnummer ]],Tbl_Months[],2,FALSE)</f>
        <v>March</v>
      </c>
      <c r="I220" s="23" t="str">
        <f>VLOOKUP(Tbl_Loan1[[#This Row],[Maandnummer ]],Tbl_Months[],3,FALSE)</f>
        <v>I</v>
      </c>
      <c r="J220" s="23">
        <f>YEAR(Tbl_Loan1[[#This Row],[Payment date]])</f>
        <v>2029</v>
      </c>
      <c r="K220" s="23" t="str">
        <f>_xlfn.CONCAT(Tbl_Loan1[[#This Row],[Year]],Tbl_Loan1[[#This Row],[Quarter]])</f>
        <v>2029I</v>
      </c>
      <c r="L220" s="25">
        <f t="shared" si="9"/>
        <v>492011.94222380425</v>
      </c>
      <c r="M220" s="26">
        <f t="shared" si="10"/>
        <v>6452.5136626411149</v>
      </c>
      <c r="N220" s="25">
        <f>B$5*Tbl_Loan1[[#This Row],[Initial debt]]</f>
        <v>872.95221898819341</v>
      </c>
      <c r="O220" s="25">
        <f>Tbl_Loan1[[#This Row],[Annuity]]-Tbl_Loan1[[#This Row],[Interest amount]]</f>
        <v>5579.5614436529213</v>
      </c>
      <c r="P220" s="25">
        <f>Tbl_Loan1[[#This Row],[Initial debt]]-Tbl_Loan1[[#This Row],[Redemption amount]]</f>
        <v>486432.38078015135</v>
      </c>
    </row>
    <row r="221" spans="4:16" x14ac:dyDescent="0.25">
      <c r="D221" t="str">
        <f>_xlfn.CONCAT(Tbl_Loan1[[#This Row],[Maandnummer ]],Tbl_Loan1[[#This Row],[Year]])</f>
        <v>42029</v>
      </c>
      <c r="E221" s="23">
        <f t="shared" si="11"/>
        <v>220</v>
      </c>
      <c r="F221" s="28">
        <v>47233</v>
      </c>
      <c r="G221" s="23">
        <f>MONTH(Tbl_Loan1[[#This Row],[Payment date]])</f>
        <v>4</v>
      </c>
      <c r="H221" s="23" t="str">
        <f>VLOOKUP(Tbl_Loan1[[#This Row],[Maandnummer ]],Tbl_Months[],2,FALSE)</f>
        <v>April</v>
      </c>
      <c r="I221" s="23" t="str">
        <f>VLOOKUP(Tbl_Loan1[[#This Row],[Maandnummer ]],Tbl_Months[],3,FALSE)</f>
        <v>II</v>
      </c>
      <c r="J221" s="23">
        <f>YEAR(Tbl_Loan1[[#This Row],[Payment date]])</f>
        <v>2029</v>
      </c>
      <c r="K221" s="23" t="str">
        <f>_xlfn.CONCAT(Tbl_Loan1[[#This Row],[Year]],Tbl_Loan1[[#This Row],[Quarter]])</f>
        <v>2029II</v>
      </c>
      <c r="L221" s="25">
        <f t="shared" si="9"/>
        <v>486432.38078015135</v>
      </c>
      <c r="M221" s="26">
        <f t="shared" si="10"/>
        <v>6452.5136626411149</v>
      </c>
      <c r="N221" s="25">
        <f>B$5*Tbl_Loan1[[#This Row],[Initial debt]]</f>
        <v>863.05268175094034</v>
      </c>
      <c r="O221" s="25">
        <f>Tbl_Loan1[[#This Row],[Annuity]]-Tbl_Loan1[[#This Row],[Interest amount]]</f>
        <v>5589.4609808901751</v>
      </c>
      <c r="P221" s="25">
        <f>Tbl_Loan1[[#This Row],[Initial debt]]-Tbl_Loan1[[#This Row],[Redemption amount]]</f>
        <v>480842.91979926114</v>
      </c>
    </row>
    <row r="222" spans="4:16" x14ac:dyDescent="0.25">
      <c r="D222" t="str">
        <f>_xlfn.CONCAT(Tbl_Loan1[[#This Row],[Maandnummer ]],Tbl_Loan1[[#This Row],[Year]])</f>
        <v>52029</v>
      </c>
      <c r="E222" s="23">
        <f t="shared" si="11"/>
        <v>221</v>
      </c>
      <c r="F222" s="28">
        <v>47263</v>
      </c>
      <c r="G222" s="23">
        <f>MONTH(Tbl_Loan1[[#This Row],[Payment date]])</f>
        <v>5</v>
      </c>
      <c r="H222" s="23" t="str">
        <f>VLOOKUP(Tbl_Loan1[[#This Row],[Maandnummer ]],Tbl_Months[],2,FALSE)</f>
        <v>May</v>
      </c>
      <c r="I222" s="23" t="str">
        <f>VLOOKUP(Tbl_Loan1[[#This Row],[Maandnummer ]],Tbl_Months[],3,FALSE)</f>
        <v>II</v>
      </c>
      <c r="J222" s="23">
        <f>YEAR(Tbl_Loan1[[#This Row],[Payment date]])</f>
        <v>2029</v>
      </c>
      <c r="K222" s="23" t="str">
        <f>_xlfn.CONCAT(Tbl_Loan1[[#This Row],[Year]],Tbl_Loan1[[#This Row],[Quarter]])</f>
        <v>2029II</v>
      </c>
      <c r="L222" s="25">
        <f t="shared" si="9"/>
        <v>480842.91979926114</v>
      </c>
      <c r="M222" s="26">
        <f t="shared" si="10"/>
        <v>6452.5136626411149</v>
      </c>
      <c r="N222" s="25">
        <f>B$5*Tbl_Loan1[[#This Row],[Initial debt]]</f>
        <v>853.13558025913028</v>
      </c>
      <c r="O222" s="25">
        <f>Tbl_Loan1[[#This Row],[Annuity]]-Tbl_Loan1[[#This Row],[Interest amount]]</f>
        <v>5599.3780823819843</v>
      </c>
      <c r="P222" s="25">
        <f>Tbl_Loan1[[#This Row],[Initial debt]]-Tbl_Loan1[[#This Row],[Redemption amount]]</f>
        <v>475243.54171687918</v>
      </c>
    </row>
    <row r="223" spans="4:16" x14ac:dyDescent="0.25">
      <c r="D223" t="str">
        <f>_xlfn.CONCAT(Tbl_Loan1[[#This Row],[Maandnummer ]],Tbl_Loan1[[#This Row],[Year]])</f>
        <v>62029</v>
      </c>
      <c r="E223" s="23">
        <f t="shared" si="11"/>
        <v>222</v>
      </c>
      <c r="F223" s="28">
        <v>47294</v>
      </c>
      <c r="G223" s="23">
        <f>MONTH(Tbl_Loan1[[#This Row],[Payment date]])</f>
        <v>6</v>
      </c>
      <c r="H223" s="23" t="str">
        <f>VLOOKUP(Tbl_Loan1[[#This Row],[Maandnummer ]],Tbl_Months[],2,FALSE)</f>
        <v>June</v>
      </c>
      <c r="I223" s="23" t="str">
        <f>VLOOKUP(Tbl_Loan1[[#This Row],[Maandnummer ]],Tbl_Months[],3,FALSE)</f>
        <v>II</v>
      </c>
      <c r="J223" s="23">
        <f>YEAR(Tbl_Loan1[[#This Row],[Payment date]])</f>
        <v>2029</v>
      </c>
      <c r="K223" s="23" t="str">
        <f>_xlfn.CONCAT(Tbl_Loan1[[#This Row],[Year]],Tbl_Loan1[[#This Row],[Quarter]])</f>
        <v>2029II</v>
      </c>
      <c r="L223" s="25">
        <f t="shared" si="9"/>
        <v>475243.54171687918</v>
      </c>
      <c r="M223" s="26">
        <f t="shared" si="10"/>
        <v>6452.5136626411149</v>
      </c>
      <c r="N223" s="25">
        <f>B$5*Tbl_Loan1[[#This Row],[Initial debt]]</f>
        <v>843.20088334938384</v>
      </c>
      <c r="O223" s="25">
        <f>Tbl_Loan1[[#This Row],[Annuity]]-Tbl_Loan1[[#This Row],[Interest amount]]</f>
        <v>5609.3127792917312</v>
      </c>
      <c r="P223" s="25">
        <f>Tbl_Loan1[[#This Row],[Initial debt]]-Tbl_Loan1[[#This Row],[Redemption amount]]</f>
        <v>469634.22893758747</v>
      </c>
    </row>
    <row r="224" spans="4:16" x14ac:dyDescent="0.25">
      <c r="D224" t="str">
        <f>_xlfn.CONCAT(Tbl_Loan1[[#This Row],[Maandnummer ]],Tbl_Loan1[[#This Row],[Year]])</f>
        <v>72029</v>
      </c>
      <c r="E224" s="23">
        <f t="shared" si="11"/>
        <v>223</v>
      </c>
      <c r="F224" s="28">
        <v>47324</v>
      </c>
      <c r="G224" s="23">
        <f>MONTH(Tbl_Loan1[[#This Row],[Payment date]])</f>
        <v>7</v>
      </c>
      <c r="H224" s="23" t="str">
        <f>VLOOKUP(Tbl_Loan1[[#This Row],[Maandnummer ]],Tbl_Months[],2,FALSE)</f>
        <v>July</v>
      </c>
      <c r="I224" s="23" t="str">
        <f>VLOOKUP(Tbl_Loan1[[#This Row],[Maandnummer ]],Tbl_Months[],3,FALSE)</f>
        <v>III</v>
      </c>
      <c r="J224" s="23">
        <f>YEAR(Tbl_Loan1[[#This Row],[Payment date]])</f>
        <v>2029</v>
      </c>
      <c r="K224" s="23" t="str">
        <f>_xlfn.CONCAT(Tbl_Loan1[[#This Row],[Year]],Tbl_Loan1[[#This Row],[Quarter]])</f>
        <v>2029III</v>
      </c>
      <c r="L224" s="25">
        <f t="shared" si="9"/>
        <v>469634.22893758747</v>
      </c>
      <c r="M224" s="26">
        <f t="shared" si="10"/>
        <v>6452.5136626411149</v>
      </c>
      <c r="N224" s="25">
        <f>B$5*Tbl_Loan1[[#This Row],[Initial debt]]</f>
        <v>833.24855980302948</v>
      </c>
      <c r="O224" s="25">
        <f>Tbl_Loan1[[#This Row],[Annuity]]-Tbl_Loan1[[#This Row],[Interest amount]]</f>
        <v>5619.2651028380851</v>
      </c>
      <c r="P224" s="25">
        <f>Tbl_Loan1[[#This Row],[Initial debt]]-Tbl_Loan1[[#This Row],[Redemption amount]]</f>
        <v>464014.96383474936</v>
      </c>
    </row>
    <row r="225" spans="4:16" x14ac:dyDescent="0.25">
      <c r="D225" t="str">
        <f>_xlfn.CONCAT(Tbl_Loan1[[#This Row],[Maandnummer ]],Tbl_Loan1[[#This Row],[Year]])</f>
        <v>82029</v>
      </c>
      <c r="E225" s="23">
        <f t="shared" si="11"/>
        <v>224</v>
      </c>
      <c r="F225" s="28">
        <v>47355</v>
      </c>
      <c r="G225" s="23">
        <f>MONTH(Tbl_Loan1[[#This Row],[Payment date]])</f>
        <v>8</v>
      </c>
      <c r="H225" s="23" t="str">
        <f>VLOOKUP(Tbl_Loan1[[#This Row],[Maandnummer ]],Tbl_Months[],2,FALSE)</f>
        <v>August</v>
      </c>
      <c r="I225" s="23" t="str">
        <f>VLOOKUP(Tbl_Loan1[[#This Row],[Maandnummer ]],Tbl_Months[],3,FALSE)</f>
        <v>III</v>
      </c>
      <c r="J225" s="23">
        <f>YEAR(Tbl_Loan1[[#This Row],[Payment date]])</f>
        <v>2029</v>
      </c>
      <c r="K225" s="23" t="str">
        <f>_xlfn.CONCAT(Tbl_Loan1[[#This Row],[Year]],Tbl_Loan1[[#This Row],[Quarter]])</f>
        <v>2029III</v>
      </c>
      <c r="L225" s="25">
        <f t="shared" si="9"/>
        <v>464014.96383474936</v>
      </c>
      <c r="M225" s="26">
        <f t="shared" si="10"/>
        <v>6452.5136626411149</v>
      </c>
      <c r="N225" s="25">
        <f>B$5*Tbl_Loan1[[#This Row],[Initial debt]]</f>
        <v>823.27857834600593</v>
      </c>
      <c r="O225" s="25">
        <f>Tbl_Loan1[[#This Row],[Annuity]]-Tbl_Loan1[[#This Row],[Interest amount]]</f>
        <v>5629.2350842951091</v>
      </c>
      <c r="P225" s="25">
        <f>Tbl_Loan1[[#This Row],[Initial debt]]-Tbl_Loan1[[#This Row],[Redemption amount]]</f>
        <v>458385.72875045426</v>
      </c>
    </row>
    <row r="226" spans="4:16" x14ac:dyDescent="0.25">
      <c r="D226" t="str">
        <f>_xlfn.CONCAT(Tbl_Loan1[[#This Row],[Maandnummer ]],Tbl_Loan1[[#This Row],[Year]])</f>
        <v>92029</v>
      </c>
      <c r="E226" s="23">
        <f t="shared" si="11"/>
        <v>225</v>
      </c>
      <c r="F226" s="28">
        <v>47386</v>
      </c>
      <c r="G226" s="23">
        <f>MONTH(Tbl_Loan1[[#This Row],[Payment date]])</f>
        <v>9</v>
      </c>
      <c r="H226" s="23" t="str">
        <f>VLOOKUP(Tbl_Loan1[[#This Row],[Maandnummer ]],Tbl_Months[],2,FALSE)</f>
        <v>September</v>
      </c>
      <c r="I226" s="23" t="str">
        <f>VLOOKUP(Tbl_Loan1[[#This Row],[Maandnummer ]],Tbl_Months[],3,FALSE)</f>
        <v>III</v>
      </c>
      <c r="J226" s="23">
        <f>YEAR(Tbl_Loan1[[#This Row],[Payment date]])</f>
        <v>2029</v>
      </c>
      <c r="K226" s="23" t="str">
        <f>_xlfn.CONCAT(Tbl_Loan1[[#This Row],[Year]],Tbl_Loan1[[#This Row],[Quarter]])</f>
        <v>2029III</v>
      </c>
      <c r="L226" s="25">
        <f t="shared" si="9"/>
        <v>458385.72875045426</v>
      </c>
      <c r="M226" s="26">
        <f t="shared" si="10"/>
        <v>6452.5136626411149</v>
      </c>
      <c r="N226" s="25">
        <f>B$5*Tbl_Loan1[[#This Row],[Initial debt]]</f>
        <v>813.29090764876435</v>
      </c>
      <c r="O226" s="25">
        <f>Tbl_Loan1[[#This Row],[Annuity]]-Tbl_Loan1[[#This Row],[Interest amount]]</f>
        <v>5639.2227549923509</v>
      </c>
      <c r="P226" s="25">
        <f>Tbl_Loan1[[#This Row],[Initial debt]]-Tbl_Loan1[[#This Row],[Redemption amount]]</f>
        <v>452746.50599546189</v>
      </c>
    </row>
    <row r="227" spans="4:16" x14ac:dyDescent="0.25">
      <c r="D227" t="str">
        <f>_xlfn.CONCAT(Tbl_Loan1[[#This Row],[Maandnummer ]],Tbl_Loan1[[#This Row],[Year]])</f>
        <v>102029</v>
      </c>
      <c r="E227" s="23">
        <f t="shared" si="11"/>
        <v>226</v>
      </c>
      <c r="F227" s="28">
        <v>47416</v>
      </c>
      <c r="G227" s="23">
        <f>MONTH(Tbl_Loan1[[#This Row],[Payment date]])</f>
        <v>10</v>
      </c>
      <c r="H227" s="23" t="str">
        <f>VLOOKUP(Tbl_Loan1[[#This Row],[Maandnummer ]],Tbl_Months[],2,FALSE)</f>
        <v>October</v>
      </c>
      <c r="I227" s="23" t="str">
        <f>VLOOKUP(Tbl_Loan1[[#This Row],[Maandnummer ]],Tbl_Months[],3,FALSE)</f>
        <v>IV</v>
      </c>
      <c r="J227" s="23">
        <f>YEAR(Tbl_Loan1[[#This Row],[Payment date]])</f>
        <v>2029</v>
      </c>
      <c r="K227" s="23" t="str">
        <f>_xlfn.CONCAT(Tbl_Loan1[[#This Row],[Year]],Tbl_Loan1[[#This Row],[Quarter]])</f>
        <v>2029IV</v>
      </c>
      <c r="L227" s="25">
        <f t="shared" si="9"/>
        <v>452746.50599546189</v>
      </c>
      <c r="M227" s="26">
        <f t="shared" si="10"/>
        <v>6452.5136626411149</v>
      </c>
      <c r="N227" s="25">
        <f>B$5*Tbl_Loan1[[#This Row],[Initial debt]]</f>
        <v>803.28551632616904</v>
      </c>
      <c r="O227" s="25">
        <f>Tbl_Loan1[[#This Row],[Annuity]]-Tbl_Loan1[[#This Row],[Interest amount]]</f>
        <v>5649.2281463149457</v>
      </c>
      <c r="P227" s="25">
        <f>Tbl_Loan1[[#This Row],[Initial debt]]-Tbl_Loan1[[#This Row],[Redemption amount]]</f>
        <v>447097.27784914692</v>
      </c>
    </row>
    <row r="228" spans="4:16" x14ac:dyDescent="0.25">
      <c r="D228" t="str">
        <f>_xlfn.CONCAT(Tbl_Loan1[[#This Row],[Maandnummer ]],Tbl_Loan1[[#This Row],[Year]])</f>
        <v>112029</v>
      </c>
      <c r="E228" s="23">
        <f t="shared" si="11"/>
        <v>227</v>
      </c>
      <c r="F228" s="28">
        <v>47447</v>
      </c>
      <c r="G228" s="23">
        <f>MONTH(Tbl_Loan1[[#This Row],[Payment date]])</f>
        <v>11</v>
      </c>
      <c r="H228" s="23" t="str">
        <f>VLOOKUP(Tbl_Loan1[[#This Row],[Maandnummer ]],Tbl_Months[],2,FALSE)</f>
        <v>November</v>
      </c>
      <c r="I228" s="23" t="str">
        <f>VLOOKUP(Tbl_Loan1[[#This Row],[Maandnummer ]],Tbl_Months[],3,FALSE)</f>
        <v>IV</v>
      </c>
      <c r="J228" s="23">
        <f>YEAR(Tbl_Loan1[[#This Row],[Payment date]])</f>
        <v>2029</v>
      </c>
      <c r="K228" s="23" t="str">
        <f>_xlfn.CONCAT(Tbl_Loan1[[#This Row],[Year]],Tbl_Loan1[[#This Row],[Quarter]])</f>
        <v>2029IV</v>
      </c>
      <c r="L228" s="25">
        <f t="shared" si="9"/>
        <v>447097.27784914692</v>
      </c>
      <c r="M228" s="26">
        <f t="shared" si="10"/>
        <v>6452.5136626411149</v>
      </c>
      <c r="N228" s="25">
        <f>B$5*Tbl_Loan1[[#This Row],[Initial debt]]</f>
        <v>793.2623729373995</v>
      </c>
      <c r="O228" s="25">
        <f>Tbl_Loan1[[#This Row],[Annuity]]-Tbl_Loan1[[#This Row],[Interest amount]]</f>
        <v>5659.2512897037159</v>
      </c>
      <c r="P228" s="25">
        <f>Tbl_Loan1[[#This Row],[Initial debt]]-Tbl_Loan1[[#This Row],[Redemption amount]]</f>
        <v>441438.02655944321</v>
      </c>
    </row>
    <row r="229" spans="4:16" x14ac:dyDescent="0.25">
      <c r="D229" t="str">
        <f>_xlfn.CONCAT(Tbl_Loan1[[#This Row],[Maandnummer ]],Tbl_Loan1[[#This Row],[Year]])</f>
        <v>122029</v>
      </c>
      <c r="E229" s="23">
        <f t="shared" si="11"/>
        <v>228</v>
      </c>
      <c r="F229" s="28">
        <v>47477</v>
      </c>
      <c r="G229" s="23">
        <f>MONTH(Tbl_Loan1[[#This Row],[Payment date]])</f>
        <v>12</v>
      </c>
      <c r="H229" s="23" t="str">
        <f>VLOOKUP(Tbl_Loan1[[#This Row],[Maandnummer ]],Tbl_Months[],2,FALSE)</f>
        <v>December</v>
      </c>
      <c r="I229" s="23" t="str">
        <f>VLOOKUP(Tbl_Loan1[[#This Row],[Maandnummer ]],Tbl_Months[],3,FALSE)</f>
        <v>IV</v>
      </c>
      <c r="J229" s="23">
        <f>YEAR(Tbl_Loan1[[#This Row],[Payment date]])</f>
        <v>2029</v>
      </c>
      <c r="K229" s="23" t="str">
        <f>_xlfn.CONCAT(Tbl_Loan1[[#This Row],[Year]],Tbl_Loan1[[#This Row],[Quarter]])</f>
        <v>2029IV</v>
      </c>
      <c r="L229" s="25">
        <f t="shared" si="9"/>
        <v>441438.02655944321</v>
      </c>
      <c r="M229" s="26">
        <f t="shared" si="10"/>
        <v>6452.5136626411149</v>
      </c>
      <c r="N229" s="25">
        <f>B$5*Tbl_Loan1[[#This Row],[Initial debt]]</f>
        <v>783.22144598585112</v>
      </c>
      <c r="O229" s="25">
        <f>Tbl_Loan1[[#This Row],[Annuity]]-Tbl_Loan1[[#This Row],[Interest amount]]</f>
        <v>5669.2922166552635</v>
      </c>
      <c r="P229" s="25">
        <f>Tbl_Loan1[[#This Row],[Initial debt]]-Tbl_Loan1[[#This Row],[Redemption amount]]</f>
        <v>435768.73434278794</v>
      </c>
    </row>
    <row r="230" spans="4:16" x14ac:dyDescent="0.25">
      <c r="D230" t="str">
        <f>_xlfn.CONCAT(Tbl_Loan1[[#This Row],[Maandnummer ]],Tbl_Loan1[[#This Row],[Year]])</f>
        <v>12030</v>
      </c>
      <c r="E230" s="23">
        <f t="shared" si="11"/>
        <v>229</v>
      </c>
      <c r="F230" s="28">
        <v>47508</v>
      </c>
      <c r="G230" s="23">
        <f>MONTH(Tbl_Loan1[[#This Row],[Payment date]])</f>
        <v>1</v>
      </c>
      <c r="H230" s="23" t="str">
        <f>VLOOKUP(Tbl_Loan1[[#This Row],[Maandnummer ]],Tbl_Months[],2,FALSE)</f>
        <v>January</v>
      </c>
      <c r="I230" s="23" t="str">
        <f>VLOOKUP(Tbl_Loan1[[#This Row],[Maandnummer ]],Tbl_Months[],3,FALSE)</f>
        <v>I</v>
      </c>
      <c r="J230" s="23">
        <f>YEAR(Tbl_Loan1[[#This Row],[Payment date]])</f>
        <v>2030</v>
      </c>
      <c r="K230" s="23" t="str">
        <f>_xlfn.CONCAT(Tbl_Loan1[[#This Row],[Year]],Tbl_Loan1[[#This Row],[Quarter]])</f>
        <v>2030I</v>
      </c>
      <c r="L230" s="25">
        <f t="shared" si="9"/>
        <v>435768.73434278794</v>
      </c>
      <c r="M230" s="26">
        <f t="shared" si="10"/>
        <v>6452.5136626411149</v>
      </c>
      <c r="N230" s="25">
        <f>B$5*Tbl_Loan1[[#This Row],[Initial debt]]</f>
        <v>773.16270391903663</v>
      </c>
      <c r="O230" s="25">
        <f>Tbl_Loan1[[#This Row],[Annuity]]-Tbl_Loan1[[#This Row],[Interest amount]]</f>
        <v>5679.3509587220778</v>
      </c>
      <c r="P230" s="25">
        <f>Tbl_Loan1[[#This Row],[Initial debt]]-Tbl_Loan1[[#This Row],[Redemption amount]]</f>
        <v>430089.38338406588</v>
      </c>
    </row>
    <row r="231" spans="4:16" x14ac:dyDescent="0.25">
      <c r="D231" t="str">
        <f>_xlfn.CONCAT(Tbl_Loan1[[#This Row],[Maandnummer ]],Tbl_Loan1[[#This Row],[Year]])</f>
        <v>22030</v>
      </c>
      <c r="E231" s="23">
        <f t="shared" si="11"/>
        <v>230</v>
      </c>
      <c r="F231" s="28">
        <v>47539</v>
      </c>
      <c r="G231" s="23">
        <f>MONTH(Tbl_Loan1[[#This Row],[Payment date]])</f>
        <v>2</v>
      </c>
      <c r="H231" s="23" t="str">
        <f>VLOOKUP(Tbl_Loan1[[#This Row],[Maandnummer ]],Tbl_Months[],2,FALSE)</f>
        <v>February</v>
      </c>
      <c r="I231" s="23" t="str">
        <f>VLOOKUP(Tbl_Loan1[[#This Row],[Maandnummer ]],Tbl_Months[],3,FALSE)</f>
        <v>I</v>
      </c>
      <c r="J231" s="23">
        <f>YEAR(Tbl_Loan1[[#This Row],[Payment date]])</f>
        <v>2030</v>
      </c>
      <c r="K231" s="23" t="str">
        <f>_xlfn.CONCAT(Tbl_Loan1[[#This Row],[Year]],Tbl_Loan1[[#This Row],[Quarter]])</f>
        <v>2030I</v>
      </c>
      <c r="L231" s="25">
        <f t="shared" si="9"/>
        <v>430089.38338406588</v>
      </c>
      <c r="M231" s="26">
        <f t="shared" si="10"/>
        <v>6452.5136626411149</v>
      </c>
      <c r="N231" s="25">
        <f>B$5*Tbl_Loan1[[#This Row],[Initial debt]]</f>
        <v>763.08611512848654</v>
      </c>
      <c r="O231" s="25">
        <f>Tbl_Loan1[[#This Row],[Annuity]]-Tbl_Loan1[[#This Row],[Interest amount]]</f>
        <v>5689.4275475126287</v>
      </c>
      <c r="P231" s="25">
        <f>Tbl_Loan1[[#This Row],[Initial debt]]-Tbl_Loan1[[#This Row],[Redemption amount]]</f>
        <v>424399.95583655324</v>
      </c>
    </row>
    <row r="232" spans="4:16" x14ac:dyDescent="0.25">
      <c r="D232" t="str">
        <f>_xlfn.CONCAT(Tbl_Loan1[[#This Row],[Maandnummer ]],Tbl_Loan1[[#This Row],[Year]])</f>
        <v>32030</v>
      </c>
      <c r="E232" s="23">
        <f t="shared" si="11"/>
        <v>231</v>
      </c>
      <c r="F232" s="28">
        <v>47567</v>
      </c>
      <c r="G232" s="23">
        <f>MONTH(Tbl_Loan1[[#This Row],[Payment date]])</f>
        <v>3</v>
      </c>
      <c r="H232" s="23" t="str">
        <f>VLOOKUP(Tbl_Loan1[[#This Row],[Maandnummer ]],Tbl_Months[],2,FALSE)</f>
        <v>March</v>
      </c>
      <c r="I232" s="23" t="str">
        <f>VLOOKUP(Tbl_Loan1[[#This Row],[Maandnummer ]],Tbl_Months[],3,FALSE)</f>
        <v>I</v>
      </c>
      <c r="J232" s="23">
        <f>YEAR(Tbl_Loan1[[#This Row],[Payment date]])</f>
        <v>2030</v>
      </c>
      <c r="K232" s="23" t="str">
        <f>_xlfn.CONCAT(Tbl_Loan1[[#This Row],[Year]],Tbl_Loan1[[#This Row],[Quarter]])</f>
        <v>2030I</v>
      </c>
      <c r="L232" s="25">
        <f t="shared" si="9"/>
        <v>424399.95583655324</v>
      </c>
      <c r="M232" s="26">
        <f t="shared" si="10"/>
        <v>6452.5136626411149</v>
      </c>
      <c r="N232" s="25">
        <f>B$5*Tbl_Loan1[[#This Row],[Initial debt]]</f>
        <v>752.9916479496502</v>
      </c>
      <c r="O232" s="25">
        <f>Tbl_Loan1[[#This Row],[Annuity]]-Tbl_Loan1[[#This Row],[Interest amount]]</f>
        <v>5699.5220146914644</v>
      </c>
      <c r="P232" s="25">
        <f>Tbl_Loan1[[#This Row],[Initial debt]]-Tbl_Loan1[[#This Row],[Redemption amount]]</f>
        <v>418700.43382186181</v>
      </c>
    </row>
    <row r="233" spans="4:16" x14ac:dyDescent="0.25">
      <c r="D233" t="str">
        <f>_xlfn.CONCAT(Tbl_Loan1[[#This Row],[Maandnummer ]],Tbl_Loan1[[#This Row],[Year]])</f>
        <v>42030</v>
      </c>
      <c r="E233" s="23">
        <f t="shared" si="11"/>
        <v>232</v>
      </c>
      <c r="F233" s="28">
        <v>47598</v>
      </c>
      <c r="G233" s="23">
        <f>MONTH(Tbl_Loan1[[#This Row],[Payment date]])</f>
        <v>4</v>
      </c>
      <c r="H233" s="23" t="str">
        <f>VLOOKUP(Tbl_Loan1[[#This Row],[Maandnummer ]],Tbl_Months[],2,FALSE)</f>
        <v>April</v>
      </c>
      <c r="I233" s="23" t="str">
        <f>VLOOKUP(Tbl_Loan1[[#This Row],[Maandnummer ]],Tbl_Months[],3,FALSE)</f>
        <v>II</v>
      </c>
      <c r="J233" s="23">
        <f>YEAR(Tbl_Loan1[[#This Row],[Payment date]])</f>
        <v>2030</v>
      </c>
      <c r="K233" s="23" t="str">
        <f>_xlfn.CONCAT(Tbl_Loan1[[#This Row],[Year]],Tbl_Loan1[[#This Row],[Quarter]])</f>
        <v>2030II</v>
      </c>
      <c r="L233" s="25">
        <f t="shared" si="9"/>
        <v>418700.43382186181</v>
      </c>
      <c r="M233" s="26">
        <f t="shared" si="10"/>
        <v>6452.5136626411149</v>
      </c>
      <c r="N233" s="25">
        <f>B$5*Tbl_Loan1[[#This Row],[Initial debt]]</f>
        <v>742.87927066179611</v>
      </c>
      <c r="O233" s="25">
        <f>Tbl_Loan1[[#This Row],[Annuity]]-Tbl_Loan1[[#This Row],[Interest amount]]</f>
        <v>5709.6343919793189</v>
      </c>
      <c r="P233" s="25">
        <f>Tbl_Loan1[[#This Row],[Initial debt]]-Tbl_Loan1[[#This Row],[Redemption amount]]</f>
        <v>412990.79942988249</v>
      </c>
    </row>
    <row r="234" spans="4:16" x14ac:dyDescent="0.25">
      <c r="D234" t="str">
        <f>_xlfn.CONCAT(Tbl_Loan1[[#This Row],[Maandnummer ]],Tbl_Loan1[[#This Row],[Year]])</f>
        <v>52030</v>
      </c>
      <c r="E234" s="23">
        <f t="shared" si="11"/>
        <v>233</v>
      </c>
      <c r="F234" s="28">
        <v>47628</v>
      </c>
      <c r="G234" s="23">
        <f>MONTH(Tbl_Loan1[[#This Row],[Payment date]])</f>
        <v>5</v>
      </c>
      <c r="H234" s="23" t="str">
        <f>VLOOKUP(Tbl_Loan1[[#This Row],[Maandnummer ]],Tbl_Months[],2,FALSE)</f>
        <v>May</v>
      </c>
      <c r="I234" s="23" t="str">
        <f>VLOOKUP(Tbl_Loan1[[#This Row],[Maandnummer ]],Tbl_Months[],3,FALSE)</f>
        <v>II</v>
      </c>
      <c r="J234" s="23">
        <f>YEAR(Tbl_Loan1[[#This Row],[Payment date]])</f>
        <v>2030</v>
      </c>
      <c r="K234" s="23" t="str">
        <f>_xlfn.CONCAT(Tbl_Loan1[[#This Row],[Year]],Tbl_Loan1[[#This Row],[Quarter]])</f>
        <v>2030II</v>
      </c>
      <c r="L234" s="25">
        <f t="shared" si="9"/>
        <v>412990.79942988249</v>
      </c>
      <c r="M234" s="26">
        <f t="shared" si="10"/>
        <v>6452.5136626411149</v>
      </c>
      <c r="N234" s="25">
        <f>B$5*Tbl_Loan1[[#This Row],[Initial debt]]</f>
        <v>732.74895148791234</v>
      </c>
      <c r="O234" s="25">
        <f>Tbl_Loan1[[#This Row],[Annuity]]-Tbl_Loan1[[#This Row],[Interest amount]]</f>
        <v>5719.7647111532024</v>
      </c>
      <c r="P234" s="25">
        <f>Tbl_Loan1[[#This Row],[Initial debt]]-Tbl_Loan1[[#This Row],[Redemption amount]]</f>
        <v>407271.03471872926</v>
      </c>
    </row>
    <row r="235" spans="4:16" x14ac:dyDescent="0.25">
      <c r="D235" t="str">
        <f>_xlfn.CONCAT(Tbl_Loan1[[#This Row],[Maandnummer ]],Tbl_Loan1[[#This Row],[Year]])</f>
        <v>62030</v>
      </c>
      <c r="E235" s="23">
        <f t="shared" si="11"/>
        <v>234</v>
      </c>
      <c r="F235" s="28">
        <v>47659</v>
      </c>
      <c r="G235" s="23">
        <f>MONTH(Tbl_Loan1[[#This Row],[Payment date]])</f>
        <v>6</v>
      </c>
      <c r="H235" s="23" t="str">
        <f>VLOOKUP(Tbl_Loan1[[#This Row],[Maandnummer ]],Tbl_Months[],2,FALSE)</f>
        <v>June</v>
      </c>
      <c r="I235" s="23" t="str">
        <f>VLOOKUP(Tbl_Loan1[[#This Row],[Maandnummer ]],Tbl_Months[],3,FALSE)</f>
        <v>II</v>
      </c>
      <c r="J235" s="23">
        <f>YEAR(Tbl_Loan1[[#This Row],[Payment date]])</f>
        <v>2030</v>
      </c>
      <c r="K235" s="23" t="str">
        <f>_xlfn.CONCAT(Tbl_Loan1[[#This Row],[Year]],Tbl_Loan1[[#This Row],[Quarter]])</f>
        <v>2030II</v>
      </c>
      <c r="L235" s="25">
        <f t="shared" si="9"/>
        <v>407271.03471872926</v>
      </c>
      <c r="M235" s="26">
        <f t="shared" si="10"/>
        <v>6452.5136626411149</v>
      </c>
      <c r="N235" s="25">
        <f>B$5*Tbl_Loan1[[#This Row],[Initial debt]]</f>
        <v>722.60065859460622</v>
      </c>
      <c r="O235" s="25">
        <f>Tbl_Loan1[[#This Row],[Annuity]]-Tbl_Loan1[[#This Row],[Interest amount]]</f>
        <v>5729.9130040465088</v>
      </c>
      <c r="P235" s="25">
        <f>Tbl_Loan1[[#This Row],[Initial debt]]-Tbl_Loan1[[#This Row],[Redemption amount]]</f>
        <v>401541.12171468278</v>
      </c>
    </row>
    <row r="236" spans="4:16" x14ac:dyDescent="0.25">
      <c r="D236" t="str">
        <f>_xlfn.CONCAT(Tbl_Loan1[[#This Row],[Maandnummer ]],Tbl_Loan1[[#This Row],[Year]])</f>
        <v>72030</v>
      </c>
      <c r="E236" s="23">
        <f t="shared" si="11"/>
        <v>235</v>
      </c>
      <c r="F236" s="28">
        <v>47689</v>
      </c>
      <c r="G236" s="23">
        <f>MONTH(Tbl_Loan1[[#This Row],[Payment date]])</f>
        <v>7</v>
      </c>
      <c r="H236" s="23" t="str">
        <f>VLOOKUP(Tbl_Loan1[[#This Row],[Maandnummer ]],Tbl_Months[],2,FALSE)</f>
        <v>July</v>
      </c>
      <c r="I236" s="23" t="str">
        <f>VLOOKUP(Tbl_Loan1[[#This Row],[Maandnummer ]],Tbl_Months[],3,FALSE)</f>
        <v>III</v>
      </c>
      <c r="J236" s="23">
        <f>YEAR(Tbl_Loan1[[#This Row],[Payment date]])</f>
        <v>2030</v>
      </c>
      <c r="K236" s="23" t="str">
        <f>_xlfn.CONCAT(Tbl_Loan1[[#This Row],[Year]],Tbl_Loan1[[#This Row],[Quarter]])</f>
        <v>2030III</v>
      </c>
      <c r="L236" s="25">
        <f t="shared" si="9"/>
        <v>401541.12171468278</v>
      </c>
      <c r="M236" s="26">
        <f t="shared" si="10"/>
        <v>6452.5136626411149</v>
      </c>
      <c r="N236" s="25">
        <f>B$5*Tbl_Loan1[[#This Row],[Initial debt]]</f>
        <v>712.43436009200514</v>
      </c>
      <c r="O236" s="25">
        <f>Tbl_Loan1[[#This Row],[Annuity]]-Tbl_Loan1[[#This Row],[Interest amount]]</f>
        <v>5740.0793025491093</v>
      </c>
      <c r="P236" s="25">
        <f>Tbl_Loan1[[#This Row],[Initial debt]]-Tbl_Loan1[[#This Row],[Redemption amount]]</f>
        <v>395801.04241213365</v>
      </c>
    </row>
    <row r="237" spans="4:16" x14ac:dyDescent="0.25">
      <c r="D237" t="str">
        <f>_xlfn.CONCAT(Tbl_Loan1[[#This Row],[Maandnummer ]],Tbl_Loan1[[#This Row],[Year]])</f>
        <v>82030</v>
      </c>
      <c r="E237" s="23">
        <f t="shared" si="11"/>
        <v>236</v>
      </c>
      <c r="F237" s="28">
        <v>47720</v>
      </c>
      <c r="G237" s="23">
        <f>MONTH(Tbl_Loan1[[#This Row],[Payment date]])</f>
        <v>8</v>
      </c>
      <c r="H237" s="23" t="str">
        <f>VLOOKUP(Tbl_Loan1[[#This Row],[Maandnummer ]],Tbl_Months[],2,FALSE)</f>
        <v>August</v>
      </c>
      <c r="I237" s="23" t="str">
        <f>VLOOKUP(Tbl_Loan1[[#This Row],[Maandnummer ]],Tbl_Months[],3,FALSE)</f>
        <v>III</v>
      </c>
      <c r="J237" s="23">
        <f>YEAR(Tbl_Loan1[[#This Row],[Payment date]])</f>
        <v>2030</v>
      </c>
      <c r="K237" s="23" t="str">
        <f>_xlfn.CONCAT(Tbl_Loan1[[#This Row],[Year]],Tbl_Loan1[[#This Row],[Quarter]])</f>
        <v>2030III</v>
      </c>
      <c r="L237" s="25">
        <f t="shared" si="9"/>
        <v>395801.04241213365</v>
      </c>
      <c r="M237" s="26">
        <f t="shared" si="10"/>
        <v>6452.5136626411149</v>
      </c>
      <c r="N237" s="25">
        <f>B$5*Tbl_Loan1[[#This Row],[Initial debt]]</f>
        <v>702.25002403365568</v>
      </c>
      <c r="O237" s="25">
        <f>Tbl_Loan1[[#This Row],[Annuity]]-Tbl_Loan1[[#This Row],[Interest amount]]</f>
        <v>5750.2636386074591</v>
      </c>
      <c r="P237" s="25">
        <f>Tbl_Loan1[[#This Row],[Initial debt]]-Tbl_Loan1[[#This Row],[Redemption amount]]</f>
        <v>390050.7787735262</v>
      </c>
    </row>
    <row r="238" spans="4:16" x14ac:dyDescent="0.25">
      <c r="D238" t="str">
        <f>_xlfn.CONCAT(Tbl_Loan1[[#This Row],[Maandnummer ]],Tbl_Loan1[[#This Row],[Year]])</f>
        <v>92030</v>
      </c>
      <c r="E238" s="23">
        <f t="shared" si="11"/>
        <v>237</v>
      </c>
      <c r="F238" s="28">
        <v>47751</v>
      </c>
      <c r="G238" s="23">
        <f>MONTH(Tbl_Loan1[[#This Row],[Payment date]])</f>
        <v>9</v>
      </c>
      <c r="H238" s="23" t="str">
        <f>VLOOKUP(Tbl_Loan1[[#This Row],[Maandnummer ]],Tbl_Months[],2,FALSE)</f>
        <v>September</v>
      </c>
      <c r="I238" s="23" t="str">
        <f>VLOOKUP(Tbl_Loan1[[#This Row],[Maandnummer ]],Tbl_Months[],3,FALSE)</f>
        <v>III</v>
      </c>
      <c r="J238" s="23">
        <f>YEAR(Tbl_Loan1[[#This Row],[Payment date]])</f>
        <v>2030</v>
      </c>
      <c r="K238" s="23" t="str">
        <f>_xlfn.CONCAT(Tbl_Loan1[[#This Row],[Year]],Tbl_Loan1[[#This Row],[Quarter]])</f>
        <v>2030III</v>
      </c>
      <c r="L238" s="25">
        <f t="shared" si="9"/>
        <v>390050.7787735262</v>
      </c>
      <c r="M238" s="26">
        <f t="shared" si="10"/>
        <v>6452.5136626411149</v>
      </c>
      <c r="N238" s="25">
        <f>B$5*Tbl_Loan1[[#This Row],[Initial debt]]</f>
        <v>692.04761841642335</v>
      </c>
      <c r="O238" s="25">
        <f>Tbl_Loan1[[#This Row],[Annuity]]-Tbl_Loan1[[#This Row],[Interest amount]]</f>
        <v>5760.4660442246914</v>
      </c>
      <c r="P238" s="25">
        <f>Tbl_Loan1[[#This Row],[Initial debt]]-Tbl_Loan1[[#This Row],[Redemption amount]]</f>
        <v>384290.31272930151</v>
      </c>
    </row>
    <row r="239" spans="4:16" x14ac:dyDescent="0.25">
      <c r="D239" t="str">
        <f>_xlfn.CONCAT(Tbl_Loan1[[#This Row],[Maandnummer ]],Tbl_Loan1[[#This Row],[Year]])</f>
        <v>102030</v>
      </c>
      <c r="E239" s="23">
        <f t="shared" si="11"/>
        <v>238</v>
      </c>
      <c r="F239" s="28">
        <v>47781</v>
      </c>
      <c r="G239" s="23">
        <f>MONTH(Tbl_Loan1[[#This Row],[Payment date]])</f>
        <v>10</v>
      </c>
      <c r="H239" s="23" t="str">
        <f>VLOOKUP(Tbl_Loan1[[#This Row],[Maandnummer ]],Tbl_Months[],2,FALSE)</f>
        <v>October</v>
      </c>
      <c r="I239" s="23" t="str">
        <f>VLOOKUP(Tbl_Loan1[[#This Row],[Maandnummer ]],Tbl_Months[],3,FALSE)</f>
        <v>IV</v>
      </c>
      <c r="J239" s="23">
        <f>YEAR(Tbl_Loan1[[#This Row],[Payment date]])</f>
        <v>2030</v>
      </c>
      <c r="K239" s="23" t="str">
        <f>_xlfn.CONCAT(Tbl_Loan1[[#This Row],[Year]],Tbl_Loan1[[#This Row],[Quarter]])</f>
        <v>2030IV</v>
      </c>
      <c r="L239" s="25">
        <f t="shared" si="9"/>
        <v>384290.31272930151</v>
      </c>
      <c r="M239" s="26">
        <f t="shared" si="10"/>
        <v>6452.5136626411149</v>
      </c>
      <c r="N239" s="25">
        <f>B$5*Tbl_Loan1[[#This Row],[Initial debt]]</f>
        <v>681.82711118039231</v>
      </c>
      <c r="O239" s="25">
        <f>Tbl_Loan1[[#This Row],[Annuity]]-Tbl_Loan1[[#This Row],[Interest amount]]</f>
        <v>5770.6865514607225</v>
      </c>
      <c r="P239" s="25">
        <f>Tbl_Loan1[[#This Row],[Initial debt]]-Tbl_Loan1[[#This Row],[Redemption amount]]</f>
        <v>378519.62617784081</v>
      </c>
    </row>
    <row r="240" spans="4:16" x14ac:dyDescent="0.25">
      <c r="D240" t="str">
        <f>_xlfn.CONCAT(Tbl_Loan1[[#This Row],[Maandnummer ]],Tbl_Loan1[[#This Row],[Year]])</f>
        <v>112030</v>
      </c>
      <c r="E240" s="23">
        <f t="shared" si="11"/>
        <v>239</v>
      </c>
      <c r="F240" s="28">
        <v>47812</v>
      </c>
      <c r="G240" s="23">
        <f>MONTH(Tbl_Loan1[[#This Row],[Payment date]])</f>
        <v>11</v>
      </c>
      <c r="H240" s="23" t="str">
        <f>VLOOKUP(Tbl_Loan1[[#This Row],[Maandnummer ]],Tbl_Months[],2,FALSE)</f>
        <v>November</v>
      </c>
      <c r="I240" s="23" t="str">
        <f>VLOOKUP(Tbl_Loan1[[#This Row],[Maandnummer ]],Tbl_Months[],3,FALSE)</f>
        <v>IV</v>
      </c>
      <c r="J240" s="23">
        <f>YEAR(Tbl_Loan1[[#This Row],[Payment date]])</f>
        <v>2030</v>
      </c>
      <c r="K240" s="23" t="str">
        <f>_xlfn.CONCAT(Tbl_Loan1[[#This Row],[Year]],Tbl_Loan1[[#This Row],[Quarter]])</f>
        <v>2030IV</v>
      </c>
      <c r="L240" s="25">
        <f t="shared" si="9"/>
        <v>378519.62617784081</v>
      </c>
      <c r="M240" s="26">
        <f t="shared" si="10"/>
        <v>6452.5136626411149</v>
      </c>
      <c r="N240" s="25">
        <f>B$5*Tbl_Loan1[[#This Row],[Initial debt]]</f>
        <v>671.58847020876431</v>
      </c>
      <c r="O240" s="25">
        <f>Tbl_Loan1[[#This Row],[Annuity]]-Tbl_Loan1[[#This Row],[Interest amount]]</f>
        <v>5780.9251924323507</v>
      </c>
      <c r="P240" s="25">
        <f>Tbl_Loan1[[#This Row],[Initial debt]]-Tbl_Loan1[[#This Row],[Redemption amount]]</f>
        <v>372738.70098540845</v>
      </c>
    </row>
    <row r="241" spans="4:16" x14ac:dyDescent="0.25">
      <c r="D241" t="str">
        <f>_xlfn.CONCAT(Tbl_Loan1[[#This Row],[Maandnummer ]],Tbl_Loan1[[#This Row],[Year]])</f>
        <v>122030</v>
      </c>
      <c r="E241" s="23">
        <f t="shared" si="11"/>
        <v>240</v>
      </c>
      <c r="F241" s="28">
        <v>47842</v>
      </c>
      <c r="G241" s="23">
        <f>MONTH(Tbl_Loan1[[#This Row],[Payment date]])</f>
        <v>12</v>
      </c>
      <c r="H241" s="23" t="str">
        <f>VLOOKUP(Tbl_Loan1[[#This Row],[Maandnummer ]],Tbl_Months[],2,FALSE)</f>
        <v>December</v>
      </c>
      <c r="I241" s="23" t="str">
        <f>VLOOKUP(Tbl_Loan1[[#This Row],[Maandnummer ]],Tbl_Months[],3,FALSE)</f>
        <v>IV</v>
      </c>
      <c r="J241" s="23">
        <f>YEAR(Tbl_Loan1[[#This Row],[Payment date]])</f>
        <v>2030</v>
      </c>
      <c r="K241" s="23" t="str">
        <f>_xlfn.CONCAT(Tbl_Loan1[[#This Row],[Year]],Tbl_Loan1[[#This Row],[Quarter]])</f>
        <v>2030IV</v>
      </c>
      <c r="L241" s="25">
        <f t="shared" si="9"/>
        <v>372738.70098540845</v>
      </c>
      <c r="M241" s="26">
        <f t="shared" si="10"/>
        <v>6452.5136626411149</v>
      </c>
      <c r="N241" s="25">
        <f>B$5*Tbl_Loan1[[#This Row],[Initial debt]]</f>
        <v>661.33166332775761</v>
      </c>
      <c r="O241" s="25">
        <f>Tbl_Loan1[[#This Row],[Annuity]]-Tbl_Loan1[[#This Row],[Interest amount]]</f>
        <v>5791.1819993133577</v>
      </c>
      <c r="P241" s="25">
        <f>Tbl_Loan1[[#This Row],[Initial debt]]-Tbl_Loan1[[#This Row],[Redemption amount]]</f>
        <v>366947.51898609509</v>
      </c>
    </row>
    <row r="242" spans="4:16" x14ac:dyDescent="0.25">
      <c r="D242" t="str">
        <f>_xlfn.CONCAT(Tbl_Loan1[[#This Row],[Maandnummer ]],Tbl_Loan1[[#This Row],[Year]])</f>
        <v>12031</v>
      </c>
      <c r="E242" s="23">
        <f t="shared" si="11"/>
        <v>241</v>
      </c>
      <c r="F242" s="28">
        <v>47873</v>
      </c>
      <c r="G242" s="23">
        <f>MONTH(Tbl_Loan1[[#This Row],[Payment date]])</f>
        <v>1</v>
      </c>
      <c r="H242" s="23" t="str">
        <f>VLOOKUP(Tbl_Loan1[[#This Row],[Maandnummer ]],Tbl_Months[],2,FALSE)</f>
        <v>January</v>
      </c>
      <c r="I242" s="23" t="str">
        <f>VLOOKUP(Tbl_Loan1[[#This Row],[Maandnummer ]],Tbl_Months[],3,FALSE)</f>
        <v>I</v>
      </c>
      <c r="J242" s="23">
        <f>YEAR(Tbl_Loan1[[#This Row],[Payment date]])</f>
        <v>2031</v>
      </c>
      <c r="K242" s="23" t="str">
        <f>_xlfn.CONCAT(Tbl_Loan1[[#This Row],[Year]],Tbl_Loan1[[#This Row],[Quarter]])</f>
        <v>2031I</v>
      </c>
      <c r="L242" s="25">
        <f t="shared" si="9"/>
        <v>366947.51898609509</v>
      </c>
      <c r="M242" s="26">
        <f t="shared" si="10"/>
        <v>6452.5136626411149</v>
      </c>
      <c r="N242" s="25">
        <f>B$5*Tbl_Loan1[[#This Row],[Initial debt]]</f>
        <v>651.05665830650651</v>
      </c>
      <c r="O242" s="25">
        <f>Tbl_Loan1[[#This Row],[Annuity]]-Tbl_Loan1[[#This Row],[Interest amount]]</f>
        <v>5801.4570043346084</v>
      </c>
      <c r="P242" s="25">
        <f>Tbl_Loan1[[#This Row],[Initial debt]]-Tbl_Loan1[[#This Row],[Redemption amount]]</f>
        <v>361146.06198176049</v>
      </c>
    </row>
    <row r="243" spans="4:16" x14ac:dyDescent="0.25">
      <c r="D243" t="str">
        <f>_xlfn.CONCAT(Tbl_Loan1[[#This Row],[Maandnummer ]],Tbl_Loan1[[#This Row],[Year]])</f>
        <v>22031</v>
      </c>
      <c r="E243" s="23">
        <f t="shared" si="11"/>
        <v>242</v>
      </c>
      <c r="F243" s="28">
        <v>47904</v>
      </c>
      <c r="G243" s="23">
        <f>MONTH(Tbl_Loan1[[#This Row],[Payment date]])</f>
        <v>2</v>
      </c>
      <c r="H243" s="23" t="str">
        <f>VLOOKUP(Tbl_Loan1[[#This Row],[Maandnummer ]],Tbl_Months[],2,FALSE)</f>
        <v>February</v>
      </c>
      <c r="I243" s="23" t="str">
        <f>VLOOKUP(Tbl_Loan1[[#This Row],[Maandnummer ]],Tbl_Months[],3,FALSE)</f>
        <v>I</v>
      </c>
      <c r="J243" s="23">
        <f>YEAR(Tbl_Loan1[[#This Row],[Payment date]])</f>
        <v>2031</v>
      </c>
      <c r="K243" s="23" t="str">
        <f>_xlfn.CONCAT(Tbl_Loan1[[#This Row],[Year]],Tbl_Loan1[[#This Row],[Quarter]])</f>
        <v>2031I</v>
      </c>
      <c r="L243" s="25">
        <f t="shared" si="9"/>
        <v>361146.06198176049</v>
      </c>
      <c r="M243" s="26">
        <f t="shared" si="10"/>
        <v>6452.5136626411149</v>
      </c>
      <c r="N243" s="25">
        <f>B$5*Tbl_Loan1[[#This Row],[Initial debt]]</f>
        <v>640.76342285695955</v>
      </c>
      <c r="O243" s="25">
        <f>Tbl_Loan1[[#This Row],[Annuity]]-Tbl_Loan1[[#This Row],[Interest amount]]</f>
        <v>5811.7502397841554</v>
      </c>
      <c r="P243" s="25">
        <f>Tbl_Loan1[[#This Row],[Initial debt]]-Tbl_Loan1[[#This Row],[Redemption amount]]</f>
        <v>355334.31174197636</v>
      </c>
    </row>
    <row r="244" spans="4:16" x14ac:dyDescent="0.25">
      <c r="D244" t="str">
        <f>_xlfn.CONCAT(Tbl_Loan1[[#This Row],[Maandnummer ]],Tbl_Loan1[[#This Row],[Year]])</f>
        <v>32031</v>
      </c>
      <c r="E244" s="23">
        <f t="shared" si="11"/>
        <v>243</v>
      </c>
      <c r="F244" s="28">
        <v>47932</v>
      </c>
      <c r="G244" s="23">
        <f>MONTH(Tbl_Loan1[[#This Row],[Payment date]])</f>
        <v>3</v>
      </c>
      <c r="H244" s="23" t="str">
        <f>VLOOKUP(Tbl_Loan1[[#This Row],[Maandnummer ]],Tbl_Months[],2,FALSE)</f>
        <v>March</v>
      </c>
      <c r="I244" s="23" t="str">
        <f>VLOOKUP(Tbl_Loan1[[#This Row],[Maandnummer ]],Tbl_Months[],3,FALSE)</f>
        <v>I</v>
      </c>
      <c r="J244" s="23">
        <f>YEAR(Tbl_Loan1[[#This Row],[Payment date]])</f>
        <v>2031</v>
      </c>
      <c r="K244" s="23" t="str">
        <f>_xlfn.CONCAT(Tbl_Loan1[[#This Row],[Year]],Tbl_Loan1[[#This Row],[Quarter]])</f>
        <v>2031I</v>
      </c>
      <c r="L244" s="25">
        <f t="shared" si="9"/>
        <v>355334.31174197636</v>
      </c>
      <c r="M244" s="26">
        <f t="shared" si="10"/>
        <v>6452.5136626411149</v>
      </c>
      <c r="N244" s="25">
        <f>B$5*Tbl_Loan1[[#This Row],[Initial debt]]</f>
        <v>630.45192463377828</v>
      </c>
      <c r="O244" s="25">
        <f>Tbl_Loan1[[#This Row],[Annuity]]-Tbl_Loan1[[#This Row],[Interest amount]]</f>
        <v>5822.0617380073363</v>
      </c>
      <c r="P244" s="25">
        <f>Tbl_Loan1[[#This Row],[Initial debt]]-Tbl_Loan1[[#This Row],[Redemption amount]]</f>
        <v>349512.25000396901</v>
      </c>
    </row>
    <row r="245" spans="4:16" x14ac:dyDescent="0.25">
      <c r="D245" t="str">
        <f>_xlfn.CONCAT(Tbl_Loan1[[#This Row],[Maandnummer ]],Tbl_Loan1[[#This Row],[Year]])</f>
        <v>42031</v>
      </c>
      <c r="E245" s="23">
        <f t="shared" si="11"/>
        <v>244</v>
      </c>
      <c r="F245" s="28">
        <v>47963</v>
      </c>
      <c r="G245" s="23">
        <f>MONTH(Tbl_Loan1[[#This Row],[Payment date]])</f>
        <v>4</v>
      </c>
      <c r="H245" s="23" t="str">
        <f>VLOOKUP(Tbl_Loan1[[#This Row],[Maandnummer ]],Tbl_Months[],2,FALSE)</f>
        <v>April</v>
      </c>
      <c r="I245" s="23" t="str">
        <f>VLOOKUP(Tbl_Loan1[[#This Row],[Maandnummer ]],Tbl_Months[],3,FALSE)</f>
        <v>II</v>
      </c>
      <c r="J245" s="23">
        <f>YEAR(Tbl_Loan1[[#This Row],[Payment date]])</f>
        <v>2031</v>
      </c>
      <c r="K245" s="23" t="str">
        <f>_xlfn.CONCAT(Tbl_Loan1[[#This Row],[Year]],Tbl_Loan1[[#This Row],[Quarter]])</f>
        <v>2031II</v>
      </c>
      <c r="L245" s="25">
        <f t="shared" si="9"/>
        <v>349512.25000396901</v>
      </c>
      <c r="M245" s="26">
        <f t="shared" si="10"/>
        <v>6452.5136626411149</v>
      </c>
      <c r="N245" s="25">
        <f>B$5*Tbl_Loan1[[#This Row],[Initial debt]]</f>
        <v>620.12213123423533</v>
      </c>
      <c r="O245" s="25">
        <f>Tbl_Loan1[[#This Row],[Annuity]]-Tbl_Loan1[[#This Row],[Interest amount]]</f>
        <v>5832.3915314068799</v>
      </c>
      <c r="P245" s="25">
        <f>Tbl_Loan1[[#This Row],[Initial debt]]-Tbl_Loan1[[#This Row],[Redemption amount]]</f>
        <v>343679.8584725621</v>
      </c>
    </row>
    <row r="246" spans="4:16" x14ac:dyDescent="0.25">
      <c r="D246" t="str">
        <f>_xlfn.CONCAT(Tbl_Loan1[[#This Row],[Maandnummer ]],Tbl_Loan1[[#This Row],[Year]])</f>
        <v>52031</v>
      </c>
      <c r="E246" s="23">
        <f t="shared" si="11"/>
        <v>245</v>
      </c>
      <c r="F246" s="28">
        <v>47993</v>
      </c>
      <c r="G246" s="23">
        <f>MONTH(Tbl_Loan1[[#This Row],[Payment date]])</f>
        <v>5</v>
      </c>
      <c r="H246" s="23" t="str">
        <f>VLOOKUP(Tbl_Loan1[[#This Row],[Maandnummer ]],Tbl_Months[],2,FALSE)</f>
        <v>May</v>
      </c>
      <c r="I246" s="23" t="str">
        <f>VLOOKUP(Tbl_Loan1[[#This Row],[Maandnummer ]],Tbl_Months[],3,FALSE)</f>
        <v>II</v>
      </c>
      <c r="J246" s="23">
        <f>YEAR(Tbl_Loan1[[#This Row],[Payment date]])</f>
        <v>2031</v>
      </c>
      <c r="K246" s="23" t="str">
        <f>_xlfn.CONCAT(Tbl_Loan1[[#This Row],[Year]],Tbl_Loan1[[#This Row],[Quarter]])</f>
        <v>2031II</v>
      </c>
      <c r="L246" s="25">
        <f t="shared" si="9"/>
        <v>343679.8584725621</v>
      </c>
      <c r="M246" s="26">
        <f t="shared" si="10"/>
        <v>6452.5136626411149</v>
      </c>
      <c r="N246" s="25">
        <f>B$5*Tbl_Loan1[[#This Row],[Initial debt]]</f>
        <v>609.77401019811293</v>
      </c>
      <c r="O246" s="25">
        <f>Tbl_Loan1[[#This Row],[Annuity]]-Tbl_Loan1[[#This Row],[Interest amount]]</f>
        <v>5842.7396524430023</v>
      </c>
      <c r="P246" s="25">
        <f>Tbl_Loan1[[#This Row],[Initial debt]]-Tbl_Loan1[[#This Row],[Redemption amount]]</f>
        <v>337837.11882011913</v>
      </c>
    </row>
    <row r="247" spans="4:16" x14ac:dyDescent="0.25">
      <c r="D247" t="str">
        <f>_xlfn.CONCAT(Tbl_Loan1[[#This Row],[Maandnummer ]],Tbl_Loan1[[#This Row],[Year]])</f>
        <v>62031</v>
      </c>
      <c r="E247" s="23">
        <f t="shared" si="11"/>
        <v>246</v>
      </c>
      <c r="F247" s="28">
        <v>48024</v>
      </c>
      <c r="G247" s="23">
        <f>MONTH(Tbl_Loan1[[#This Row],[Payment date]])</f>
        <v>6</v>
      </c>
      <c r="H247" s="23" t="str">
        <f>VLOOKUP(Tbl_Loan1[[#This Row],[Maandnummer ]],Tbl_Months[],2,FALSE)</f>
        <v>June</v>
      </c>
      <c r="I247" s="23" t="str">
        <f>VLOOKUP(Tbl_Loan1[[#This Row],[Maandnummer ]],Tbl_Months[],3,FALSE)</f>
        <v>II</v>
      </c>
      <c r="J247" s="23">
        <f>YEAR(Tbl_Loan1[[#This Row],[Payment date]])</f>
        <v>2031</v>
      </c>
      <c r="K247" s="23" t="str">
        <f>_xlfn.CONCAT(Tbl_Loan1[[#This Row],[Year]],Tbl_Loan1[[#This Row],[Quarter]])</f>
        <v>2031II</v>
      </c>
      <c r="L247" s="25">
        <f t="shared" si="9"/>
        <v>337837.11882011913</v>
      </c>
      <c r="M247" s="26">
        <f t="shared" si="10"/>
        <v>6452.5136626411149</v>
      </c>
      <c r="N247" s="25">
        <f>B$5*Tbl_Loan1[[#This Row],[Initial debt]]</f>
        <v>599.40752900760083</v>
      </c>
      <c r="O247" s="25">
        <f>Tbl_Loan1[[#This Row],[Annuity]]-Tbl_Loan1[[#This Row],[Interest amount]]</f>
        <v>5853.1061336335142</v>
      </c>
      <c r="P247" s="25">
        <f>Tbl_Loan1[[#This Row],[Initial debt]]-Tbl_Loan1[[#This Row],[Redemption amount]]</f>
        <v>331984.0126864856</v>
      </c>
    </row>
    <row r="248" spans="4:16" x14ac:dyDescent="0.25">
      <c r="D248" t="str">
        <f>_xlfn.CONCAT(Tbl_Loan1[[#This Row],[Maandnummer ]],Tbl_Loan1[[#This Row],[Year]])</f>
        <v>72031</v>
      </c>
      <c r="E248" s="23">
        <f t="shared" si="11"/>
        <v>247</v>
      </c>
      <c r="F248" s="28">
        <v>48054</v>
      </c>
      <c r="G248" s="23">
        <f>MONTH(Tbl_Loan1[[#This Row],[Payment date]])</f>
        <v>7</v>
      </c>
      <c r="H248" s="23" t="str">
        <f>VLOOKUP(Tbl_Loan1[[#This Row],[Maandnummer ]],Tbl_Months[],2,FALSE)</f>
        <v>July</v>
      </c>
      <c r="I248" s="23" t="str">
        <f>VLOOKUP(Tbl_Loan1[[#This Row],[Maandnummer ]],Tbl_Months[],3,FALSE)</f>
        <v>III</v>
      </c>
      <c r="J248" s="23">
        <f>YEAR(Tbl_Loan1[[#This Row],[Payment date]])</f>
        <v>2031</v>
      </c>
      <c r="K248" s="23" t="str">
        <f>_xlfn.CONCAT(Tbl_Loan1[[#This Row],[Year]],Tbl_Loan1[[#This Row],[Quarter]])</f>
        <v>2031III</v>
      </c>
      <c r="L248" s="25">
        <f t="shared" si="9"/>
        <v>331984.0126864856</v>
      </c>
      <c r="M248" s="26">
        <f t="shared" si="10"/>
        <v>6452.5136626411149</v>
      </c>
      <c r="N248" s="25">
        <f>B$5*Tbl_Loan1[[#This Row],[Initial debt]]</f>
        <v>589.02265508719381</v>
      </c>
      <c r="O248" s="25">
        <f>Tbl_Loan1[[#This Row],[Annuity]]-Tbl_Loan1[[#This Row],[Interest amount]]</f>
        <v>5863.491007553921</v>
      </c>
      <c r="P248" s="25">
        <f>Tbl_Loan1[[#This Row],[Initial debt]]-Tbl_Loan1[[#This Row],[Redemption amount]]</f>
        <v>326120.52167893166</v>
      </c>
    </row>
    <row r="249" spans="4:16" x14ac:dyDescent="0.25">
      <c r="D249" t="str">
        <f>_xlfn.CONCAT(Tbl_Loan1[[#This Row],[Maandnummer ]],Tbl_Loan1[[#This Row],[Year]])</f>
        <v>82031</v>
      </c>
      <c r="E249" s="23">
        <f t="shared" si="11"/>
        <v>248</v>
      </c>
      <c r="F249" s="28">
        <v>48085</v>
      </c>
      <c r="G249" s="23">
        <f>MONTH(Tbl_Loan1[[#This Row],[Payment date]])</f>
        <v>8</v>
      </c>
      <c r="H249" s="23" t="str">
        <f>VLOOKUP(Tbl_Loan1[[#This Row],[Maandnummer ]],Tbl_Months[],2,FALSE)</f>
        <v>August</v>
      </c>
      <c r="I249" s="23" t="str">
        <f>VLOOKUP(Tbl_Loan1[[#This Row],[Maandnummer ]],Tbl_Months[],3,FALSE)</f>
        <v>III</v>
      </c>
      <c r="J249" s="23">
        <f>YEAR(Tbl_Loan1[[#This Row],[Payment date]])</f>
        <v>2031</v>
      </c>
      <c r="K249" s="23" t="str">
        <f>_xlfn.CONCAT(Tbl_Loan1[[#This Row],[Year]],Tbl_Loan1[[#This Row],[Quarter]])</f>
        <v>2031III</v>
      </c>
      <c r="L249" s="25">
        <f t="shared" si="9"/>
        <v>326120.52167893166</v>
      </c>
      <c r="M249" s="26">
        <f t="shared" si="10"/>
        <v>6452.5136626411149</v>
      </c>
      <c r="N249" s="25">
        <f>B$5*Tbl_Loan1[[#This Row],[Initial debt]]</f>
        <v>578.61935580358977</v>
      </c>
      <c r="O249" s="25">
        <f>Tbl_Loan1[[#This Row],[Annuity]]-Tbl_Loan1[[#This Row],[Interest amount]]</f>
        <v>5873.8943068375247</v>
      </c>
      <c r="P249" s="25">
        <f>Tbl_Loan1[[#This Row],[Initial debt]]-Tbl_Loan1[[#This Row],[Redemption amount]]</f>
        <v>320246.62737209414</v>
      </c>
    </row>
    <row r="250" spans="4:16" x14ac:dyDescent="0.25">
      <c r="D250" t="str">
        <f>_xlfn.CONCAT(Tbl_Loan1[[#This Row],[Maandnummer ]],Tbl_Loan1[[#This Row],[Year]])</f>
        <v>92031</v>
      </c>
      <c r="E250" s="23">
        <f t="shared" si="11"/>
        <v>249</v>
      </c>
      <c r="F250" s="28">
        <v>48116</v>
      </c>
      <c r="G250" s="23">
        <f>MONTH(Tbl_Loan1[[#This Row],[Payment date]])</f>
        <v>9</v>
      </c>
      <c r="H250" s="23" t="str">
        <f>VLOOKUP(Tbl_Loan1[[#This Row],[Maandnummer ]],Tbl_Months[],2,FALSE)</f>
        <v>September</v>
      </c>
      <c r="I250" s="23" t="str">
        <f>VLOOKUP(Tbl_Loan1[[#This Row],[Maandnummer ]],Tbl_Months[],3,FALSE)</f>
        <v>III</v>
      </c>
      <c r="J250" s="23">
        <f>YEAR(Tbl_Loan1[[#This Row],[Payment date]])</f>
        <v>2031</v>
      </c>
      <c r="K250" s="23" t="str">
        <f>_xlfn.CONCAT(Tbl_Loan1[[#This Row],[Year]],Tbl_Loan1[[#This Row],[Quarter]])</f>
        <v>2031III</v>
      </c>
      <c r="L250" s="25">
        <f t="shared" si="9"/>
        <v>320246.62737209414</v>
      </c>
      <c r="M250" s="26">
        <f t="shared" si="10"/>
        <v>6452.5136626411149</v>
      </c>
      <c r="N250" s="25">
        <f>B$5*Tbl_Loan1[[#This Row],[Initial debt]]</f>
        <v>568.19759846558702</v>
      </c>
      <c r="O250" s="25">
        <f>Tbl_Loan1[[#This Row],[Annuity]]-Tbl_Loan1[[#This Row],[Interest amount]]</f>
        <v>5884.3160641755276</v>
      </c>
      <c r="P250" s="25">
        <f>Tbl_Loan1[[#This Row],[Initial debt]]-Tbl_Loan1[[#This Row],[Redemption amount]]</f>
        <v>314362.31130791863</v>
      </c>
    </row>
    <row r="251" spans="4:16" x14ac:dyDescent="0.25">
      <c r="D251" t="str">
        <f>_xlfn.CONCAT(Tbl_Loan1[[#This Row],[Maandnummer ]],Tbl_Loan1[[#This Row],[Year]])</f>
        <v>102031</v>
      </c>
      <c r="E251" s="23">
        <f t="shared" si="11"/>
        <v>250</v>
      </c>
      <c r="F251" s="28">
        <v>48146</v>
      </c>
      <c r="G251" s="23">
        <f>MONTH(Tbl_Loan1[[#This Row],[Payment date]])</f>
        <v>10</v>
      </c>
      <c r="H251" s="23" t="str">
        <f>VLOOKUP(Tbl_Loan1[[#This Row],[Maandnummer ]],Tbl_Months[],2,FALSE)</f>
        <v>October</v>
      </c>
      <c r="I251" s="23" t="str">
        <f>VLOOKUP(Tbl_Loan1[[#This Row],[Maandnummer ]],Tbl_Months[],3,FALSE)</f>
        <v>IV</v>
      </c>
      <c r="J251" s="23">
        <f>YEAR(Tbl_Loan1[[#This Row],[Payment date]])</f>
        <v>2031</v>
      </c>
      <c r="K251" s="23" t="str">
        <f>_xlfn.CONCAT(Tbl_Loan1[[#This Row],[Year]],Tbl_Loan1[[#This Row],[Quarter]])</f>
        <v>2031IV</v>
      </c>
      <c r="L251" s="25">
        <f t="shared" si="9"/>
        <v>314362.31130791863</v>
      </c>
      <c r="M251" s="26">
        <f t="shared" si="10"/>
        <v>6452.5136626411149</v>
      </c>
      <c r="N251" s="25">
        <f>B$5*Tbl_Loan1[[#This Row],[Initial debt]]</f>
        <v>557.75735032398131</v>
      </c>
      <c r="O251" s="25">
        <f>Tbl_Loan1[[#This Row],[Annuity]]-Tbl_Loan1[[#This Row],[Interest amount]]</f>
        <v>5894.756312317134</v>
      </c>
      <c r="P251" s="25">
        <f>Tbl_Loan1[[#This Row],[Initial debt]]-Tbl_Loan1[[#This Row],[Redemption amount]]</f>
        <v>308467.55499560147</v>
      </c>
    </row>
    <row r="252" spans="4:16" x14ac:dyDescent="0.25">
      <c r="D252" t="str">
        <f>_xlfn.CONCAT(Tbl_Loan1[[#This Row],[Maandnummer ]],Tbl_Loan1[[#This Row],[Year]])</f>
        <v>112031</v>
      </c>
      <c r="E252" s="23">
        <f t="shared" si="11"/>
        <v>251</v>
      </c>
      <c r="F252" s="28">
        <v>48177</v>
      </c>
      <c r="G252" s="23">
        <f>MONTH(Tbl_Loan1[[#This Row],[Payment date]])</f>
        <v>11</v>
      </c>
      <c r="H252" s="23" t="str">
        <f>VLOOKUP(Tbl_Loan1[[#This Row],[Maandnummer ]],Tbl_Months[],2,FALSE)</f>
        <v>November</v>
      </c>
      <c r="I252" s="23" t="str">
        <f>VLOOKUP(Tbl_Loan1[[#This Row],[Maandnummer ]],Tbl_Months[],3,FALSE)</f>
        <v>IV</v>
      </c>
      <c r="J252" s="23">
        <f>YEAR(Tbl_Loan1[[#This Row],[Payment date]])</f>
        <v>2031</v>
      </c>
      <c r="K252" s="23" t="str">
        <f>_xlfn.CONCAT(Tbl_Loan1[[#This Row],[Year]],Tbl_Loan1[[#This Row],[Quarter]])</f>
        <v>2031IV</v>
      </c>
      <c r="L252" s="25">
        <f t="shared" si="9"/>
        <v>308467.55499560147</v>
      </c>
      <c r="M252" s="26">
        <f t="shared" si="10"/>
        <v>6452.5136626411149</v>
      </c>
      <c r="N252" s="25">
        <f>B$5*Tbl_Loan1[[#This Row],[Initial debt]]</f>
        <v>547.29857857146305</v>
      </c>
      <c r="O252" s="25">
        <f>Tbl_Loan1[[#This Row],[Annuity]]-Tbl_Loan1[[#This Row],[Interest amount]]</f>
        <v>5905.2150840696522</v>
      </c>
      <c r="P252" s="25">
        <f>Tbl_Loan1[[#This Row],[Initial debt]]-Tbl_Loan1[[#This Row],[Redemption amount]]</f>
        <v>302562.33991153183</v>
      </c>
    </row>
    <row r="253" spans="4:16" x14ac:dyDescent="0.25">
      <c r="D253" t="str">
        <f>_xlfn.CONCAT(Tbl_Loan1[[#This Row],[Maandnummer ]],Tbl_Loan1[[#This Row],[Year]])</f>
        <v>122031</v>
      </c>
      <c r="E253" s="23">
        <f t="shared" si="11"/>
        <v>252</v>
      </c>
      <c r="F253" s="28">
        <v>48207</v>
      </c>
      <c r="G253" s="23">
        <f>MONTH(Tbl_Loan1[[#This Row],[Payment date]])</f>
        <v>12</v>
      </c>
      <c r="H253" s="23" t="str">
        <f>VLOOKUP(Tbl_Loan1[[#This Row],[Maandnummer ]],Tbl_Months[],2,FALSE)</f>
        <v>December</v>
      </c>
      <c r="I253" s="23" t="str">
        <f>VLOOKUP(Tbl_Loan1[[#This Row],[Maandnummer ]],Tbl_Months[],3,FALSE)</f>
        <v>IV</v>
      </c>
      <c r="J253" s="23">
        <f>YEAR(Tbl_Loan1[[#This Row],[Payment date]])</f>
        <v>2031</v>
      </c>
      <c r="K253" s="23" t="str">
        <f>_xlfn.CONCAT(Tbl_Loan1[[#This Row],[Year]],Tbl_Loan1[[#This Row],[Quarter]])</f>
        <v>2031IV</v>
      </c>
      <c r="L253" s="25">
        <f t="shared" si="9"/>
        <v>302562.33991153183</v>
      </c>
      <c r="M253" s="26">
        <f t="shared" si="10"/>
        <v>6452.5136626411149</v>
      </c>
      <c r="N253" s="25">
        <f>B$5*Tbl_Loan1[[#This Row],[Initial debt]]</f>
        <v>536.82125034251476</v>
      </c>
      <c r="O253" s="25">
        <f>Tbl_Loan1[[#This Row],[Annuity]]-Tbl_Loan1[[#This Row],[Interest amount]]</f>
        <v>5915.6924122986002</v>
      </c>
      <c r="P253" s="25">
        <f>Tbl_Loan1[[#This Row],[Initial debt]]-Tbl_Loan1[[#This Row],[Redemption amount]]</f>
        <v>296646.64749923325</v>
      </c>
    </row>
    <row r="254" spans="4:16" x14ac:dyDescent="0.25">
      <c r="D254" t="str">
        <f>_xlfn.CONCAT(Tbl_Loan1[[#This Row],[Maandnummer ]],Tbl_Loan1[[#This Row],[Year]])</f>
        <v>12032</v>
      </c>
      <c r="E254" s="23">
        <f t="shared" si="11"/>
        <v>253</v>
      </c>
      <c r="F254" s="28">
        <v>48238</v>
      </c>
      <c r="G254" s="23">
        <f>MONTH(Tbl_Loan1[[#This Row],[Payment date]])</f>
        <v>1</v>
      </c>
      <c r="H254" s="23" t="str">
        <f>VLOOKUP(Tbl_Loan1[[#This Row],[Maandnummer ]],Tbl_Months[],2,FALSE)</f>
        <v>January</v>
      </c>
      <c r="I254" s="23" t="str">
        <f>VLOOKUP(Tbl_Loan1[[#This Row],[Maandnummer ]],Tbl_Months[],3,FALSE)</f>
        <v>I</v>
      </c>
      <c r="J254" s="23">
        <f>YEAR(Tbl_Loan1[[#This Row],[Payment date]])</f>
        <v>2032</v>
      </c>
      <c r="K254" s="23" t="str">
        <f>_xlfn.CONCAT(Tbl_Loan1[[#This Row],[Year]],Tbl_Loan1[[#This Row],[Quarter]])</f>
        <v>2032I</v>
      </c>
      <c r="L254" s="25">
        <f t="shared" si="9"/>
        <v>296646.64749923325</v>
      </c>
      <c r="M254" s="26">
        <f t="shared" si="10"/>
        <v>6452.5136626411149</v>
      </c>
      <c r="N254" s="25">
        <f>B$5*Tbl_Loan1[[#This Row],[Initial debt]]</f>
        <v>526.32533271330692</v>
      </c>
      <c r="O254" s="25">
        <f>Tbl_Loan1[[#This Row],[Annuity]]-Tbl_Loan1[[#This Row],[Interest amount]]</f>
        <v>5926.1883299278079</v>
      </c>
      <c r="P254" s="25">
        <f>Tbl_Loan1[[#This Row],[Initial debt]]-Tbl_Loan1[[#This Row],[Redemption amount]]</f>
        <v>290720.45916930545</v>
      </c>
    </row>
    <row r="255" spans="4:16" x14ac:dyDescent="0.25">
      <c r="D255" t="str">
        <f>_xlfn.CONCAT(Tbl_Loan1[[#This Row],[Maandnummer ]],Tbl_Loan1[[#This Row],[Year]])</f>
        <v>22032</v>
      </c>
      <c r="E255" s="23">
        <f t="shared" si="11"/>
        <v>254</v>
      </c>
      <c r="F255" s="28">
        <v>48269</v>
      </c>
      <c r="G255" s="23">
        <f>MONTH(Tbl_Loan1[[#This Row],[Payment date]])</f>
        <v>2</v>
      </c>
      <c r="H255" s="23" t="str">
        <f>VLOOKUP(Tbl_Loan1[[#This Row],[Maandnummer ]],Tbl_Months[],2,FALSE)</f>
        <v>February</v>
      </c>
      <c r="I255" s="23" t="str">
        <f>VLOOKUP(Tbl_Loan1[[#This Row],[Maandnummer ]],Tbl_Months[],3,FALSE)</f>
        <v>I</v>
      </c>
      <c r="J255" s="23">
        <f>YEAR(Tbl_Loan1[[#This Row],[Payment date]])</f>
        <v>2032</v>
      </c>
      <c r="K255" s="23" t="str">
        <f>_xlfn.CONCAT(Tbl_Loan1[[#This Row],[Year]],Tbl_Loan1[[#This Row],[Quarter]])</f>
        <v>2032I</v>
      </c>
      <c r="L255" s="25">
        <f t="shared" si="9"/>
        <v>290720.45916930545</v>
      </c>
      <c r="M255" s="26">
        <f t="shared" si="10"/>
        <v>6452.5136626411149</v>
      </c>
      <c r="N255" s="25">
        <f>B$5*Tbl_Loan1[[#This Row],[Initial debt]]</f>
        <v>515.81079270159466</v>
      </c>
      <c r="O255" s="25">
        <f>Tbl_Loan1[[#This Row],[Annuity]]-Tbl_Loan1[[#This Row],[Interest amount]]</f>
        <v>5936.7028699395205</v>
      </c>
      <c r="P255" s="25">
        <f>Tbl_Loan1[[#This Row],[Initial debt]]-Tbl_Loan1[[#This Row],[Redemption amount]]</f>
        <v>284783.75629936595</v>
      </c>
    </row>
    <row r="256" spans="4:16" x14ac:dyDescent="0.25">
      <c r="D256" t="str">
        <f>_xlfn.CONCAT(Tbl_Loan1[[#This Row],[Maandnummer ]],Tbl_Loan1[[#This Row],[Year]])</f>
        <v>32032</v>
      </c>
      <c r="E256" s="23">
        <f t="shared" si="11"/>
        <v>255</v>
      </c>
      <c r="F256" s="28">
        <v>48298</v>
      </c>
      <c r="G256" s="23">
        <f>MONTH(Tbl_Loan1[[#This Row],[Payment date]])</f>
        <v>3</v>
      </c>
      <c r="H256" s="23" t="str">
        <f>VLOOKUP(Tbl_Loan1[[#This Row],[Maandnummer ]],Tbl_Months[],2,FALSE)</f>
        <v>March</v>
      </c>
      <c r="I256" s="23" t="str">
        <f>VLOOKUP(Tbl_Loan1[[#This Row],[Maandnummer ]],Tbl_Months[],3,FALSE)</f>
        <v>I</v>
      </c>
      <c r="J256" s="23">
        <f>YEAR(Tbl_Loan1[[#This Row],[Payment date]])</f>
        <v>2032</v>
      </c>
      <c r="K256" s="23" t="str">
        <f>_xlfn.CONCAT(Tbl_Loan1[[#This Row],[Year]],Tbl_Loan1[[#This Row],[Quarter]])</f>
        <v>2032I</v>
      </c>
      <c r="L256" s="25">
        <f t="shared" si="9"/>
        <v>284783.75629936595</v>
      </c>
      <c r="M256" s="26">
        <f t="shared" si="10"/>
        <v>6452.5136626411149</v>
      </c>
      <c r="N256" s="25">
        <f>B$5*Tbl_Loan1[[#This Row],[Initial debt]]</f>
        <v>505.27759726661503</v>
      </c>
      <c r="O256" s="25">
        <f>Tbl_Loan1[[#This Row],[Annuity]]-Tbl_Loan1[[#This Row],[Interest amount]]</f>
        <v>5947.2360653745</v>
      </c>
      <c r="P256" s="25">
        <f>Tbl_Loan1[[#This Row],[Initial debt]]-Tbl_Loan1[[#This Row],[Redemption amount]]</f>
        <v>278836.52023399144</v>
      </c>
    </row>
    <row r="257" spans="4:16" x14ac:dyDescent="0.25">
      <c r="D257" t="str">
        <f>_xlfn.CONCAT(Tbl_Loan1[[#This Row],[Maandnummer ]],Tbl_Loan1[[#This Row],[Year]])</f>
        <v>42032</v>
      </c>
      <c r="E257" s="23">
        <f t="shared" si="11"/>
        <v>256</v>
      </c>
      <c r="F257" s="28">
        <v>48329</v>
      </c>
      <c r="G257" s="23">
        <f>MONTH(Tbl_Loan1[[#This Row],[Payment date]])</f>
        <v>4</v>
      </c>
      <c r="H257" s="23" t="str">
        <f>VLOOKUP(Tbl_Loan1[[#This Row],[Maandnummer ]],Tbl_Months[],2,FALSE)</f>
        <v>April</v>
      </c>
      <c r="I257" s="23" t="str">
        <f>VLOOKUP(Tbl_Loan1[[#This Row],[Maandnummer ]],Tbl_Months[],3,FALSE)</f>
        <v>II</v>
      </c>
      <c r="J257" s="23">
        <f>YEAR(Tbl_Loan1[[#This Row],[Payment date]])</f>
        <v>2032</v>
      </c>
      <c r="K257" s="23" t="str">
        <f>_xlfn.CONCAT(Tbl_Loan1[[#This Row],[Year]],Tbl_Loan1[[#This Row],[Quarter]])</f>
        <v>2032II</v>
      </c>
      <c r="L257" s="25">
        <f t="shared" si="9"/>
        <v>278836.52023399144</v>
      </c>
      <c r="M257" s="26">
        <f t="shared" si="10"/>
        <v>6452.5136626411149</v>
      </c>
      <c r="N257" s="25">
        <f>B$5*Tbl_Loan1[[#This Row],[Initial debt]]</f>
        <v>494.72571330898182</v>
      </c>
      <c r="O257" s="25">
        <f>Tbl_Loan1[[#This Row],[Annuity]]-Tbl_Loan1[[#This Row],[Interest amount]]</f>
        <v>5957.7879493321334</v>
      </c>
      <c r="P257" s="25">
        <f>Tbl_Loan1[[#This Row],[Initial debt]]-Tbl_Loan1[[#This Row],[Redemption amount]]</f>
        <v>272878.73228465929</v>
      </c>
    </row>
    <row r="258" spans="4:16" x14ac:dyDescent="0.25">
      <c r="D258" t="str">
        <f>_xlfn.CONCAT(Tbl_Loan1[[#This Row],[Maandnummer ]],Tbl_Loan1[[#This Row],[Year]])</f>
        <v>52032</v>
      </c>
      <c r="E258" s="23">
        <f t="shared" si="11"/>
        <v>257</v>
      </c>
      <c r="F258" s="28">
        <v>48359</v>
      </c>
      <c r="G258" s="23">
        <f>MONTH(Tbl_Loan1[[#This Row],[Payment date]])</f>
        <v>5</v>
      </c>
      <c r="H258" s="23" t="str">
        <f>VLOOKUP(Tbl_Loan1[[#This Row],[Maandnummer ]],Tbl_Months[],2,FALSE)</f>
        <v>May</v>
      </c>
      <c r="I258" s="23" t="str">
        <f>VLOOKUP(Tbl_Loan1[[#This Row],[Maandnummer ]],Tbl_Months[],3,FALSE)</f>
        <v>II</v>
      </c>
      <c r="J258" s="23">
        <f>YEAR(Tbl_Loan1[[#This Row],[Payment date]])</f>
        <v>2032</v>
      </c>
      <c r="K258" s="23" t="str">
        <f>_xlfn.CONCAT(Tbl_Loan1[[#This Row],[Year]],Tbl_Loan1[[#This Row],[Quarter]])</f>
        <v>2032II</v>
      </c>
      <c r="L258" s="25">
        <f t="shared" ref="L258:L301" si="12">IF(P257="Residual debt",B$1,P257)</f>
        <v>272878.73228465929</v>
      </c>
      <c r="M258" s="26">
        <f t="shared" ref="M258:M301" si="13">B$6</f>
        <v>6452.5136626411149</v>
      </c>
      <c r="N258" s="25">
        <f>B$5*Tbl_Loan1[[#This Row],[Initial debt]]</f>
        <v>484.15510767058277</v>
      </c>
      <c r="O258" s="25">
        <f>Tbl_Loan1[[#This Row],[Annuity]]-Tbl_Loan1[[#This Row],[Interest amount]]</f>
        <v>5968.3585549705322</v>
      </c>
      <c r="P258" s="25">
        <f>Tbl_Loan1[[#This Row],[Initial debt]]-Tbl_Loan1[[#This Row],[Redemption amount]]</f>
        <v>266910.37372968876</v>
      </c>
    </row>
    <row r="259" spans="4:16" x14ac:dyDescent="0.25">
      <c r="D259" t="str">
        <f>_xlfn.CONCAT(Tbl_Loan1[[#This Row],[Maandnummer ]],Tbl_Loan1[[#This Row],[Year]])</f>
        <v>62032</v>
      </c>
      <c r="E259" s="23">
        <f t="shared" si="11"/>
        <v>258</v>
      </c>
      <c r="F259" s="28">
        <v>48390</v>
      </c>
      <c r="G259" s="23">
        <f>MONTH(Tbl_Loan1[[#This Row],[Payment date]])</f>
        <v>6</v>
      </c>
      <c r="H259" s="23" t="str">
        <f>VLOOKUP(Tbl_Loan1[[#This Row],[Maandnummer ]],Tbl_Months[],2,FALSE)</f>
        <v>June</v>
      </c>
      <c r="I259" s="23" t="str">
        <f>VLOOKUP(Tbl_Loan1[[#This Row],[Maandnummer ]],Tbl_Months[],3,FALSE)</f>
        <v>II</v>
      </c>
      <c r="J259" s="23">
        <f>YEAR(Tbl_Loan1[[#This Row],[Payment date]])</f>
        <v>2032</v>
      </c>
      <c r="K259" s="23" t="str">
        <f>_xlfn.CONCAT(Tbl_Loan1[[#This Row],[Year]],Tbl_Loan1[[#This Row],[Quarter]])</f>
        <v>2032II</v>
      </c>
      <c r="L259" s="25">
        <f t="shared" si="12"/>
        <v>266910.37372968876</v>
      </c>
      <c r="M259" s="26">
        <f t="shared" si="13"/>
        <v>6452.5136626411149</v>
      </c>
      <c r="N259" s="25">
        <f>B$5*Tbl_Loan1[[#This Row],[Initial debt]]</f>
        <v>473.56574713447458</v>
      </c>
      <c r="O259" s="25">
        <f>Tbl_Loan1[[#This Row],[Annuity]]-Tbl_Loan1[[#This Row],[Interest amount]]</f>
        <v>5978.9479155066401</v>
      </c>
      <c r="P259" s="25">
        <f>Tbl_Loan1[[#This Row],[Initial debt]]-Tbl_Loan1[[#This Row],[Redemption amount]]</f>
        <v>260931.42581418212</v>
      </c>
    </row>
    <row r="260" spans="4:16" x14ac:dyDescent="0.25">
      <c r="D260" t="str">
        <f>_xlfn.CONCAT(Tbl_Loan1[[#This Row],[Maandnummer ]],Tbl_Loan1[[#This Row],[Year]])</f>
        <v>72032</v>
      </c>
      <c r="E260" s="23">
        <f t="shared" si="11"/>
        <v>259</v>
      </c>
      <c r="F260" s="28">
        <v>48420</v>
      </c>
      <c r="G260" s="23">
        <f>MONTH(Tbl_Loan1[[#This Row],[Payment date]])</f>
        <v>7</v>
      </c>
      <c r="H260" s="23" t="str">
        <f>VLOOKUP(Tbl_Loan1[[#This Row],[Maandnummer ]],Tbl_Months[],2,FALSE)</f>
        <v>July</v>
      </c>
      <c r="I260" s="23" t="str">
        <f>VLOOKUP(Tbl_Loan1[[#This Row],[Maandnummer ]],Tbl_Months[],3,FALSE)</f>
        <v>III</v>
      </c>
      <c r="J260" s="23">
        <f>YEAR(Tbl_Loan1[[#This Row],[Payment date]])</f>
        <v>2032</v>
      </c>
      <c r="K260" s="23" t="str">
        <f>_xlfn.CONCAT(Tbl_Loan1[[#This Row],[Year]],Tbl_Loan1[[#This Row],[Quarter]])</f>
        <v>2032III</v>
      </c>
      <c r="L260" s="25">
        <f t="shared" si="12"/>
        <v>260931.42581418212</v>
      </c>
      <c r="M260" s="26">
        <f t="shared" si="13"/>
        <v>6452.5136626411149</v>
      </c>
      <c r="N260" s="25">
        <f>B$5*Tbl_Loan1[[#This Row],[Initial debt]]</f>
        <v>462.95759842477884</v>
      </c>
      <c r="O260" s="25">
        <f>Tbl_Loan1[[#This Row],[Annuity]]-Tbl_Loan1[[#This Row],[Interest amount]]</f>
        <v>5989.5560642163364</v>
      </c>
      <c r="P260" s="25">
        <f>Tbl_Loan1[[#This Row],[Initial debt]]-Tbl_Loan1[[#This Row],[Redemption amount]]</f>
        <v>254941.86974996579</v>
      </c>
    </row>
    <row r="261" spans="4:16" x14ac:dyDescent="0.25">
      <c r="D261" t="str">
        <f>_xlfn.CONCAT(Tbl_Loan1[[#This Row],[Maandnummer ]],Tbl_Loan1[[#This Row],[Year]])</f>
        <v>82032</v>
      </c>
      <c r="E261" s="23">
        <f t="shared" ref="E261:E301" si="14">E260+1</f>
        <v>260</v>
      </c>
      <c r="F261" s="28">
        <v>48451</v>
      </c>
      <c r="G261" s="23">
        <f>MONTH(Tbl_Loan1[[#This Row],[Payment date]])</f>
        <v>8</v>
      </c>
      <c r="H261" s="23" t="str">
        <f>VLOOKUP(Tbl_Loan1[[#This Row],[Maandnummer ]],Tbl_Months[],2,FALSE)</f>
        <v>August</v>
      </c>
      <c r="I261" s="23" t="str">
        <f>VLOOKUP(Tbl_Loan1[[#This Row],[Maandnummer ]],Tbl_Months[],3,FALSE)</f>
        <v>III</v>
      </c>
      <c r="J261" s="23">
        <f>YEAR(Tbl_Loan1[[#This Row],[Payment date]])</f>
        <v>2032</v>
      </c>
      <c r="K261" s="23" t="str">
        <f>_xlfn.CONCAT(Tbl_Loan1[[#This Row],[Year]],Tbl_Loan1[[#This Row],[Quarter]])</f>
        <v>2032III</v>
      </c>
      <c r="L261" s="25">
        <f t="shared" si="12"/>
        <v>254941.86974996579</v>
      </c>
      <c r="M261" s="26">
        <f t="shared" si="13"/>
        <v>6452.5136626411149</v>
      </c>
      <c r="N261" s="25">
        <f>B$5*Tbl_Loan1[[#This Row],[Initial debt]]</f>
        <v>452.33062820657733</v>
      </c>
      <c r="O261" s="25">
        <f>Tbl_Loan1[[#This Row],[Annuity]]-Tbl_Loan1[[#This Row],[Interest amount]]</f>
        <v>6000.1830344345381</v>
      </c>
      <c r="P261" s="25">
        <f>Tbl_Loan1[[#This Row],[Initial debt]]-Tbl_Loan1[[#This Row],[Redemption amount]]</f>
        <v>248941.68671553125</v>
      </c>
    </row>
    <row r="262" spans="4:16" x14ac:dyDescent="0.25">
      <c r="D262" t="str">
        <f>_xlfn.CONCAT(Tbl_Loan1[[#This Row],[Maandnummer ]],Tbl_Loan1[[#This Row],[Year]])</f>
        <v>92032</v>
      </c>
      <c r="E262" s="23">
        <f t="shared" si="14"/>
        <v>261</v>
      </c>
      <c r="F262" s="28">
        <v>48482</v>
      </c>
      <c r="G262" s="23">
        <f>MONTH(Tbl_Loan1[[#This Row],[Payment date]])</f>
        <v>9</v>
      </c>
      <c r="H262" s="23" t="str">
        <f>VLOOKUP(Tbl_Loan1[[#This Row],[Maandnummer ]],Tbl_Months[],2,FALSE)</f>
        <v>September</v>
      </c>
      <c r="I262" s="23" t="str">
        <f>VLOOKUP(Tbl_Loan1[[#This Row],[Maandnummer ]],Tbl_Months[],3,FALSE)</f>
        <v>III</v>
      </c>
      <c r="J262" s="23">
        <f>YEAR(Tbl_Loan1[[#This Row],[Payment date]])</f>
        <v>2032</v>
      </c>
      <c r="K262" s="23" t="str">
        <f>_xlfn.CONCAT(Tbl_Loan1[[#This Row],[Year]],Tbl_Loan1[[#This Row],[Quarter]])</f>
        <v>2032III</v>
      </c>
      <c r="L262" s="25">
        <f t="shared" si="12"/>
        <v>248941.68671553125</v>
      </c>
      <c r="M262" s="26">
        <f t="shared" si="13"/>
        <v>6452.5136626411149</v>
      </c>
      <c r="N262" s="25">
        <f>B$5*Tbl_Loan1[[#This Row],[Initial debt]]</f>
        <v>441.68480308580752</v>
      </c>
      <c r="O262" s="25">
        <f>Tbl_Loan1[[#This Row],[Annuity]]-Tbl_Loan1[[#This Row],[Interest amount]]</f>
        <v>6010.8288595553076</v>
      </c>
      <c r="P262" s="25">
        <f>Tbl_Loan1[[#This Row],[Initial debt]]-Tbl_Loan1[[#This Row],[Redemption amount]]</f>
        <v>242930.85785597595</v>
      </c>
    </row>
    <row r="263" spans="4:16" x14ac:dyDescent="0.25">
      <c r="D263" t="str">
        <f>_xlfn.CONCAT(Tbl_Loan1[[#This Row],[Maandnummer ]],Tbl_Loan1[[#This Row],[Year]])</f>
        <v>102032</v>
      </c>
      <c r="E263" s="23">
        <f t="shared" si="14"/>
        <v>262</v>
      </c>
      <c r="F263" s="28">
        <v>48512</v>
      </c>
      <c r="G263" s="23">
        <f>MONTH(Tbl_Loan1[[#This Row],[Payment date]])</f>
        <v>10</v>
      </c>
      <c r="H263" s="23" t="str">
        <f>VLOOKUP(Tbl_Loan1[[#This Row],[Maandnummer ]],Tbl_Months[],2,FALSE)</f>
        <v>October</v>
      </c>
      <c r="I263" s="23" t="str">
        <f>VLOOKUP(Tbl_Loan1[[#This Row],[Maandnummer ]],Tbl_Months[],3,FALSE)</f>
        <v>IV</v>
      </c>
      <c r="J263" s="23">
        <f>YEAR(Tbl_Loan1[[#This Row],[Payment date]])</f>
        <v>2032</v>
      </c>
      <c r="K263" s="23" t="str">
        <f>_xlfn.CONCAT(Tbl_Loan1[[#This Row],[Year]],Tbl_Loan1[[#This Row],[Quarter]])</f>
        <v>2032IV</v>
      </c>
      <c r="L263" s="25">
        <f t="shared" si="12"/>
        <v>242930.85785597595</v>
      </c>
      <c r="M263" s="26">
        <f t="shared" si="13"/>
        <v>6452.5136626411149</v>
      </c>
      <c r="N263" s="25">
        <f>B$5*Tbl_Loan1[[#This Row],[Initial debt]]</f>
        <v>431.02008960915725</v>
      </c>
      <c r="O263" s="25">
        <f>Tbl_Loan1[[#This Row],[Annuity]]-Tbl_Loan1[[#This Row],[Interest amount]]</f>
        <v>6021.4935730319576</v>
      </c>
      <c r="P263" s="25">
        <f>Tbl_Loan1[[#This Row],[Initial debt]]-Tbl_Loan1[[#This Row],[Redemption amount]]</f>
        <v>236909.36428294398</v>
      </c>
    </row>
    <row r="264" spans="4:16" x14ac:dyDescent="0.25">
      <c r="D264" t="str">
        <f>_xlfn.CONCAT(Tbl_Loan1[[#This Row],[Maandnummer ]],Tbl_Loan1[[#This Row],[Year]])</f>
        <v>112032</v>
      </c>
      <c r="E264" s="23">
        <f t="shared" si="14"/>
        <v>263</v>
      </c>
      <c r="F264" s="28">
        <v>48543</v>
      </c>
      <c r="G264" s="23">
        <f>MONTH(Tbl_Loan1[[#This Row],[Payment date]])</f>
        <v>11</v>
      </c>
      <c r="H264" s="23" t="str">
        <f>VLOOKUP(Tbl_Loan1[[#This Row],[Maandnummer ]],Tbl_Months[],2,FALSE)</f>
        <v>November</v>
      </c>
      <c r="I264" s="23" t="str">
        <f>VLOOKUP(Tbl_Loan1[[#This Row],[Maandnummer ]],Tbl_Months[],3,FALSE)</f>
        <v>IV</v>
      </c>
      <c r="J264" s="23">
        <f>YEAR(Tbl_Loan1[[#This Row],[Payment date]])</f>
        <v>2032</v>
      </c>
      <c r="K264" s="23" t="str">
        <f>_xlfn.CONCAT(Tbl_Loan1[[#This Row],[Year]],Tbl_Loan1[[#This Row],[Quarter]])</f>
        <v>2032IV</v>
      </c>
      <c r="L264" s="25">
        <f t="shared" si="12"/>
        <v>236909.36428294398</v>
      </c>
      <c r="M264" s="26">
        <f t="shared" si="13"/>
        <v>6452.5136626411149</v>
      </c>
      <c r="N264" s="25">
        <f>B$5*Tbl_Loan1[[#This Row],[Initial debt]]</f>
        <v>420.33645426395992</v>
      </c>
      <c r="O264" s="25">
        <f>Tbl_Loan1[[#This Row],[Annuity]]-Tbl_Loan1[[#This Row],[Interest amount]]</f>
        <v>6032.1772083771548</v>
      </c>
      <c r="P264" s="25">
        <f>Tbl_Loan1[[#This Row],[Initial debt]]-Tbl_Loan1[[#This Row],[Redemption amount]]</f>
        <v>230877.18707456681</v>
      </c>
    </row>
    <row r="265" spans="4:16" x14ac:dyDescent="0.25">
      <c r="D265" t="str">
        <f>_xlfn.CONCAT(Tbl_Loan1[[#This Row],[Maandnummer ]],Tbl_Loan1[[#This Row],[Year]])</f>
        <v>122032</v>
      </c>
      <c r="E265" s="23">
        <f t="shared" si="14"/>
        <v>264</v>
      </c>
      <c r="F265" s="28">
        <v>48573</v>
      </c>
      <c r="G265" s="23">
        <f>MONTH(Tbl_Loan1[[#This Row],[Payment date]])</f>
        <v>12</v>
      </c>
      <c r="H265" s="23" t="str">
        <f>VLOOKUP(Tbl_Loan1[[#This Row],[Maandnummer ]],Tbl_Months[],2,FALSE)</f>
        <v>December</v>
      </c>
      <c r="I265" s="23" t="str">
        <f>VLOOKUP(Tbl_Loan1[[#This Row],[Maandnummer ]],Tbl_Months[],3,FALSE)</f>
        <v>IV</v>
      </c>
      <c r="J265" s="23">
        <f>YEAR(Tbl_Loan1[[#This Row],[Payment date]])</f>
        <v>2032</v>
      </c>
      <c r="K265" s="23" t="str">
        <f>_xlfn.CONCAT(Tbl_Loan1[[#This Row],[Year]],Tbl_Loan1[[#This Row],[Quarter]])</f>
        <v>2032IV</v>
      </c>
      <c r="L265" s="25">
        <f t="shared" si="12"/>
        <v>230877.18707456681</v>
      </c>
      <c r="M265" s="26">
        <f t="shared" si="13"/>
        <v>6452.5136626411149</v>
      </c>
      <c r="N265" s="25">
        <f>B$5*Tbl_Loan1[[#This Row],[Initial debt]]</f>
        <v>409.63386347808921</v>
      </c>
      <c r="O265" s="25">
        <f>Tbl_Loan1[[#This Row],[Annuity]]-Tbl_Loan1[[#This Row],[Interest amount]]</f>
        <v>6042.8797991630254</v>
      </c>
      <c r="P265" s="25">
        <f>Tbl_Loan1[[#This Row],[Initial debt]]-Tbl_Loan1[[#This Row],[Redemption amount]]</f>
        <v>224834.30727540379</v>
      </c>
    </row>
    <row r="266" spans="4:16" x14ac:dyDescent="0.25">
      <c r="D266" t="str">
        <f>_xlfn.CONCAT(Tbl_Loan1[[#This Row],[Maandnummer ]],Tbl_Loan1[[#This Row],[Year]])</f>
        <v>12033</v>
      </c>
      <c r="E266" s="23">
        <f t="shared" si="14"/>
        <v>265</v>
      </c>
      <c r="F266" s="28">
        <v>48604</v>
      </c>
      <c r="G266" s="23">
        <f>MONTH(Tbl_Loan1[[#This Row],[Payment date]])</f>
        <v>1</v>
      </c>
      <c r="H266" s="23" t="str">
        <f>VLOOKUP(Tbl_Loan1[[#This Row],[Maandnummer ]],Tbl_Months[],2,FALSE)</f>
        <v>January</v>
      </c>
      <c r="I266" s="23" t="str">
        <f>VLOOKUP(Tbl_Loan1[[#This Row],[Maandnummer ]],Tbl_Months[],3,FALSE)</f>
        <v>I</v>
      </c>
      <c r="J266" s="23">
        <f>YEAR(Tbl_Loan1[[#This Row],[Payment date]])</f>
        <v>2033</v>
      </c>
      <c r="K266" s="23" t="str">
        <f>_xlfn.CONCAT(Tbl_Loan1[[#This Row],[Year]],Tbl_Loan1[[#This Row],[Quarter]])</f>
        <v>2033I</v>
      </c>
      <c r="L266" s="25">
        <f t="shared" si="12"/>
        <v>224834.30727540379</v>
      </c>
      <c r="M266" s="26">
        <f t="shared" si="13"/>
        <v>6452.5136626411149</v>
      </c>
      <c r="N266" s="25">
        <f>B$5*Tbl_Loan1[[#This Row],[Initial debt]]</f>
        <v>398.91228361985327</v>
      </c>
      <c r="O266" s="25">
        <f>Tbl_Loan1[[#This Row],[Annuity]]-Tbl_Loan1[[#This Row],[Interest amount]]</f>
        <v>6053.6013790212619</v>
      </c>
      <c r="P266" s="25">
        <f>Tbl_Loan1[[#This Row],[Initial debt]]-Tbl_Loan1[[#This Row],[Redemption amount]]</f>
        <v>218780.70589638251</v>
      </c>
    </row>
    <row r="267" spans="4:16" x14ac:dyDescent="0.25">
      <c r="D267" t="str">
        <f>_xlfn.CONCAT(Tbl_Loan1[[#This Row],[Maandnummer ]],Tbl_Loan1[[#This Row],[Year]])</f>
        <v>22033</v>
      </c>
      <c r="E267" s="23">
        <f t="shared" si="14"/>
        <v>266</v>
      </c>
      <c r="F267" s="28">
        <v>48635</v>
      </c>
      <c r="G267" s="23">
        <f>MONTH(Tbl_Loan1[[#This Row],[Payment date]])</f>
        <v>2</v>
      </c>
      <c r="H267" s="23" t="str">
        <f>VLOOKUP(Tbl_Loan1[[#This Row],[Maandnummer ]],Tbl_Months[],2,FALSE)</f>
        <v>February</v>
      </c>
      <c r="I267" s="23" t="str">
        <f>VLOOKUP(Tbl_Loan1[[#This Row],[Maandnummer ]],Tbl_Months[],3,FALSE)</f>
        <v>I</v>
      </c>
      <c r="J267" s="23">
        <f>YEAR(Tbl_Loan1[[#This Row],[Payment date]])</f>
        <v>2033</v>
      </c>
      <c r="K267" s="23" t="str">
        <f>_xlfn.CONCAT(Tbl_Loan1[[#This Row],[Year]],Tbl_Loan1[[#This Row],[Quarter]])</f>
        <v>2033I</v>
      </c>
      <c r="L267" s="25">
        <f t="shared" si="12"/>
        <v>218780.70589638251</v>
      </c>
      <c r="M267" s="26">
        <f t="shared" si="13"/>
        <v>6452.5136626411149</v>
      </c>
      <c r="N267" s="25">
        <f>B$5*Tbl_Loan1[[#This Row],[Initial debt]]</f>
        <v>388.17168099788921</v>
      </c>
      <c r="O267" s="25">
        <f>Tbl_Loan1[[#This Row],[Annuity]]-Tbl_Loan1[[#This Row],[Interest amount]]</f>
        <v>6064.3419816432261</v>
      </c>
      <c r="P267" s="25">
        <f>Tbl_Loan1[[#This Row],[Initial debt]]-Tbl_Loan1[[#This Row],[Redemption amount]]</f>
        <v>212716.36391473928</v>
      </c>
    </row>
    <row r="268" spans="4:16" x14ac:dyDescent="0.25">
      <c r="D268" t="str">
        <f>_xlfn.CONCAT(Tbl_Loan1[[#This Row],[Maandnummer ]],Tbl_Loan1[[#This Row],[Year]])</f>
        <v>32033</v>
      </c>
      <c r="E268" s="23">
        <f t="shared" si="14"/>
        <v>267</v>
      </c>
      <c r="F268" s="28">
        <v>48663</v>
      </c>
      <c r="G268" s="23">
        <f>MONTH(Tbl_Loan1[[#This Row],[Payment date]])</f>
        <v>3</v>
      </c>
      <c r="H268" s="23" t="str">
        <f>VLOOKUP(Tbl_Loan1[[#This Row],[Maandnummer ]],Tbl_Months[],2,FALSE)</f>
        <v>March</v>
      </c>
      <c r="I268" s="23" t="str">
        <f>VLOOKUP(Tbl_Loan1[[#This Row],[Maandnummer ]],Tbl_Months[],3,FALSE)</f>
        <v>I</v>
      </c>
      <c r="J268" s="23">
        <f>YEAR(Tbl_Loan1[[#This Row],[Payment date]])</f>
        <v>2033</v>
      </c>
      <c r="K268" s="23" t="str">
        <f>_xlfn.CONCAT(Tbl_Loan1[[#This Row],[Year]],Tbl_Loan1[[#This Row],[Quarter]])</f>
        <v>2033I</v>
      </c>
      <c r="L268" s="25">
        <f t="shared" si="12"/>
        <v>212716.36391473928</v>
      </c>
      <c r="M268" s="26">
        <f t="shared" si="13"/>
        <v>6452.5136626411149</v>
      </c>
      <c r="N268" s="25">
        <f>B$5*Tbl_Loan1[[#This Row],[Initial debt]]</f>
        <v>377.41202186105744</v>
      </c>
      <c r="O268" s="25">
        <f>Tbl_Loan1[[#This Row],[Annuity]]-Tbl_Loan1[[#This Row],[Interest amount]]</f>
        <v>6075.1016407800571</v>
      </c>
      <c r="P268" s="25">
        <f>Tbl_Loan1[[#This Row],[Initial debt]]-Tbl_Loan1[[#This Row],[Redemption amount]]</f>
        <v>206641.26227395923</v>
      </c>
    </row>
    <row r="269" spans="4:16" x14ac:dyDescent="0.25">
      <c r="D269" t="str">
        <f>_xlfn.CONCAT(Tbl_Loan1[[#This Row],[Maandnummer ]],Tbl_Loan1[[#This Row],[Year]])</f>
        <v>42033</v>
      </c>
      <c r="E269" s="23">
        <f t="shared" si="14"/>
        <v>268</v>
      </c>
      <c r="F269" s="28">
        <v>48694</v>
      </c>
      <c r="G269" s="23">
        <f>MONTH(Tbl_Loan1[[#This Row],[Payment date]])</f>
        <v>4</v>
      </c>
      <c r="H269" s="23" t="str">
        <f>VLOOKUP(Tbl_Loan1[[#This Row],[Maandnummer ]],Tbl_Months[],2,FALSE)</f>
        <v>April</v>
      </c>
      <c r="I269" s="23" t="str">
        <f>VLOOKUP(Tbl_Loan1[[#This Row],[Maandnummer ]],Tbl_Months[],3,FALSE)</f>
        <v>II</v>
      </c>
      <c r="J269" s="23">
        <f>YEAR(Tbl_Loan1[[#This Row],[Payment date]])</f>
        <v>2033</v>
      </c>
      <c r="K269" s="23" t="str">
        <f>_xlfn.CONCAT(Tbl_Loan1[[#This Row],[Year]],Tbl_Loan1[[#This Row],[Quarter]])</f>
        <v>2033II</v>
      </c>
      <c r="L269" s="25">
        <f t="shared" si="12"/>
        <v>206641.26227395923</v>
      </c>
      <c r="M269" s="26">
        <f t="shared" si="13"/>
        <v>6452.5136626411149</v>
      </c>
      <c r="N269" s="25">
        <f>B$5*Tbl_Loan1[[#This Row],[Initial debt]]</f>
        <v>366.63327239833518</v>
      </c>
      <c r="O269" s="25">
        <f>Tbl_Loan1[[#This Row],[Annuity]]-Tbl_Loan1[[#This Row],[Interest amount]]</f>
        <v>6085.8803902427799</v>
      </c>
      <c r="P269" s="25">
        <f>Tbl_Loan1[[#This Row],[Initial debt]]-Tbl_Loan1[[#This Row],[Redemption amount]]</f>
        <v>200555.38188371644</v>
      </c>
    </row>
    <row r="270" spans="4:16" x14ac:dyDescent="0.25">
      <c r="D270" t="str">
        <f>_xlfn.CONCAT(Tbl_Loan1[[#This Row],[Maandnummer ]],Tbl_Loan1[[#This Row],[Year]])</f>
        <v>52033</v>
      </c>
      <c r="E270" s="23">
        <f t="shared" si="14"/>
        <v>269</v>
      </c>
      <c r="F270" s="28">
        <v>48724</v>
      </c>
      <c r="G270" s="23">
        <f>MONTH(Tbl_Loan1[[#This Row],[Payment date]])</f>
        <v>5</v>
      </c>
      <c r="H270" s="23" t="str">
        <f>VLOOKUP(Tbl_Loan1[[#This Row],[Maandnummer ]],Tbl_Months[],2,FALSE)</f>
        <v>May</v>
      </c>
      <c r="I270" s="23" t="str">
        <f>VLOOKUP(Tbl_Loan1[[#This Row],[Maandnummer ]],Tbl_Months[],3,FALSE)</f>
        <v>II</v>
      </c>
      <c r="J270" s="23">
        <f>YEAR(Tbl_Loan1[[#This Row],[Payment date]])</f>
        <v>2033</v>
      </c>
      <c r="K270" s="23" t="str">
        <f>_xlfn.CONCAT(Tbl_Loan1[[#This Row],[Year]],Tbl_Loan1[[#This Row],[Quarter]])</f>
        <v>2033II</v>
      </c>
      <c r="L270" s="25">
        <f t="shared" si="12"/>
        <v>200555.38188371644</v>
      </c>
      <c r="M270" s="26">
        <f t="shared" si="13"/>
        <v>6452.5136626411149</v>
      </c>
      <c r="N270" s="25">
        <f>B$5*Tbl_Loan1[[#This Row],[Initial debt]]</f>
        <v>355.83539873871052</v>
      </c>
      <c r="O270" s="25">
        <f>Tbl_Loan1[[#This Row],[Annuity]]-Tbl_Loan1[[#This Row],[Interest amount]]</f>
        <v>6096.6782639024041</v>
      </c>
      <c r="P270" s="25">
        <f>Tbl_Loan1[[#This Row],[Initial debt]]-Tbl_Loan1[[#This Row],[Redemption amount]]</f>
        <v>194458.70361981404</v>
      </c>
    </row>
    <row r="271" spans="4:16" x14ac:dyDescent="0.25">
      <c r="D271" t="str">
        <f>_xlfn.CONCAT(Tbl_Loan1[[#This Row],[Maandnummer ]],Tbl_Loan1[[#This Row],[Year]])</f>
        <v>62033</v>
      </c>
      <c r="E271" s="23">
        <f t="shared" si="14"/>
        <v>270</v>
      </c>
      <c r="F271" s="28">
        <v>48755</v>
      </c>
      <c r="G271" s="23">
        <f>MONTH(Tbl_Loan1[[#This Row],[Payment date]])</f>
        <v>6</v>
      </c>
      <c r="H271" s="23" t="str">
        <f>VLOOKUP(Tbl_Loan1[[#This Row],[Maandnummer ]],Tbl_Months[],2,FALSE)</f>
        <v>June</v>
      </c>
      <c r="I271" s="23" t="str">
        <f>VLOOKUP(Tbl_Loan1[[#This Row],[Maandnummer ]],Tbl_Months[],3,FALSE)</f>
        <v>II</v>
      </c>
      <c r="J271" s="23">
        <f>YEAR(Tbl_Loan1[[#This Row],[Payment date]])</f>
        <v>2033</v>
      </c>
      <c r="K271" s="23" t="str">
        <f>_xlfn.CONCAT(Tbl_Loan1[[#This Row],[Year]],Tbl_Loan1[[#This Row],[Quarter]])</f>
        <v>2033II</v>
      </c>
      <c r="L271" s="25">
        <f t="shared" si="12"/>
        <v>194458.70361981404</v>
      </c>
      <c r="M271" s="26">
        <f t="shared" si="13"/>
        <v>6452.5136626411149</v>
      </c>
      <c r="N271" s="25">
        <f>B$5*Tbl_Loan1[[#This Row],[Initial debt]]</f>
        <v>345.01836695107602</v>
      </c>
      <c r="O271" s="25">
        <f>Tbl_Loan1[[#This Row],[Annuity]]-Tbl_Loan1[[#This Row],[Interest amount]]</f>
        <v>6107.4952956900388</v>
      </c>
      <c r="P271" s="25">
        <f>Tbl_Loan1[[#This Row],[Initial debt]]-Tbl_Loan1[[#This Row],[Redemption amount]]</f>
        <v>188351.20832412399</v>
      </c>
    </row>
    <row r="272" spans="4:16" x14ac:dyDescent="0.25">
      <c r="D272" t="str">
        <f>_xlfn.CONCAT(Tbl_Loan1[[#This Row],[Maandnummer ]],Tbl_Loan1[[#This Row],[Year]])</f>
        <v>72033</v>
      </c>
      <c r="E272" s="23">
        <f t="shared" si="14"/>
        <v>271</v>
      </c>
      <c r="F272" s="28">
        <v>48785</v>
      </c>
      <c r="G272" s="23">
        <f>MONTH(Tbl_Loan1[[#This Row],[Payment date]])</f>
        <v>7</v>
      </c>
      <c r="H272" s="23" t="str">
        <f>VLOOKUP(Tbl_Loan1[[#This Row],[Maandnummer ]],Tbl_Months[],2,FALSE)</f>
        <v>July</v>
      </c>
      <c r="I272" s="23" t="str">
        <f>VLOOKUP(Tbl_Loan1[[#This Row],[Maandnummer ]],Tbl_Months[],3,FALSE)</f>
        <v>III</v>
      </c>
      <c r="J272" s="23">
        <f>YEAR(Tbl_Loan1[[#This Row],[Payment date]])</f>
        <v>2033</v>
      </c>
      <c r="K272" s="23" t="str">
        <f>_xlfn.CONCAT(Tbl_Loan1[[#This Row],[Year]],Tbl_Loan1[[#This Row],[Quarter]])</f>
        <v>2033III</v>
      </c>
      <c r="L272" s="25">
        <f t="shared" si="12"/>
        <v>188351.20832412399</v>
      </c>
      <c r="M272" s="26">
        <f t="shared" si="13"/>
        <v>6452.5136626411149</v>
      </c>
      <c r="N272" s="25">
        <f>B$5*Tbl_Loan1[[#This Row],[Initial debt]]</f>
        <v>334.18214304412174</v>
      </c>
      <c r="O272" s="25">
        <f>Tbl_Loan1[[#This Row],[Annuity]]-Tbl_Loan1[[#This Row],[Interest amount]]</f>
        <v>6118.3315195969935</v>
      </c>
      <c r="P272" s="25">
        <f>Tbl_Loan1[[#This Row],[Initial debt]]-Tbl_Loan1[[#This Row],[Redemption amount]]</f>
        <v>182232.87680452698</v>
      </c>
    </row>
    <row r="273" spans="4:16" x14ac:dyDescent="0.25">
      <c r="D273" t="str">
        <f>_xlfn.CONCAT(Tbl_Loan1[[#This Row],[Maandnummer ]],Tbl_Loan1[[#This Row],[Year]])</f>
        <v>82033</v>
      </c>
      <c r="E273" s="23">
        <f t="shared" si="14"/>
        <v>272</v>
      </c>
      <c r="F273" s="28">
        <v>48816</v>
      </c>
      <c r="G273" s="23">
        <f>MONTH(Tbl_Loan1[[#This Row],[Payment date]])</f>
        <v>8</v>
      </c>
      <c r="H273" s="23" t="str">
        <f>VLOOKUP(Tbl_Loan1[[#This Row],[Maandnummer ]],Tbl_Months[],2,FALSE)</f>
        <v>August</v>
      </c>
      <c r="I273" s="23" t="str">
        <f>VLOOKUP(Tbl_Loan1[[#This Row],[Maandnummer ]],Tbl_Months[],3,FALSE)</f>
        <v>III</v>
      </c>
      <c r="J273" s="23">
        <f>YEAR(Tbl_Loan1[[#This Row],[Payment date]])</f>
        <v>2033</v>
      </c>
      <c r="K273" s="23" t="str">
        <f>_xlfn.CONCAT(Tbl_Loan1[[#This Row],[Year]],Tbl_Loan1[[#This Row],[Quarter]])</f>
        <v>2033III</v>
      </c>
      <c r="L273" s="25">
        <f t="shared" si="12"/>
        <v>182232.87680452698</v>
      </c>
      <c r="M273" s="26">
        <f t="shared" si="13"/>
        <v>6452.5136626411149</v>
      </c>
      <c r="N273" s="25">
        <f>B$5*Tbl_Loan1[[#This Row],[Initial debt]]</f>
        <v>323.3266929662289</v>
      </c>
      <c r="O273" s="25">
        <f>Tbl_Loan1[[#This Row],[Annuity]]-Tbl_Loan1[[#This Row],[Interest amount]]</f>
        <v>6129.1869696748863</v>
      </c>
      <c r="P273" s="25">
        <f>Tbl_Loan1[[#This Row],[Initial debt]]-Tbl_Loan1[[#This Row],[Redemption amount]]</f>
        <v>176103.68983485209</v>
      </c>
    </row>
    <row r="274" spans="4:16" x14ac:dyDescent="0.25">
      <c r="D274" t="str">
        <f>_xlfn.CONCAT(Tbl_Loan1[[#This Row],[Maandnummer ]],Tbl_Loan1[[#This Row],[Year]])</f>
        <v>92033</v>
      </c>
      <c r="E274" s="23">
        <f t="shared" si="14"/>
        <v>273</v>
      </c>
      <c r="F274" s="28">
        <v>48847</v>
      </c>
      <c r="G274" s="23">
        <f>MONTH(Tbl_Loan1[[#This Row],[Payment date]])</f>
        <v>9</v>
      </c>
      <c r="H274" s="23" t="str">
        <f>VLOOKUP(Tbl_Loan1[[#This Row],[Maandnummer ]],Tbl_Months[],2,FALSE)</f>
        <v>September</v>
      </c>
      <c r="I274" s="23" t="str">
        <f>VLOOKUP(Tbl_Loan1[[#This Row],[Maandnummer ]],Tbl_Months[],3,FALSE)</f>
        <v>III</v>
      </c>
      <c r="J274" s="23">
        <f>YEAR(Tbl_Loan1[[#This Row],[Payment date]])</f>
        <v>2033</v>
      </c>
      <c r="K274" s="23" t="str">
        <f>_xlfn.CONCAT(Tbl_Loan1[[#This Row],[Year]],Tbl_Loan1[[#This Row],[Quarter]])</f>
        <v>2033III</v>
      </c>
      <c r="L274" s="25">
        <f t="shared" si="12"/>
        <v>176103.68983485209</v>
      </c>
      <c r="M274" s="26">
        <f t="shared" si="13"/>
        <v>6452.5136626411149</v>
      </c>
      <c r="N274" s="25">
        <f>B$5*Tbl_Loan1[[#This Row],[Initial debt]]</f>
        <v>312.4519826053625</v>
      </c>
      <c r="O274" s="25">
        <f>Tbl_Loan1[[#This Row],[Annuity]]-Tbl_Loan1[[#This Row],[Interest amount]]</f>
        <v>6140.061680035752</v>
      </c>
      <c r="P274" s="25">
        <f>Tbl_Loan1[[#This Row],[Initial debt]]-Tbl_Loan1[[#This Row],[Redemption amount]]</f>
        <v>169963.62815481634</v>
      </c>
    </row>
    <row r="275" spans="4:16" x14ac:dyDescent="0.25">
      <c r="D275" t="str">
        <f>_xlfn.CONCAT(Tbl_Loan1[[#This Row],[Maandnummer ]],Tbl_Loan1[[#This Row],[Year]])</f>
        <v>102033</v>
      </c>
      <c r="E275" s="23">
        <f t="shared" si="14"/>
        <v>274</v>
      </c>
      <c r="F275" s="28">
        <v>48877</v>
      </c>
      <c r="G275" s="23">
        <f>MONTH(Tbl_Loan1[[#This Row],[Payment date]])</f>
        <v>10</v>
      </c>
      <c r="H275" s="23" t="str">
        <f>VLOOKUP(Tbl_Loan1[[#This Row],[Maandnummer ]],Tbl_Months[],2,FALSE)</f>
        <v>October</v>
      </c>
      <c r="I275" s="23" t="str">
        <f>VLOOKUP(Tbl_Loan1[[#This Row],[Maandnummer ]],Tbl_Months[],3,FALSE)</f>
        <v>IV</v>
      </c>
      <c r="J275" s="23">
        <f>YEAR(Tbl_Loan1[[#This Row],[Payment date]])</f>
        <v>2033</v>
      </c>
      <c r="K275" s="23" t="str">
        <f>_xlfn.CONCAT(Tbl_Loan1[[#This Row],[Year]],Tbl_Loan1[[#This Row],[Quarter]])</f>
        <v>2033IV</v>
      </c>
      <c r="L275" s="25">
        <f t="shared" si="12"/>
        <v>169963.62815481634</v>
      </c>
      <c r="M275" s="26">
        <f t="shared" si="13"/>
        <v>6452.5136626411149</v>
      </c>
      <c r="N275" s="25">
        <f>B$5*Tbl_Loan1[[#This Row],[Initial debt]]</f>
        <v>301.55797778896419</v>
      </c>
      <c r="O275" s="25">
        <f>Tbl_Loan1[[#This Row],[Annuity]]-Tbl_Loan1[[#This Row],[Interest amount]]</f>
        <v>6150.9556848521506</v>
      </c>
      <c r="P275" s="25">
        <f>Tbl_Loan1[[#This Row],[Initial debt]]-Tbl_Loan1[[#This Row],[Redemption amount]]</f>
        <v>163812.67246996419</v>
      </c>
    </row>
    <row r="276" spans="4:16" x14ac:dyDescent="0.25">
      <c r="D276" t="str">
        <f>_xlfn.CONCAT(Tbl_Loan1[[#This Row],[Maandnummer ]],Tbl_Loan1[[#This Row],[Year]])</f>
        <v>112033</v>
      </c>
      <c r="E276" s="23">
        <f t="shared" si="14"/>
        <v>275</v>
      </c>
      <c r="F276" s="28">
        <v>48908</v>
      </c>
      <c r="G276" s="23">
        <f>MONTH(Tbl_Loan1[[#This Row],[Payment date]])</f>
        <v>11</v>
      </c>
      <c r="H276" s="23" t="str">
        <f>VLOOKUP(Tbl_Loan1[[#This Row],[Maandnummer ]],Tbl_Months[],2,FALSE)</f>
        <v>November</v>
      </c>
      <c r="I276" s="23" t="str">
        <f>VLOOKUP(Tbl_Loan1[[#This Row],[Maandnummer ]],Tbl_Months[],3,FALSE)</f>
        <v>IV</v>
      </c>
      <c r="J276" s="23">
        <f>YEAR(Tbl_Loan1[[#This Row],[Payment date]])</f>
        <v>2033</v>
      </c>
      <c r="K276" s="23" t="str">
        <f>_xlfn.CONCAT(Tbl_Loan1[[#This Row],[Year]],Tbl_Loan1[[#This Row],[Quarter]])</f>
        <v>2033IV</v>
      </c>
      <c r="L276" s="25">
        <f t="shared" si="12"/>
        <v>163812.67246996419</v>
      </c>
      <c r="M276" s="26">
        <f t="shared" si="13"/>
        <v>6452.5136626411149</v>
      </c>
      <c r="N276" s="25">
        <f>B$5*Tbl_Loan1[[#This Row],[Initial debt]]</f>
        <v>290.6446442838452</v>
      </c>
      <c r="O276" s="25">
        <f>Tbl_Loan1[[#This Row],[Annuity]]-Tbl_Loan1[[#This Row],[Interest amount]]</f>
        <v>6161.8690183572699</v>
      </c>
      <c r="P276" s="25">
        <f>Tbl_Loan1[[#This Row],[Initial debt]]-Tbl_Loan1[[#This Row],[Redemption amount]]</f>
        <v>157650.80345160692</v>
      </c>
    </row>
    <row r="277" spans="4:16" x14ac:dyDescent="0.25">
      <c r="D277" t="str">
        <f>_xlfn.CONCAT(Tbl_Loan1[[#This Row],[Maandnummer ]],Tbl_Loan1[[#This Row],[Year]])</f>
        <v>122033</v>
      </c>
      <c r="E277" s="23">
        <f t="shared" si="14"/>
        <v>276</v>
      </c>
      <c r="F277" s="28">
        <v>48938</v>
      </c>
      <c r="G277" s="23">
        <f>MONTH(Tbl_Loan1[[#This Row],[Payment date]])</f>
        <v>12</v>
      </c>
      <c r="H277" s="23" t="str">
        <f>VLOOKUP(Tbl_Loan1[[#This Row],[Maandnummer ]],Tbl_Months[],2,FALSE)</f>
        <v>December</v>
      </c>
      <c r="I277" s="23" t="str">
        <f>VLOOKUP(Tbl_Loan1[[#This Row],[Maandnummer ]],Tbl_Months[],3,FALSE)</f>
        <v>IV</v>
      </c>
      <c r="J277" s="23">
        <f>YEAR(Tbl_Loan1[[#This Row],[Payment date]])</f>
        <v>2033</v>
      </c>
      <c r="K277" s="23" t="str">
        <f>_xlfn.CONCAT(Tbl_Loan1[[#This Row],[Year]],Tbl_Loan1[[#This Row],[Quarter]])</f>
        <v>2033IV</v>
      </c>
      <c r="L277" s="25">
        <f t="shared" si="12"/>
        <v>157650.80345160692</v>
      </c>
      <c r="M277" s="26">
        <f t="shared" si="13"/>
        <v>6452.5136626411149</v>
      </c>
      <c r="N277" s="25">
        <f>B$5*Tbl_Loan1[[#This Row],[Initial debt]]</f>
        <v>279.71194779607822</v>
      </c>
      <c r="O277" s="25">
        <f>Tbl_Loan1[[#This Row],[Annuity]]-Tbl_Loan1[[#This Row],[Interest amount]]</f>
        <v>6172.8017148450363</v>
      </c>
      <c r="P277" s="25">
        <f>Tbl_Loan1[[#This Row],[Initial debt]]-Tbl_Loan1[[#This Row],[Redemption amount]]</f>
        <v>151478.00173676189</v>
      </c>
    </row>
    <row r="278" spans="4:16" x14ac:dyDescent="0.25">
      <c r="D278" t="str">
        <f>_xlfn.CONCAT(Tbl_Loan1[[#This Row],[Maandnummer ]],Tbl_Loan1[[#This Row],[Year]])</f>
        <v>12034</v>
      </c>
      <c r="E278" s="23">
        <f t="shared" si="14"/>
        <v>277</v>
      </c>
      <c r="F278" s="28">
        <v>48969</v>
      </c>
      <c r="G278" s="23">
        <f>MONTH(Tbl_Loan1[[#This Row],[Payment date]])</f>
        <v>1</v>
      </c>
      <c r="H278" s="23" t="str">
        <f>VLOOKUP(Tbl_Loan1[[#This Row],[Maandnummer ]],Tbl_Months[],2,FALSE)</f>
        <v>January</v>
      </c>
      <c r="I278" s="23" t="str">
        <f>VLOOKUP(Tbl_Loan1[[#This Row],[Maandnummer ]],Tbl_Months[],3,FALSE)</f>
        <v>I</v>
      </c>
      <c r="J278" s="23">
        <f>YEAR(Tbl_Loan1[[#This Row],[Payment date]])</f>
        <v>2034</v>
      </c>
      <c r="K278" s="23" t="str">
        <f>_xlfn.CONCAT(Tbl_Loan1[[#This Row],[Year]],Tbl_Loan1[[#This Row],[Quarter]])</f>
        <v>2034I</v>
      </c>
      <c r="L278" s="25">
        <f t="shared" si="12"/>
        <v>151478.00173676189</v>
      </c>
      <c r="M278" s="26">
        <f t="shared" si="13"/>
        <v>6452.5136626411149</v>
      </c>
      <c r="N278" s="25">
        <f>B$5*Tbl_Loan1[[#This Row],[Initial debt]]</f>
        <v>268.75985397089022</v>
      </c>
      <c r="O278" s="25">
        <f>Tbl_Loan1[[#This Row],[Annuity]]-Tbl_Loan1[[#This Row],[Interest amount]]</f>
        <v>6183.7538086702243</v>
      </c>
      <c r="P278" s="25">
        <f>Tbl_Loan1[[#This Row],[Initial debt]]-Tbl_Loan1[[#This Row],[Redemption amount]]</f>
        <v>145294.24792809167</v>
      </c>
    </row>
    <row r="279" spans="4:16" x14ac:dyDescent="0.25">
      <c r="D279" t="str">
        <f>_xlfn.CONCAT(Tbl_Loan1[[#This Row],[Maandnummer ]],Tbl_Loan1[[#This Row],[Year]])</f>
        <v>22034</v>
      </c>
      <c r="E279" s="23">
        <f t="shared" si="14"/>
        <v>278</v>
      </c>
      <c r="F279" s="28">
        <v>49000</v>
      </c>
      <c r="G279" s="23">
        <f>MONTH(Tbl_Loan1[[#This Row],[Payment date]])</f>
        <v>2</v>
      </c>
      <c r="H279" s="23" t="str">
        <f>VLOOKUP(Tbl_Loan1[[#This Row],[Maandnummer ]],Tbl_Months[],2,FALSE)</f>
        <v>February</v>
      </c>
      <c r="I279" s="23" t="str">
        <f>VLOOKUP(Tbl_Loan1[[#This Row],[Maandnummer ]],Tbl_Months[],3,FALSE)</f>
        <v>I</v>
      </c>
      <c r="J279" s="23">
        <f>YEAR(Tbl_Loan1[[#This Row],[Payment date]])</f>
        <v>2034</v>
      </c>
      <c r="K279" s="23" t="str">
        <f>_xlfn.CONCAT(Tbl_Loan1[[#This Row],[Year]],Tbl_Loan1[[#This Row],[Quarter]])</f>
        <v>2034I</v>
      </c>
      <c r="L279" s="25">
        <f t="shared" si="12"/>
        <v>145294.24792809167</v>
      </c>
      <c r="M279" s="26">
        <f t="shared" si="13"/>
        <v>6452.5136626411149</v>
      </c>
      <c r="N279" s="25">
        <f>B$5*Tbl_Loan1[[#This Row],[Initial debt]]</f>
        <v>257.78832839255398</v>
      </c>
      <c r="O279" s="25">
        <f>Tbl_Loan1[[#This Row],[Annuity]]-Tbl_Loan1[[#This Row],[Interest amount]]</f>
        <v>6194.725334248561</v>
      </c>
      <c r="P279" s="25">
        <f>Tbl_Loan1[[#This Row],[Initial debt]]-Tbl_Loan1[[#This Row],[Redemption amount]]</f>
        <v>139099.52259384311</v>
      </c>
    </row>
    <row r="280" spans="4:16" x14ac:dyDescent="0.25">
      <c r="D280" t="str">
        <f>_xlfn.CONCAT(Tbl_Loan1[[#This Row],[Maandnummer ]],Tbl_Loan1[[#This Row],[Year]])</f>
        <v>32034</v>
      </c>
      <c r="E280" s="23">
        <f t="shared" si="14"/>
        <v>279</v>
      </c>
      <c r="F280" s="28">
        <v>49028</v>
      </c>
      <c r="G280" s="23">
        <f>MONTH(Tbl_Loan1[[#This Row],[Payment date]])</f>
        <v>3</v>
      </c>
      <c r="H280" s="23" t="str">
        <f>VLOOKUP(Tbl_Loan1[[#This Row],[Maandnummer ]],Tbl_Months[],2,FALSE)</f>
        <v>March</v>
      </c>
      <c r="I280" s="23" t="str">
        <f>VLOOKUP(Tbl_Loan1[[#This Row],[Maandnummer ]],Tbl_Months[],3,FALSE)</f>
        <v>I</v>
      </c>
      <c r="J280" s="23">
        <f>YEAR(Tbl_Loan1[[#This Row],[Payment date]])</f>
        <v>2034</v>
      </c>
      <c r="K280" s="23" t="str">
        <f>_xlfn.CONCAT(Tbl_Loan1[[#This Row],[Year]],Tbl_Loan1[[#This Row],[Quarter]])</f>
        <v>2034I</v>
      </c>
      <c r="L280" s="25">
        <f t="shared" si="12"/>
        <v>139099.52259384311</v>
      </c>
      <c r="M280" s="26">
        <f t="shared" si="13"/>
        <v>6452.5136626411149</v>
      </c>
      <c r="N280" s="25">
        <f>B$5*Tbl_Loan1[[#This Row],[Initial debt]]</f>
        <v>246.79733658428029</v>
      </c>
      <c r="O280" s="25">
        <f>Tbl_Loan1[[#This Row],[Annuity]]-Tbl_Loan1[[#This Row],[Interest amount]]</f>
        <v>6205.716326056835</v>
      </c>
      <c r="P280" s="25">
        <f>Tbl_Loan1[[#This Row],[Initial debt]]-Tbl_Loan1[[#This Row],[Redemption amount]]</f>
        <v>132893.80626778628</v>
      </c>
    </row>
    <row r="281" spans="4:16" x14ac:dyDescent="0.25">
      <c r="D281" t="str">
        <f>_xlfn.CONCAT(Tbl_Loan1[[#This Row],[Maandnummer ]],Tbl_Loan1[[#This Row],[Year]])</f>
        <v>42034</v>
      </c>
      <c r="E281" s="23">
        <f t="shared" si="14"/>
        <v>280</v>
      </c>
      <c r="F281" s="28">
        <v>49059</v>
      </c>
      <c r="G281" s="23">
        <f>MONTH(Tbl_Loan1[[#This Row],[Payment date]])</f>
        <v>4</v>
      </c>
      <c r="H281" s="23" t="str">
        <f>VLOOKUP(Tbl_Loan1[[#This Row],[Maandnummer ]],Tbl_Months[],2,FALSE)</f>
        <v>April</v>
      </c>
      <c r="I281" s="23" t="str">
        <f>VLOOKUP(Tbl_Loan1[[#This Row],[Maandnummer ]],Tbl_Months[],3,FALSE)</f>
        <v>II</v>
      </c>
      <c r="J281" s="23">
        <f>YEAR(Tbl_Loan1[[#This Row],[Payment date]])</f>
        <v>2034</v>
      </c>
      <c r="K281" s="23" t="str">
        <f>_xlfn.CONCAT(Tbl_Loan1[[#This Row],[Year]],Tbl_Loan1[[#This Row],[Quarter]])</f>
        <v>2034II</v>
      </c>
      <c r="L281" s="25">
        <f t="shared" si="12"/>
        <v>132893.80626778628</v>
      </c>
      <c r="M281" s="26">
        <f t="shared" si="13"/>
        <v>6452.5136626411149</v>
      </c>
      <c r="N281" s="25">
        <f>B$5*Tbl_Loan1[[#This Row],[Initial debt]]</f>
        <v>235.78684400810951</v>
      </c>
      <c r="O281" s="25">
        <f>Tbl_Loan1[[#This Row],[Annuity]]-Tbl_Loan1[[#This Row],[Interest amount]]</f>
        <v>6216.7268186330057</v>
      </c>
      <c r="P281" s="25">
        <f>Tbl_Loan1[[#This Row],[Initial debt]]-Tbl_Loan1[[#This Row],[Redemption amount]]</f>
        <v>126677.07944915327</v>
      </c>
    </row>
    <row r="282" spans="4:16" x14ac:dyDescent="0.25">
      <c r="D282" t="str">
        <f>_xlfn.CONCAT(Tbl_Loan1[[#This Row],[Maandnummer ]],Tbl_Loan1[[#This Row],[Year]])</f>
        <v>52034</v>
      </c>
      <c r="E282" s="23">
        <f t="shared" si="14"/>
        <v>281</v>
      </c>
      <c r="F282" s="28">
        <v>49089</v>
      </c>
      <c r="G282" s="23">
        <f>MONTH(Tbl_Loan1[[#This Row],[Payment date]])</f>
        <v>5</v>
      </c>
      <c r="H282" s="23" t="str">
        <f>VLOOKUP(Tbl_Loan1[[#This Row],[Maandnummer ]],Tbl_Months[],2,FALSE)</f>
        <v>May</v>
      </c>
      <c r="I282" s="23" t="str">
        <f>VLOOKUP(Tbl_Loan1[[#This Row],[Maandnummer ]],Tbl_Months[],3,FALSE)</f>
        <v>II</v>
      </c>
      <c r="J282" s="23">
        <f>YEAR(Tbl_Loan1[[#This Row],[Payment date]])</f>
        <v>2034</v>
      </c>
      <c r="K282" s="23" t="str">
        <f>_xlfn.CONCAT(Tbl_Loan1[[#This Row],[Year]],Tbl_Loan1[[#This Row],[Quarter]])</f>
        <v>2034II</v>
      </c>
      <c r="L282" s="25">
        <f t="shared" si="12"/>
        <v>126677.07944915327</v>
      </c>
      <c r="M282" s="26">
        <f t="shared" si="13"/>
        <v>6452.5136626411149</v>
      </c>
      <c r="N282" s="25">
        <f>B$5*Tbl_Loan1[[#This Row],[Initial debt]]</f>
        <v>224.75681606480293</v>
      </c>
      <c r="O282" s="25">
        <f>Tbl_Loan1[[#This Row],[Annuity]]-Tbl_Loan1[[#This Row],[Interest amount]]</f>
        <v>6227.7568465763125</v>
      </c>
      <c r="P282" s="25">
        <f>Tbl_Loan1[[#This Row],[Initial debt]]-Tbl_Loan1[[#This Row],[Redemption amount]]</f>
        <v>120449.32260257695</v>
      </c>
    </row>
    <row r="283" spans="4:16" x14ac:dyDescent="0.25">
      <c r="D283" t="str">
        <f>_xlfn.CONCAT(Tbl_Loan1[[#This Row],[Maandnummer ]],Tbl_Loan1[[#This Row],[Year]])</f>
        <v>62034</v>
      </c>
      <c r="E283" s="23">
        <f t="shared" si="14"/>
        <v>282</v>
      </c>
      <c r="F283" s="28">
        <v>49120</v>
      </c>
      <c r="G283" s="23">
        <f>MONTH(Tbl_Loan1[[#This Row],[Payment date]])</f>
        <v>6</v>
      </c>
      <c r="H283" s="23" t="str">
        <f>VLOOKUP(Tbl_Loan1[[#This Row],[Maandnummer ]],Tbl_Months[],2,FALSE)</f>
        <v>June</v>
      </c>
      <c r="I283" s="23" t="str">
        <f>VLOOKUP(Tbl_Loan1[[#This Row],[Maandnummer ]],Tbl_Months[],3,FALSE)</f>
        <v>II</v>
      </c>
      <c r="J283" s="23">
        <f>YEAR(Tbl_Loan1[[#This Row],[Payment date]])</f>
        <v>2034</v>
      </c>
      <c r="K283" s="23" t="str">
        <f>_xlfn.CONCAT(Tbl_Loan1[[#This Row],[Year]],Tbl_Loan1[[#This Row],[Quarter]])</f>
        <v>2034II</v>
      </c>
      <c r="L283" s="25">
        <f t="shared" si="12"/>
        <v>120449.32260257695</v>
      </c>
      <c r="M283" s="26">
        <f t="shared" si="13"/>
        <v>6452.5136626411149</v>
      </c>
      <c r="N283" s="25">
        <f>B$5*Tbl_Loan1[[#This Row],[Initial debt]]</f>
        <v>213.70721809373427</v>
      </c>
      <c r="O283" s="25">
        <f>Tbl_Loan1[[#This Row],[Annuity]]-Tbl_Loan1[[#This Row],[Interest amount]]</f>
        <v>6238.806444547381</v>
      </c>
      <c r="P283" s="25">
        <f>Tbl_Loan1[[#This Row],[Initial debt]]-Tbl_Loan1[[#This Row],[Redemption amount]]</f>
        <v>114210.51615802957</v>
      </c>
    </row>
    <row r="284" spans="4:16" x14ac:dyDescent="0.25">
      <c r="D284" t="str">
        <f>_xlfn.CONCAT(Tbl_Loan1[[#This Row],[Maandnummer ]],Tbl_Loan1[[#This Row],[Year]])</f>
        <v>72034</v>
      </c>
      <c r="E284" s="23">
        <f t="shared" si="14"/>
        <v>283</v>
      </c>
      <c r="F284" s="28">
        <v>49150</v>
      </c>
      <c r="G284" s="23">
        <f>MONTH(Tbl_Loan1[[#This Row],[Payment date]])</f>
        <v>7</v>
      </c>
      <c r="H284" s="23" t="str">
        <f>VLOOKUP(Tbl_Loan1[[#This Row],[Maandnummer ]],Tbl_Months[],2,FALSE)</f>
        <v>July</v>
      </c>
      <c r="I284" s="23" t="str">
        <f>VLOOKUP(Tbl_Loan1[[#This Row],[Maandnummer ]],Tbl_Months[],3,FALSE)</f>
        <v>III</v>
      </c>
      <c r="J284" s="23">
        <f>YEAR(Tbl_Loan1[[#This Row],[Payment date]])</f>
        <v>2034</v>
      </c>
      <c r="K284" s="23" t="str">
        <f>_xlfn.CONCAT(Tbl_Loan1[[#This Row],[Year]],Tbl_Loan1[[#This Row],[Quarter]])</f>
        <v>2034III</v>
      </c>
      <c r="L284" s="25">
        <f t="shared" si="12"/>
        <v>114210.51615802957</v>
      </c>
      <c r="M284" s="26">
        <f t="shared" si="13"/>
        <v>6452.5136626411149</v>
      </c>
      <c r="N284" s="25">
        <f>B$5*Tbl_Loan1[[#This Row],[Initial debt]]</f>
        <v>202.6380153727805</v>
      </c>
      <c r="O284" s="25">
        <f>Tbl_Loan1[[#This Row],[Annuity]]-Tbl_Loan1[[#This Row],[Interest amount]]</f>
        <v>6249.8756472683344</v>
      </c>
      <c r="P284" s="25">
        <f>Tbl_Loan1[[#This Row],[Initial debt]]-Tbl_Loan1[[#This Row],[Redemption amount]]</f>
        <v>107960.64051076124</v>
      </c>
    </row>
    <row r="285" spans="4:16" x14ac:dyDescent="0.25">
      <c r="D285" t="str">
        <f>_xlfn.CONCAT(Tbl_Loan1[[#This Row],[Maandnummer ]],Tbl_Loan1[[#This Row],[Year]])</f>
        <v>82034</v>
      </c>
      <c r="E285" s="23">
        <f t="shared" si="14"/>
        <v>284</v>
      </c>
      <c r="F285" s="28">
        <v>49181</v>
      </c>
      <c r="G285" s="23">
        <f>MONTH(Tbl_Loan1[[#This Row],[Payment date]])</f>
        <v>8</v>
      </c>
      <c r="H285" s="23" t="str">
        <f>VLOOKUP(Tbl_Loan1[[#This Row],[Maandnummer ]],Tbl_Months[],2,FALSE)</f>
        <v>August</v>
      </c>
      <c r="I285" s="23" t="str">
        <f>VLOOKUP(Tbl_Loan1[[#This Row],[Maandnummer ]],Tbl_Months[],3,FALSE)</f>
        <v>III</v>
      </c>
      <c r="J285" s="23">
        <f>YEAR(Tbl_Loan1[[#This Row],[Payment date]])</f>
        <v>2034</v>
      </c>
      <c r="K285" s="23" t="str">
        <f>_xlfn.CONCAT(Tbl_Loan1[[#This Row],[Year]],Tbl_Loan1[[#This Row],[Quarter]])</f>
        <v>2034III</v>
      </c>
      <c r="L285" s="25">
        <f t="shared" si="12"/>
        <v>107960.64051076124</v>
      </c>
      <c r="M285" s="26">
        <f t="shared" si="13"/>
        <v>6452.5136626411149</v>
      </c>
      <c r="N285" s="25">
        <f>B$5*Tbl_Loan1[[#This Row],[Initial debt]]</f>
        <v>191.54917311821296</v>
      </c>
      <c r="O285" s="25">
        <f>Tbl_Loan1[[#This Row],[Annuity]]-Tbl_Loan1[[#This Row],[Interest amount]]</f>
        <v>6260.9644895229021</v>
      </c>
      <c r="P285" s="25">
        <f>Tbl_Loan1[[#This Row],[Initial debt]]-Tbl_Loan1[[#This Row],[Redemption amount]]</f>
        <v>101699.67602123834</v>
      </c>
    </row>
    <row r="286" spans="4:16" x14ac:dyDescent="0.25">
      <c r="D286" t="str">
        <f>_xlfn.CONCAT(Tbl_Loan1[[#This Row],[Maandnummer ]],Tbl_Loan1[[#This Row],[Year]])</f>
        <v>92034</v>
      </c>
      <c r="E286" s="23">
        <f t="shared" si="14"/>
        <v>285</v>
      </c>
      <c r="F286" s="28">
        <v>49212</v>
      </c>
      <c r="G286" s="23">
        <f>MONTH(Tbl_Loan1[[#This Row],[Payment date]])</f>
        <v>9</v>
      </c>
      <c r="H286" s="23" t="str">
        <f>VLOOKUP(Tbl_Loan1[[#This Row],[Maandnummer ]],Tbl_Months[],2,FALSE)</f>
        <v>September</v>
      </c>
      <c r="I286" s="23" t="str">
        <f>VLOOKUP(Tbl_Loan1[[#This Row],[Maandnummer ]],Tbl_Months[],3,FALSE)</f>
        <v>III</v>
      </c>
      <c r="J286" s="23">
        <f>YEAR(Tbl_Loan1[[#This Row],[Payment date]])</f>
        <v>2034</v>
      </c>
      <c r="K286" s="23" t="str">
        <f>_xlfn.CONCAT(Tbl_Loan1[[#This Row],[Year]],Tbl_Loan1[[#This Row],[Quarter]])</f>
        <v>2034III</v>
      </c>
      <c r="L286" s="25">
        <f t="shared" si="12"/>
        <v>101699.67602123834</v>
      </c>
      <c r="M286" s="26">
        <f t="shared" si="13"/>
        <v>6452.5136626411149</v>
      </c>
      <c r="N286" s="25">
        <f>B$5*Tbl_Loan1[[#This Row],[Initial debt]]</f>
        <v>180.44065648458789</v>
      </c>
      <c r="O286" s="25">
        <f>Tbl_Loan1[[#This Row],[Annuity]]-Tbl_Loan1[[#This Row],[Interest amount]]</f>
        <v>6272.0730061565273</v>
      </c>
      <c r="P286" s="25">
        <f>Tbl_Loan1[[#This Row],[Initial debt]]-Tbl_Loan1[[#This Row],[Redemption amount]]</f>
        <v>95427.603015081811</v>
      </c>
    </row>
    <row r="287" spans="4:16" x14ac:dyDescent="0.25">
      <c r="D287" t="str">
        <f>_xlfn.CONCAT(Tbl_Loan1[[#This Row],[Maandnummer ]],Tbl_Loan1[[#This Row],[Year]])</f>
        <v>102034</v>
      </c>
      <c r="E287" s="23">
        <f t="shared" si="14"/>
        <v>286</v>
      </c>
      <c r="F287" s="28">
        <v>49242</v>
      </c>
      <c r="G287" s="23">
        <f>MONTH(Tbl_Loan1[[#This Row],[Payment date]])</f>
        <v>10</v>
      </c>
      <c r="H287" s="23" t="str">
        <f>VLOOKUP(Tbl_Loan1[[#This Row],[Maandnummer ]],Tbl_Months[],2,FALSE)</f>
        <v>October</v>
      </c>
      <c r="I287" s="23" t="str">
        <f>VLOOKUP(Tbl_Loan1[[#This Row],[Maandnummer ]],Tbl_Months[],3,FALSE)</f>
        <v>IV</v>
      </c>
      <c r="J287" s="23">
        <f>YEAR(Tbl_Loan1[[#This Row],[Payment date]])</f>
        <v>2034</v>
      </c>
      <c r="K287" s="23" t="str">
        <f>_xlfn.CONCAT(Tbl_Loan1[[#This Row],[Year]],Tbl_Loan1[[#This Row],[Quarter]])</f>
        <v>2034IV</v>
      </c>
      <c r="L287" s="25">
        <f t="shared" si="12"/>
        <v>95427.603015081811</v>
      </c>
      <c r="M287" s="26">
        <f t="shared" si="13"/>
        <v>6452.5136626411149</v>
      </c>
      <c r="N287" s="25">
        <f>B$5*Tbl_Loan1[[#This Row],[Initial debt]]</f>
        <v>169.31243056463708</v>
      </c>
      <c r="O287" s="25">
        <f>Tbl_Loan1[[#This Row],[Annuity]]-Tbl_Loan1[[#This Row],[Interest amount]]</f>
        <v>6283.2012320764779</v>
      </c>
      <c r="P287" s="25">
        <f>Tbl_Loan1[[#This Row],[Initial debt]]-Tbl_Loan1[[#This Row],[Redemption amount]]</f>
        <v>89144.401783005334</v>
      </c>
    </row>
    <row r="288" spans="4:16" x14ac:dyDescent="0.25">
      <c r="D288" t="str">
        <f>_xlfn.CONCAT(Tbl_Loan1[[#This Row],[Maandnummer ]],Tbl_Loan1[[#This Row],[Year]])</f>
        <v>112034</v>
      </c>
      <c r="E288" s="23">
        <f t="shared" si="14"/>
        <v>287</v>
      </c>
      <c r="F288" s="28">
        <v>49273</v>
      </c>
      <c r="G288" s="23">
        <f>MONTH(Tbl_Loan1[[#This Row],[Payment date]])</f>
        <v>11</v>
      </c>
      <c r="H288" s="23" t="str">
        <f>VLOOKUP(Tbl_Loan1[[#This Row],[Maandnummer ]],Tbl_Months[],2,FALSE)</f>
        <v>November</v>
      </c>
      <c r="I288" s="23" t="str">
        <f>VLOOKUP(Tbl_Loan1[[#This Row],[Maandnummer ]],Tbl_Months[],3,FALSE)</f>
        <v>IV</v>
      </c>
      <c r="J288" s="23">
        <f>YEAR(Tbl_Loan1[[#This Row],[Payment date]])</f>
        <v>2034</v>
      </c>
      <c r="K288" s="23" t="str">
        <f>_xlfn.CONCAT(Tbl_Loan1[[#This Row],[Year]],Tbl_Loan1[[#This Row],[Quarter]])</f>
        <v>2034IV</v>
      </c>
      <c r="L288" s="25">
        <f t="shared" si="12"/>
        <v>89144.401783005334</v>
      </c>
      <c r="M288" s="26">
        <f t="shared" si="13"/>
        <v>6452.5136626411149</v>
      </c>
      <c r="N288" s="25">
        <f>B$5*Tbl_Loan1[[#This Row],[Initial debt]]</f>
        <v>158.16446038915799</v>
      </c>
      <c r="O288" s="25">
        <f>Tbl_Loan1[[#This Row],[Annuity]]-Tbl_Loan1[[#This Row],[Interest amount]]</f>
        <v>6294.3492022519567</v>
      </c>
      <c r="P288" s="25">
        <f>Tbl_Loan1[[#This Row],[Initial debt]]-Tbl_Loan1[[#This Row],[Redemption amount]]</f>
        <v>82850.05258075337</v>
      </c>
    </row>
    <row r="289" spans="4:16" x14ac:dyDescent="0.25">
      <c r="D289" t="str">
        <f>_xlfn.CONCAT(Tbl_Loan1[[#This Row],[Maandnummer ]],Tbl_Loan1[[#This Row],[Year]])</f>
        <v>122034</v>
      </c>
      <c r="E289" s="23">
        <f t="shared" si="14"/>
        <v>288</v>
      </c>
      <c r="F289" s="28">
        <v>49303</v>
      </c>
      <c r="G289" s="23">
        <f>MONTH(Tbl_Loan1[[#This Row],[Payment date]])</f>
        <v>12</v>
      </c>
      <c r="H289" s="23" t="str">
        <f>VLOOKUP(Tbl_Loan1[[#This Row],[Maandnummer ]],Tbl_Months[],2,FALSE)</f>
        <v>December</v>
      </c>
      <c r="I289" s="23" t="str">
        <f>VLOOKUP(Tbl_Loan1[[#This Row],[Maandnummer ]],Tbl_Months[],3,FALSE)</f>
        <v>IV</v>
      </c>
      <c r="J289" s="23">
        <f>YEAR(Tbl_Loan1[[#This Row],[Payment date]])</f>
        <v>2034</v>
      </c>
      <c r="K289" s="23" t="str">
        <f>_xlfn.CONCAT(Tbl_Loan1[[#This Row],[Year]],Tbl_Loan1[[#This Row],[Quarter]])</f>
        <v>2034IV</v>
      </c>
      <c r="L289" s="25">
        <f t="shared" si="12"/>
        <v>82850.05258075337</v>
      </c>
      <c r="M289" s="26">
        <f t="shared" si="13"/>
        <v>6452.5136626411149</v>
      </c>
      <c r="N289" s="25">
        <f>B$5*Tbl_Loan1[[#This Row],[Initial debt]]</f>
        <v>146.99671092690403</v>
      </c>
      <c r="O289" s="25">
        <f>Tbl_Loan1[[#This Row],[Annuity]]-Tbl_Loan1[[#This Row],[Interest amount]]</f>
        <v>6305.5169517142112</v>
      </c>
      <c r="P289" s="25">
        <f>Tbl_Loan1[[#This Row],[Initial debt]]-Tbl_Loan1[[#This Row],[Redemption amount]]</f>
        <v>76544.535629039165</v>
      </c>
    </row>
    <row r="290" spans="4:16" x14ac:dyDescent="0.25">
      <c r="D290" t="str">
        <f>_xlfn.CONCAT(Tbl_Loan1[[#This Row],[Maandnummer ]],Tbl_Loan1[[#This Row],[Year]])</f>
        <v>12035</v>
      </c>
      <c r="E290" s="23">
        <f t="shared" si="14"/>
        <v>289</v>
      </c>
      <c r="F290" s="28">
        <v>49334</v>
      </c>
      <c r="G290" s="23">
        <f>MONTH(Tbl_Loan1[[#This Row],[Payment date]])</f>
        <v>1</v>
      </c>
      <c r="H290" s="23" t="str">
        <f>VLOOKUP(Tbl_Loan1[[#This Row],[Maandnummer ]],Tbl_Months[],2,FALSE)</f>
        <v>January</v>
      </c>
      <c r="I290" s="23" t="str">
        <f>VLOOKUP(Tbl_Loan1[[#This Row],[Maandnummer ]],Tbl_Months[],3,FALSE)</f>
        <v>I</v>
      </c>
      <c r="J290" s="23">
        <f>YEAR(Tbl_Loan1[[#This Row],[Payment date]])</f>
        <v>2035</v>
      </c>
      <c r="K290" s="23" t="str">
        <f>_xlfn.CONCAT(Tbl_Loan1[[#This Row],[Year]],Tbl_Loan1[[#This Row],[Quarter]])</f>
        <v>2035I</v>
      </c>
      <c r="L290" s="25">
        <f t="shared" si="12"/>
        <v>76544.535629039165</v>
      </c>
      <c r="M290" s="26">
        <f t="shared" si="13"/>
        <v>6452.5136626411149</v>
      </c>
      <c r="N290" s="25">
        <f>B$5*Tbl_Loan1[[#This Row],[Initial debt]]</f>
        <v>135.80914708447443</v>
      </c>
      <c r="O290" s="25">
        <f>Tbl_Loan1[[#This Row],[Annuity]]-Tbl_Loan1[[#This Row],[Interest amount]]</f>
        <v>6316.7045155566402</v>
      </c>
      <c r="P290" s="25">
        <f>Tbl_Loan1[[#This Row],[Initial debt]]-Tbl_Loan1[[#This Row],[Redemption amount]]</f>
        <v>70227.83111348252</v>
      </c>
    </row>
    <row r="291" spans="4:16" x14ac:dyDescent="0.25">
      <c r="D291" t="str">
        <f>_xlfn.CONCAT(Tbl_Loan1[[#This Row],[Maandnummer ]],Tbl_Loan1[[#This Row],[Year]])</f>
        <v>22035</v>
      </c>
      <c r="E291" s="23">
        <f t="shared" si="14"/>
        <v>290</v>
      </c>
      <c r="F291" s="28">
        <v>49365</v>
      </c>
      <c r="G291" s="23">
        <f>MONTH(Tbl_Loan1[[#This Row],[Payment date]])</f>
        <v>2</v>
      </c>
      <c r="H291" s="23" t="str">
        <f>VLOOKUP(Tbl_Loan1[[#This Row],[Maandnummer ]],Tbl_Months[],2,FALSE)</f>
        <v>February</v>
      </c>
      <c r="I291" s="23" t="str">
        <f>VLOOKUP(Tbl_Loan1[[#This Row],[Maandnummer ]],Tbl_Months[],3,FALSE)</f>
        <v>I</v>
      </c>
      <c r="J291" s="23">
        <f>YEAR(Tbl_Loan1[[#This Row],[Payment date]])</f>
        <v>2035</v>
      </c>
      <c r="K291" s="23" t="str">
        <f>_xlfn.CONCAT(Tbl_Loan1[[#This Row],[Year]],Tbl_Loan1[[#This Row],[Quarter]])</f>
        <v>2035I</v>
      </c>
      <c r="L291" s="25">
        <f t="shared" si="12"/>
        <v>70227.83111348252</v>
      </c>
      <c r="M291" s="26">
        <f t="shared" si="13"/>
        <v>6452.5136626411149</v>
      </c>
      <c r="N291" s="25">
        <f>B$5*Tbl_Loan1[[#This Row],[Initial debt]]</f>
        <v>124.60173370620394</v>
      </c>
      <c r="O291" s="25">
        <f>Tbl_Loan1[[#This Row],[Annuity]]-Tbl_Loan1[[#This Row],[Interest amount]]</f>
        <v>6327.911928934911</v>
      </c>
      <c r="P291" s="25">
        <f>Tbl_Loan1[[#This Row],[Initial debt]]-Tbl_Loan1[[#This Row],[Redemption amount]]</f>
        <v>63899.919184547609</v>
      </c>
    </row>
    <row r="292" spans="4:16" x14ac:dyDescent="0.25">
      <c r="D292" t="str">
        <f>_xlfn.CONCAT(Tbl_Loan1[[#This Row],[Maandnummer ]],Tbl_Loan1[[#This Row],[Year]])</f>
        <v>32035</v>
      </c>
      <c r="E292" s="23">
        <f t="shared" si="14"/>
        <v>291</v>
      </c>
      <c r="F292" s="28">
        <v>49393</v>
      </c>
      <c r="G292" s="23">
        <f>MONTH(Tbl_Loan1[[#This Row],[Payment date]])</f>
        <v>3</v>
      </c>
      <c r="H292" s="23" t="str">
        <f>VLOOKUP(Tbl_Loan1[[#This Row],[Maandnummer ]],Tbl_Months[],2,FALSE)</f>
        <v>March</v>
      </c>
      <c r="I292" s="23" t="str">
        <f>VLOOKUP(Tbl_Loan1[[#This Row],[Maandnummer ]],Tbl_Months[],3,FALSE)</f>
        <v>I</v>
      </c>
      <c r="J292" s="23">
        <f>YEAR(Tbl_Loan1[[#This Row],[Payment date]])</f>
        <v>2035</v>
      </c>
      <c r="K292" s="23" t="str">
        <f>_xlfn.CONCAT(Tbl_Loan1[[#This Row],[Year]],Tbl_Loan1[[#This Row],[Quarter]])</f>
        <v>2035I</v>
      </c>
      <c r="L292" s="25">
        <f t="shared" si="12"/>
        <v>63899.919184547609</v>
      </c>
      <c r="M292" s="26">
        <f t="shared" si="13"/>
        <v>6452.5136626411149</v>
      </c>
      <c r="N292" s="25">
        <f>B$5*Tbl_Loan1[[#This Row],[Initial debt]]</f>
        <v>113.37443557405236</v>
      </c>
      <c r="O292" s="25">
        <f>Tbl_Loan1[[#This Row],[Annuity]]-Tbl_Loan1[[#This Row],[Interest amount]]</f>
        <v>6339.1392270670622</v>
      </c>
      <c r="P292" s="25">
        <f>Tbl_Loan1[[#This Row],[Initial debt]]-Tbl_Loan1[[#This Row],[Redemption amount]]</f>
        <v>57560.779957480547</v>
      </c>
    </row>
    <row r="293" spans="4:16" x14ac:dyDescent="0.25">
      <c r="D293" t="str">
        <f>_xlfn.CONCAT(Tbl_Loan1[[#This Row],[Maandnummer ]],Tbl_Loan1[[#This Row],[Year]])</f>
        <v>42035</v>
      </c>
      <c r="E293" s="23">
        <f t="shared" si="14"/>
        <v>292</v>
      </c>
      <c r="F293" s="28">
        <v>49424</v>
      </c>
      <c r="G293" s="23">
        <f>MONTH(Tbl_Loan1[[#This Row],[Payment date]])</f>
        <v>4</v>
      </c>
      <c r="H293" s="23" t="str">
        <f>VLOOKUP(Tbl_Loan1[[#This Row],[Maandnummer ]],Tbl_Months[],2,FALSE)</f>
        <v>April</v>
      </c>
      <c r="I293" s="23" t="str">
        <f>VLOOKUP(Tbl_Loan1[[#This Row],[Maandnummer ]],Tbl_Months[],3,FALSE)</f>
        <v>II</v>
      </c>
      <c r="J293" s="23">
        <f>YEAR(Tbl_Loan1[[#This Row],[Payment date]])</f>
        <v>2035</v>
      </c>
      <c r="K293" s="23" t="str">
        <f>_xlfn.CONCAT(Tbl_Loan1[[#This Row],[Year]],Tbl_Loan1[[#This Row],[Quarter]])</f>
        <v>2035II</v>
      </c>
      <c r="L293" s="25">
        <f t="shared" si="12"/>
        <v>57560.779957480547</v>
      </c>
      <c r="M293" s="26">
        <f t="shared" si="13"/>
        <v>6452.5136626411149</v>
      </c>
      <c r="N293" s="25">
        <f>B$5*Tbl_Loan1[[#This Row],[Initial debt]]</f>
        <v>102.12721740749387</v>
      </c>
      <c r="O293" s="25">
        <f>Tbl_Loan1[[#This Row],[Annuity]]-Tbl_Loan1[[#This Row],[Interest amount]]</f>
        <v>6350.3864452336211</v>
      </c>
      <c r="P293" s="25">
        <f>Tbl_Loan1[[#This Row],[Initial debt]]-Tbl_Loan1[[#This Row],[Redemption amount]]</f>
        <v>51210.393512246927</v>
      </c>
    </row>
    <row r="294" spans="4:16" x14ac:dyDescent="0.25">
      <c r="D294" t="str">
        <f>_xlfn.CONCAT(Tbl_Loan1[[#This Row],[Maandnummer ]],Tbl_Loan1[[#This Row],[Year]])</f>
        <v>52035</v>
      </c>
      <c r="E294" s="23">
        <f t="shared" si="14"/>
        <v>293</v>
      </c>
      <c r="F294" s="28">
        <v>49454</v>
      </c>
      <c r="G294" s="23">
        <f>MONTH(Tbl_Loan1[[#This Row],[Payment date]])</f>
        <v>5</v>
      </c>
      <c r="H294" s="23" t="str">
        <f>VLOOKUP(Tbl_Loan1[[#This Row],[Maandnummer ]],Tbl_Months[],2,FALSE)</f>
        <v>May</v>
      </c>
      <c r="I294" s="23" t="str">
        <f>VLOOKUP(Tbl_Loan1[[#This Row],[Maandnummer ]],Tbl_Months[],3,FALSE)</f>
        <v>II</v>
      </c>
      <c r="J294" s="23">
        <f>YEAR(Tbl_Loan1[[#This Row],[Payment date]])</f>
        <v>2035</v>
      </c>
      <c r="K294" s="23" t="str">
        <f>_xlfn.CONCAT(Tbl_Loan1[[#This Row],[Year]],Tbl_Loan1[[#This Row],[Quarter]])</f>
        <v>2035II</v>
      </c>
      <c r="L294" s="25">
        <f t="shared" si="12"/>
        <v>51210.393512246927</v>
      </c>
      <c r="M294" s="26">
        <f t="shared" si="13"/>
        <v>6452.5136626411149</v>
      </c>
      <c r="N294" s="25">
        <f>B$5*Tbl_Loan1[[#This Row],[Initial debt]]</f>
        <v>90.860043863406219</v>
      </c>
      <c r="O294" s="25">
        <f>Tbl_Loan1[[#This Row],[Annuity]]-Tbl_Loan1[[#This Row],[Interest amount]]</f>
        <v>6361.6536187777083</v>
      </c>
      <c r="P294" s="25">
        <f>Tbl_Loan1[[#This Row],[Initial debt]]-Tbl_Loan1[[#This Row],[Redemption amount]]</f>
        <v>44848.739893469217</v>
      </c>
    </row>
    <row r="295" spans="4:16" x14ac:dyDescent="0.25">
      <c r="D295" t="str">
        <f>_xlfn.CONCAT(Tbl_Loan1[[#This Row],[Maandnummer ]],Tbl_Loan1[[#This Row],[Year]])</f>
        <v>62035</v>
      </c>
      <c r="E295" s="23">
        <f t="shared" si="14"/>
        <v>294</v>
      </c>
      <c r="F295" s="28">
        <v>49485</v>
      </c>
      <c r="G295" s="23">
        <f>MONTH(Tbl_Loan1[[#This Row],[Payment date]])</f>
        <v>6</v>
      </c>
      <c r="H295" s="23" t="str">
        <f>VLOOKUP(Tbl_Loan1[[#This Row],[Maandnummer ]],Tbl_Months[],2,FALSE)</f>
        <v>June</v>
      </c>
      <c r="I295" s="23" t="str">
        <f>VLOOKUP(Tbl_Loan1[[#This Row],[Maandnummer ]],Tbl_Months[],3,FALSE)</f>
        <v>II</v>
      </c>
      <c r="J295" s="23">
        <f>YEAR(Tbl_Loan1[[#This Row],[Payment date]])</f>
        <v>2035</v>
      </c>
      <c r="K295" s="23" t="str">
        <f>_xlfn.CONCAT(Tbl_Loan1[[#This Row],[Year]],Tbl_Loan1[[#This Row],[Quarter]])</f>
        <v>2035II</v>
      </c>
      <c r="L295" s="25">
        <f t="shared" si="12"/>
        <v>44848.739893469217</v>
      </c>
      <c r="M295" s="26">
        <f t="shared" si="13"/>
        <v>6452.5136626411149</v>
      </c>
      <c r="N295" s="25">
        <f>B$5*Tbl_Loan1[[#This Row],[Initial debt]]</f>
        <v>79.572879535959558</v>
      </c>
      <c r="O295" s="25">
        <f>Tbl_Loan1[[#This Row],[Annuity]]-Tbl_Loan1[[#This Row],[Interest amount]]</f>
        <v>6372.9407831051558</v>
      </c>
      <c r="P295" s="25">
        <f>Tbl_Loan1[[#This Row],[Initial debt]]-Tbl_Loan1[[#This Row],[Redemption amount]]</f>
        <v>38475.79911036406</v>
      </c>
    </row>
    <row r="296" spans="4:16" x14ac:dyDescent="0.25">
      <c r="D296" t="str">
        <f>_xlfn.CONCAT(Tbl_Loan1[[#This Row],[Maandnummer ]],Tbl_Loan1[[#This Row],[Year]])</f>
        <v>72035</v>
      </c>
      <c r="E296" s="23">
        <f t="shared" si="14"/>
        <v>295</v>
      </c>
      <c r="F296" s="28">
        <v>49515</v>
      </c>
      <c r="G296" s="23">
        <f>MONTH(Tbl_Loan1[[#This Row],[Payment date]])</f>
        <v>7</v>
      </c>
      <c r="H296" s="23" t="str">
        <f>VLOOKUP(Tbl_Loan1[[#This Row],[Maandnummer ]],Tbl_Months[],2,FALSE)</f>
        <v>July</v>
      </c>
      <c r="I296" s="23" t="str">
        <f>VLOOKUP(Tbl_Loan1[[#This Row],[Maandnummer ]],Tbl_Months[],3,FALSE)</f>
        <v>III</v>
      </c>
      <c r="J296" s="23">
        <f>YEAR(Tbl_Loan1[[#This Row],[Payment date]])</f>
        <v>2035</v>
      </c>
      <c r="K296" s="23" t="str">
        <f>_xlfn.CONCAT(Tbl_Loan1[[#This Row],[Year]],Tbl_Loan1[[#This Row],[Quarter]])</f>
        <v>2035III</v>
      </c>
      <c r="L296" s="25">
        <f t="shared" si="12"/>
        <v>38475.79911036406</v>
      </c>
      <c r="M296" s="26">
        <f t="shared" si="13"/>
        <v>6452.5136626411149</v>
      </c>
      <c r="N296" s="25">
        <f>B$5*Tbl_Loan1[[#This Row],[Initial debt]]</f>
        <v>68.265688956505272</v>
      </c>
      <c r="O296" s="25">
        <f>Tbl_Loan1[[#This Row],[Annuity]]-Tbl_Loan1[[#This Row],[Interest amount]]</f>
        <v>6384.2479736846099</v>
      </c>
      <c r="P296" s="25">
        <f>Tbl_Loan1[[#This Row],[Initial debt]]-Tbl_Loan1[[#This Row],[Redemption amount]]</f>
        <v>32091.551136679449</v>
      </c>
    </row>
    <row r="297" spans="4:16" x14ac:dyDescent="0.25">
      <c r="D297" t="str">
        <f>_xlfn.CONCAT(Tbl_Loan1[[#This Row],[Maandnummer ]],Tbl_Loan1[[#This Row],[Year]])</f>
        <v>82035</v>
      </c>
      <c r="E297" s="23">
        <f t="shared" si="14"/>
        <v>296</v>
      </c>
      <c r="F297" s="28">
        <v>49546</v>
      </c>
      <c r="G297" s="23">
        <f>MONTH(Tbl_Loan1[[#This Row],[Payment date]])</f>
        <v>8</v>
      </c>
      <c r="H297" s="23" t="str">
        <f>VLOOKUP(Tbl_Loan1[[#This Row],[Maandnummer ]],Tbl_Months[],2,FALSE)</f>
        <v>August</v>
      </c>
      <c r="I297" s="23" t="str">
        <f>VLOOKUP(Tbl_Loan1[[#This Row],[Maandnummer ]],Tbl_Months[],3,FALSE)</f>
        <v>III</v>
      </c>
      <c r="J297" s="23">
        <f>YEAR(Tbl_Loan1[[#This Row],[Payment date]])</f>
        <v>2035</v>
      </c>
      <c r="K297" s="23" t="str">
        <f>_xlfn.CONCAT(Tbl_Loan1[[#This Row],[Year]],Tbl_Loan1[[#This Row],[Quarter]])</f>
        <v>2035III</v>
      </c>
      <c r="L297" s="25">
        <f t="shared" si="12"/>
        <v>32091.551136679449</v>
      </c>
      <c r="M297" s="26">
        <f t="shared" si="13"/>
        <v>6452.5136626411149</v>
      </c>
      <c r="N297" s="25">
        <f>B$5*Tbl_Loan1[[#This Row],[Initial debt]]</f>
        <v>56.938436593464516</v>
      </c>
      <c r="O297" s="25">
        <f>Tbl_Loan1[[#This Row],[Annuity]]-Tbl_Loan1[[#This Row],[Interest amount]]</f>
        <v>6395.5752260476502</v>
      </c>
      <c r="P297" s="25">
        <f>Tbl_Loan1[[#This Row],[Initial debt]]-Tbl_Loan1[[#This Row],[Redemption amount]]</f>
        <v>25695.975910631798</v>
      </c>
    </row>
    <row r="298" spans="4:16" x14ac:dyDescent="0.25">
      <c r="D298" t="str">
        <f>_xlfn.CONCAT(Tbl_Loan1[[#This Row],[Maandnummer ]],Tbl_Loan1[[#This Row],[Year]])</f>
        <v>92035</v>
      </c>
      <c r="E298" s="23">
        <f t="shared" si="14"/>
        <v>297</v>
      </c>
      <c r="F298" s="28">
        <v>49577</v>
      </c>
      <c r="G298" s="23">
        <f>MONTH(Tbl_Loan1[[#This Row],[Payment date]])</f>
        <v>9</v>
      </c>
      <c r="H298" s="23" t="str">
        <f>VLOOKUP(Tbl_Loan1[[#This Row],[Maandnummer ]],Tbl_Months[],2,FALSE)</f>
        <v>September</v>
      </c>
      <c r="I298" s="23" t="str">
        <f>VLOOKUP(Tbl_Loan1[[#This Row],[Maandnummer ]],Tbl_Months[],3,FALSE)</f>
        <v>III</v>
      </c>
      <c r="J298" s="23">
        <f>YEAR(Tbl_Loan1[[#This Row],[Payment date]])</f>
        <v>2035</v>
      </c>
      <c r="K298" s="23" t="str">
        <f>_xlfn.CONCAT(Tbl_Loan1[[#This Row],[Year]],Tbl_Loan1[[#This Row],[Quarter]])</f>
        <v>2035III</v>
      </c>
      <c r="L298" s="25">
        <f t="shared" si="12"/>
        <v>25695.975910631798</v>
      </c>
      <c r="M298" s="26">
        <f t="shared" si="13"/>
        <v>6452.5136626411149</v>
      </c>
      <c r="N298" s="25">
        <f>B$5*Tbl_Loan1[[#This Row],[Initial debt]]</f>
        <v>45.591086852216513</v>
      </c>
      <c r="O298" s="25">
        <f>Tbl_Loan1[[#This Row],[Annuity]]-Tbl_Loan1[[#This Row],[Interest amount]]</f>
        <v>6406.922575788898</v>
      </c>
      <c r="P298" s="25">
        <f>Tbl_Loan1[[#This Row],[Initial debt]]-Tbl_Loan1[[#This Row],[Redemption amount]]</f>
        <v>19289.053334842902</v>
      </c>
    </row>
    <row r="299" spans="4:16" x14ac:dyDescent="0.25">
      <c r="D299" t="str">
        <f>_xlfn.CONCAT(Tbl_Loan1[[#This Row],[Maandnummer ]],Tbl_Loan1[[#This Row],[Year]])</f>
        <v>102035</v>
      </c>
      <c r="E299" s="23">
        <f t="shared" si="14"/>
        <v>298</v>
      </c>
      <c r="F299" s="28">
        <v>49607</v>
      </c>
      <c r="G299" s="23">
        <f>MONTH(Tbl_Loan1[[#This Row],[Payment date]])</f>
        <v>10</v>
      </c>
      <c r="H299" s="23" t="str">
        <f>VLOOKUP(Tbl_Loan1[[#This Row],[Maandnummer ]],Tbl_Months[],2,FALSE)</f>
        <v>October</v>
      </c>
      <c r="I299" s="23" t="str">
        <f>VLOOKUP(Tbl_Loan1[[#This Row],[Maandnummer ]],Tbl_Months[],3,FALSE)</f>
        <v>IV</v>
      </c>
      <c r="J299" s="23">
        <f>YEAR(Tbl_Loan1[[#This Row],[Payment date]])</f>
        <v>2035</v>
      </c>
      <c r="K299" s="23" t="str">
        <f>_xlfn.CONCAT(Tbl_Loan1[[#This Row],[Year]],Tbl_Loan1[[#This Row],[Quarter]])</f>
        <v>2035IV</v>
      </c>
      <c r="L299" s="25">
        <f t="shared" si="12"/>
        <v>19289.053334842902</v>
      </c>
      <c r="M299" s="26">
        <f t="shared" si="13"/>
        <v>6452.5136626411149</v>
      </c>
      <c r="N299" s="25">
        <f>B$5*Tbl_Loan1[[#This Row],[Initial debt]]</f>
        <v>34.223604074986731</v>
      </c>
      <c r="O299" s="25">
        <f>Tbl_Loan1[[#This Row],[Annuity]]-Tbl_Loan1[[#This Row],[Interest amount]]</f>
        <v>6418.2900585661282</v>
      </c>
      <c r="P299" s="25">
        <f>Tbl_Loan1[[#This Row],[Initial debt]]-Tbl_Loan1[[#This Row],[Redemption amount]]</f>
        <v>12870.763276276773</v>
      </c>
    </row>
    <row r="300" spans="4:16" x14ac:dyDescent="0.25">
      <c r="D300" t="str">
        <f>_xlfn.CONCAT(Tbl_Loan1[[#This Row],[Maandnummer ]],Tbl_Loan1[[#This Row],[Year]])</f>
        <v>112035</v>
      </c>
      <c r="E300" s="23">
        <f t="shared" si="14"/>
        <v>299</v>
      </c>
      <c r="F300" s="28">
        <v>49638</v>
      </c>
      <c r="G300" s="23">
        <f>MONTH(Tbl_Loan1[[#This Row],[Payment date]])</f>
        <v>11</v>
      </c>
      <c r="H300" s="23" t="str">
        <f>VLOOKUP(Tbl_Loan1[[#This Row],[Maandnummer ]],Tbl_Months[],2,FALSE)</f>
        <v>November</v>
      </c>
      <c r="I300" s="23" t="str">
        <f>VLOOKUP(Tbl_Loan1[[#This Row],[Maandnummer ]],Tbl_Months[],3,FALSE)</f>
        <v>IV</v>
      </c>
      <c r="J300" s="23">
        <f>YEAR(Tbl_Loan1[[#This Row],[Payment date]])</f>
        <v>2035</v>
      </c>
      <c r="K300" s="23" t="str">
        <f>_xlfn.CONCAT(Tbl_Loan1[[#This Row],[Year]],Tbl_Loan1[[#This Row],[Quarter]])</f>
        <v>2035IV</v>
      </c>
      <c r="L300" s="25">
        <f t="shared" si="12"/>
        <v>12870.763276276773</v>
      </c>
      <c r="M300" s="26">
        <f t="shared" si="13"/>
        <v>6452.5136626411149</v>
      </c>
      <c r="N300" s="25">
        <f>B$5*Tbl_Loan1[[#This Row],[Initial debt]]</f>
        <v>22.835952540734826</v>
      </c>
      <c r="O300" s="25">
        <f>Tbl_Loan1[[#This Row],[Annuity]]-Tbl_Loan1[[#This Row],[Interest amount]]</f>
        <v>6429.67771010038</v>
      </c>
      <c r="P300" s="25">
        <f>Tbl_Loan1[[#This Row],[Initial debt]]-Tbl_Loan1[[#This Row],[Redemption amount]]</f>
        <v>6441.0855661763935</v>
      </c>
    </row>
    <row r="301" spans="4:16" x14ac:dyDescent="0.25">
      <c r="D301" t="str">
        <f>_xlfn.CONCAT(Tbl_Loan1[[#This Row],[Maandnummer ]],Tbl_Loan1[[#This Row],[Year]])</f>
        <v>122035</v>
      </c>
      <c r="E301" s="23">
        <f t="shared" si="14"/>
        <v>300</v>
      </c>
      <c r="F301" s="28">
        <v>49668</v>
      </c>
      <c r="G301" s="23">
        <f>MONTH(Tbl_Loan1[[#This Row],[Payment date]])</f>
        <v>12</v>
      </c>
      <c r="H301" s="23" t="str">
        <f>VLOOKUP(Tbl_Loan1[[#This Row],[Maandnummer ]],Tbl_Months[],2,FALSE)</f>
        <v>December</v>
      </c>
      <c r="I301" s="23" t="str">
        <f>VLOOKUP(Tbl_Loan1[[#This Row],[Maandnummer ]],Tbl_Months[],3,FALSE)</f>
        <v>IV</v>
      </c>
      <c r="J301" s="23">
        <f>YEAR(Tbl_Loan1[[#This Row],[Payment date]])</f>
        <v>2035</v>
      </c>
      <c r="K301" s="23" t="str">
        <f>_xlfn.CONCAT(Tbl_Loan1[[#This Row],[Year]],Tbl_Loan1[[#This Row],[Quarter]])</f>
        <v>2035IV</v>
      </c>
      <c r="L301" s="25">
        <f t="shared" si="12"/>
        <v>6441.0855661763935</v>
      </c>
      <c r="M301" s="26">
        <f t="shared" si="13"/>
        <v>6452.5136626411149</v>
      </c>
      <c r="N301" s="25">
        <f>B$5*Tbl_Loan1[[#This Row],[Initial debt]]</f>
        <v>11.428096465042408</v>
      </c>
      <c r="O301" s="25">
        <f>Tbl_Loan1[[#This Row],[Annuity]]-Tbl_Loan1[[#This Row],[Interest amount]]</f>
        <v>6441.0855661760725</v>
      </c>
      <c r="P301" s="25">
        <f>Tbl_Loan1[[#This Row],[Initial debt]]-Tbl_Loan1[[#This Row],[Redemption amount]]</f>
        <v>3.2105162972584367E-10</v>
      </c>
    </row>
    <row r="302" spans="4:16" x14ac:dyDescent="0.25">
      <c r="L302" s="25"/>
      <c r="M302" s="26">
        <f>SUBTOTAL(109,Tbl_Loan1[Annuity])</f>
        <v>1935754.0987923462</v>
      </c>
      <c r="N302" s="25">
        <f>SUBTOTAL(109,Tbl_Loan1[Interest amount])</f>
        <v>435754.09879233432</v>
      </c>
      <c r="O302" s="25">
        <f>SUBTOTAL(109,Tbl_Loan1[Redemption amount])</f>
        <v>1499999.9999999984</v>
      </c>
      <c r="P302" s="2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D521-15BC-4501-BB29-B82901BFFA7F}">
  <sheetPr>
    <tabColor rgb="FF92D050"/>
  </sheetPr>
  <dimension ref="A1:L19"/>
  <sheetViews>
    <sheetView topLeftCell="G1" workbookViewId="0">
      <selection activeCell="J1" sqref="J1"/>
    </sheetView>
  </sheetViews>
  <sheetFormatPr defaultColWidth="9.109375" defaultRowHeight="13.2" x14ac:dyDescent="0.25"/>
  <cols>
    <col min="1" max="1" width="22.44140625" bestFit="1" customWidth="1"/>
    <col min="2" max="2" width="17.109375" bestFit="1" customWidth="1"/>
    <col min="3" max="3" width="18.44140625" bestFit="1" customWidth="1"/>
    <col min="4" max="4" width="16.109375" bestFit="1" customWidth="1"/>
    <col min="5" max="5" width="20.6640625" bestFit="1" customWidth="1"/>
    <col min="6" max="6" width="19.44140625" bestFit="1" customWidth="1"/>
    <col min="7" max="7" width="25.6640625" bestFit="1" customWidth="1"/>
    <col min="8" max="8" width="23.33203125" bestFit="1" customWidth="1"/>
    <col min="9" max="9" width="21.6640625" bestFit="1" customWidth="1"/>
    <col min="10" max="10" width="26.109375" bestFit="1" customWidth="1"/>
    <col min="11" max="11" width="30.44140625" bestFit="1" customWidth="1"/>
  </cols>
  <sheetData>
    <row r="1" spans="1:12" x14ac:dyDescent="0.25">
      <c r="A1" t="s">
        <v>109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</row>
    <row r="2" spans="1:12" x14ac:dyDescent="0.25">
      <c r="A2" t="s">
        <v>110</v>
      </c>
      <c r="B2" s="2">
        <v>40543</v>
      </c>
      <c r="C2" s="3">
        <v>1500000</v>
      </c>
      <c r="D2" s="4">
        <v>0.5</v>
      </c>
      <c r="E2" s="3">
        <f>Tbl_FixedAssets[[#This Row],[Purchase value]]*Tbl_FixedAssets[[#This Row],[Residual value%]]</f>
        <v>750000</v>
      </c>
      <c r="F2" s="3">
        <f>Tbl_FixedAssets[[#This Row],[Purchase value]]-Tbl_FixedAssets[[#This Row],[Residual value amount]]</f>
        <v>750000</v>
      </c>
      <c r="G2" s="1">
        <v>25</v>
      </c>
      <c r="H2" s="3">
        <f>Tbl_FixedAssets[[#This Row],[Depreciation basis]]/Tbl_FixedAssets[[#This Row],[Amortization Period (yr.)]]</f>
        <v>30000</v>
      </c>
      <c r="I2" s="1">
        <f>DATEDIF(Tbl_FixedAssets[[#This Row],[Purchase date]],'Balance Sheet'!B$1,"y")</f>
        <v>10</v>
      </c>
      <c r="J2" s="3">
        <f>Tbl_FixedAssets[[#This Row],[Elapsed periods]]*Tbl_FixedAssets[[#This Row],[Annual depreciation]]</f>
        <v>300000</v>
      </c>
      <c r="K2" s="3">
        <f>Tbl_FixedAssets[[#This Row],[Purchase value]]-Tbl_FixedAssets[[#This Row],[Accumulated Depreciation]]</f>
        <v>1200000</v>
      </c>
      <c r="L2" s="3" t="s">
        <v>208</v>
      </c>
    </row>
    <row r="3" spans="1:12" x14ac:dyDescent="0.25">
      <c r="A3" t="s">
        <v>111</v>
      </c>
      <c r="B3" s="2">
        <v>43465</v>
      </c>
      <c r="C3" s="3">
        <v>170000</v>
      </c>
      <c r="D3" s="4">
        <v>0.1</v>
      </c>
      <c r="E3" s="3">
        <f>Tbl_FixedAssets[[#This Row],[Purchase value]]*Tbl_FixedAssets[[#This Row],[Residual value%]]</f>
        <v>17000</v>
      </c>
      <c r="F3" s="3">
        <f>Tbl_FixedAssets[[#This Row],[Purchase value]]-Tbl_FixedAssets[[#This Row],[Residual value amount]]</f>
        <v>153000</v>
      </c>
      <c r="G3" s="1">
        <v>25</v>
      </c>
      <c r="H3" s="3">
        <f>Tbl_FixedAssets[[#This Row],[Depreciation basis]]/Tbl_FixedAssets[[#This Row],[Amortization Period (yr.)]]</f>
        <v>6120</v>
      </c>
      <c r="I3" s="1">
        <f>DATEDIF(Tbl_FixedAssets[[#This Row],[Purchase date]],'Balance Sheet'!B$1,"y")</f>
        <v>2</v>
      </c>
      <c r="J3" s="3">
        <f>Tbl_FixedAssets[[#This Row],[Elapsed periods]]*Tbl_FixedAssets[[#This Row],[Annual depreciation]]</f>
        <v>12240</v>
      </c>
      <c r="K3" s="3">
        <f>Tbl_FixedAssets[[#This Row],[Purchase value]]-Tbl_FixedAssets[[#This Row],[Accumulated Depreciation]]</f>
        <v>157760</v>
      </c>
      <c r="L3" s="3" t="s">
        <v>209</v>
      </c>
    </row>
    <row r="4" spans="1:12" x14ac:dyDescent="0.25">
      <c r="A4" s="37" t="s">
        <v>113</v>
      </c>
      <c r="B4" s="2">
        <v>40543</v>
      </c>
      <c r="C4" s="3">
        <v>300000</v>
      </c>
      <c r="D4" s="4">
        <v>0.3</v>
      </c>
      <c r="E4" s="3">
        <f>Tbl_FixedAssets[[#This Row],[Purchase value]]*Tbl_FixedAssets[[#This Row],[Residual value%]]</f>
        <v>90000</v>
      </c>
      <c r="F4" s="3">
        <f>Tbl_FixedAssets[[#This Row],[Purchase value]]-Tbl_FixedAssets[[#This Row],[Residual value amount]]</f>
        <v>210000</v>
      </c>
      <c r="G4" s="1">
        <v>20</v>
      </c>
      <c r="H4" s="3">
        <f>Tbl_FixedAssets[[#This Row],[Depreciation basis]]/Tbl_FixedAssets[[#This Row],[Amortization Period (yr.)]]</f>
        <v>10500</v>
      </c>
      <c r="I4" s="1">
        <f>DATEDIF(Tbl_FixedAssets[[#This Row],[Purchase date]],'Balance Sheet'!B$1,"y")</f>
        <v>10</v>
      </c>
      <c r="J4" s="3">
        <f>Tbl_FixedAssets[[#This Row],[Elapsed periods]]*Tbl_FixedAssets[[#This Row],[Annual depreciation]]</f>
        <v>105000</v>
      </c>
      <c r="K4" s="3">
        <f>Tbl_FixedAssets[[#This Row],[Purchase value]]-Tbl_FixedAssets[[#This Row],[Accumulated Depreciation]]</f>
        <v>195000</v>
      </c>
      <c r="L4" s="3" t="s">
        <v>210</v>
      </c>
    </row>
    <row r="5" spans="1:12" x14ac:dyDescent="0.25">
      <c r="A5" s="37" t="s">
        <v>114</v>
      </c>
      <c r="B5" s="2">
        <v>41274</v>
      </c>
      <c r="C5" s="3">
        <v>350000</v>
      </c>
      <c r="D5" s="4">
        <v>0.2</v>
      </c>
      <c r="E5" s="3">
        <f>Tbl_FixedAssets[[#This Row],[Purchase value]]*Tbl_FixedAssets[[#This Row],[Residual value%]]</f>
        <v>70000</v>
      </c>
      <c r="F5" s="3">
        <f>Tbl_FixedAssets[[#This Row],[Purchase value]]-Tbl_FixedAssets[[#This Row],[Residual value amount]]</f>
        <v>280000</v>
      </c>
      <c r="G5" s="1">
        <v>10</v>
      </c>
      <c r="H5" s="3">
        <f>Tbl_FixedAssets[[#This Row],[Depreciation basis]]/Tbl_FixedAssets[[#This Row],[Amortization Period (yr.)]]</f>
        <v>28000</v>
      </c>
      <c r="I5" s="1">
        <f>DATEDIF(Tbl_FixedAssets[[#This Row],[Purchase date]],'Balance Sheet'!B$1,"y")</f>
        <v>8</v>
      </c>
      <c r="J5" s="3">
        <f>Tbl_FixedAssets[[#This Row],[Elapsed periods]]*Tbl_FixedAssets[[#This Row],[Annual depreciation]]</f>
        <v>224000</v>
      </c>
      <c r="K5" s="3">
        <f>Tbl_FixedAssets[[#This Row],[Purchase value]]-Tbl_FixedAssets[[#This Row],[Accumulated Depreciation]]</f>
        <v>126000</v>
      </c>
      <c r="L5" s="3" t="s">
        <v>211</v>
      </c>
    </row>
    <row r="6" spans="1:12" x14ac:dyDescent="0.25">
      <c r="A6" t="s">
        <v>115</v>
      </c>
      <c r="B6" s="2">
        <v>43465</v>
      </c>
      <c r="C6" s="3">
        <v>450000</v>
      </c>
      <c r="D6" s="4">
        <v>0.1</v>
      </c>
      <c r="E6" s="3">
        <f>Tbl_FixedAssets[[#This Row],[Purchase value]]*Tbl_FixedAssets[[#This Row],[Residual value%]]</f>
        <v>45000</v>
      </c>
      <c r="F6" s="3">
        <f>Tbl_FixedAssets[[#This Row],[Purchase value]]-Tbl_FixedAssets[[#This Row],[Residual value amount]]</f>
        <v>405000</v>
      </c>
      <c r="G6" s="1">
        <v>8</v>
      </c>
      <c r="H6" s="3">
        <f>Tbl_FixedAssets[[#This Row],[Depreciation basis]]/Tbl_FixedAssets[[#This Row],[Amortization Period (yr.)]]</f>
        <v>50625</v>
      </c>
      <c r="I6" s="1">
        <f>DATEDIF(Tbl_FixedAssets[[#This Row],[Purchase date]],'Balance Sheet'!B$1,"y")</f>
        <v>2</v>
      </c>
      <c r="J6" s="3">
        <f>Tbl_FixedAssets[[#This Row],[Elapsed periods]]*Tbl_FixedAssets[[#This Row],[Annual depreciation]]</f>
        <v>101250</v>
      </c>
      <c r="K6" s="3">
        <f>Tbl_FixedAssets[[#This Row],[Purchase value]]-Tbl_FixedAssets[[#This Row],[Accumulated Depreciation]]</f>
        <v>348750</v>
      </c>
      <c r="L6" s="3" t="s">
        <v>212</v>
      </c>
    </row>
    <row r="7" spans="1:12" x14ac:dyDescent="0.25">
      <c r="A7" t="s">
        <v>117</v>
      </c>
      <c r="B7" s="2">
        <v>42735</v>
      </c>
      <c r="C7" s="3">
        <v>22500</v>
      </c>
      <c r="D7" s="4">
        <v>0.1</v>
      </c>
      <c r="E7" s="3">
        <f>Tbl_FixedAssets[[#This Row],[Purchase value]]*Tbl_FixedAssets[[#This Row],[Residual value%]]</f>
        <v>2250</v>
      </c>
      <c r="F7" s="3">
        <f>Tbl_FixedAssets[[#This Row],[Purchase value]]-Tbl_FixedAssets[[#This Row],[Residual value amount]]</f>
        <v>20250</v>
      </c>
      <c r="G7" s="1">
        <v>5</v>
      </c>
      <c r="H7" s="3">
        <f>Tbl_FixedAssets[[#This Row],[Depreciation basis]]/Tbl_FixedAssets[[#This Row],[Amortization Period (yr.)]]</f>
        <v>4050</v>
      </c>
      <c r="I7" s="1">
        <f>DATEDIF(Tbl_FixedAssets[[#This Row],[Purchase date]],'Balance Sheet'!B$1,"y")</f>
        <v>4</v>
      </c>
      <c r="J7" s="3">
        <f>Tbl_FixedAssets[[#This Row],[Elapsed periods]]*Tbl_FixedAssets[[#This Row],[Annual depreciation]]</f>
        <v>16200</v>
      </c>
      <c r="K7" s="3">
        <f>Tbl_FixedAssets[[#This Row],[Purchase value]]-Tbl_FixedAssets[[#This Row],[Accumulated Depreciation]]</f>
        <v>6300</v>
      </c>
      <c r="L7" s="3" t="s">
        <v>213</v>
      </c>
    </row>
    <row r="8" spans="1:12" x14ac:dyDescent="0.25">
      <c r="A8" s="37" t="s">
        <v>118</v>
      </c>
      <c r="B8" s="2">
        <v>43100</v>
      </c>
      <c r="C8" s="3">
        <v>50000</v>
      </c>
      <c r="D8" s="4">
        <v>0.1</v>
      </c>
      <c r="E8" s="3">
        <f>Tbl_FixedAssets[[#This Row],[Purchase value]]*Tbl_FixedAssets[[#This Row],[Residual value%]]</f>
        <v>5000</v>
      </c>
      <c r="F8" s="3">
        <f>Tbl_FixedAssets[[#This Row],[Purchase value]]-Tbl_FixedAssets[[#This Row],[Residual value amount]]</f>
        <v>45000</v>
      </c>
      <c r="G8" s="1">
        <v>5</v>
      </c>
      <c r="H8" s="3">
        <f>Tbl_FixedAssets[[#This Row],[Depreciation basis]]/Tbl_FixedAssets[[#This Row],[Amortization Period (yr.)]]</f>
        <v>9000</v>
      </c>
      <c r="I8" s="1">
        <f>DATEDIF(Tbl_FixedAssets[[#This Row],[Purchase date]],'Balance Sheet'!B$1,"y")</f>
        <v>3</v>
      </c>
      <c r="J8" s="3">
        <f>Tbl_FixedAssets[[#This Row],[Elapsed periods]]*Tbl_FixedAssets[[#This Row],[Annual depreciation]]</f>
        <v>27000</v>
      </c>
      <c r="K8" s="3">
        <f>Tbl_FixedAssets[[#This Row],[Purchase value]]-Tbl_FixedAssets[[#This Row],[Accumulated Depreciation]]</f>
        <v>23000</v>
      </c>
      <c r="L8" s="3" t="s">
        <v>214</v>
      </c>
    </row>
    <row r="9" spans="1:12" x14ac:dyDescent="0.25">
      <c r="B9" s="2"/>
      <c r="C9" s="3"/>
      <c r="D9" s="4"/>
      <c r="E9" s="3"/>
      <c r="F9" s="3"/>
      <c r="G9" s="1"/>
      <c r="H9" s="3">
        <f>SUBTOTAL(109,Tbl_FixedAssets[Annual depreciation])</f>
        <v>138295</v>
      </c>
      <c r="I9" s="1"/>
      <c r="J9" s="3"/>
      <c r="K9" s="3"/>
    </row>
    <row r="19" spans="8:8" x14ac:dyDescent="0.25">
      <c r="H19" s="3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1C41-5607-4E85-B645-2EA6B5EB58B2}">
  <sheetPr>
    <tabColor rgb="FF92D050"/>
  </sheetPr>
  <dimension ref="A1:M24"/>
  <sheetViews>
    <sheetView topLeftCell="A2" workbookViewId="0">
      <selection activeCell="J21" sqref="J21"/>
    </sheetView>
  </sheetViews>
  <sheetFormatPr defaultColWidth="8.6640625" defaultRowHeight="13.2" x14ac:dyDescent="0.25"/>
  <cols>
    <col min="1" max="1" width="24" bestFit="1" customWidth="1"/>
    <col min="2" max="2" width="11.6640625" style="52" bestFit="1" customWidth="1"/>
    <col min="3" max="3" width="14.6640625" style="52" bestFit="1" customWidth="1"/>
    <col min="4" max="4" width="6.109375" style="52" customWidth="1"/>
    <col min="5" max="6" width="14.6640625" style="52" bestFit="1" customWidth="1"/>
    <col min="7" max="7" width="15.6640625" style="52" bestFit="1" customWidth="1"/>
    <col min="9" max="12" width="14.6640625" bestFit="1" customWidth="1"/>
    <col min="13" max="13" width="15.6640625" bestFit="1" customWidth="1"/>
  </cols>
  <sheetData>
    <row r="1" spans="1:13" s="7" customFormat="1" x14ac:dyDescent="0.25">
      <c r="A1" s="7" t="s">
        <v>10</v>
      </c>
      <c r="B1" s="49">
        <v>2021</v>
      </c>
      <c r="C1" s="49">
        <v>2022</v>
      </c>
      <c r="D1" s="49">
        <v>2022</v>
      </c>
      <c r="E1" s="49">
        <v>2022</v>
      </c>
      <c r="F1" s="49">
        <v>2022</v>
      </c>
      <c r="G1" s="49">
        <v>2022</v>
      </c>
    </row>
    <row r="2" spans="1:13" s="7" customFormat="1" x14ac:dyDescent="0.25">
      <c r="A2" s="7" t="s">
        <v>11</v>
      </c>
      <c r="B2" s="49" t="s">
        <v>12</v>
      </c>
      <c r="C2" s="49" t="s">
        <v>13</v>
      </c>
      <c r="D2" s="49" t="s">
        <v>14</v>
      </c>
      <c r="E2" s="49" t="s">
        <v>15</v>
      </c>
      <c r="F2" s="49" t="s">
        <v>12</v>
      </c>
      <c r="G2" s="49" t="s">
        <v>54</v>
      </c>
      <c r="I2" s="7" t="s">
        <v>13</v>
      </c>
      <c r="J2" s="7" t="s">
        <v>14</v>
      </c>
      <c r="K2" s="7" t="s">
        <v>15</v>
      </c>
      <c r="L2" s="7" t="s">
        <v>12</v>
      </c>
      <c r="M2" s="7" t="s">
        <v>54</v>
      </c>
    </row>
    <row r="3" spans="1:13" s="7" customFormat="1" x14ac:dyDescent="0.25">
      <c r="A3" s="7" t="s">
        <v>147</v>
      </c>
      <c r="B3" s="49" t="str">
        <f>_xlfn.CONCAT(B1,B2)</f>
        <v>2021IV</v>
      </c>
      <c r="C3" s="49" t="str">
        <f t="shared" ref="C3:G3" si="0">_xlfn.CONCAT(C1,C2)</f>
        <v>2022I</v>
      </c>
      <c r="D3" s="49" t="str">
        <f t="shared" si="0"/>
        <v>2022II</v>
      </c>
      <c r="E3" s="49" t="str">
        <f t="shared" si="0"/>
        <v>2022III</v>
      </c>
      <c r="F3" s="49" t="str">
        <f t="shared" si="0"/>
        <v>2022IV</v>
      </c>
      <c r="G3" s="49" t="str">
        <f t="shared" si="0"/>
        <v>2022Total</v>
      </c>
      <c r="I3" s="7" t="s">
        <v>165</v>
      </c>
      <c r="J3" s="7" t="s">
        <v>166</v>
      </c>
      <c r="K3" s="7" t="s">
        <v>168</v>
      </c>
      <c r="L3" s="7" t="s">
        <v>160</v>
      </c>
      <c r="M3" s="7" t="s">
        <v>383</v>
      </c>
    </row>
    <row r="4" spans="1:13" ht="14.4" x14ac:dyDescent="0.3">
      <c r="A4" t="s">
        <v>58</v>
      </c>
      <c r="B4" s="52">
        <f>Budget!N14</f>
        <v>5128431.2731299996</v>
      </c>
      <c r="C4" s="121">
        <f>1250*2882</f>
        <v>3602500</v>
      </c>
      <c r="D4" s="137">
        <f>C4+(C4*1.1)</f>
        <v>7565250</v>
      </c>
      <c r="E4" s="137">
        <f t="shared" ref="E4:F4" si="1">D4+(D4*10%)</f>
        <v>8321775</v>
      </c>
      <c r="F4" s="137">
        <f t="shared" si="1"/>
        <v>9153952.5</v>
      </c>
      <c r="G4" s="138">
        <f>SUM(C4:F4)</f>
        <v>28643477.5</v>
      </c>
      <c r="H4" s="137"/>
      <c r="I4" s="137">
        <f>F4+(F4*5%)</f>
        <v>9611650.125</v>
      </c>
      <c r="J4" s="137">
        <f>I4+(I4*4%)</f>
        <v>9996116.1300000008</v>
      </c>
      <c r="K4" s="137">
        <f>J4+(J4*3%)</f>
        <v>10295999.6139</v>
      </c>
      <c r="L4" s="137">
        <f>K4+(K4*2%)</f>
        <v>10501919.606178001</v>
      </c>
      <c r="M4" s="138">
        <f>SUM(I4:L4)</f>
        <v>40405685.475078002</v>
      </c>
    </row>
    <row r="5" spans="1:13" ht="14.4" x14ac:dyDescent="0.3">
      <c r="A5" s="57" t="s">
        <v>62</v>
      </c>
      <c r="B5" s="53">
        <f>Budget!N26</f>
        <v>0</v>
      </c>
      <c r="C5" s="139">
        <v>0</v>
      </c>
      <c r="D5" s="139">
        <v>0</v>
      </c>
      <c r="E5" s="139">
        <v>0</v>
      </c>
      <c r="F5" s="139">
        <v>0</v>
      </c>
      <c r="G5" s="140">
        <v>0</v>
      </c>
      <c r="H5" s="139"/>
      <c r="I5" s="139">
        <v>0</v>
      </c>
      <c r="J5" s="139">
        <v>0</v>
      </c>
      <c r="K5" s="139">
        <v>0</v>
      </c>
      <c r="L5" s="139">
        <v>0</v>
      </c>
      <c r="M5" s="140">
        <v>0</v>
      </c>
    </row>
    <row r="6" spans="1:13" s="7" customFormat="1" x14ac:dyDescent="0.25">
      <c r="A6" s="7" t="s">
        <v>215</v>
      </c>
      <c r="B6" s="54">
        <f>SUM(B4:B5)</f>
        <v>5128431.2731299996</v>
      </c>
      <c r="C6" s="141">
        <f t="shared" ref="C6:F6" si="2">SUM(C4:C5)</f>
        <v>3602500</v>
      </c>
      <c r="D6" s="141">
        <f>SUM(D4:D5)</f>
        <v>7565250</v>
      </c>
      <c r="E6" s="141">
        <f t="shared" si="2"/>
        <v>8321775</v>
      </c>
      <c r="F6" s="141">
        <f t="shared" si="2"/>
        <v>9153952.5</v>
      </c>
      <c r="G6" s="141">
        <f>SUM(C6:F6)</f>
        <v>28643477.5</v>
      </c>
      <c r="H6" s="141"/>
      <c r="I6" s="141">
        <f>SUM(I4:I5)</f>
        <v>9611650.125</v>
      </c>
      <c r="J6" s="141">
        <f>SUM(J4:J5)</f>
        <v>9996116.1300000008</v>
      </c>
      <c r="K6" s="141">
        <f t="shared" ref="K6:M6" si="3">SUM(K4:K5)</f>
        <v>10295999.6139</v>
      </c>
      <c r="L6" s="141">
        <f t="shared" si="3"/>
        <v>10501919.606178001</v>
      </c>
      <c r="M6" s="141">
        <f t="shared" si="3"/>
        <v>40405685.475078002</v>
      </c>
    </row>
    <row r="7" spans="1:13" ht="14.4" x14ac:dyDescent="0.3">
      <c r="C7" s="137"/>
      <c r="D7" s="137"/>
      <c r="E7" s="137"/>
      <c r="F7" s="137"/>
      <c r="G7" s="137"/>
      <c r="H7" s="121"/>
      <c r="I7" s="121"/>
      <c r="J7" s="121"/>
      <c r="K7" s="121"/>
      <c r="L7" s="121"/>
      <c r="M7" s="142"/>
    </row>
    <row r="8" spans="1:13" ht="14.4" x14ac:dyDescent="0.3">
      <c r="A8" s="7" t="s">
        <v>216</v>
      </c>
      <c r="C8" s="137"/>
      <c r="D8" s="137"/>
      <c r="E8" s="137"/>
      <c r="F8" s="137"/>
      <c r="G8" s="137"/>
      <c r="H8" s="121"/>
      <c r="I8" s="121"/>
      <c r="J8" s="121"/>
      <c r="K8" s="121"/>
      <c r="L8" s="121"/>
      <c r="M8" s="142"/>
    </row>
    <row r="9" spans="1:13" ht="14.4" x14ac:dyDescent="0.3">
      <c r="A9" t="s">
        <v>93</v>
      </c>
      <c r="B9" s="120">
        <f>Budget!D52</f>
        <v>3052500</v>
      </c>
      <c r="C9" s="137">
        <f>500*2882</f>
        <v>1441000</v>
      </c>
      <c r="D9" s="137">
        <f>C9+(C9*10%)</f>
        <v>1585100</v>
      </c>
      <c r="E9" s="137">
        <f t="shared" ref="E9:M9" si="4">D9+(D9*10%)</f>
        <v>1743610</v>
      </c>
      <c r="F9" s="137">
        <f t="shared" si="4"/>
        <v>1917971</v>
      </c>
      <c r="G9" s="138">
        <f>SUM(C9:F9)</f>
        <v>6687681</v>
      </c>
      <c r="H9" s="137"/>
      <c r="I9" s="137">
        <f>F9+(F9*5%)</f>
        <v>2013869.55</v>
      </c>
      <c r="J9" s="137">
        <f>I9+(I9*4%)</f>
        <v>2094424.3319999999</v>
      </c>
      <c r="K9" s="137">
        <f>J9+(J9*3%)</f>
        <v>2157257.0619600001</v>
      </c>
      <c r="L9" s="137">
        <f>K9+(K9*2%)</f>
        <v>2200402.2031991999</v>
      </c>
      <c r="M9" s="138">
        <f t="shared" si="4"/>
        <v>2420442.4235191196</v>
      </c>
    </row>
    <row r="10" spans="1:13" ht="14.4" x14ac:dyDescent="0.3">
      <c r="A10" t="s">
        <v>217</v>
      </c>
      <c r="B10" s="114">
        <f>'Departments and FTE'!C80</f>
        <v>1891414.8</v>
      </c>
      <c r="C10" s="137">
        <v>1251061.3999999999</v>
      </c>
      <c r="D10" s="137">
        <v>1251061.3999999999</v>
      </c>
      <c r="E10" s="137">
        <v>1251061.3999999999</v>
      </c>
      <c r="F10" s="137">
        <v>1251061.3999999999</v>
      </c>
      <c r="G10" s="138">
        <f>SUM(C10:F10)</f>
        <v>5004245.5999999996</v>
      </c>
      <c r="H10" s="121"/>
      <c r="I10" s="137">
        <v>1251061.3999999999</v>
      </c>
      <c r="J10" s="137">
        <v>1251061.3999999999</v>
      </c>
      <c r="K10" s="137">
        <v>1251061.3999999999</v>
      </c>
      <c r="L10" s="137">
        <v>1251061.3999999999</v>
      </c>
      <c r="M10" s="142">
        <f>SUM(I10:L10)</f>
        <v>5004245.5999999996</v>
      </c>
    </row>
    <row r="11" spans="1:13" ht="14.4" x14ac:dyDescent="0.3">
      <c r="A11" t="s">
        <v>218</v>
      </c>
      <c r="B11" s="52">
        <f>Budget!D53+Budget!D62</f>
        <v>34573.75</v>
      </c>
      <c r="C11" s="137">
        <v>20036</v>
      </c>
      <c r="D11" s="137">
        <v>20036</v>
      </c>
      <c r="E11" s="137">
        <v>20036</v>
      </c>
      <c r="F11" s="137">
        <v>20036</v>
      </c>
      <c r="G11" s="138">
        <f t="shared" ref="G11:G12" si="5">SUM(C11:F11)</f>
        <v>80144</v>
      </c>
      <c r="H11" s="121"/>
      <c r="I11" s="137">
        <v>20036</v>
      </c>
      <c r="J11" s="137">
        <v>20036</v>
      </c>
      <c r="K11" s="137">
        <v>20036</v>
      </c>
      <c r="L11" s="137">
        <v>20036</v>
      </c>
      <c r="M11" s="142">
        <f t="shared" ref="M11:M20" si="6">SUM(I11:L11)</f>
        <v>80144</v>
      </c>
    </row>
    <row r="12" spans="1:13" ht="14.4" x14ac:dyDescent="0.3">
      <c r="A12" t="s">
        <v>219</v>
      </c>
      <c r="B12" s="114">
        <f>Budget!D44</f>
        <v>10000</v>
      </c>
      <c r="C12" s="137">
        <v>10000</v>
      </c>
      <c r="D12" s="137">
        <v>10000</v>
      </c>
      <c r="E12" s="137">
        <v>10000</v>
      </c>
      <c r="F12" s="137">
        <v>10000</v>
      </c>
      <c r="G12" s="138">
        <f t="shared" si="5"/>
        <v>40000</v>
      </c>
      <c r="H12" s="138"/>
      <c r="I12" s="137">
        <v>10000</v>
      </c>
      <c r="J12" s="137">
        <v>10000</v>
      </c>
      <c r="K12" s="137">
        <v>10000</v>
      </c>
      <c r="L12" s="137">
        <v>10000</v>
      </c>
      <c r="M12" s="142">
        <f t="shared" si="6"/>
        <v>40000</v>
      </c>
    </row>
    <row r="13" spans="1:13" ht="14.4" x14ac:dyDescent="0.3">
      <c r="A13" t="s">
        <v>220</v>
      </c>
      <c r="B13" s="114">
        <f>Budget!D49</f>
        <v>1500</v>
      </c>
      <c r="C13" s="137">
        <v>900</v>
      </c>
      <c r="D13" s="137">
        <v>900</v>
      </c>
      <c r="E13" s="137">
        <v>900</v>
      </c>
      <c r="F13" s="137">
        <v>900</v>
      </c>
      <c r="G13" s="138">
        <f>SUM(C13:F13)</f>
        <v>3600</v>
      </c>
      <c r="H13" s="121"/>
      <c r="I13" s="137">
        <v>1500</v>
      </c>
      <c r="J13" s="137">
        <v>1500</v>
      </c>
      <c r="K13" s="137">
        <v>1500</v>
      </c>
      <c r="L13" s="137">
        <v>1500</v>
      </c>
      <c r="M13" s="142">
        <f t="shared" si="6"/>
        <v>6000</v>
      </c>
    </row>
    <row r="14" spans="1:13" ht="14.4" x14ac:dyDescent="0.3">
      <c r="A14" t="s">
        <v>221</v>
      </c>
      <c r="B14" s="52">
        <f>Budget!D68</f>
        <v>150000</v>
      </c>
      <c r="C14" s="137">
        <v>75000</v>
      </c>
      <c r="D14" s="137">
        <f>C14+(C14*10%)</f>
        <v>82500</v>
      </c>
      <c r="E14" s="137">
        <f t="shared" ref="E14:F15" si="7">D14+(D14*10%)</f>
        <v>90750</v>
      </c>
      <c r="F14" s="137">
        <f t="shared" si="7"/>
        <v>99825</v>
      </c>
      <c r="G14" s="138">
        <f>SUM(C14:F14)</f>
        <v>348075</v>
      </c>
      <c r="H14" s="137"/>
      <c r="I14" s="137">
        <f>F14+(F14*10%)</f>
        <v>109807.5</v>
      </c>
      <c r="J14" s="137">
        <f>I14+(I14*10%)</f>
        <v>120788.25</v>
      </c>
      <c r="K14" s="137">
        <f t="shared" ref="K14:L14" si="8">J14+(J14*10%)</f>
        <v>132867.07500000001</v>
      </c>
      <c r="L14" s="137">
        <f t="shared" si="8"/>
        <v>146153.7825</v>
      </c>
      <c r="M14" s="142">
        <f t="shared" si="6"/>
        <v>509616.60750000004</v>
      </c>
    </row>
    <row r="15" spans="1:13" ht="14.4" x14ac:dyDescent="0.3">
      <c r="A15" t="s">
        <v>222</v>
      </c>
      <c r="B15" s="53">
        <f>Budget!D67+Budget!D73</f>
        <v>73937.5</v>
      </c>
      <c r="C15" s="139">
        <f>5*2882</f>
        <v>14410</v>
      </c>
      <c r="D15" s="139">
        <f>C15+(C15*10%)</f>
        <v>15851</v>
      </c>
      <c r="E15" s="139">
        <f t="shared" si="7"/>
        <v>17436.099999999999</v>
      </c>
      <c r="F15" s="139">
        <f t="shared" si="7"/>
        <v>19179.71</v>
      </c>
      <c r="G15" s="138">
        <f>SUM(C15:F15)</f>
        <v>66876.81</v>
      </c>
      <c r="H15" s="138"/>
      <c r="I15" s="137">
        <f>F15+(F15*5%)</f>
        <v>20138.695499999998</v>
      </c>
      <c r="J15" s="137">
        <f>I15+(I15*4%)</f>
        <v>20944.243319999998</v>
      </c>
      <c r="K15" s="137">
        <f>J15+(J15*3%)</f>
        <v>21572.570619599999</v>
      </c>
      <c r="L15" s="137">
        <f>K15+(K15*2%)</f>
        <v>22004.022031992001</v>
      </c>
      <c r="M15" s="142">
        <f t="shared" si="6"/>
        <v>84659.531471591996</v>
      </c>
    </row>
    <row r="16" spans="1:13" ht="14.4" x14ac:dyDescent="0.3">
      <c r="B16" s="54">
        <f>SUM(B9:B15)</f>
        <v>5213926.05</v>
      </c>
      <c r="C16" s="141">
        <f t="shared" ref="C16:F16" si="9">SUM(C9:C15)</f>
        <v>2812407.4</v>
      </c>
      <c r="D16" s="141">
        <f t="shared" si="9"/>
        <v>2965448.4</v>
      </c>
      <c r="E16" s="141">
        <f t="shared" si="9"/>
        <v>3133793.5</v>
      </c>
      <c r="F16" s="141">
        <f t="shared" si="9"/>
        <v>3318973.11</v>
      </c>
      <c r="G16" s="141">
        <f>SUM(C16:F16)</f>
        <v>12230622.41</v>
      </c>
      <c r="H16" s="121"/>
      <c r="I16" s="142">
        <f>SUM(I9:I15)</f>
        <v>3426413.1455000001</v>
      </c>
      <c r="J16" s="142">
        <f t="shared" ref="J16:L16" si="10">SUM(J9:J15)</f>
        <v>3518754.2253199997</v>
      </c>
      <c r="K16" s="142">
        <f t="shared" si="10"/>
        <v>3594294.1075796001</v>
      </c>
      <c r="L16" s="142">
        <f t="shared" si="10"/>
        <v>3651157.4077311922</v>
      </c>
      <c r="M16" s="142">
        <f t="shared" si="6"/>
        <v>14190618.886130793</v>
      </c>
    </row>
    <row r="17" spans="1:13" ht="14.4" x14ac:dyDescent="0.3">
      <c r="C17" s="137"/>
      <c r="D17" s="137"/>
      <c r="E17" s="137"/>
      <c r="F17" s="137"/>
      <c r="G17" s="141"/>
      <c r="H17" s="121"/>
      <c r="I17" s="121"/>
      <c r="J17" s="121"/>
      <c r="K17" s="121"/>
      <c r="L17" s="121"/>
      <c r="M17" s="142"/>
    </row>
    <row r="18" spans="1:13" ht="14.4" x14ac:dyDescent="0.3">
      <c r="A18" s="7" t="s">
        <v>223</v>
      </c>
      <c r="B18" s="54">
        <f>B6-B16</f>
        <v>-85494.776870000176</v>
      </c>
      <c r="C18" s="141">
        <f t="shared" ref="C18:L18" si="11">C6-C16</f>
        <v>790092.60000000009</v>
      </c>
      <c r="D18" s="141">
        <f t="shared" si="11"/>
        <v>4599801.5999999996</v>
      </c>
      <c r="E18" s="141">
        <f t="shared" si="11"/>
        <v>5187981.5</v>
      </c>
      <c r="F18" s="141">
        <f t="shared" si="11"/>
        <v>5834979.3900000006</v>
      </c>
      <c r="G18" s="141">
        <f>SUM(C18:F18)</f>
        <v>16412855.09</v>
      </c>
      <c r="H18" s="141"/>
      <c r="I18" s="141">
        <f t="shared" si="11"/>
        <v>6185236.9794999994</v>
      </c>
      <c r="J18" s="141">
        <f t="shared" si="11"/>
        <v>6477361.9046800006</v>
      </c>
      <c r="K18" s="141">
        <f t="shared" si="11"/>
        <v>6701705.5063204002</v>
      </c>
      <c r="L18" s="141">
        <f t="shared" si="11"/>
        <v>6850762.1984468084</v>
      </c>
      <c r="M18" s="142">
        <f t="shared" si="6"/>
        <v>26215066.588947207</v>
      </c>
    </row>
    <row r="19" spans="1:13" ht="14.4" x14ac:dyDescent="0.3">
      <c r="A19" t="s">
        <v>73</v>
      </c>
      <c r="B19" s="53">
        <f>Budget!D58</f>
        <v>45041.157883177861</v>
      </c>
      <c r="C19" s="139">
        <v>45041</v>
      </c>
      <c r="D19" s="139">
        <v>45041</v>
      </c>
      <c r="E19" s="139">
        <v>45041</v>
      </c>
      <c r="F19" s="139">
        <v>45041</v>
      </c>
      <c r="G19" s="141">
        <f t="shared" ref="G19:G20" si="12">SUM(C19:F19)</f>
        <v>180164</v>
      </c>
      <c r="H19" s="141"/>
      <c r="I19" s="143">
        <v>45041</v>
      </c>
      <c r="J19" s="143">
        <v>45041</v>
      </c>
      <c r="K19" s="143">
        <v>45041</v>
      </c>
      <c r="L19" s="143">
        <v>45041</v>
      </c>
      <c r="M19" s="142">
        <f t="shared" si="6"/>
        <v>180164</v>
      </c>
    </row>
    <row r="20" spans="1:13" ht="14.4" x14ac:dyDescent="0.3">
      <c r="A20" s="7" t="s">
        <v>224</v>
      </c>
      <c r="B20" s="54">
        <f>B18-B19</f>
        <v>-130535.93475317804</v>
      </c>
      <c r="C20" s="141">
        <f t="shared" ref="C20:F20" si="13">C18-C19</f>
        <v>745051.60000000009</v>
      </c>
      <c r="D20" s="141">
        <f t="shared" si="13"/>
        <v>4554760.5999999996</v>
      </c>
      <c r="E20" s="141">
        <f t="shared" si="13"/>
        <v>5142940.5</v>
      </c>
      <c r="F20" s="141">
        <f t="shared" si="13"/>
        <v>5789938.3900000006</v>
      </c>
      <c r="G20" s="141">
        <f t="shared" si="12"/>
        <v>16232691.09</v>
      </c>
      <c r="H20" s="121"/>
      <c r="I20" s="142">
        <f>I18-I19</f>
        <v>6140195.9794999994</v>
      </c>
      <c r="J20" s="142">
        <f t="shared" ref="J20:L20" si="14">J18-J19</f>
        <v>6432320.9046800006</v>
      </c>
      <c r="K20" s="142">
        <f t="shared" si="14"/>
        <v>6656664.5063204002</v>
      </c>
      <c r="L20" s="142">
        <f t="shared" si="14"/>
        <v>6805721.1984468084</v>
      </c>
      <c r="M20" s="142">
        <f t="shared" si="6"/>
        <v>26034902.588947207</v>
      </c>
    </row>
    <row r="22" spans="1:13" x14ac:dyDescent="0.25">
      <c r="A22" t="s">
        <v>225</v>
      </c>
      <c r="B22" s="56">
        <f>B20/'Balance Sheet'!C48</f>
        <v>-9.3041448148715081E-2</v>
      </c>
    </row>
    <row r="23" spans="1:13" x14ac:dyDescent="0.25">
      <c r="A23" t="s">
        <v>226</v>
      </c>
      <c r="B23" s="56">
        <f>B19/'Balance Sheet'!C49</f>
        <v>1.1238900598396205E-2</v>
      </c>
    </row>
    <row r="24" spans="1:13" x14ac:dyDescent="0.25">
      <c r="A24" t="s">
        <v>227</v>
      </c>
      <c r="B24" s="56">
        <f>B18/'Balance Sheet'!C50</f>
        <v>-1.5801350485942337E-2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EF70FCE52D9D4DB2C5C6160D5A3E3B" ma:contentTypeVersion="11" ma:contentTypeDescription="Create a new document." ma:contentTypeScope="" ma:versionID="ec857d2ad7a57700382503f54ba23996">
  <xsd:schema xmlns:xsd="http://www.w3.org/2001/XMLSchema" xmlns:xs="http://www.w3.org/2001/XMLSchema" xmlns:p="http://schemas.microsoft.com/office/2006/metadata/properties" xmlns:ns2="3ba036cd-884f-4950-89f1-dd5c5f230abd" xmlns:ns3="1f9c0e18-0b5b-4e7b-bea8-d80bcaf0401f" targetNamespace="http://schemas.microsoft.com/office/2006/metadata/properties" ma:root="true" ma:fieldsID="4afb95982084beb52292370f8e0471d1" ns2:_="" ns3:_="">
    <xsd:import namespace="3ba036cd-884f-4950-89f1-dd5c5f230abd"/>
    <xsd:import namespace="1f9c0e18-0b5b-4e7b-bea8-d80bcaf040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a036cd-884f-4950-89f1-dd5c5f230a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9c0e18-0b5b-4e7b-bea8-d80bcaf0401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5042E6-09DF-4071-AA5A-580396AA13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a036cd-884f-4950-89f1-dd5c5f230abd"/>
    <ds:schemaRef ds:uri="1f9c0e18-0b5b-4e7b-bea8-d80bcaf040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8E43DE-83F2-40FB-9BAC-BA175203566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420B468-CEF8-4851-AB8F-62896D7837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Given</vt:lpstr>
      <vt:lpstr>Budget</vt:lpstr>
      <vt:lpstr>Balance Sheet</vt:lpstr>
      <vt:lpstr>Loan payment plan 2</vt:lpstr>
      <vt:lpstr>New Balance Sheet</vt:lpstr>
      <vt:lpstr>Loan payment plan 3</vt:lpstr>
      <vt:lpstr>Loan payment plan 1</vt:lpstr>
      <vt:lpstr>Fixed Assets</vt:lpstr>
      <vt:lpstr>PLA</vt:lpstr>
      <vt:lpstr>Cost prices bicycles</vt:lpstr>
      <vt:lpstr>Liquidity Budget</vt:lpstr>
      <vt:lpstr>Ledgers</vt:lpstr>
      <vt:lpstr>Stock</vt:lpstr>
      <vt:lpstr>Purchases &amp; production usage</vt:lpstr>
      <vt:lpstr>Purchase value stock</vt:lpstr>
      <vt:lpstr>Departments and FTE</vt:lpstr>
      <vt:lpstr>Liabilities Long</vt:lpstr>
      <vt:lpstr>Lists</vt:lpstr>
      <vt:lpstr>CostPrices</vt:lpstr>
      <vt:lpstr>Forcasted_Production</vt:lpstr>
      <vt:lpstr>Forcasted_SalesQuantity</vt:lpstr>
      <vt:lpstr>LTL_ResidualLoan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Beunen,Arjan J.D.J.</dc:creator>
  <cp:keywords/>
  <dc:description/>
  <cp:lastModifiedBy>Emily Vacca</cp:lastModifiedBy>
  <cp:revision/>
  <dcterms:created xsi:type="dcterms:W3CDTF">2021-01-20T08:22:06Z</dcterms:created>
  <dcterms:modified xsi:type="dcterms:W3CDTF">2022-06-04T10:01:05Z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0x010100E6EF70FCE52D9D4DB2C5C6160D5A3E3B</vt:lpwstr>
  </property>
  <property fmtid="{D5CDD505-2E9C-101B-9397-08002B2CF9AE}" pid="3" name="_dlc_DocIdItemGuid">
    <vt:lpwstr>256d21f5-73ab-4c03-ab0f-99de7f8564ed</vt:lpwstr>
  </property>
</Properties>
</file>