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24226"/>
  <mc:AlternateContent xmlns:mc="http://schemas.openxmlformats.org/markup-compatibility/2006">
    <mc:Choice Requires="x15">
      <x15ac:absPath xmlns:x15ac="http://schemas.microsoft.com/office/spreadsheetml/2010/11/ac" url="C:\Users\elw47\Desktop\Sophomore Summer Semester\CIS 300-30\Test 3\Labs\"/>
    </mc:Choice>
  </mc:AlternateContent>
  <xr:revisionPtr revIDLastSave="0" documentId="13_ncr:1_{4BF7CAD9-6DDF-44B7-8197-FC54B6B52452}" xr6:coauthVersionLast="34" xr6:coauthVersionMax="34" xr10:uidLastSave="{00000000-0000-0000-0000-000000000000}"/>
  <bookViews>
    <workbookView xWindow="0" yWindow="0" windowWidth="19200" windowHeight="6940" tabRatio="719" activeTab="5" xr2:uid="{00000000-000D-0000-FFFF-FFFF00000000}"/>
  </bookViews>
  <sheets>
    <sheet name="Team ID" sheetId="17" r:id="rId1"/>
    <sheet name="Part 1" sheetId="2" r:id="rId2"/>
    <sheet name="Part 2" sheetId="5" r:id="rId3"/>
    <sheet name="Part 3" sheetId="6" r:id="rId4"/>
    <sheet name="Part 4" sheetId="9" r:id="rId5"/>
    <sheet name="Part 5" sheetId="11" r:id="rId6"/>
  </sheets>
  <calcPr calcId="179017"/>
  <customWorkbookViews>
    <customWorkbookView name="McIntosh,Warren D - Personal View" guid="{F48879B3-465F-4E59-8572-F7D7277CEA75}" mergeInterval="0" personalView="1" maximized="1" xWindow="-8" yWindow="-8" windowWidth="1936" windowHeight="1014" tabRatio="719" activeSheetId="7"/>
    <customWorkbookView name="Warren D. McIntosh - Personal View" guid="{3B654179-D0CF-4576-A51B-BDA963916BB0}" mergeInterval="0" personalView="1" maximized="1" xWindow="-8" yWindow="-8" windowWidth="1616" windowHeight="835" tabRatio="719" activeSheetId="1"/>
  </customWorkbookView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16" i="2" l="1"/>
  <c r="L15" i="2"/>
  <c r="C9" i="9" l="1"/>
  <c r="C8" i="9"/>
  <c r="L25" i="2" l="1"/>
  <c r="L27" i="2"/>
  <c r="L26" i="2"/>
  <c r="L24" i="2"/>
  <c r="L23" i="2"/>
  <c r="L22" i="2"/>
  <c r="L21" i="2"/>
  <c r="L20" i="2"/>
  <c r="L19" i="2"/>
  <c r="L18" i="2"/>
  <c r="L17" i="2"/>
  <c r="L14" i="2"/>
  <c r="L13" i="2"/>
  <c r="L12" i="2"/>
  <c r="L11" i="2"/>
  <c r="L10" i="2"/>
  <c r="L9" i="2"/>
  <c r="L8" i="2"/>
  <c r="K25" i="2" l="1"/>
  <c r="K23" i="2"/>
  <c r="K15" i="2"/>
  <c r="K14" i="2"/>
  <c r="K13" i="2"/>
  <c r="K12" i="2"/>
  <c r="K11" i="2"/>
  <c r="K10" i="2"/>
  <c r="D9" i="9" l="1"/>
  <c r="D8" i="9"/>
  <c r="L6" i="17" l="1"/>
  <c r="K17" i="2" l="1"/>
  <c r="K27" i="2" l="1"/>
  <c r="J27" i="2" s="1"/>
  <c r="K26" i="2"/>
  <c r="K16" i="2"/>
  <c r="K19" i="2"/>
  <c r="B14" i="5" l="1"/>
  <c r="B14" i="6"/>
  <c r="K24" i="2"/>
  <c r="K18" i="2"/>
  <c r="C6" i="11" l="1"/>
  <c r="D6" i="11"/>
  <c r="E6" i="11"/>
  <c r="J24" i="2"/>
  <c r="J26" i="2"/>
  <c r="J17" i="2"/>
  <c r="J23" i="2"/>
  <c r="J25" i="2"/>
  <c r="K22" i="2"/>
  <c r="J22" i="2" s="1"/>
  <c r="K21" i="2"/>
  <c r="J21" i="2" s="1"/>
  <c r="K20" i="2"/>
  <c r="J20" i="2" s="1"/>
  <c r="J18" i="2"/>
  <c r="J19" i="2"/>
  <c r="J16" i="2"/>
  <c r="J15" i="2"/>
  <c r="J14" i="2"/>
  <c r="J13" i="2"/>
  <c r="J12" i="2"/>
  <c r="J11" i="2"/>
  <c r="J10" i="2"/>
  <c r="K9" i="2"/>
  <c r="J9" i="2" s="1"/>
  <c r="K8" i="2"/>
  <c r="J8" i="2" s="1"/>
  <c r="E8" i="11" l="1"/>
  <c r="E9" i="11"/>
  <c r="D8" i="11"/>
  <c r="D9" i="11"/>
  <c r="C8" i="11"/>
  <c r="C9" i="11"/>
  <c r="I12" i="6"/>
  <c r="H12" i="6"/>
  <c r="J6" i="6"/>
  <c r="J12" i="6"/>
  <c r="G9" i="5"/>
  <c r="I6" i="6"/>
  <c r="H6" i="6"/>
  <c r="G6" i="6"/>
  <c r="C10" i="6" s="1"/>
  <c r="F16" i="5"/>
  <c r="F15" i="5"/>
  <c r="F14" i="5"/>
  <c r="G8" i="5"/>
  <c r="G7" i="5"/>
  <c r="G6" i="5"/>
  <c r="C11" i="6" l="1"/>
  <c r="C12" i="6" s="1"/>
  <c r="C13" i="6" s="1"/>
  <c r="D9" i="6"/>
  <c r="D10" i="6" s="1"/>
  <c r="D11" i="6" s="1"/>
  <c r="D12" i="6" s="1"/>
  <c r="D13" i="6" s="1"/>
  <c r="D14" i="6" s="1"/>
  <c r="D16" i="6" s="1"/>
  <c r="C9" i="6"/>
  <c r="C9" i="5"/>
  <c r="C10" i="5"/>
  <c r="D9" i="5"/>
  <c r="D10" i="5" s="1"/>
  <c r="D11" i="5" s="1"/>
  <c r="D12" i="5" s="1"/>
  <c r="D13" i="5" s="1"/>
  <c r="C14" i="6" l="1"/>
  <c r="C16" i="6" s="1"/>
  <c r="C11" i="5"/>
  <c r="C12" i="5" s="1"/>
  <c r="C13" i="5" s="1"/>
  <c r="D14" i="5"/>
  <c r="D16" i="5" s="1"/>
  <c r="N10" i="11"/>
  <c r="O10" i="11"/>
  <c r="M10" i="11"/>
  <c r="F10" i="11" s="1"/>
  <c r="O6" i="11"/>
  <c r="O9" i="11" s="1"/>
  <c r="N6" i="11"/>
  <c r="N8" i="11" s="1"/>
  <c r="M6" i="11"/>
  <c r="E8" i="9"/>
  <c r="C14" i="5" l="1"/>
  <c r="C16" i="5" s="1"/>
  <c r="M9" i="11"/>
  <c r="O8" i="11"/>
  <c r="O12" i="11" s="1"/>
  <c r="O14" i="11" s="1"/>
  <c r="E9" i="6"/>
  <c r="E10" i="5"/>
  <c r="E9" i="5"/>
  <c r="N9" i="11"/>
  <c r="N12" i="11" s="1"/>
  <c r="N14" i="11" s="1"/>
  <c r="M8" i="11"/>
  <c r="F8" i="11" l="1"/>
  <c r="F9" i="11"/>
  <c r="O15" i="11"/>
  <c r="O17" i="11" s="1"/>
  <c r="N15" i="11"/>
  <c r="N17" i="11" s="1"/>
  <c r="M12" i="11"/>
  <c r="F12" i="11" s="1"/>
  <c r="E10" i="6"/>
  <c r="M14" i="11" l="1"/>
  <c r="F14" i="11" s="1"/>
  <c r="E11" i="5"/>
  <c r="E11" i="6"/>
  <c r="E12" i="5"/>
  <c r="M15" i="11" l="1"/>
  <c r="F15" i="11" s="1"/>
  <c r="E12" i="6"/>
  <c r="E13" i="5"/>
  <c r="M17" i="11" l="1"/>
  <c r="F17" i="11" s="1"/>
  <c r="E13" i="6"/>
  <c r="E16" i="5"/>
  <c r="E14" i="5"/>
  <c r="E16" i="6" l="1"/>
  <c r="E14" i="6"/>
</calcChain>
</file>

<file path=xl/sharedStrings.xml><?xml version="1.0" encoding="utf-8"?>
<sst xmlns="http://schemas.openxmlformats.org/spreadsheetml/2006/main" count="284" uniqueCount="162">
  <si>
    <t>Price Quote</t>
  </si>
  <si>
    <t>Item</t>
  </si>
  <si>
    <t>Item:</t>
  </si>
  <si>
    <t>Hasps</t>
  </si>
  <si>
    <t>Connectors</t>
  </si>
  <si>
    <t>Quantity:</t>
  </si>
  <si>
    <t>Grommits</t>
  </si>
  <si>
    <t>Unit Price:</t>
  </si>
  <si>
    <t>Widgets</t>
  </si>
  <si>
    <t>Total Before Discount:</t>
  </si>
  <si>
    <t>Discount %:</t>
  </si>
  <si>
    <t>Discount Amount:</t>
  </si>
  <si>
    <t>Total After Discount:</t>
  </si>
  <si>
    <t>Discount</t>
  </si>
  <si>
    <t>Total Due:</t>
  </si>
  <si>
    <t>Age:</t>
  </si>
  <si>
    <t>Ticket Location:</t>
  </si>
  <si>
    <t>Premier</t>
  </si>
  <si>
    <t>Balcony</t>
  </si>
  <si>
    <t>Standing Room</t>
  </si>
  <si>
    <t>Minutes Used:</t>
  </si>
  <si>
    <t>Minutes</t>
  </si>
  <si>
    <t>Base</t>
  </si>
  <si>
    <t>Processing Charge:</t>
  </si>
  <si>
    <t xml:space="preserve"> </t>
  </si>
  <si>
    <t>Total Charge:</t>
  </si>
  <si>
    <t>Average cost per minute:</t>
  </si>
  <si>
    <t>Base Charge:</t>
  </si>
  <si>
    <t>Excess Minutes Charge:</t>
  </si>
  <si>
    <t>Charges Before Taxes:</t>
  </si>
  <si>
    <t>Allied Student Cell Phone</t>
  </si>
  <si>
    <t>Assumptions</t>
  </si>
  <si>
    <t>Last Name</t>
  </si>
  <si>
    <t>First Name</t>
  </si>
  <si>
    <t>Price Table</t>
  </si>
  <si>
    <t>Discount Table</t>
  </si>
  <si>
    <t>Charge Table</t>
  </si>
  <si>
    <t>Excess Per Minute</t>
  </si>
  <si>
    <t>Tax Amount:</t>
  </si>
  <si>
    <t>Day of the Month</t>
  </si>
  <si>
    <t>Unit Price</t>
  </si>
  <si>
    <t>Amount</t>
  </si>
  <si>
    <t>Ticket Price Table</t>
  </si>
  <si>
    <t>Ticket Price Quote</t>
  </si>
  <si>
    <t>Price (a):</t>
  </si>
  <si>
    <t>Price (b):</t>
  </si>
  <si>
    <t>Ticket Location</t>
  </si>
  <si>
    <t>Processing charge per month:</t>
  </si>
  <si>
    <t>Fall 2012</t>
  </si>
  <si>
    <t>xxx</t>
  </si>
  <si>
    <t>Main Floor</t>
  </si>
  <si>
    <t>Rain</t>
  </si>
  <si>
    <t>Answers</t>
  </si>
  <si>
    <t>18 and Under</t>
  </si>
  <si>
    <t>Age</t>
  </si>
  <si>
    <t>Over 18</t>
  </si>
  <si>
    <t>CIS-300-</t>
  </si>
  <si>
    <t>High Temp.
(°F)</t>
  </si>
  <si>
    <t>Low Temp.
(°F)</t>
  </si>
  <si>
    <t>Meterological Phenomena</t>
  </si>
  <si>
    <t>Mean Humidity
(%)</t>
  </si>
  <si>
    <t>What was the mean low temperature for the first half of the month (i.e., days 1-15)? (rounded to the nearest tenth)</t>
  </si>
  <si>
    <t>What meterological phenomena occurred on the day that had the highest wind speed?</t>
  </si>
  <si>
    <t>Question #</t>
  </si>
  <si>
    <t>Your formulas go</t>
  </si>
  <si>
    <t xml:space="preserve"> KY Sales tax %:</t>
  </si>
  <si>
    <t>Lab Activity Participants</t>
  </si>
  <si>
    <t>Grading Symbols</t>
  </si>
  <si>
    <t>Formula correct</t>
  </si>
  <si>
    <t>Formula incorrect</t>
  </si>
  <si>
    <r>
      <rPr>
        <b/>
        <u/>
        <sz val="11"/>
        <rFont val="Segoe UI"/>
        <family val="2"/>
      </rPr>
      <t>Instructions</t>
    </r>
    <r>
      <rPr>
        <sz val="11"/>
        <rFont val="Segoe UI"/>
        <family val="2"/>
      </rPr>
      <t>:  
Review the Allied Student Cell Phone Table, Charge Table, and Assumptions Table.  According to the Charge Table, on the Allied Student Cell Phone Plan:  
(1) If you use less than 600 minutes in a month, you must pay $29.99 in usage charge.
(2) If you use between 600 but less than 1,500 minutes, you pay $39.99 plus $0.15 per minute for each minute over the minimum in usage charge.
(3) If you use at least 1,500 minutes, you pay $49.99 plus $0.05 per minute for each minute over the minimum in usage charge. 
In addition, the processing charge per month and sales tax percentage must be applied as listed in the Assumptions Table.
Enter formulas in the Allied Student Cell Phone Table that allows a person to enter the minutes used (in cells C6:E6) and then calculate the usage charges, the processing charge, the tax amount, the total charge, and the average cost per minute.</t>
    </r>
  </si>
  <si>
    <t>State</t>
  </si>
  <si>
    <t>AZ</t>
  </si>
  <si>
    <t>AL</t>
  </si>
  <si>
    <t>KS</t>
  </si>
  <si>
    <t>AK</t>
  </si>
  <si>
    <t>Rate</t>
  </si>
  <si>
    <t>AR</t>
  </si>
  <si>
    <t>CA</t>
  </si>
  <si>
    <t>CO</t>
  </si>
  <si>
    <t>CT</t>
  </si>
  <si>
    <t>DC</t>
  </si>
  <si>
    <t>DE</t>
  </si>
  <si>
    <t>FL</t>
  </si>
  <si>
    <t>GA</t>
  </si>
  <si>
    <t>HI</t>
  </si>
  <si>
    <t>IA</t>
  </si>
  <si>
    <t>ID</t>
  </si>
  <si>
    <t>IL</t>
  </si>
  <si>
    <t>IN</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</si>
  <si>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</si>
  <si>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</si>
  <si>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</si>
  <si>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</si>
  <si>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</si>
  <si>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</si>
  <si>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</si>
  <si>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</si>
  <si>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</si>
  <si>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</si>
  <si>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</si>
  <si>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</si>
  <si>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</si>
  <si>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</si>
  <si>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</si>
  <si>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</si>
  <si>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</si>
  <si>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</si>
  <si>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</si>
  <si>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</si>
  <si>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</si>
  <si>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</si>
  <si>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</si>
  <si>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</si>
  <si>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</si>
  <si>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</si>
  <si>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</si>
  <si>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</si>
  <si>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</si>
  <si>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</si>
  <si>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</si>
  <si>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</si>
  <si>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</si>
  <si>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</si>
  <si>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Rain , Thunderstorm</t>
  </si>
  <si>
    <t>Snow</t>
  </si>
  <si>
    <t>What was the mean high temperature in March? (rounded to the nearest tenth)</t>
  </si>
  <si>
    <t>What was the highest temperature recorded for any day in March?</t>
  </si>
  <si>
    <t>What was the mean high temperature for all of the days in March that had any kind of Rain precipitation? (rounded to the nearest tenth)</t>
  </si>
  <si>
    <t>What was the mean wind speed for the second half of the month (i.e., days 16-31)? (rounded to the nearest tenth)</t>
  </si>
  <si>
    <t>How many days in March had no recorded meteorological phenomena? (Hint: think…empty cell)</t>
  </si>
  <si>
    <t>What was the total recorded precipitation (in inches) during the middle ten days of March?</t>
  </si>
  <si>
    <t>&lt;Select Your Instructor Here&gt;</t>
  </si>
  <si>
    <t>Lab Activity 03</t>
  </si>
  <si>
    <r>
      <rPr>
        <b/>
        <u/>
        <sz val="11"/>
        <rFont val="Segoe UI"/>
        <family val="2"/>
      </rPr>
      <t>Instructions</t>
    </r>
    <r>
      <rPr>
        <sz val="11"/>
        <rFont val="Segoe UI"/>
        <family val="2"/>
      </rPr>
      <t>:  
Review the Price Quote Table, Price Table, and Discount Table below.  Create a series of formulas that will calculate the Total Due from the Item and Quantity entered in cells C6 and C7, repsectively.  In your worksheet you should do the following: 
(1) Select cell C6 and type in the Item name.
(2) Select cell C7 and type in the quantity you want to purchase.
(3) Select cell D6 and select a state to calculate the appropriate sales tax.
(4) Enter a formula in cell C9 that looks up the item name (in cell C6) in the Price Table to find the Unit Price.
(5) Enter a formula in cell C10 that calculates the Total Before Discount (i.e., Unit Price * Quantity). 
(6) Enter a formula in C11 that looks up the Total Before Discount in the Discount Table to find the Discount %.
(7) Enter formulas in C12, C13, C14, and C16 that calculate the Discount Amount, the Total After Discount, the appropriate State Sales Tax, and the final Total Due for the order, respectively.
(8) Round the Discount Amount and State Sales Tax values to the nearest penny.</t>
    </r>
  </si>
  <si>
    <r>
      <rPr>
        <b/>
        <u/>
        <sz val="11"/>
        <rFont val="Segoe UI"/>
        <family val="2"/>
      </rPr>
      <t>Instructions</t>
    </r>
    <r>
      <rPr>
        <sz val="11"/>
        <rFont val="Segoe UI"/>
        <family val="2"/>
      </rPr>
      <t>:  
Review the Price Quote Table, Price Table, and Discount Table below.  Create a series of formulas that will calculate the Total Due from the Item and Quantity entered in cells C6 and C7, repsectively.  In your worksheet you should do the following: 
(1) Select cell C6 and type the Item name purchased.
(2) Select cell C7 and type the Quantity purchased.
(3) Select cell D6 and select the State to calculate the appropriate state sales tax.
(4) Enter a formula in cell C9 that looks up the item name (in cell C6) in the Price Table to find the Unit Price.
(5) Enter a formula in cell C10 that calculates the Total Before Discount (i.e., Unit Price * Quantity). 
(6) Enter a formula in C11 that looks up the Total Before Discount in the Discount Table to find the Discount %.
(7) Enter formulas in C12, C13, C14, and C16 that calculate the Discount Amount, the Total After Discount, the appropriate State Sales Tax, and the final Total Due for the order, respectively.
(8)  Round the Discount Amount and State Sales Tax values to the nearest penny.</t>
    </r>
  </si>
  <si>
    <r>
      <rPr>
        <b/>
        <u/>
        <sz val="11"/>
        <rFont val="Calibri"/>
        <family val="2"/>
      </rPr>
      <t xml:space="preserve">Instructions:  
</t>
    </r>
    <r>
      <rPr>
        <sz val="11"/>
        <rFont val="Calibri"/>
        <family val="2"/>
      </rPr>
      <t>(a) Enter a lookup formula in cell C8 that displays the Price of a ticket based on a valid Age and Ticket Location entered by a person in cells C6 and C7, respectively.
(b) Enter a lookup formula in cell C9 that displays the Price of a ticket based on a valid Age and Ticket Location entered by a person in cells C6 and C7, respectively.  Your formula must</t>
    </r>
    <r>
      <rPr>
        <b/>
        <sz val="11"/>
        <rFont val="Calibri"/>
        <family val="2"/>
      </rPr>
      <t xml:space="preserve"> </t>
    </r>
    <r>
      <rPr>
        <sz val="11"/>
        <rFont val="Calibri"/>
        <family val="2"/>
      </rPr>
      <t>now</t>
    </r>
    <r>
      <rPr>
        <b/>
        <sz val="11"/>
        <rFont val="Calibri"/>
        <family val="2"/>
      </rPr>
      <t xml:space="preserve"> </t>
    </r>
    <r>
      <rPr>
        <sz val="11"/>
        <rFont val="Calibri"/>
        <family val="2"/>
      </rPr>
      <t>also</t>
    </r>
    <r>
      <rPr>
        <b/>
        <sz val="11"/>
        <rFont val="Calibri"/>
        <family val="2"/>
      </rPr>
      <t xml:space="preserve"> </t>
    </r>
    <r>
      <rPr>
        <sz val="11"/>
        <rFont val="Calibri"/>
        <family val="2"/>
      </rPr>
      <t>dispay the phrase</t>
    </r>
    <r>
      <rPr>
        <b/>
        <sz val="11"/>
        <rFont val="Calibri"/>
        <family val="2"/>
      </rPr>
      <t xml:space="preserve"> </t>
    </r>
    <r>
      <rPr>
        <sz val="11"/>
        <rFont val="Calibri"/>
        <family val="2"/>
      </rPr>
      <t xml:space="preserve">"INVALID AGE!" (without the quotes) if the person enters an invalid age in cell C6 or "INVALID LOCATION!" (without the quotes) if the person enters an invalid Ticket Location in cell C7.  </t>
    </r>
    <r>
      <rPr>
        <i/>
        <sz val="11"/>
        <rFont val="Calibri"/>
        <family val="2"/>
      </rPr>
      <t>Hint: Use an error-checking function.</t>
    </r>
  </si>
  <si>
    <t>Precip.
(in.)
T=Trace</t>
  </si>
  <si>
    <t>T</t>
  </si>
  <si>
    <t>Rain , Snow , Thunderstorm</t>
  </si>
  <si>
    <t>Rain , Snow</t>
  </si>
  <si>
    <t>Fog , Snow</t>
  </si>
  <si>
    <t>Fog , Rain</t>
  </si>
  <si>
    <r>
      <t xml:space="preserve">Instructions:  
Review the historical Temperature Statistics table for the month of March 2008 below.  Write formulas (in cells L8:L26) that will answer the questions listed in cells N8:N26.  State all numeric values as whole numbers </t>
    </r>
    <r>
      <rPr>
        <b/>
        <i/>
        <u/>
        <sz val="11"/>
        <color theme="1"/>
        <rFont val="Segoe UI"/>
        <family val="2"/>
      </rPr>
      <t>unless directed otherwise</t>
    </r>
    <r>
      <rPr>
        <b/>
        <sz val="11"/>
        <color theme="1"/>
        <rFont val="Segoe UI"/>
        <family val="2"/>
      </rPr>
      <t>.</t>
    </r>
  </si>
  <si>
    <t>What was the 6th highest temperature recorded for any day in March?</t>
  </si>
  <si>
    <t>What was the 4th lowest temperature recorded for any day in March?</t>
  </si>
  <si>
    <t>What was the high temperature on March 15th?</t>
  </si>
  <si>
    <t>What was the low temperature on March 30th?</t>
  </si>
  <si>
    <t>What type of meterological phenomena occured on March 12th? (If none occurred, your formula should produce the word "None")</t>
  </si>
  <si>
    <t>What type of meterological phenomena occurred on March 18th?</t>
  </si>
  <si>
    <t>Which day of the month in March had the lowest high temperature?</t>
  </si>
  <si>
    <t>What day of the month in March had the highest low temperature?</t>
  </si>
  <si>
    <t>How many days in March experienced Rain, inlcuding days where other meterological phenomena also occurred in addition to Rain?</t>
  </si>
  <si>
    <t>Wind Speed
(MPH)</t>
  </si>
  <si>
    <t>Temperature Statistics
March 2008 - Louisville, KY</t>
  </si>
  <si>
    <t>How many days in March had a high temperature of at least 66°?</t>
  </si>
  <si>
    <t>How many days in March had a low temperature below freezing?</t>
  </si>
  <si>
    <t>How many days in March had a maximum temperature between 50° and 65°? (inclusive)</t>
  </si>
  <si>
    <t>Walker</t>
  </si>
  <si>
    <t>Alaya</t>
  </si>
  <si>
    <t>Wantland</t>
  </si>
  <si>
    <t>Emily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</si>
</sst>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164" formatCode="0.0"/>
    <numFmt numFmtId="165" formatCode="00"/>
    <numFmt numFmtId="166" formatCode="0.000%"/>
  </numFmts>
  <fonts count="25" x14ac:knownFonts="1">
    <font>
      <sz val="10"/>
      <name val="Arial"/>
    </font>
    <font>
      <sz val="10"/>
      <name val="Arial"/>
      <family val="2"/>
    </font>
    <font>
      <sz val="8"/>
      <name val="Arial"/>
      <family val="2"/>
    </font>
    <font>
      <sz val="10"/>
      <name val="Arial"/>
      <family val="2"/>
    </font>
    <font>
      <sz val="11"/>
      <name val="Calibri"/>
      <family val="2"/>
    </font>
    <font>
      <b/>
      <u/>
      <sz val="11"/>
      <name val="Calibri"/>
      <family val="2"/>
    </font>
    <font>
      <b/>
      <sz val="11"/>
      <name val="Calibri"/>
      <family val="2"/>
      <scheme val="minor"/>
    </font>
    <font>
      <sz val="11"/>
      <name val="Calibri"/>
      <family val="2"/>
      <scheme val="minor"/>
    </font>
    <font>
      <sz val="11"/>
      <color rgb="FF006100"/>
      <name val="Segoe UI"/>
      <family val="2"/>
    </font>
    <font>
      <b/>
      <sz val="11"/>
      <name val="Segoe UI"/>
      <family val="2"/>
    </font>
    <font>
      <b/>
      <sz val="11"/>
      <name val="Calibri"/>
      <family val="2"/>
    </font>
    <font>
      <sz val="11"/>
      <name val="Segoe UI"/>
      <family val="2"/>
    </font>
    <font>
      <b/>
      <sz val="11"/>
      <color rgb="FFFF0000"/>
      <name val="Segoe UI"/>
      <family val="2"/>
    </font>
    <font>
      <b/>
      <sz val="12"/>
      <name val="Segoe UI"/>
      <family val="2"/>
    </font>
    <font>
      <b/>
      <u/>
      <sz val="11"/>
      <name val="Segoe UI"/>
      <family val="2"/>
    </font>
    <font>
      <sz val="12"/>
      <name val="Segoe UI"/>
      <family val="2"/>
    </font>
    <font>
      <sz val="10"/>
      <name val="Segoe UI"/>
      <family val="2"/>
    </font>
    <font>
      <b/>
      <sz val="11"/>
      <color rgb="FF006100"/>
      <name val="Segoe UI"/>
      <family val="2"/>
    </font>
    <font>
      <i/>
      <sz val="11"/>
      <name val="Calibri"/>
      <family val="2"/>
    </font>
    <font>
      <b/>
      <sz val="10"/>
      <name val="Segoe UI"/>
      <family val="2"/>
    </font>
    <font>
      <b/>
      <sz val="16"/>
      <name val="Segoe UI"/>
      <family val="2"/>
    </font>
    <font>
      <i/>
      <sz val="10"/>
      <name val="Segoe UI"/>
      <family val="2"/>
    </font>
    <font>
      <sz val="14"/>
      <name val="Segoe UI"/>
      <family val="2"/>
    </font>
    <font>
      <b/>
      <sz val="11"/>
      <color theme="1"/>
      <name val="Segoe UI"/>
      <family val="2"/>
    </font>
    <font>
      <b/>
      <i/>
      <u/>
      <sz val="11"/>
      <color theme="1"/>
      <name val="Segoe UI"/>
      <family val="2"/>
    </font>
  </fonts>
  <fills count="20">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theme="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C6EFCE"/>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7B7F4"/>
        <bgColor indexed="64"/>
      </patternFill>
    </fill>
    <fill>
      <patternFill patternType="solid">
        <fgColor rgb="FF4CCC64"/>
        <bgColor indexed="64"/>
      </patternFill>
    </fill>
    <fill>
      <patternFill patternType="solid">
        <fgColor rgb="FFFFFFCC"/>
        <bgColor indexed="64"/>
      </patternFill>
    </fill>
    <fill>
      <patternFill patternType="solid">
        <fgColor rgb="FFCCECFF"/>
        <bgColor indexed="64"/>
      </patternFill>
    </fill>
    <fill>
      <patternFill patternType="solid">
        <fgColor rgb="FF99FF99"/>
        <bgColor indexed="64"/>
      </patternFill>
    </fill>
    <fill>
      <patternFill patternType="solid">
        <fgColor rgb="FFC6EFCE"/>
        <bgColor indexed="64"/>
      </patternFill>
    </fill>
  </fills>
  <borders count="51">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6">
    <xf numFmtId="0" fontId="0" fillId="0" borderId="0"/>
    <xf numFmtId="44"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xf numFmtId="0" fontId="8" fillId="9" borderId="0" applyNumberFormat="0" applyBorder="0" applyAlignment="0" applyProtection="0"/>
  </cellStyleXfs>
  <cellXfs count="302">
    <xf numFmtId="0" fontId="0" fillId="0" borderId="0" xfId="0"/>
    <xf numFmtId="0" fontId="6" fillId="0" borderId="0" xfId="0" applyFont="1"/>
    <xf numFmtId="0" fontId="7" fillId="0" borderId="0" xfId="0" applyFont="1"/>
    <xf numFmtId="0" fontId="7" fillId="0" borderId="0" xfId="0" applyFont="1" applyAlignment="1">
      <alignment wrapText="1"/>
    </xf>
    <xf numFmtId="0" fontId="6" fillId="0" borderId="0" xfId="0" applyFont="1" applyAlignment="1">
      <alignment horizontal="right"/>
    </xf>
    <xf numFmtId="0" fontId="6" fillId="0" borderId="19" xfId="0" applyFont="1" applyBorder="1" applyAlignment="1">
      <alignment horizontal="right"/>
    </xf>
    <xf numFmtId="0" fontId="6" fillId="0" borderId="5" xfId="0" applyFont="1" applyBorder="1" applyAlignment="1">
      <alignment horizontal="right"/>
    </xf>
    <xf numFmtId="0" fontId="6" fillId="0" borderId="7" xfId="0" applyFont="1" applyBorder="1" applyAlignment="1">
      <alignment horizontal="right"/>
    </xf>
    <xf numFmtId="0" fontId="9" fillId="0" borderId="0" xfId="0" applyFont="1" applyProtection="1"/>
    <xf numFmtId="0" fontId="11" fillId="0" borderId="0" xfId="0" applyFont="1" applyProtection="1"/>
    <xf numFmtId="0" fontId="11" fillId="0" borderId="0" xfId="0" applyFont="1" applyAlignment="1" applyProtection="1">
      <alignment horizontal="center"/>
    </xf>
    <xf numFmtId="0" fontId="11" fillId="0" borderId="0" xfId="0" applyFont="1" applyAlignment="1" applyProtection="1">
      <alignment vertical="center" wrapText="1"/>
    </xf>
    <xf numFmtId="0" fontId="11" fillId="0" borderId="0" xfId="0" applyNumberFormat="1" applyFont="1" applyProtection="1"/>
    <xf numFmtId="0" fontId="11" fillId="0" borderId="0" xfId="0" applyFont="1" applyAlignment="1" applyProtection="1">
      <alignment horizontal="center" vertical="center" wrapText="1"/>
    </xf>
    <xf numFmtId="0" fontId="12" fillId="0" borderId="0" xfId="0" applyFont="1" applyProtection="1"/>
    <xf numFmtId="0" fontId="8" fillId="9" borderId="18" xfId="5" applyFont="1" applyBorder="1" applyAlignment="1" applyProtection="1">
      <alignment horizontal="center" vertical="center" wrapText="1"/>
    </xf>
    <xf numFmtId="164" fontId="11" fillId="0" borderId="0" xfId="0" applyNumberFormat="1" applyFont="1" applyAlignment="1" applyProtection="1">
      <alignment horizontal="center"/>
    </xf>
    <xf numFmtId="0" fontId="11" fillId="0" borderId="0" xfId="0" applyFont="1" applyAlignment="1" applyProtection="1">
      <alignment wrapText="1"/>
    </xf>
    <xf numFmtId="0" fontId="11" fillId="0" borderId="0" xfId="0" applyFont="1" applyAlignment="1" applyProtection="1">
      <alignment horizontal="left"/>
    </xf>
    <xf numFmtId="0" fontId="8" fillId="9" borderId="20" xfId="5" applyFont="1" applyBorder="1" applyAlignment="1" applyProtection="1">
      <alignment horizontal="center"/>
      <protection hidden="1"/>
    </xf>
    <xf numFmtId="0" fontId="8" fillId="9" borderId="23" xfId="5" applyFont="1" applyBorder="1" applyAlignment="1" applyProtection="1">
      <alignment horizontal="center"/>
      <protection hidden="1"/>
    </xf>
    <xf numFmtId="0" fontId="13" fillId="0" borderId="0" xfId="0" applyFont="1"/>
    <xf numFmtId="0" fontId="15" fillId="0" borderId="0" xfId="0" applyFont="1" applyAlignment="1">
      <alignment vertical="center" readingOrder="1"/>
    </xf>
    <xf numFmtId="0" fontId="15" fillId="0" borderId="0" xfId="0" applyFont="1"/>
    <xf numFmtId="0" fontId="16" fillId="0" borderId="0" xfId="0" applyFont="1"/>
    <xf numFmtId="0" fontId="15" fillId="0" borderId="0" xfId="0" applyFont="1" applyAlignment="1">
      <alignment horizontal="left" vertical="center" indent="1" readingOrder="1"/>
    </xf>
    <xf numFmtId="0" fontId="15" fillId="0" borderId="0" xfId="0" applyFont="1" applyAlignment="1">
      <alignment horizontal="center"/>
    </xf>
    <xf numFmtId="0" fontId="15" fillId="0" borderId="0" xfId="0" applyFont="1" applyBorder="1"/>
    <xf numFmtId="0" fontId="13" fillId="0" borderId="0" xfId="0" applyFont="1" applyAlignment="1">
      <alignment vertical="center" readingOrder="1"/>
    </xf>
    <xf numFmtId="0" fontId="15" fillId="0" borderId="0" xfId="0" applyNumberFormat="1" applyFont="1" applyAlignment="1">
      <alignment horizontal="left" vertical="center" indent="1" readingOrder="1"/>
    </xf>
    <xf numFmtId="0" fontId="15" fillId="0" borderId="0" xfId="0" applyFont="1" applyAlignment="1">
      <alignment horizontal="left" vertical="center" wrapText="1" indent="1" readingOrder="1"/>
    </xf>
    <xf numFmtId="0" fontId="15" fillId="0" borderId="11" xfId="0" applyFont="1" applyBorder="1" applyAlignment="1" applyProtection="1">
      <alignment horizontal="right" vertical="center"/>
      <protection locked="0"/>
    </xf>
    <xf numFmtId="44" fontId="15" fillId="0" borderId="11" xfId="0" applyNumberFormat="1" applyFont="1" applyBorder="1" applyAlignment="1" applyProtection="1">
      <alignment horizontal="right" vertical="center"/>
      <protection locked="0"/>
    </xf>
    <xf numFmtId="44" fontId="15" fillId="0" borderId="6" xfId="0" applyNumberFormat="1" applyFont="1" applyBorder="1" applyAlignment="1" applyProtection="1">
      <alignment horizontal="right" vertical="center"/>
      <protection locked="0"/>
    </xf>
    <xf numFmtId="44" fontId="15" fillId="0" borderId="8" xfId="0" applyNumberFormat="1" applyFont="1" applyBorder="1" applyAlignment="1" applyProtection="1">
      <alignment horizontal="right" vertical="center"/>
      <protection locked="0"/>
    </xf>
    <xf numFmtId="44" fontId="15" fillId="0" borderId="2" xfId="0" applyNumberFormat="1" applyFont="1" applyBorder="1" applyAlignment="1" applyProtection="1">
      <alignment horizontal="right" vertical="center"/>
      <protection locked="0"/>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15" fillId="0" borderId="0" xfId="0" applyFont="1" applyAlignment="1">
      <alignment vertical="center"/>
    </xf>
    <xf numFmtId="0" fontId="17" fillId="9" borderId="18" xfId="5" applyFont="1" applyBorder="1" applyAlignment="1" applyProtection="1">
      <alignment horizontal="center" vertical="center"/>
      <protection hidden="1"/>
    </xf>
    <xf numFmtId="0" fontId="15" fillId="0" borderId="0" xfId="0" applyFont="1" applyProtection="1">
      <protection hidden="1"/>
    </xf>
    <xf numFmtId="44" fontId="8" fillId="9" borderId="20" xfId="1" applyFont="1" applyFill="1" applyBorder="1" applyProtection="1">
      <protection hidden="1"/>
    </xf>
    <xf numFmtId="44" fontId="8" fillId="9" borderId="23" xfId="5" applyNumberFormat="1" applyFont="1" applyBorder="1" applyProtection="1">
      <protection hidden="1"/>
    </xf>
    <xf numFmtId="9" fontId="8" fillId="9" borderId="23" xfId="3" applyFont="1" applyFill="1" applyBorder="1" applyProtection="1">
      <protection hidden="1"/>
    </xf>
    <xf numFmtId="44" fontId="8" fillId="9" borderId="23" xfId="1" applyFont="1" applyFill="1" applyBorder="1" applyProtection="1">
      <protection hidden="1"/>
    </xf>
    <xf numFmtId="44" fontId="8" fillId="9" borderId="21" xfId="1" applyFont="1" applyFill="1" applyBorder="1" applyProtection="1">
      <protection hidden="1"/>
    </xf>
    <xf numFmtId="44" fontId="8" fillId="9" borderId="18" xfId="5" applyNumberFormat="1" applyBorder="1" applyProtection="1">
      <protection hidden="1"/>
    </xf>
    <xf numFmtId="44" fontId="8" fillId="9" borderId="20" xfId="1" applyFont="1" applyFill="1" applyBorder="1" applyAlignment="1" applyProtection="1">
      <alignment vertical="center"/>
      <protection hidden="1"/>
    </xf>
    <xf numFmtId="44" fontId="8" fillId="9" borderId="23" xfId="5" applyNumberFormat="1" applyFont="1" applyBorder="1" applyAlignment="1" applyProtection="1">
      <alignment vertical="center"/>
      <protection hidden="1"/>
    </xf>
    <xf numFmtId="9" fontId="8" fillId="9" borderId="23" xfId="3" applyFont="1" applyFill="1" applyBorder="1" applyAlignment="1" applyProtection="1">
      <alignment vertical="center"/>
      <protection hidden="1"/>
    </xf>
    <xf numFmtId="44" fontId="8" fillId="9" borderId="23" xfId="1" applyFont="1" applyFill="1" applyBorder="1" applyAlignment="1" applyProtection="1">
      <alignment vertical="center"/>
      <protection hidden="1"/>
    </xf>
    <xf numFmtId="44" fontId="8" fillId="9" borderId="21" xfId="1" applyFont="1" applyFill="1" applyBorder="1" applyAlignment="1" applyProtection="1">
      <alignment vertical="center"/>
      <protection hidden="1"/>
    </xf>
    <xf numFmtId="44" fontId="8" fillId="9" borderId="18" xfId="5" applyNumberFormat="1" applyFont="1" applyBorder="1" applyAlignment="1" applyProtection="1">
      <alignment vertical="center"/>
      <protection hidden="1"/>
    </xf>
    <xf numFmtId="0" fontId="6" fillId="4" borderId="18" xfId="0" applyFont="1" applyFill="1" applyBorder="1" applyAlignment="1">
      <alignment horizontal="center" vertical="center"/>
    </xf>
    <xf numFmtId="0" fontId="6" fillId="4" borderId="32" xfId="0" applyFont="1" applyFill="1" applyBorder="1" applyAlignment="1">
      <alignment horizontal="center" vertical="center"/>
    </xf>
    <xf numFmtId="0" fontId="7" fillId="0" borderId="20" xfId="0" applyFont="1" applyBorder="1" applyAlignment="1">
      <alignment vertical="center"/>
    </xf>
    <xf numFmtId="0" fontId="7" fillId="0" borderId="23" xfId="0" applyFont="1" applyBorder="1" applyAlignment="1">
      <alignment vertical="center"/>
    </xf>
    <xf numFmtId="0" fontId="7" fillId="0" borderId="21" xfId="0" applyFont="1" applyBorder="1" applyAlignment="1">
      <alignment vertical="center"/>
    </xf>
    <xf numFmtId="0" fontId="7" fillId="0" borderId="11" xfId="0" applyFont="1" applyBorder="1" applyAlignment="1" applyProtection="1">
      <alignment horizontal="center" vertical="center"/>
      <protection locked="0"/>
    </xf>
    <xf numFmtId="0" fontId="7" fillId="0" borderId="6" xfId="0" applyFont="1" applyBorder="1" applyAlignment="1" applyProtection="1">
      <alignment horizontal="center" vertical="center"/>
      <protection locked="0"/>
    </xf>
    <xf numFmtId="42" fontId="7" fillId="0" borderId="48" xfId="1" applyNumberFormat="1" applyFont="1" applyBorder="1" applyAlignment="1" applyProtection="1">
      <alignment horizontal="center" vertical="center"/>
      <protection locked="0"/>
    </xf>
    <xf numFmtId="0" fontId="19" fillId="0" borderId="0" xfId="0" applyFont="1"/>
    <xf numFmtId="0" fontId="16" fillId="3" borderId="0" xfId="0" applyFont="1" applyFill="1"/>
    <xf numFmtId="0" fontId="16" fillId="0" borderId="0" xfId="0" applyFont="1" applyAlignment="1">
      <alignment vertical="center" readingOrder="1"/>
    </xf>
    <xf numFmtId="0" fontId="16" fillId="0" borderId="0" xfId="0" applyFont="1" applyAlignment="1">
      <alignment horizontal="left" vertical="center" indent="1" readingOrder="1"/>
    </xf>
    <xf numFmtId="0" fontId="16" fillId="0" borderId="0" xfId="0" applyNumberFormat="1" applyFont="1" applyAlignment="1">
      <alignment vertical="center" readingOrder="1"/>
    </xf>
    <xf numFmtId="0" fontId="16" fillId="0" borderId="0" xfId="0" applyFont="1" applyAlignment="1">
      <alignment horizontal="left" vertical="center" wrapText="1" readingOrder="1"/>
    </xf>
    <xf numFmtId="0" fontId="9" fillId="13" borderId="1" xfId="0" applyFont="1" applyFill="1" applyBorder="1" applyAlignment="1">
      <alignment horizontal="center" vertical="center"/>
    </xf>
    <xf numFmtId="0" fontId="9" fillId="13" borderId="16" xfId="0" applyFont="1" applyFill="1" applyBorder="1" applyAlignment="1">
      <alignment horizontal="center" vertical="center"/>
    </xf>
    <xf numFmtId="0" fontId="9" fillId="13" borderId="2" xfId="0" applyFont="1" applyFill="1" applyBorder="1" applyAlignment="1">
      <alignment horizontal="center" vertical="center"/>
    </xf>
    <xf numFmtId="44" fontId="11" fillId="0" borderId="14" xfId="0" applyNumberFormat="1" applyFont="1" applyBorder="1" applyAlignment="1" applyProtection="1">
      <alignment horizontal="center" vertical="center"/>
      <protection locked="0"/>
    </xf>
    <xf numFmtId="44" fontId="11" fillId="0" borderId="9" xfId="0" applyNumberFormat="1" applyFont="1" applyBorder="1" applyAlignment="1" applyProtection="1">
      <alignment horizontal="center" vertical="center"/>
      <protection locked="0"/>
    </xf>
    <xf numFmtId="44" fontId="11" fillId="0" borderId="6" xfId="0" applyNumberFormat="1" applyFont="1" applyBorder="1" applyAlignment="1" applyProtection="1">
      <alignment horizontal="center" vertical="center"/>
      <protection locked="0"/>
    </xf>
    <xf numFmtId="44" fontId="11" fillId="0" borderId="14" xfId="1" applyFont="1" applyBorder="1" applyAlignment="1" applyProtection="1">
      <alignment horizontal="center" vertical="center"/>
      <protection locked="0"/>
    </xf>
    <xf numFmtId="44" fontId="11" fillId="0" borderId="15" xfId="0" applyNumberFormat="1" applyFont="1" applyBorder="1" applyAlignment="1" applyProtection="1">
      <alignment horizontal="center" vertical="center"/>
      <protection locked="0"/>
    </xf>
    <xf numFmtId="44" fontId="11" fillId="0" borderId="12" xfId="0" applyNumberFormat="1" applyFont="1" applyBorder="1" applyAlignment="1" applyProtection="1">
      <alignment horizontal="center" vertical="center"/>
      <protection locked="0"/>
    </xf>
    <xf numFmtId="44" fontId="11" fillId="0" borderId="8" xfId="0" applyNumberFormat="1" applyFont="1" applyBorder="1" applyAlignment="1" applyProtection="1">
      <alignment horizontal="center" vertical="center"/>
      <protection locked="0"/>
    </xf>
    <xf numFmtId="9" fontId="11" fillId="0" borderId="42" xfId="3" applyFont="1" applyBorder="1" applyAlignment="1">
      <alignment vertical="center"/>
    </xf>
    <xf numFmtId="0" fontId="9" fillId="4" borderId="19" xfId="0" applyFont="1" applyFill="1" applyBorder="1" applyAlignment="1">
      <alignment horizontal="right" vertical="center"/>
    </xf>
    <xf numFmtId="0" fontId="9" fillId="4" borderId="5" xfId="0" applyFont="1" applyFill="1" applyBorder="1" applyAlignment="1">
      <alignment horizontal="right" vertical="center"/>
    </xf>
    <xf numFmtId="0" fontId="9" fillId="4" borderId="7" xfId="0" applyFont="1" applyFill="1" applyBorder="1" applyAlignment="1">
      <alignment horizontal="right" vertical="center"/>
    </xf>
    <xf numFmtId="3" fontId="11" fillId="0" borderId="3" xfId="0" applyNumberFormat="1" applyFont="1" applyBorder="1" applyAlignment="1">
      <alignment vertical="center"/>
    </xf>
    <xf numFmtId="3" fontId="11" fillId="0" borderId="5" xfId="0" applyNumberFormat="1" applyFont="1" applyBorder="1" applyAlignment="1">
      <alignment vertical="center"/>
    </xf>
    <xf numFmtId="3" fontId="11" fillId="0" borderId="7" xfId="0" applyNumberFormat="1" applyFont="1" applyBorder="1" applyAlignment="1">
      <alignment vertical="center"/>
    </xf>
    <xf numFmtId="0" fontId="8" fillId="9" borderId="19" xfId="5" applyBorder="1" applyAlignment="1" applyProtection="1">
      <alignment horizontal="right" vertical="center"/>
      <protection hidden="1"/>
    </xf>
    <xf numFmtId="3" fontId="8" fillId="9" borderId="13" xfId="5" applyNumberFormat="1" applyBorder="1" applyAlignment="1" applyProtection="1">
      <alignment horizontal="center" vertical="center"/>
      <protection hidden="1"/>
    </xf>
    <xf numFmtId="3" fontId="8" fillId="9" borderId="10" xfId="5" applyNumberFormat="1" applyBorder="1" applyAlignment="1" applyProtection="1">
      <alignment horizontal="center" vertical="center"/>
      <protection hidden="1"/>
    </xf>
    <xf numFmtId="3" fontId="8" fillId="9" borderId="11" xfId="5" applyNumberFormat="1" applyBorder="1" applyAlignment="1" applyProtection="1">
      <alignment horizontal="center" vertical="center"/>
      <protection hidden="1"/>
    </xf>
    <xf numFmtId="0" fontId="8" fillId="9" borderId="5" xfId="5" applyBorder="1" applyAlignment="1" applyProtection="1">
      <alignment horizontal="right" vertical="center"/>
      <protection hidden="1"/>
    </xf>
    <xf numFmtId="44" fontId="8" fillId="9" borderId="14" xfId="5" applyNumberFormat="1" applyBorder="1" applyAlignment="1" applyProtection="1">
      <alignment horizontal="center" vertical="center"/>
      <protection hidden="1"/>
    </xf>
    <xf numFmtId="44" fontId="8" fillId="9" borderId="9" xfId="5" applyNumberFormat="1" applyBorder="1" applyAlignment="1" applyProtection="1">
      <alignment horizontal="center" vertical="center"/>
      <protection hidden="1"/>
    </xf>
    <xf numFmtId="44" fontId="8" fillId="9" borderId="6" xfId="5" applyNumberFormat="1" applyBorder="1" applyAlignment="1" applyProtection="1">
      <alignment horizontal="center" vertical="center"/>
      <protection hidden="1"/>
    </xf>
    <xf numFmtId="0" fontId="8" fillId="9" borderId="7" xfId="5" applyBorder="1" applyAlignment="1" applyProtection="1">
      <alignment horizontal="right" vertical="center"/>
      <protection hidden="1"/>
    </xf>
    <xf numFmtId="44" fontId="8" fillId="9" borderId="15" xfId="5" applyNumberFormat="1" applyBorder="1" applyAlignment="1" applyProtection="1">
      <alignment horizontal="center" vertical="center"/>
      <protection hidden="1"/>
    </xf>
    <xf numFmtId="44" fontId="8" fillId="9" borderId="12" xfId="5" applyNumberFormat="1" applyBorder="1" applyAlignment="1" applyProtection="1">
      <alignment horizontal="center" vertical="center"/>
      <protection hidden="1"/>
    </xf>
    <xf numFmtId="44" fontId="8" fillId="9" borderId="8" xfId="5" applyNumberFormat="1" applyBorder="1" applyAlignment="1" applyProtection="1">
      <alignment horizontal="center" vertical="center"/>
      <protection hidden="1"/>
    </xf>
    <xf numFmtId="0" fontId="8" fillId="9" borderId="21" xfId="5" applyFont="1" applyBorder="1" applyAlignment="1" applyProtection="1">
      <alignment horizontal="center"/>
      <protection hidden="1"/>
    </xf>
    <xf numFmtId="0" fontId="15" fillId="0" borderId="43" xfId="0" applyFont="1" applyBorder="1" applyAlignment="1" applyProtection="1">
      <alignment vertical="center"/>
      <protection hidden="1"/>
    </xf>
    <xf numFmtId="0" fontId="15" fillId="0" borderId="29" xfId="0" applyFont="1" applyBorder="1" applyAlignment="1" applyProtection="1">
      <alignment vertical="center"/>
      <protection hidden="1"/>
    </xf>
    <xf numFmtId="0" fontId="15" fillId="0" borderId="30" xfId="0" applyFont="1" applyBorder="1" applyAlignment="1" applyProtection="1">
      <alignment vertical="center"/>
      <protection hidden="1"/>
    </xf>
    <xf numFmtId="0" fontId="13" fillId="4" borderId="20" xfId="0" applyFont="1" applyFill="1" applyBorder="1" applyAlignment="1" applyProtection="1">
      <alignment horizontal="center" vertical="center"/>
      <protection hidden="1"/>
    </xf>
    <xf numFmtId="0" fontId="15" fillId="0" borderId="13" xfId="0" applyFont="1" applyBorder="1" applyAlignment="1" applyProtection="1">
      <alignment horizontal="center" vertical="center"/>
      <protection hidden="1"/>
    </xf>
    <xf numFmtId="0" fontId="15" fillId="0" borderId="10" xfId="0" applyFont="1" applyBorder="1" applyAlignment="1" applyProtection="1">
      <alignment horizontal="center" vertical="center"/>
      <protection hidden="1"/>
    </xf>
    <xf numFmtId="0" fontId="15" fillId="0" borderId="11" xfId="0" applyFont="1" applyBorder="1" applyAlignment="1" applyProtection="1">
      <alignment horizontal="center" vertical="center"/>
      <protection hidden="1"/>
    </xf>
    <xf numFmtId="0" fontId="13" fillId="4" borderId="21" xfId="0" applyFont="1" applyFill="1" applyBorder="1" applyAlignment="1" applyProtection="1">
      <alignment horizontal="center" vertical="center"/>
      <protection hidden="1"/>
    </xf>
    <xf numFmtId="9" fontId="15" fillId="0" borderId="15" xfId="0" applyNumberFormat="1" applyFont="1" applyBorder="1" applyAlignment="1" applyProtection="1">
      <alignment horizontal="center" vertical="center"/>
      <protection hidden="1"/>
    </xf>
    <xf numFmtId="9" fontId="15" fillId="0" borderId="12" xfId="0" applyNumberFormat="1" applyFont="1" applyBorder="1" applyAlignment="1" applyProtection="1">
      <alignment horizontal="center" vertical="center"/>
      <protection hidden="1"/>
    </xf>
    <xf numFmtId="9" fontId="15" fillId="0" borderId="8" xfId="0" applyNumberFormat="1" applyFont="1" applyBorder="1" applyAlignment="1" applyProtection="1">
      <alignment horizontal="center" vertical="center"/>
      <protection hidden="1"/>
    </xf>
    <xf numFmtId="44" fontId="8" fillId="9" borderId="18" xfId="1" applyFont="1" applyFill="1" applyBorder="1" applyProtection="1">
      <protection hidden="1"/>
    </xf>
    <xf numFmtId="0" fontId="11" fillId="0" borderId="36" xfId="0" applyFont="1" applyBorder="1" applyAlignment="1" applyProtection="1">
      <alignment horizontal="center"/>
    </xf>
    <xf numFmtId="0" fontId="11" fillId="0" borderId="23" xfId="0" applyFont="1" applyBorder="1" applyAlignment="1" applyProtection="1">
      <alignment horizontal="center"/>
      <protection locked="0"/>
    </xf>
    <xf numFmtId="0" fontId="11" fillId="0" borderId="19" xfId="0" applyFont="1" applyBorder="1" applyAlignment="1" applyProtection="1">
      <alignment horizontal="center"/>
      <protection hidden="1"/>
    </xf>
    <xf numFmtId="0" fontId="11" fillId="0" borderId="13" xfId="0" applyFont="1" applyBorder="1" applyAlignment="1" applyProtection="1">
      <alignment horizontal="center"/>
      <protection hidden="1"/>
    </xf>
    <xf numFmtId="0" fontId="11" fillId="0" borderId="10" xfId="0" applyFont="1" applyBorder="1" applyAlignment="1" applyProtection="1">
      <alignment horizontal="center"/>
      <protection hidden="1"/>
    </xf>
    <xf numFmtId="0" fontId="11" fillId="0" borderId="11" xfId="0" applyFont="1" applyBorder="1" applyAlignment="1" applyProtection="1">
      <alignment horizontal="center"/>
      <protection hidden="1"/>
    </xf>
    <xf numFmtId="0" fontId="11" fillId="0" borderId="5" xfId="0" applyFont="1" applyBorder="1" applyAlignment="1" applyProtection="1">
      <alignment horizontal="center"/>
      <protection hidden="1"/>
    </xf>
    <xf numFmtId="0" fontId="11" fillId="0" borderId="14" xfId="0" applyFont="1" applyBorder="1" applyAlignment="1" applyProtection="1">
      <alignment horizontal="center"/>
      <protection hidden="1"/>
    </xf>
    <xf numFmtId="0" fontId="11" fillId="0" borderId="9" xfId="0" applyFont="1" applyBorder="1" applyAlignment="1" applyProtection="1">
      <alignment horizontal="center"/>
      <protection hidden="1"/>
    </xf>
    <xf numFmtId="0" fontId="11" fillId="0" borderId="6" xfId="0" applyFont="1" applyBorder="1" applyAlignment="1" applyProtection="1">
      <alignment horizontal="center"/>
      <protection hidden="1"/>
    </xf>
    <xf numFmtId="0" fontId="11" fillId="0" borderId="0" xfId="0" applyFont="1" applyAlignment="1" applyProtection="1">
      <alignment horizontal="center"/>
      <protection hidden="1"/>
    </xf>
    <xf numFmtId="0" fontId="7" fillId="0" borderId="0" xfId="0" applyFont="1" applyAlignment="1" applyProtection="1">
      <alignment horizontal="center"/>
      <protection hidden="1"/>
    </xf>
    <xf numFmtId="0" fontId="15" fillId="0" borderId="0" xfId="0" applyFont="1" applyAlignment="1">
      <alignment horizontal="center" vertical="center"/>
    </xf>
    <xf numFmtId="0" fontId="9" fillId="0" borderId="0" xfId="0" applyFont="1" applyAlignment="1" applyProtection="1">
      <alignment horizontal="center" vertical="center" wrapText="1"/>
    </xf>
    <xf numFmtId="0" fontId="9" fillId="0" borderId="0" xfId="0" applyFont="1" applyAlignment="1" applyProtection="1">
      <alignment horizontal="center" wrapText="1"/>
      <protection hidden="1"/>
    </xf>
    <xf numFmtId="0" fontId="11" fillId="0" borderId="0" xfId="0" applyFont="1" applyAlignment="1" applyProtection="1">
      <alignment horizontal="center" vertical="center" wrapText="1"/>
      <protection hidden="1"/>
    </xf>
    <xf numFmtId="0" fontId="15" fillId="0" borderId="0" xfId="0" applyFont="1" applyAlignment="1" applyProtection="1">
      <alignment horizontal="center"/>
      <protection hidden="1"/>
    </xf>
    <xf numFmtId="0" fontId="15" fillId="0" borderId="35" xfId="0" applyFont="1" applyBorder="1" applyAlignment="1">
      <alignment vertical="center"/>
    </xf>
    <xf numFmtId="44" fontId="15" fillId="0" borderId="35" xfId="0" applyNumberFormat="1" applyFont="1" applyBorder="1" applyAlignment="1">
      <alignment horizontal="right" vertical="center"/>
    </xf>
    <xf numFmtId="9" fontId="15" fillId="0" borderId="23" xfId="0" applyNumberFormat="1" applyFont="1" applyBorder="1" applyAlignment="1" applyProtection="1">
      <alignment horizontal="left" vertical="center" indent="2"/>
      <protection hidden="1"/>
    </xf>
    <xf numFmtId="9" fontId="15" fillId="0" borderId="21" xfId="0" applyNumberFormat="1" applyFont="1" applyBorder="1" applyAlignment="1" applyProtection="1">
      <alignment horizontal="left" vertical="center" indent="2"/>
      <protection hidden="1"/>
    </xf>
    <xf numFmtId="3" fontId="11" fillId="0" borderId="13" xfId="0" applyNumberFormat="1" applyFont="1" applyBorder="1" applyAlignment="1" applyProtection="1">
      <alignment horizontal="center" vertical="center"/>
      <protection locked="0" hidden="1"/>
    </xf>
    <xf numFmtId="3" fontId="11" fillId="0" borderId="10" xfId="0" applyNumberFormat="1" applyFont="1" applyBorder="1" applyAlignment="1" applyProtection="1">
      <alignment horizontal="center" vertical="center"/>
      <protection locked="0" hidden="1"/>
    </xf>
    <xf numFmtId="3" fontId="11" fillId="0" borderId="11" xfId="0" applyNumberFormat="1" applyFont="1" applyBorder="1" applyAlignment="1" applyProtection="1">
      <alignment horizontal="center" vertical="center"/>
      <protection locked="0" hidden="1"/>
    </xf>
    <xf numFmtId="9" fontId="11" fillId="0" borderId="10" xfId="0" applyNumberFormat="1" applyFont="1" applyBorder="1" applyAlignment="1" applyProtection="1">
      <alignment horizontal="center"/>
      <protection hidden="1"/>
    </xf>
    <xf numFmtId="9" fontId="11" fillId="0" borderId="9" xfId="0" applyNumberFormat="1" applyFont="1" applyBorder="1" applyAlignment="1" applyProtection="1">
      <alignment horizontal="center"/>
      <protection hidden="1"/>
    </xf>
    <xf numFmtId="42" fontId="7" fillId="0" borderId="8" xfId="1" applyNumberFormat="1" applyFont="1" applyBorder="1" applyAlignment="1" applyProtection="1">
      <alignment horizontal="center" vertical="center"/>
      <protection locked="0"/>
    </xf>
    <xf numFmtId="44" fontId="8" fillId="9" borderId="14" xfId="1" applyFont="1" applyFill="1" applyBorder="1" applyAlignment="1" applyProtection="1">
      <alignment horizontal="center" vertical="center"/>
      <protection hidden="1"/>
    </xf>
    <xf numFmtId="0" fontId="16" fillId="0" borderId="0" xfId="4" applyFont="1" applyProtection="1">
      <protection hidden="1"/>
    </xf>
    <xf numFmtId="49" fontId="19" fillId="0" borderId="0" xfId="4" applyNumberFormat="1" applyFont="1" applyAlignment="1" applyProtection="1">
      <alignment horizontal="left"/>
      <protection hidden="1"/>
    </xf>
    <xf numFmtId="0" fontId="19" fillId="0" borderId="0" xfId="4" applyFont="1" applyProtection="1">
      <protection hidden="1"/>
    </xf>
    <xf numFmtId="49" fontId="19" fillId="6" borderId="24" xfId="4" applyNumberFormat="1" applyFont="1" applyFill="1" applyBorder="1" applyAlignment="1" applyProtection="1">
      <alignment horizontal="right"/>
      <protection hidden="1"/>
    </xf>
    <xf numFmtId="165" fontId="19" fillId="7" borderId="0" xfId="4" applyNumberFormat="1" applyFont="1" applyFill="1" applyBorder="1" applyAlignment="1" applyProtection="1">
      <alignment horizontal="center"/>
      <protection locked="0"/>
    </xf>
    <xf numFmtId="0" fontId="19" fillId="6" borderId="38" xfId="4" quotePrefix="1" applyNumberFormat="1" applyFont="1" applyFill="1" applyBorder="1" applyAlignment="1" applyProtection="1">
      <alignment horizontal="left"/>
      <protection hidden="1"/>
    </xf>
    <xf numFmtId="49" fontId="19" fillId="0" borderId="2" xfId="4" applyNumberFormat="1" applyFont="1" applyBorder="1" applyAlignment="1" applyProtection="1">
      <alignment horizontal="center"/>
      <protection hidden="1"/>
    </xf>
    <xf numFmtId="0" fontId="19" fillId="0" borderId="0" xfId="4" applyFont="1" applyAlignment="1" applyProtection="1">
      <alignment horizontal="center"/>
      <protection hidden="1"/>
    </xf>
    <xf numFmtId="49" fontId="19" fillId="16" borderId="6" xfId="4" applyNumberFormat="1" applyFont="1" applyFill="1" applyBorder="1" applyAlignment="1" applyProtection="1">
      <alignment horizontal="left"/>
      <protection locked="0"/>
    </xf>
    <xf numFmtId="49" fontId="19" fillId="0" borderId="6" xfId="4" applyNumberFormat="1" applyFont="1" applyBorder="1" applyAlignment="1" applyProtection="1">
      <alignment horizontal="left"/>
      <protection locked="0"/>
    </xf>
    <xf numFmtId="0" fontId="20" fillId="0" borderId="0" xfId="4" applyFont="1" applyAlignment="1" applyProtection="1">
      <alignment vertical="center"/>
      <protection hidden="1"/>
    </xf>
    <xf numFmtId="49" fontId="21" fillId="0" borderId="6" xfId="4" applyNumberFormat="1" applyFont="1" applyBorder="1" applyAlignment="1" applyProtection="1">
      <alignment horizontal="left"/>
      <protection locked="0"/>
    </xf>
    <xf numFmtId="49" fontId="16" fillId="0" borderId="0" xfId="4" applyNumberFormat="1" applyFont="1" applyProtection="1">
      <protection hidden="1"/>
    </xf>
    <xf numFmtId="49" fontId="21" fillId="0" borderId="8" xfId="4" applyNumberFormat="1" applyFont="1" applyBorder="1" applyAlignment="1" applyProtection="1">
      <alignment horizontal="left"/>
      <protection locked="0"/>
    </xf>
    <xf numFmtId="44" fontId="11" fillId="0" borderId="17" xfId="0" applyNumberFormat="1" applyFont="1" applyBorder="1" applyAlignment="1">
      <alignment vertical="center"/>
    </xf>
    <xf numFmtId="44" fontId="11" fillId="0" borderId="9" xfId="0" applyNumberFormat="1" applyFont="1" applyBorder="1" applyAlignment="1">
      <alignment vertical="center"/>
    </xf>
    <xf numFmtId="44" fontId="11" fillId="0" borderId="12" xfId="0" applyNumberFormat="1" applyFont="1" applyBorder="1" applyAlignment="1">
      <alignment vertical="center"/>
    </xf>
    <xf numFmtId="44" fontId="11" fillId="0" borderId="4" xfId="0" applyNumberFormat="1" applyFont="1" applyBorder="1" applyAlignment="1">
      <alignment vertical="center"/>
    </xf>
    <xf numFmtId="44" fontId="11" fillId="0" borderId="6" xfId="0" applyNumberFormat="1" applyFont="1" applyBorder="1" applyAlignment="1">
      <alignment vertical="center"/>
    </xf>
    <xf numFmtId="44" fontId="11" fillId="0" borderId="8" xfId="0" applyNumberFormat="1" applyFont="1" applyBorder="1" applyAlignment="1">
      <alignment vertical="center"/>
    </xf>
    <xf numFmtId="44" fontId="11" fillId="0" borderId="49" xfId="0" applyNumberFormat="1" applyFont="1" applyBorder="1" applyAlignment="1">
      <alignment vertical="center"/>
    </xf>
    <xf numFmtId="42" fontId="7" fillId="0" borderId="44" xfId="0" applyNumberFormat="1" applyFont="1" applyBorder="1" applyAlignment="1">
      <alignment horizontal="center" vertical="center"/>
    </xf>
    <xf numFmtId="42" fontId="7" fillId="0" borderId="20" xfId="0" applyNumberFormat="1" applyFont="1" applyBorder="1" applyAlignment="1">
      <alignment horizontal="center" vertical="center"/>
    </xf>
    <xf numFmtId="42" fontId="7" fillId="0" borderId="45" xfId="0" applyNumberFormat="1" applyFont="1" applyBorder="1" applyAlignment="1">
      <alignment horizontal="center" vertical="center"/>
    </xf>
    <xf numFmtId="42" fontId="7" fillId="0" borderId="23" xfId="0" applyNumberFormat="1" applyFont="1" applyBorder="1" applyAlignment="1">
      <alignment horizontal="center" vertical="center"/>
    </xf>
    <xf numFmtId="42" fontId="7" fillId="0" borderId="46" xfId="0" applyNumberFormat="1" applyFont="1" applyBorder="1" applyAlignment="1">
      <alignment horizontal="center" vertical="center"/>
    </xf>
    <xf numFmtId="42" fontId="7" fillId="0" borderId="21" xfId="0" applyNumberFormat="1" applyFont="1" applyBorder="1" applyAlignment="1">
      <alignment horizontal="center" vertical="center"/>
    </xf>
    <xf numFmtId="0" fontId="15" fillId="0" borderId="5" xfId="0" applyFont="1" applyBorder="1" applyAlignment="1" applyProtection="1">
      <alignment horizontal="center"/>
      <protection hidden="1"/>
    </xf>
    <xf numFmtId="166" fontId="15" fillId="0" borderId="6" xfId="0" applyNumberFormat="1" applyFont="1" applyBorder="1" applyProtection="1">
      <protection hidden="1"/>
    </xf>
    <xf numFmtId="0" fontId="15" fillId="0" borderId="7" xfId="0" applyFont="1" applyBorder="1" applyAlignment="1" applyProtection="1">
      <alignment horizontal="center"/>
      <protection hidden="1"/>
    </xf>
    <xf numFmtId="166" fontId="15" fillId="0" borderId="8" xfId="0" applyNumberFormat="1" applyFont="1" applyBorder="1" applyProtection="1">
      <protection hidden="1"/>
    </xf>
    <xf numFmtId="0" fontId="15" fillId="0" borderId="18" xfId="0" applyFont="1" applyBorder="1" applyAlignment="1" applyProtection="1">
      <alignment horizontal="center" vertical="center"/>
      <protection locked="0" hidden="1"/>
    </xf>
    <xf numFmtId="0" fontId="13" fillId="0" borderId="19" xfId="0" applyFont="1" applyBorder="1" applyAlignment="1" applyProtection="1">
      <alignment horizontal="right" vertical="center"/>
      <protection hidden="1"/>
    </xf>
    <xf numFmtId="0" fontId="13" fillId="0" borderId="5" xfId="0" applyFont="1" applyBorder="1" applyAlignment="1" applyProtection="1">
      <alignment horizontal="right" vertical="center"/>
      <protection hidden="1"/>
    </xf>
    <xf numFmtId="0" fontId="13" fillId="0" borderId="7" xfId="0" applyFont="1" applyBorder="1" applyAlignment="1" applyProtection="1">
      <alignment horizontal="right" vertical="center"/>
      <protection hidden="1"/>
    </xf>
    <xf numFmtId="0" fontId="13" fillId="0" borderId="1" xfId="0" applyFont="1" applyBorder="1" applyAlignment="1" applyProtection="1">
      <alignment horizontal="right" vertical="center"/>
      <protection hidden="1"/>
    </xf>
    <xf numFmtId="0" fontId="15" fillId="0" borderId="3" xfId="0" applyFont="1" applyBorder="1" applyAlignment="1" applyProtection="1">
      <alignment horizontal="center"/>
      <protection hidden="1"/>
    </xf>
    <xf numFmtId="166" fontId="15" fillId="0" borderId="4" xfId="0" applyNumberFormat="1" applyFont="1" applyBorder="1" applyProtection="1">
      <protection hidden="1"/>
    </xf>
    <xf numFmtId="0" fontId="13" fillId="7" borderId="18" xfId="0" applyFont="1" applyFill="1" applyBorder="1" applyAlignment="1" applyProtection="1">
      <alignment horizontal="center" vertical="center"/>
      <protection hidden="1"/>
    </xf>
    <xf numFmtId="9" fontId="15" fillId="0" borderId="6" xfId="0" applyNumberFormat="1" applyFont="1" applyBorder="1" applyAlignment="1" applyProtection="1">
      <alignment horizontal="right" vertical="center"/>
      <protection locked="0"/>
    </xf>
    <xf numFmtId="44" fontId="15" fillId="0" borderId="15" xfId="0" applyNumberFormat="1" applyFont="1" applyBorder="1" applyAlignment="1" applyProtection="1">
      <alignment horizontal="center" vertical="center"/>
      <protection hidden="1"/>
    </xf>
    <xf numFmtId="44" fontId="15" fillId="0" borderId="12" xfId="0" applyNumberFormat="1" applyFont="1" applyBorder="1" applyAlignment="1" applyProtection="1">
      <alignment horizontal="center" vertical="center"/>
      <protection hidden="1"/>
    </xf>
    <xf numFmtId="44" fontId="15" fillId="0" borderId="8" xfId="0" applyNumberFormat="1" applyFont="1" applyBorder="1" applyAlignment="1" applyProtection="1">
      <alignment horizontal="center" vertical="center"/>
      <protection hidden="1"/>
    </xf>
    <xf numFmtId="42" fontId="15" fillId="0" borderId="22" xfId="0" applyNumberFormat="1" applyFont="1" applyBorder="1" applyAlignment="1" applyProtection="1">
      <alignment horizontal="center" vertical="center"/>
      <protection hidden="1"/>
    </xf>
    <xf numFmtId="42" fontId="15" fillId="0" borderId="17" xfId="0" applyNumberFormat="1" applyFont="1" applyBorder="1" applyAlignment="1" applyProtection="1">
      <alignment horizontal="center" vertical="center"/>
      <protection hidden="1"/>
    </xf>
    <xf numFmtId="42" fontId="15" fillId="0" borderId="4" xfId="0" applyNumberFormat="1" applyFont="1" applyBorder="1" applyAlignment="1" applyProtection="1">
      <alignment horizontal="center" vertical="center"/>
      <protection hidden="1"/>
    </xf>
    <xf numFmtId="0" fontId="13" fillId="0" borderId="35" xfId="0" applyFont="1" applyBorder="1" applyAlignment="1" applyProtection="1">
      <alignment horizontal="right" vertical="center"/>
      <protection hidden="1"/>
    </xf>
    <xf numFmtId="42" fontId="15" fillId="0" borderId="43" xfId="0" applyNumberFormat="1" applyFont="1" applyBorder="1" applyAlignment="1" applyProtection="1">
      <alignment horizontal="right" vertical="center" indent="2"/>
      <protection hidden="1"/>
    </xf>
    <xf numFmtId="42" fontId="15" fillId="0" borderId="29" xfId="0" applyNumberFormat="1" applyFont="1" applyBorder="1" applyAlignment="1" applyProtection="1">
      <alignment horizontal="right" vertical="center" indent="2"/>
      <protection hidden="1"/>
    </xf>
    <xf numFmtId="42" fontId="15" fillId="0" borderId="30" xfId="0" applyNumberFormat="1" applyFont="1" applyBorder="1" applyAlignment="1" applyProtection="1">
      <alignment horizontal="right" vertical="center" indent="2"/>
      <protection hidden="1"/>
    </xf>
    <xf numFmtId="44" fontId="15" fillId="0" borderId="20" xfId="0" applyNumberFormat="1" applyFont="1" applyBorder="1" applyAlignment="1" applyProtection="1">
      <alignment horizontal="left" vertical="center"/>
      <protection hidden="1"/>
    </xf>
    <xf numFmtId="44" fontId="15" fillId="0" borderId="23" xfId="0" applyNumberFormat="1" applyFont="1" applyBorder="1" applyAlignment="1" applyProtection="1">
      <alignment horizontal="left" vertical="center"/>
      <protection hidden="1"/>
    </xf>
    <xf numFmtId="44" fontId="15" fillId="0" borderId="21" xfId="0" applyNumberFormat="1" applyFont="1" applyBorder="1" applyAlignment="1" applyProtection="1">
      <alignment horizontal="left" vertical="center"/>
      <protection hidden="1"/>
    </xf>
    <xf numFmtId="41" fontId="15" fillId="0" borderId="8" xfId="0" applyNumberFormat="1" applyFont="1" applyBorder="1" applyAlignment="1" applyProtection="1">
      <alignment vertical="center"/>
      <protection locked="0"/>
    </xf>
    <xf numFmtId="0" fontId="9" fillId="18" borderId="1" xfId="0" applyFont="1" applyFill="1" applyBorder="1" applyAlignment="1" applyProtection="1">
      <alignment horizontal="center" vertical="center" wrapText="1"/>
      <protection hidden="1"/>
    </xf>
    <xf numFmtId="0" fontId="9" fillId="18" borderId="47" xfId="0" applyFont="1" applyFill="1" applyBorder="1" applyAlignment="1" applyProtection="1">
      <alignment horizontal="center" vertical="center" wrapText="1"/>
      <protection hidden="1"/>
    </xf>
    <xf numFmtId="0" fontId="9" fillId="18" borderId="16" xfId="0" applyFont="1" applyFill="1" applyBorder="1" applyAlignment="1" applyProtection="1">
      <alignment horizontal="center" vertical="center" wrapText="1"/>
      <protection hidden="1"/>
    </xf>
    <xf numFmtId="1" fontId="9" fillId="0" borderId="0" xfId="0" applyNumberFormat="1" applyFont="1" applyBorder="1" applyAlignment="1" applyProtection="1">
      <alignment horizontal="center"/>
    </xf>
    <xf numFmtId="0" fontId="9" fillId="0" borderId="0" xfId="0" applyFont="1" applyBorder="1" applyAlignment="1" applyProtection="1">
      <alignment horizontal="center"/>
    </xf>
    <xf numFmtId="2" fontId="11" fillId="0" borderId="10" xfId="0" applyNumberFormat="1" applyFont="1" applyBorder="1" applyAlignment="1" applyProtection="1">
      <alignment horizontal="center"/>
      <protection hidden="1"/>
    </xf>
    <xf numFmtId="2" fontId="11" fillId="0" borderId="9" xfId="0" applyNumberFormat="1" applyFont="1" applyBorder="1" applyAlignment="1" applyProtection="1">
      <alignment horizontal="center"/>
      <protection hidden="1"/>
    </xf>
    <xf numFmtId="9" fontId="15" fillId="0" borderId="20" xfId="0" applyNumberFormat="1" applyFont="1" applyBorder="1" applyAlignment="1" applyProtection="1">
      <alignment horizontal="right" vertical="center" indent="4"/>
      <protection hidden="1"/>
    </xf>
    <xf numFmtId="9" fontId="15" fillId="0" borderId="23" xfId="0" applyNumberFormat="1" applyFont="1" applyBorder="1" applyAlignment="1" applyProtection="1">
      <alignment horizontal="right" vertical="center" indent="4"/>
      <protection hidden="1"/>
    </xf>
    <xf numFmtId="0" fontId="15" fillId="3" borderId="0" xfId="0" applyFont="1" applyFill="1" applyAlignment="1" applyProtection="1">
      <alignment horizontal="center" vertical="center"/>
      <protection hidden="1"/>
    </xf>
    <xf numFmtId="164" fontId="11" fillId="0" borderId="23" xfId="0" applyNumberFormat="1" applyFont="1" applyBorder="1" applyAlignment="1" applyProtection="1">
      <alignment horizontal="center"/>
      <protection locked="0"/>
    </xf>
    <xf numFmtId="0" fontId="11" fillId="0" borderId="23" xfId="3" applyNumberFormat="1" applyFont="1" applyBorder="1" applyAlignment="1" applyProtection="1">
      <alignment horizontal="center"/>
      <protection locked="0"/>
    </xf>
    <xf numFmtId="164" fontId="11" fillId="0" borderId="20" xfId="0" applyNumberFormat="1" applyFont="1" applyBorder="1" applyAlignment="1" applyProtection="1">
      <alignment horizontal="center"/>
      <protection locked="0"/>
    </xf>
    <xf numFmtId="2" fontId="11" fillId="0" borderId="21" xfId="0" applyNumberFormat="1" applyFont="1" applyBorder="1" applyAlignment="1" applyProtection="1">
      <alignment horizontal="center"/>
      <protection locked="0"/>
    </xf>
    <xf numFmtId="0" fontId="22" fillId="17" borderId="24" xfId="4" applyFont="1" applyFill="1" applyBorder="1" applyAlignment="1" applyProtection="1">
      <alignment horizontal="right" vertical="center"/>
      <protection hidden="1"/>
    </xf>
    <xf numFmtId="0" fontId="22" fillId="17" borderId="25" xfId="4" applyFont="1" applyFill="1" applyBorder="1" applyAlignment="1" applyProtection="1">
      <alignment horizontal="right" vertical="center"/>
      <protection hidden="1"/>
    </xf>
    <xf numFmtId="0" fontId="13" fillId="17" borderId="38" xfId="4" applyFont="1" applyFill="1" applyBorder="1" applyAlignment="1" applyProtection="1">
      <alignment horizontal="left" vertical="center"/>
      <protection hidden="1"/>
    </xf>
    <xf numFmtId="0" fontId="13" fillId="17" borderId="34" xfId="4" applyFont="1" applyFill="1" applyBorder="1" applyAlignment="1" applyProtection="1">
      <alignment horizontal="left" vertical="center"/>
      <protection hidden="1"/>
    </xf>
    <xf numFmtId="49" fontId="19" fillId="6" borderId="26" xfId="4" applyNumberFormat="1" applyFont="1" applyFill="1" applyBorder="1" applyAlignment="1" applyProtection="1">
      <alignment horizontal="center"/>
      <protection hidden="1"/>
    </xf>
    <xf numFmtId="49" fontId="19" fillId="6" borderId="36" xfId="4" applyNumberFormat="1" applyFont="1" applyFill="1" applyBorder="1" applyAlignment="1" applyProtection="1">
      <alignment horizontal="center"/>
      <protection hidden="1"/>
    </xf>
    <xf numFmtId="49" fontId="19" fillId="6" borderId="33" xfId="4" applyNumberFormat="1" applyFont="1" applyFill="1" applyBorder="1" applyAlignment="1" applyProtection="1">
      <alignment horizontal="center"/>
      <protection hidden="1"/>
    </xf>
    <xf numFmtId="49" fontId="19" fillId="6" borderId="25" xfId="4" applyNumberFormat="1" applyFont="1" applyFill="1" applyBorder="1" applyAlignment="1" applyProtection="1">
      <alignment horizontal="center"/>
      <protection locked="0" hidden="1"/>
    </xf>
    <xf numFmtId="49" fontId="19" fillId="6" borderId="37" xfId="4" applyNumberFormat="1" applyFont="1" applyFill="1" applyBorder="1" applyAlignment="1" applyProtection="1">
      <alignment horizontal="center"/>
      <protection locked="0" hidden="1"/>
    </xf>
    <xf numFmtId="49" fontId="19" fillId="6" borderId="34" xfId="4" applyNumberFormat="1" applyFont="1" applyFill="1" applyBorder="1" applyAlignment="1" applyProtection="1">
      <alignment horizontal="center"/>
      <protection locked="0" hidden="1"/>
    </xf>
    <xf numFmtId="49" fontId="19" fillId="2" borderId="39" xfId="4" applyNumberFormat="1" applyFont="1" applyFill="1" applyBorder="1" applyAlignment="1" applyProtection="1">
      <alignment horizontal="center"/>
      <protection hidden="1"/>
    </xf>
    <xf numFmtId="49" fontId="19" fillId="2" borderId="36" xfId="4" applyNumberFormat="1" applyFont="1" applyFill="1" applyBorder="1" applyAlignment="1" applyProtection="1">
      <alignment horizontal="center"/>
      <protection hidden="1"/>
    </xf>
    <xf numFmtId="49" fontId="19" fillId="2" borderId="40" xfId="4" applyNumberFormat="1" applyFont="1" applyFill="1" applyBorder="1" applyAlignment="1" applyProtection="1">
      <alignment horizontal="center"/>
      <protection hidden="1"/>
    </xf>
    <xf numFmtId="49" fontId="19" fillId="0" borderId="31" xfId="4" applyNumberFormat="1" applyFont="1" applyBorder="1" applyAlignment="1" applyProtection="1">
      <alignment horizontal="center"/>
      <protection hidden="1"/>
    </xf>
    <xf numFmtId="49" fontId="19" fillId="0" borderId="47" xfId="4" applyNumberFormat="1" applyFont="1" applyBorder="1" applyAlignment="1" applyProtection="1">
      <alignment horizontal="center"/>
      <protection hidden="1"/>
    </xf>
    <xf numFmtId="49" fontId="19" fillId="16" borderId="28" xfId="4" applyNumberFormat="1" applyFont="1" applyFill="1" applyBorder="1" applyAlignment="1" applyProtection="1">
      <alignment horizontal="left"/>
      <protection locked="0"/>
    </xf>
    <xf numFmtId="49" fontId="19" fillId="16" borderId="13" xfId="4" applyNumberFormat="1" applyFont="1" applyFill="1" applyBorder="1" applyAlignment="1" applyProtection="1">
      <alignment horizontal="left"/>
      <protection locked="0"/>
    </xf>
    <xf numFmtId="49" fontId="19" fillId="0" borderId="29" xfId="4" applyNumberFormat="1" applyFont="1" applyBorder="1" applyAlignment="1" applyProtection="1">
      <alignment horizontal="left"/>
      <protection locked="0"/>
    </xf>
    <xf numFmtId="49" fontId="19" fillId="0" borderId="14" xfId="4" applyNumberFormat="1" applyFont="1" applyBorder="1" applyAlignment="1" applyProtection="1">
      <alignment horizontal="left"/>
      <protection locked="0"/>
    </xf>
    <xf numFmtId="49" fontId="21" fillId="0" borderId="29" xfId="4" applyNumberFormat="1" applyFont="1" applyBorder="1" applyAlignment="1" applyProtection="1">
      <alignment horizontal="left"/>
      <protection locked="0"/>
    </xf>
    <xf numFmtId="49" fontId="21" fillId="0" borderId="14" xfId="4" applyNumberFormat="1" applyFont="1" applyBorder="1" applyAlignment="1" applyProtection="1">
      <alignment horizontal="left"/>
      <protection locked="0"/>
    </xf>
    <xf numFmtId="49" fontId="21" fillId="0" borderId="30" xfId="4" applyNumberFormat="1" applyFont="1" applyBorder="1" applyAlignment="1" applyProtection="1">
      <alignment horizontal="left"/>
      <protection locked="0"/>
    </xf>
    <xf numFmtId="49" fontId="21" fillId="0" borderId="15" xfId="4" applyNumberFormat="1" applyFont="1" applyBorder="1" applyAlignment="1" applyProtection="1">
      <alignment horizontal="left"/>
      <protection locked="0"/>
    </xf>
    <xf numFmtId="0" fontId="20" fillId="17" borderId="26" xfId="4" applyFont="1" applyFill="1" applyBorder="1" applyAlignment="1" applyProtection="1">
      <alignment horizontal="center"/>
      <protection hidden="1"/>
    </xf>
    <xf numFmtId="0" fontId="20" fillId="17" borderId="33" xfId="4" applyFont="1" applyFill="1" applyBorder="1" applyAlignment="1" applyProtection="1">
      <alignment horizontal="center"/>
      <protection hidden="1"/>
    </xf>
    <xf numFmtId="0" fontId="23" fillId="19" borderId="31" xfId="0" applyFont="1" applyFill="1" applyBorder="1" applyAlignment="1" applyProtection="1">
      <alignment horizontal="left" vertical="center" wrapText="1"/>
    </xf>
    <xf numFmtId="0" fontId="23" fillId="19" borderId="35" xfId="0" applyFont="1" applyFill="1" applyBorder="1" applyAlignment="1" applyProtection="1">
      <alignment horizontal="left" vertical="center" wrapText="1"/>
    </xf>
    <xf numFmtId="0" fontId="23" fillId="19" borderId="35" xfId="0" applyFont="1" applyFill="1" applyBorder="1" applyAlignment="1" applyProtection="1">
      <alignment horizontal="left" vertical="center"/>
    </xf>
    <xf numFmtId="0" fontId="23" fillId="19" borderId="32" xfId="0" applyFont="1" applyFill="1" applyBorder="1" applyAlignment="1" applyProtection="1">
      <alignment horizontal="left" vertical="center"/>
    </xf>
    <xf numFmtId="0" fontId="13" fillId="14" borderId="26" xfId="0" applyFont="1" applyFill="1" applyBorder="1" applyAlignment="1" applyProtection="1">
      <alignment horizontal="center" vertical="center" wrapText="1"/>
      <protection hidden="1"/>
    </xf>
    <xf numFmtId="0" fontId="13" fillId="14" borderId="36" xfId="0" applyFont="1" applyFill="1" applyBorder="1" applyAlignment="1" applyProtection="1">
      <alignment horizontal="center" vertical="center" wrapText="1"/>
      <protection hidden="1"/>
    </xf>
    <xf numFmtId="0" fontId="13" fillId="14" borderId="33" xfId="0" applyFont="1" applyFill="1" applyBorder="1" applyAlignment="1" applyProtection="1">
      <alignment horizontal="center" vertical="center" wrapText="1"/>
      <protection hidden="1"/>
    </xf>
    <xf numFmtId="0" fontId="13" fillId="14" borderId="25" xfId="0" applyFont="1" applyFill="1" applyBorder="1" applyAlignment="1" applyProtection="1">
      <alignment horizontal="center" vertical="center" wrapText="1"/>
      <protection hidden="1"/>
    </xf>
    <xf numFmtId="0" fontId="13" fillId="14" borderId="37" xfId="0" applyFont="1" applyFill="1" applyBorder="1" applyAlignment="1" applyProtection="1">
      <alignment horizontal="center" vertical="center" wrapText="1"/>
      <protection hidden="1"/>
    </xf>
    <xf numFmtId="0" fontId="13" fillId="14" borderId="34" xfId="0" applyFont="1" applyFill="1" applyBorder="1" applyAlignment="1" applyProtection="1">
      <alignment horizontal="center" vertical="center" wrapText="1"/>
      <protection hidden="1"/>
    </xf>
    <xf numFmtId="0" fontId="13" fillId="8" borderId="31" xfId="0" applyFont="1" applyFill="1" applyBorder="1" applyAlignment="1">
      <alignment horizontal="center" vertical="center"/>
    </xf>
    <xf numFmtId="0" fontId="13" fillId="8" borderId="32" xfId="0" applyFont="1" applyFill="1" applyBorder="1" applyAlignment="1">
      <alignment horizontal="center" vertical="center"/>
    </xf>
    <xf numFmtId="0" fontId="13" fillId="7" borderId="26" xfId="0" applyFont="1" applyFill="1" applyBorder="1" applyAlignment="1">
      <alignment horizontal="center" vertical="center"/>
    </xf>
    <xf numFmtId="0" fontId="13" fillId="7" borderId="33" xfId="0" applyFont="1" applyFill="1" applyBorder="1" applyAlignment="1">
      <alignment horizontal="center" vertical="center"/>
    </xf>
    <xf numFmtId="0" fontId="13" fillId="7" borderId="25" xfId="0" applyFont="1" applyFill="1" applyBorder="1" applyAlignment="1">
      <alignment horizontal="center" vertical="center"/>
    </xf>
    <xf numFmtId="0" fontId="13" fillId="7" borderId="34" xfId="0" applyFont="1" applyFill="1" applyBorder="1" applyAlignment="1">
      <alignment horizontal="center" vertical="center"/>
    </xf>
    <xf numFmtId="0" fontId="11" fillId="12" borderId="31" xfId="0" applyFont="1" applyFill="1" applyBorder="1" applyAlignment="1">
      <alignment horizontal="left" vertical="center" wrapText="1"/>
    </xf>
    <xf numFmtId="0" fontId="11" fillId="12" borderId="35" xfId="0" applyFont="1" applyFill="1" applyBorder="1" applyAlignment="1">
      <alignment horizontal="left" vertical="center" wrapText="1"/>
    </xf>
    <xf numFmtId="0" fontId="11" fillId="12" borderId="32" xfId="0" applyFont="1" applyFill="1" applyBorder="1" applyAlignment="1">
      <alignment horizontal="left" vertical="center" wrapText="1"/>
    </xf>
    <xf numFmtId="0" fontId="13" fillId="7" borderId="27" xfId="0" applyFont="1" applyFill="1" applyBorder="1" applyAlignment="1" applyProtection="1">
      <alignment horizontal="center" vertical="center"/>
      <protection hidden="1"/>
    </xf>
    <xf numFmtId="0" fontId="13" fillId="7" borderId="50" xfId="0" applyFont="1" applyFill="1" applyBorder="1" applyAlignment="1" applyProtection="1">
      <alignment horizontal="center" vertical="center"/>
      <protection hidden="1"/>
    </xf>
    <xf numFmtId="0" fontId="11" fillId="6" borderId="31" xfId="0" applyFont="1" applyFill="1" applyBorder="1" applyAlignment="1">
      <alignment horizontal="left" vertical="center" wrapText="1"/>
    </xf>
    <xf numFmtId="0" fontId="11" fillId="6" borderId="35" xfId="0" applyFont="1" applyFill="1" applyBorder="1" applyAlignment="1">
      <alignment horizontal="left" vertical="center" wrapText="1"/>
    </xf>
    <xf numFmtId="0" fontId="11" fillId="6" borderId="32" xfId="0" applyFont="1" applyFill="1" applyBorder="1" applyAlignment="1">
      <alignment horizontal="left" vertical="center" wrapText="1"/>
    </xf>
    <xf numFmtId="0" fontId="13" fillId="8" borderId="26" xfId="0" applyFont="1" applyFill="1" applyBorder="1" applyAlignment="1" applyProtection="1">
      <alignment horizontal="center" vertical="center"/>
      <protection hidden="1"/>
    </xf>
    <xf numFmtId="0" fontId="13" fillId="8" borderId="36" xfId="0" applyFont="1" applyFill="1" applyBorder="1" applyAlignment="1" applyProtection="1">
      <alignment horizontal="center" vertical="center"/>
      <protection hidden="1"/>
    </xf>
    <xf numFmtId="0" fontId="13" fillId="8" borderId="33" xfId="0" applyFont="1" applyFill="1" applyBorder="1" applyAlignment="1" applyProtection="1">
      <alignment horizontal="center" vertical="center"/>
      <protection hidden="1"/>
    </xf>
    <xf numFmtId="0" fontId="13" fillId="8" borderId="1" xfId="0" applyFont="1" applyFill="1" applyBorder="1" applyAlignment="1" applyProtection="1">
      <alignment horizontal="center" vertical="center"/>
      <protection hidden="1"/>
    </xf>
    <xf numFmtId="0" fontId="13" fillId="8" borderId="16" xfId="0" applyFont="1" applyFill="1" applyBorder="1" applyAlignment="1" applyProtection="1">
      <alignment horizontal="center" vertical="center"/>
      <protection hidden="1"/>
    </xf>
    <xf numFmtId="0" fontId="13" fillId="8" borderId="2" xfId="0" applyFont="1" applyFill="1" applyBorder="1" applyAlignment="1" applyProtection="1">
      <alignment horizontal="center" vertical="center"/>
      <protection hidden="1"/>
    </xf>
    <xf numFmtId="0" fontId="6" fillId="8" borderId="31" xfId="0" applyFont="1" applyFill="1" applyBorder="1" applyAlignment="1">
      <alignment horizontal="center" vertical="center"/>
    </xf>
    <xf numFmtId="0" fontId="6" fillId="8" borderId="35" xfId="0" applyFont="1" applyFill="1" applyBorder="1" applyAlignment="1">
      <alignment horizontal="center" vertical="center"/>
    </xf>
    <xf numFmtId="0" fontId="6" fillId="8" borderId="32" xfId="0" applyFont="1" applyFill="1" applyBorder="1" applyAlignment="1">
      <alignment horizontal="center" vertical="center"/>
    </xf>
    <xf numFmtId="0" fontId="6" fillId="7" borderId="26" xfId="0" applyFont="1" applyFill="1" applyBorder="1" applyAlignment="1">
      <alignment horizontal="center" vertical="center"/>
    </xf>
    <xf numFmtId="0" fontId="6" fillId="7" borderId="33" xfId="0" applyFont="1" applyFill="1" applyBorder="1" applyAlignment="1">
      <alignment horizontal="center" vertical="center"/>
    </xf>
    <xf numFmtId="0" fontId="6" fillId="7" borderId="24" xfId="0" applyFont="1" applyFill="1" applyBorder="1" applyAlignment="1">
      <alignment horizontal="center" vertical="center"/>
    </xf>
    <xf numFmtId="0" fontId="6" fillId="7" borderId="38" xfId="0" applyFont="1" applyFill="1" applyBorder="1" applyAlignment="1">
      <alignment horizontal="center" vertical="center"/>
    </xf>
    <xf numFmtId="0" fontId="6" fillId="4" borderId="26" xfId="0" applyFont="1" applyFill="1" applyBorder="1" applyAlignment="1">
      <alignment horizontal="center" vertical="center"/>
    </xf>
    <xf numFmtId="0" fontId="6" fillId="4" borderId="25" xfId="0" applyFont="1" applyFill="1" applyBorder="1" applyAlignment="1">
      <alignment horizontal="center" vertical="center"/>
    </xf>
    <xf numFmtId="0" fontId="4" fillId="14" borderId="31" xfId="0" applyFont="1" applyFill="1" applyBorder="1" applyAlignment="1">
      <alignment horizontal="left" vertical="center" wrapText="1"/>
    </xf>
    <xf numFmtId="0" fontId="4" fillId="14" borderId="35" xfId="0" applyFont="1" applyFill="1" applyBorder="1" applyAlignment="1">
      <alignment horizontal="left" vertical="center" wrapText="1"/>
    </xf>
    <xf numFmtId="0" fontId="4" fillId="14" borderId="32" xfId="0" applyFont="1" applyFill="1" applyBorder="1" applyAlignment="1">
      <alignment horizontal="left" vertical="center" wrapText="1"/>
    </xf>
    <xf numFmtId="0" fontId="17" fillId="9" borderId="26" xfId="5" applyFont="1" applyBorder="1" applyAlignment="1" applyProtection="1">
      <alignment horizontal="center" vertical="center"/>
      <protection hidden="1"/>
    </xf>
    <xf numFmtId="0" fontId="17" fillId="9" borderId="36" xfId="5" applyFont="1" applyBorder="1" applyAlignment="1" applyProtection="1">
      <alignment horizontal="center" vertical="center"/>
      <protection hidden="1"/>
    </xf>
    <xf numFmtId="0" fontId="17" fillId="9" borderId="33" xfId="5" applyFont="1" applyBorder="1" applyAlignment="1" applyProtection="1">
      <alignment horizontal="center" vertical="center"/>
      <protection hidden="1"/>
    </xf>
    <xf numFmtId="0" fontId="17" fillId="9" borderId="25" xfId="5" applyFont="1" applyBorder="1" applyAlignment="1" applyProtection="1">
      <alignment horizontal="center" vertical="center"/>
      <protection hidden="1"/>
    </xf>
    <xf numFmtId="0" fontId="17" fillId="9" borderId="37" xfId="5" applyFont="1" applyBorder="1" applyAlignment="1" applyProtection="1">
      <alignment horizontal="center" vertical="center"/>
      <protection hidden="1"/>
    </xf>
    <xf numFmtId="0" fontId="17" fillId="9" borderId="34" xfId="5" applyFont="1" applyBorder="1" applyAlignment="1" applyProtection="1">
      <alignment horizontal="center" vertical="center"/>
      <protection hidden="1"/>
    </xf>
    <xf numFmtId="0" fontId="17" fillId="15" borderId="31" xfId="5" applyFont="1" applyFill="1" applyBorder="1" applyAlignment="1" applyProtection="1">
      <alignment horizontal="center"/>
      <protection hidden="1"/>
    </xf>
    <xf numFmtId="0" fontId="17" fillId="15" borderId="35" xfId="5" applyFont="1" applyFill="1" applyBorder="1" applyAlignment="1" applyProtection="1">
      <alignment horizontal="center"/>
      <protection hidden="1"/>
    </xf>
    <xf numFmtId="0" fontId="17" fillId="15" borderId="32" xfId="5" applyFont="1" applyFill="1" applyBorder="1" applyAlignment="1" applyProtection="1">
      <alignment horizontal="center"/>
      <protection hidden="1"/>
    </xf>
    <xf numFmtId="0" fontId="11" fillId="5" borderId="31" xfId="0" applyFont="1" applyFill="1" applyBorder="1" applyAlignment="1">
      <alignment vertical="center" wrapText="1"/>
    </xf>
    <xf numFmtId="0" fontId="11" fillId="5" borderId="35" xfId="0" applyFont="1" applyFill="1" applyBorder="1" applyAlignment="1">
      <alignment vertical="center" wrapText="1"/>
    </xf>
    <xf numFmtId="0" fontId="11" fillId="5" borderId="32" xfId="0" applyFont="1" applyFill="1" applyBorder="1" applyAlignment="1">
      <alignment vertical="center" wrapText="1"/>
    </xf>
    <xf numFmtId="0" fontId="9" fillId="0" borderId="29" xfId="0" applyFont="1" applyFill="1" applyBorder="1" applyAlignment="1">
      <alignment horizontal="center" vertical="center"/>
    </xf>
    <xf numFmtId="0" fontId="9" fillId="0" borderId="45" xfId="0" applyFont="1" applyFill="1" applyBorder="1" applyAlignment="1">
      <alignment horizontal="center" vertical="center"/>
    </xf>
    <xf numFmtId="0" fontId="9" fillId="0" borderId="41" xfId="0" applyFont="1" applyFill="1" applyBorder="1" applyAlignment="1">
      <alignment horizontal="center" vertical="center"/>
    </xf>
    <xf numFmtId="0" fontId="13" fillId="7" borderId="36" xfId="0" applyFont="1" applyFill="1" applyBorder="1" applyAlignment="1">
      <alignment horizontal="center" vertical="center"/>
    </xf>
    <xf numFmtId="0" fontId="13" fillId="7" borderId="37" xfId="0" applyFont="1" applyFill="1" applyBorder="1" applyAlignment="1">
      <alignment horizontal="center" vertical="center"/>
    </xf>
    <xf numFmtId="0" fontId="9" fillId="10" borderId="31" xfId="0" applyFont="1" applyFill="1" applyBorder="1" applyAlignment="1">
      <alignment horizontal="center" vertical="center"/>
    </xf>
    <xf numFmtId="0" fontId="9" fillId="10" borderId="35" xfId="0" applyFont="1" applyFill="1" applyBorder="1" applyAlignment="1">
      <alignment horizontal="center" vertical="center"/>
    </xf>
    <xf numFmtId="0" fontId="9" fillId="10" borderId="32" xfId="0" applyFont="1" applyFill="1" applyBorder="1" applyAlignment="1">
      <alignment horizontal="center" vertical="center"/>
    </xf>
    <xf numFmtId="0" fontId="8" fillId="9" borderId="29" xfId="5" applyBorder="1" applyAlignment="1" applyProtection="1">
      <alignment horizontal="center" vertical="center"/>
      <protection hidden="1"/>
    </xf>
    <xf numFmtId="0" fontId="8" fillId="9" borderId="45" xfId="5" applyBorder="1" applyAlignment="1" applyProtection="1">
      <alignment horizontal="center" vertical="center"/>
      <protection hidden="1"/>
    </xf>
    <xf numFmtId="0" fontId="8" fillId="9" borderId="41" xfId="5" applyBorder="1" applyAlignment="1" applyProtection="1">
      <alignment horizontal="center" vertical="center"/>
      <protection hidden="1"/>
    </xf>
    <xf numFmtId="0" fontId="9" fillId="0" borderId="28" xfId="0" applyFont="1" applyBorder="1" applyAlignment="1">
      <alignment horizontal="center" vertical="center"/>
    </xf>
    <xf numFmtId="0" fontId="9" fillId="0" borderId="49" xfId="0" applyFont="1" applyBorder="1" applyAlignment="1">
      <alignment horizontal="center" vertical="center"/>
    </xf>
    <xf numFmtId="0" fontId="9" fillId="0" borderId="30" xfId="0" applyFont="1" applyBorder="1" applyAlignment="1">
      <alignment horizontal="right" vertical="center"/>
    </xf>
    <xf numFmtId="0" fontId="9" fillId="0" borderId="42" xfId="0" applyFont="1" applyBorder="1" applyAlignment="1">
      <alignment horizontal="right" vertical="center"/>
    </xf>
    <xf numFmtId="0" fontId="9" fillId="11" borderId="31" xfId="0" applyFont="1" applyFill="1" applyBorder="1" applyAlignment="1">
      <alignment horizontal="center" vertical="center"/>
    </xf>
    <xf numFmtId="0" fontId="9" fillId="11" borderId="35" xfId="0" applyFont="1" applyFill="1" applyBorder="1" applyAlignment="1">
      <alignment horizontal="center" vertical="center"/>
    </xf>
    <xf numFmtId="0" fontId="9" fillId="11" borderId="32" xfId="0" applyFont="1" applyFill="1" applyBorder="1" applyAlignment="1">
      <alignment horizontal="center" vertical="center"/>
    </xf>
  </cellXfs>
  <cellStyles count="6">
    <cellStyle name="Currency" xfId="1" builtinId="4"/>
    <cellStyle name="Good" xfId="5" builtinId="26"/>
    <cellStyle name="Normal" xfId="0" builtinId="0"/>
    <cellStyle name="Normal 2" xfId="4" xr:uid="{00000000-0005-0000-0000-000003000000}"/>
    <cellStyle name="Normal 2 2" xfId="2" xr:uid="{00000000-0005-0000-0000-000004000000}"/>
    <cellStyle name="Percent" xfId="3" builtinId="5"/>
  </cellStyles>
  <dxfs count="0"/>
  <tableStyles count="0" defaultTableStyle="TableStyleMedium9" defaultPivotStyle="PivotStyleLight16"/>
  <colors>
    <mruColors>
      <color rgb="FF99FF99"/>
      <color rgb="FFF7B7F4"/>
      <color rgb="FFC6EFCE"/>
      <color rgb="FF699BFF"/>
      <color rgb="FF2F74FF"/>
      <color rgb="FF4CCC64"/>
      <color rgb="FFAFD9C0"/>
      <color rgb="FFE1F5D9"/>
      <color rgb="FFF7E1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685800</xdr:colOff>
      <xdr:row>4</xdr:row>
      <xdr:rowOff>9524</xdr:rowOff>
    </xdr:from>
    <xdr:to>
      <xdr:col>4</xdr:col>
      <xdr:colOff>76200</xdr:colOff>
      <xdr:row>5</xdr:row>
      <xdr:rowOff>95249</xdr:rowOff>
    </xdr:to>
    <xdr:cxnSp macro="">
      <xdr:nvCxnSpPr>
        <xdr:cNvPr id="3" name="Elbow Connector 2">
          <a:extLst>
            <a:ext uri="{FF2B5EF4-FFF2-40B4-BE49-F238E27FC236}">
              <a16:creationId xmlns:a16="http://schemas.microsoft.com/office/drawing/2014/main" id="{00000000-0008-0000-0200-000003000000}"/>
            </a:ext>
          </a:extLst>
        </xdr:cNvPr>
        <xdr:cNvCxnSpPr/>
      </xdr:nvCxnSpPr>
      <xdr:spPr>
        <a:xfrm rot="16200000" flipH="1">
          <a:off x="4057650" y="3467099"/>
          <a:ext cx="352425" cy="238125"/>
        </a:xfrm>
        <a:prstGeom prst="bentConnector3">
          <a:avLst>
            <a:gd name="adj1" fmla="val 135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4:CJA296"/>
  <sheetViews>
    <sheetView showGridLines="0" topLeftCell="D4" workbookViewId="0">
      <selection activeCell="O12" sqref="O12"/>
    </sheetView>
  </sheetViews>
  <sheetFormatPr defaultColWidth="9.08984375" defaultRowHeight="16" x14ac:dyDescent="0.45"/>
  <cols>
    <col min="1" max="6" width="9.08984375" style="137"/>
    <col min="7" max="7" width="9.08984375" style="137" customWidth="1"/>
    <col min="8" max="8" width="5" style="137" customWidth="1"/>
    <col min="9" max="9" width="6" style="137" customWidth="1"/>
    <col min="10" max="10" width="16.36328125" style="138" customWidth="1"/>
    <col min="11" max="11" width="4.6328125" style="138" customWidth="1"/>
    <col min="12" max="12" width="22.26953125" style="138" customWidth="1"/>
    <col min="13" max="17" width="9.08984375" style="137"/>
    <col min="18" max="18" width="4.7265625" style="137" customWidth="1"/>
    <col min="19" max="16384" width="9.08984375" style="137"/>
  </cols>
  <sheetData>
    <row r="4" spans="9:13" ht="16.5" thickBot="1" x14ac:dyDescent="0.5"/>
    <row r="5" spans="9:13" s="139" customFormat="1" ht="15" customHeight="1" x14ac:dyDescent="0.45">
      <c r="J5" s="209" t="s">
        <v>133</v>
      </c>
      <c r="K5" s="210"/>
      <c r="L5" s="211"/>
    </row>
    <row r="6" spans="9:13" s="139" customFormat="1" ht="15" customHeight="1" x14ac:dyDescent="0.45">
      <c r="J6" s="140" t="s">
        <v>56</v>
      </c>
      <c r="K6" s="141">
        <v>6</v>
      </c>
      <c r="L6" s="142" t="str">
        <f ca="1">-4&amp;RIGHT(YEAR(TODAY()),2)&amp;IF(MONTH(TODAY())&lt;=4,2,IF(AND(MONTH(TODAY())&gt;=8,DAY(TODAY()&gt;=20)),8,5))</f>
        <v>-4185</v>
      </c>
    </row>
    <row r="7" spans="9:13" s="139" customFormat="1" ht="15" customHeight="1" thickBot="1" x14ac:dyDescent="0.5">
      <c r="J7" s="212" t="s">
        <v>132</v>
      </c>
      <c r="K7" s="213"/>
      <c r="L7" s="214"/>
    </row>
    <row r="8" spans="9:13" ht="15" customHeight="1" thickBot="1" x14ac:dyDescent="0.5"/>
    <row r="9" spans="9:13" ht="15" customHeight="1" thickBot="1" x14ac:dyDescent="0.5">
      <c r="J9" s="215" t="s">
        <v>66</v>
      </c>
      <c r="K9" s="216"/>
      <c r="L9" s="217"/>
    </row>
    <row r="10" spans="9:13" ht="15" customHeight="1" thickBot="1" x14ac:dyDescent="0.5">
      <c r="J10" s="218" t="s">
        <v>32</v>
      </c>
      <c r="K10" s="219"/>
      <c r="L10" s="143" t="s">
        <v>33</v>
      </c>
    </row>
    <row r="11" spans="9:13" ht="18" customHeight="1" x14ac:dyDescent="0.45">
      <c r="I11" s="144">
        <v>1</v>
      </c>
      <c r="J11" s="220" t="s">
        <v>158</v>
      </c>
      <c r="K11" s="221"/>
      <c r="L11" s="145" t="s">
        <v>159</v>
      </c>
    </row>
    <row r="12" spans="9:13" ht="18" customHeight="1" x14ac:dyDescent="0.45">
      <c r="I12" s="144">
        <v>2</v>
      </c>
      <c r="J12" s="222" t="s">
        <v>160</v>
      </c>
      <c r="K12" s="223"/>
      <c r="L12" s="146" t="s">
        <v>161</v>
      </c>
      <c r="M12" s="147"/>
    </row>
    <row r="13" spans="9:13" ht="18" customHeight="1" x14ac:dyDescent="0.45">
      <c r="I13" s="144">
        <v>3</v>
      </c>
      <c r="J13" s="224"/>
      <c r="K13" s="225"/>
      <c r="L13" s="148"/>
      <c r="M13" s="149"/>
    </row>
    <row r="14" spans="9:13" ht="18" customHeight="1" thickBot="1" x14ac:dyDescent="0.5">
      <c r="I14" s="144">
        <v>4</v>
      </c>
      <c r="J14" s="226"/>
      <c r="K14" s="227"/>
      <c r="L14" s="150"/>
      <c r="M14" s="149"/>
    </row>
    <row r="15" spans="9:13" ht="16.5" thickBot="1" x14ac:dyDescent="0.5"/>
    <row r="16" spans="9:13" ht="25" x14ac:dyDescent="0.7">
      <c r="K16" s="228" t="s">
        <v>67</v>
      </c>
      <c r="L16" s="229"/>
    </row>
    <row r="17" spans="10:13" ht="14.25" customHeight="1" x14ac:dyDescent="0.45">
      <c r="K17" s="205">
        <v>1</v>
      </c>
      <c r="L17" s="207" t="s">
        <v>68</v>
      </c>
    </row>
    <row r="18" spans="10:13" ht="14.25" customHeight="1" x14ac:dyDescent="0.45">
      <c r="K18" s="205"/>
      <c r="L18" s="207"/>
    </row>
    <row r="19" spans="10:13" ht="15" customHeight="1" x14ac:dyDescent="0.45">
      <c r="J19" s="137"/>
      <c r="K19" s="205">
        <v>0</v>
      </c>
      <c r="L19" s="207" t="s">
        <v>69</v>
      </c>
    </row>
    <row r="20" spans="10:13" ht="15" customHeight="1" thickBot="1" x14ac:dyDescent="0.5">
      <c r="J20" s="137"/>
      <c r="K20" s="206"/>
      <c r="L20" s="208"/>
    </row>
    <row r="21" spans="10:13" ht="15" customHeight="1" x14ac:dyDescent="0.45">
      <c r="J21" s="137"/>
      <c r="K21" s="137"/>
      <c r="L21"/>
      <c r="M21"/>
    </row>
    <row r="296" spans="2289:2289" x14ac:dyDescent="0.45">
      <c r="CJA296" s="137" t="s">
        <v>48</v>
      </c>
    </row>
  </sheetData>
  <sheetProtection algorithmName="SHA-512" hashValue="DqfEIizbuWyrl0BN0k3nzjGzq/aRUqV8jhCNH2ddvdeZ3ucskM5HfScKDqxX2bMT2vKFDlQ017EBi5N/uqMF9A==" saltValue="OJamEPBbKZk5bL3KkjXw2w==" spinCount="100000" sheet="1" objects="1" scenarios="1"/>
  <mergeCells count="13">
    <mergeCell ref="K19:K20"/>
    <mergeCell ref="L19:L20"/>
    <mergeCell ref="J5:L5"/>
    <mergeCell ref="J7:L7"/>
    <mergeCell ref="J9:L9"/>
    <mergeCell ref="J10:K10"/>
    <mergeCell ref="J11:K11"/>
    <mergeCell ref="J12:K12"/>
    <mergeCell ref="J13:K13"/>
    <mergeCell ref="J14:K14"/>
    <mergeCell ref="K16:L16"/>
    <mergeCell ref="K17:K18"/>
    <mergeCell ref="L17:L18"/>
  </mergeCells>
  <dataValidations count="10">
    <dataValidation type="list" allowBlank="1" showInputMessage="1" showErrorMessage="1" sqref="J7:L7" xr:uid="{00000000-0002-0000-0000-000000000000}">
      <formula1>"&lt;Select Your Instructor Here&gt;,Campbell, Dos Santos, Ghoshal, Im, Manni, McIntosh, Reinhardt"</formula1>
    </dataValidation>
    <dataValidation allowBlank="1" showInputMessage="1" showErrorMessage="1" promptTitle="Student #4 First Name" prompt="Please enter the FIRST name of another student whom you collaboarated with on this assignment.  Remember, you can only work with your peers from this section only." sqref="L14" xr:uid="{00000000-0002-0000-0000-000001000000}"/>
    <dataValidation allowBlank="1" showInputMessage="1" showErrorMessage="1" promptTitle="Student #4 Last Name" prompt="Please enter the LAST name of another student whom you collaboarated with on this assignment.  Remember, you can only work with your peers from this section only." sqref="J14:K14" xr:uid="{00000000-0002-0000-0000-000002000000}"/>
    <dataValidation allowBlank="1" showInputMessage="1" showErrorMessage="1" promptTitle="Student #3 First Name" prompt="Please enter the FIRST name of another student whom you collaboarated with on this assignment.  Remember, you can only work with your peers from this section only." sqref="L13" xr:uid="{00000000-0002-0000-0000-000003000000}"/>
    <dataValidation allowBlank="1" showInputMessage="1" showErrorMessage="1" promptTitle="Student #3 Last Name" prompt="Please enter the LAST name of another student whom you collaboarated with on this assignment.  Remember, you can only work with your peers from this section only." sqref="J13:K13" xr:uid="{00000000-0002-0000-0000-000004000000}"/>
    <dataValidation allowBlank="1" showInputMessage="1" showErrorMessage="1" promptTitle="Student #2 First Name" prompt="Please enter the FIRST name of another student whom you collaboarated with on this assignment.  Remember, you can only work with your peers from this section only." sqref="L12" xr:uid="{00000000-0002-0000-0000-000005000000}"/>
    <dataValidation allowBlank="1" showInputMessage="1" showErrorMessage="1" promptTitle="Student #2 Last Name" prompt="Please enter the LAST name of another student whom you collaboarated with on this assignment.  Remember, you can only work with your peers from this section only." sqref="J12:K12" xr:uid="{00000000-0002-0000-0000-000006000000}"/>
    <dataValidation allowBlank="1" showInputMessage="1" showErrorMessage="1" promptTitle="Student #1 First Name" prompt="Please enter your FIRST name here." sqref="L11" xr:uid="{00000000-0002-0000-0000-000007000000}"/>
    <dataValidation allowBlank="1" showInputMessage="1" showErrorMessage="1" promptTitle="Student #1 Last Name" prompt="Please enter your LAST name here." sqref="J11:K11" xr:uid="{00000000-0002-0000-0000-000008000000}"/>
    <dataValidation type="whole" showInputMessage="1" showErrorMessage="1" promptTitle="Course Section Number" prompt="Please enter the CIS300 section for which you are enrolled." sqref="K6" xr:uid="{00000000-0002-0000-0000-000009000000}">
      <formula1>1</formula1>
      <formula2>80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 id="{91702964-62D2-4FD3-9504-814F605A17D3}">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K17</xm:sqref>
        </x14:conditionalFormatting>
        <x14:conditionalFormatting xmlns:xm="http://schemas.microsoft.com/office/excel/2006/main">
          <x14:cfRule type="iconSet" priority="1" id="{37AECD15-B8FE-4858-B22C-A1AFE522B41A}">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K19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54"/>
  <sheetViews>
    <sheetView showGridLines="0" zoomScale="50" zoomScaleNormal="50" workbookViewId="0">
      <pane ySplit="6" topLeftCell="A7" activePane="bottomLeft" state="frozen"/>
      <selection activeCell="B1" sqref="B1"/>
      <selection pane="bottomLeft" activeCell="L18" sqref="L18"/>
    </sheetView>
  </sheetViews>
  <sheetFormatPr defaultColWidth="9.08984375" defaultRowHeight="16.5" x14ac:dyDescent="0.45"/>
  <cols>
    <col min="1" max="1" width="12.7265625" style="9" customWidth="1"/>
    <col min="2" max="2" width="12.81640625" style="9" customWidth="1"/>
    <col min="3" max="3" width="17.6328125" style="9" bestFit="1" customWidth="1"/>
    <col min="4" max="4" width="17" style="9" bestFit="1" customWidth="1"/>
    <col min="5" max="5" width="17" style="9" customWidth="1"/>
    <col min="6" max="7" width="13" style="9" customWidth="1"/>
    <col min="8" max="8" width="24.81640625" style="9" bestFit="1" customWidth="1"/>
    <col min="9" max="9" width="12.81640625" style="9" customWidth="1"/>
    <col min="10" max="10" width="13.26953125" style="9" customWidth="1"/>
    <col min="11" max="11" width="24" style="10" bestFit="1" customWidth="1"/>
    <col min="12" max="12" width="20.08984375" style="9" customWidth="1"/>
    <col min="13" max="13" width="12.08984375" style="9" bestFit="1" customWidth="1"/>
    <col min="14" max="14" width="12.7265625" style="9" customWidth="1"/>
    <col min="15" max="15" width="17.08984375" style="9" customWidth="1"/>
    <col min="16" max="16384" width="9.08984375" style="9"/>
  </cols>
  <sheetData>
    <row r="1" spans="1:20" ht="73.5" customHeight="1" thickBot="1" x14ac:dyDescent="0.5">
      <c r="A1" s="8"/>
      <c r="B1" s="230" t="s">
        <v>143</v>
      </c>
      <c r="C1" s="231"/>
      <c r="D1" s="232"/>
      <c r="E1" s="232"/>
      <c r="F1" s="232"/>
      <c r="G1" s="232"/>
      <c r="H1" s="232"/>
      <c r="I1" s="233"/>
      <c r="O1" s="11"/>
    </row>
    <row r="2" spans="1:20" ht="15" customHeight="1" x14ac:dyDescent="0.45">
      <c r="A2" s="8"/>
      <c r="B2" s="12"/>
      <c r="C2" s="12"/>
      <c r="D2" s="11"/>
      <c r="E2" s="11"/>
      <c r="F2" s="11"/>
      <c r="G2" s="11"/>
      <c r="H2" s="11"/>
      <c r="I2" s="11"/>
      <c r="J2" s="11"/>
      <c r="K2" s="13"/>
      <c r="L2" s="11"/>
      <c r="M2" s="11"/>
      <c r="N2" s="11"/>
      <c r="O2" s="11"/>
    </row>
    <row r="3" spans="1:20" ht="15" customHeight="1" thickBot="1" x14ac:dyDescent="0.5">
      <c r="B3" s="11"/>
      <c r="C3" s="11"/>
      <c r="D3" s="11"/>
      <c r="E3" s="11"/>
      <c r="F3" s="11"/>
      <c r="G3" s="11"/>
      <c r="H3" s="11"/>
      <c r="I3" s="11"/>
      <c r="J3" s="11"/>
      <c r="K3" s="13"/>
      <c r="L3" s="11"/>
      <c r="M3" s="11"/>
      <c r="N3" s="11"/>
      <c r="O3" s="14"/>
    </row>
    <row r="4" spans="1:20" ht="15" customHeight="1" x14ac:dyDescent="0.45">
      <c r="B4" s="234" t="s">
        <v>154</v>
      </c>
      <c r="C4" s="235"/>
      <c r="D4" s="235"/>
      <c r="E4" s="235"/>
      <c r="F4" s="235"/>
      <c r="G4" s="235"/>
      <c r="H4" s="235"/>
      <c r="I4" s="236"/>
      <c r="J4" s="11"/>
      <c r="K4" s="13"/>
      <c r="L4" s="11"/>
      <c r="M4" s="11"/>
      <c r="N4" s="11"/>
      <c r="O4" s="11"/>
    </row>
    <row r="5" spans="1:20" s="10" customFormat="1" ht="19.5" customHeight="1" thickBot="1" x14ac:dyDescent="0.5">
      <c r="A5" s="9"/>
      <c r="B5" s="237"/>
      <c r="C5" s="238"/>
      <c r="D5" s="238"/>
      <c r="E5" s="238"/>
      <c r="F5" s="238"/>
      <c r="G5" s="238"/>
      <c r="H5" s="238"/>
      <c r="I5" s="239"/>
      <c r="J5" s="11"/>
      <c r="K5" s="13"/>
      <c r="L5" s="11"/>
      <c r="M5" s="11"/>
      <c r="N5" s="11"/>
      <c r="O5" s="11"/>
    </row>
    <row r="6" spans="1:20" ht="50" thickBot="1" x14ac:dyDescent="0.5">
      <c r="B6" s="191" t="s">
        <v>39</v>
      </c>
      <c r="C6" s="192" t="s">
        <v>57</v>
      </c>
      <c r="D6" s="193" t="s">
        <v>58</v>
      </c>
      <c r="E6" s="193" t="s">
        <v>153</v>
      </c>
      <c r="F6" s="193" t="s">
        <v>60</v>
      </c>
      <c r="G6" s="193" t="s">
        <v>137</v>
      </c>
      <c r="H6" s="193" t="s">
        <v>59</v>
      </c>
      <c r="I6" s="193" t="s">
        <v>39</v>
      </c>
      <c r="K6" s="13"/>
      <c r="L6" s="123" t="s">
        <v>64</v>
      </c>
      <c r="M6" s="11"/>
      <c r="N6" s="11"/>
      <c r="O6" s="16"/>
    </row>
    <row r="7" spans="1:20" ht="18.75" customHeight="1" thickBot="1" x14ac:dyDescent="0.5">
      <c r="B7" s="111">
        <v>1</v>
      </c>
      <c r="C7" s="112">
        <v>55</v>
      </c>
      <c r="D7" s="113">
        <v>35</v>
      </c>
      <c r="E7" s="113">
        <v>16</v>
      </c>
      <c r="F7" s="133">
        <v>0.5</v>
      </c>
      <c r="G7" s="196">
        <v>0</v>
      </c>
      <c r="H7" s="113"/>
      <c r="I7" s="114">
        <v>1</v>
      </c>
      <c r="K7" s="15" t="s">
        <v>52</v>
      </c>
      <c r="L7" s="124">
        <v>-1</v>
      </c>
      <c r="M7" s="122" t="s">
        <v>63</v>
      </c>
      <c r="N7" s="11"/>
      <c r="O7" s="16"/>
    </row>
    <row r="8" spans="1:20" ht="18.75" customHeight="1" x14ac:dyDescent="0.45">
      <c r="B8" s="115">
        <v>2</v>
      </c>
      <c r="C8" s="116">
        <v>71</v>
      </c>
      <c r="D8" s="117">
        <v>37</v>
      </c>
      <c r="E8" s="117">
        <v>18</v>
      </c>
      <c r="F8" s="134">
        <v>0.52</v>
      </c>
      <c r="G8" s="197">
        <v>0.08</v>
      </c>
      <c r="H8" s="117" t="s">
        <v>51</v>
      </c>
      <c r="I8" s="118">
        <v>2</v>
      </c>
      <c r="J8" s="119">
        <f t="shared" ref="J8:J27" si="0">(K8=L8)*1</f>
        <v>1</v>
      </c>
      <c r="K8" s="19">
        <f>ROUND(AVERAGE(C7:C37),1)</f>
        <v>56</v>
      </c>
      <c r="L8" s="203">
        <f>ROUND(AVERAGE(C7:C37),1)</f>
        <v>56</v>
      </c>
      <c r="M8" s="194">
        <v>1</v>
      </c>
      <c r="N8" s="9" t="s">
        <v>126</v>
      </c>
      <c r="O8" s="16"/>
    </row>
    <row r="9" spans="1:20" ht="18.75" customHeight="1" x14ac:dyDescent="0.45">
      <c r="B9" s="115">
        <v>3</v>
      </c>
      <c r="C9" s="116">
        <v>73</v>
      </c>
      <c r="D9" s="117">
        <v>41</v>
      </c>
      <c r="E9" s="117">
        <v>29</v>
      </c>
      <c r="F9" s="134">
        <v>0.62</v>
      </c>
      <c r="G9" s="197">
        <v>0.8</v>
      </c>
      <c r="H9" s="117" t="s">
        <v>51</v>
      </c>
      <c r="I9" s="118">
        <v>3</v>
      </c>
      <c r="J9" s="119">
        <f t="shared" si="0"/>
        <v>1</v>
      </c>
      <c r="K9" s="20">
        <f>MAX(C7:C37)</f>
        <v>73</v>
      </c>
      <c r="L9" s="110">
        <f>MAX(C7:C37)</f>
        <v>73</v>
      </c>
      <c r="M9" s="195">
        <v>2</v>
      </c>
      <c r="N9" s="9" t="s">
        <v>127</v>
      </c>
      <c r="O9" s="16"/>
    </row>
    <row r="10" spans="1:20" ht="18.75" customHeight="1" x14ac:dyDescent="0.45">
      <c r="B10" s="115">
        <v>4</v>
      </c>
      <c r="C10" s="116">
        <v>45</v>
      </c>
      <c r="D10" s="117">
        <v>36</v>
      </c>
      <c r="E10" s="117">
        <v>23</v>
      </c>
      <c r="F10" s="134">
        <v>0.84</v>
      </c>
      <c r="G10" s="197">
        <v>1.34</v>
      </c>
      <c r="H10" s="117" t="s">
        <v>139</v>
      </c>
      <c r="I10" s="118">
        <v>4</v>
      </c>
      <c r="J10" s="119">
        <f t="shared" si="0"/>
        <v>1</v>
      </c>
      <c r="K10" s="20">
        <f>LARGE(C7:C37,6)</f>
        <v>67</v>
      </c>
      <c r="L10" s="110">
        <f>LARGE(C7:C37,6)</f>
        <v>67</v>
      </c>
      <c r="M10" s="194">
        <v>3</v>
      </c>
      <c r="N10" s="9" t="s">
        <v>144</v>
      </c>
      <c r="O10" s="16"/>
      <c r="P10" s="17"/>
      <c r="R10" s="17"/>
      <c r="S10" s="17"/>
      <c r="T10" s="17"/>
    </row>
    <row r="11" spans="1:20" ht="18.75" customHeight="1" x14ac:dyDescent="0.45">
      <c r="B11" s="115">
        <v>5</v>
      </c>
      <c r="C11" s="116">
        <v>47</v>
      </c>
      <c r="D11" s="117">
        <v>33</v>
      </c>
      <c r="E11" s="117">
        <v>20</v>
      </c>
      <c r="F11" s="134">
        <v>0.69</v>
      </c>
      <c r="G11" s="197">
        <v>0.01</v>
      </c>
      <c r="H11" s="117" t="s">
        <v>140</v>
      </c>
      <c r="I11" s="118">
        <v>5</v>
      </c>
      <c r="J11" s="119">
        <f t="shared" si="0"/>
        <v>1</v>
      </c>
      <c r="K11" s="20">
        <f>SMALL(D7:D37,4)</f>
        <v>24</v>
      </c>
      <c r="L11" s="110">
        <f>SMALL(D7:D37,4)</f>
        <v>24</v>
      </c>
      <c r="M11" s="195">
        <v>4</v>
      </c>
      <c r="N11" s="9" t="s">
        <v>145</v>
      </c>
      <c r="O11" s="16"/>
    </row>
    <row r="12" spans="1:20" ht="18.75" customHeight="1" x14ac:dyDescent="0.45">
      <c r="B12" s="115">
        <v>6</v>
      </c>
      <c r="C12" s="116">
        <v>54</v>
      </c>
      <c r="D12" s="117">
        <v>32</v>
      </c>
      <c r="E12" s="117">
        <v>18</v>
      </c>
      <c r="F12" s="134">
        <v>0.68</v>
      </c>
      <c r="G12" s="197">
        <v>0</v>
      </c>
      <c r="H12" s="117"/>
      <c r="I12" s="118">
        <v>6</v>
      </c>
      <c r="J12" s="119">
        <f t="shared" si="0"/>
        <v>1</v>
      </c>
      <c r="K12" s="20">
        <f>VLOOKUP(15,B7:C37,2,FALSE)</f>
        <v>47</v>
      </c>
      <c r="L12" s="110">
        <f>VLOOKUP(15,B7:C37,2,FALSE)</f>
        <v>47</v>
      </c>
      <c r="M12" s="194">
        <v>5</v>
      </c>
      <c r="N12" s="9" t="s">
        <v>146</v>
      </c>
      <c r="O12" s="16"/>
    </row>
    <row r="13" spans="1:20" ht="18.75" customHeight="1" x14ac:dyDescent="0.45">
      <c r="B13" s="115">
        <v>7</v>
      </c>
      <c r="C13" s="116">
        <v>35</v>
      </c>
      <c r="D13" s="117">
        <v>24</v>
      </c>
      <c r="E13" s="117">
        <v>26</v>
      </c>
      <c r="F13" s="134">
        <v>0.81</v>
      </c>
      <c r="G13" s="197">
        <v>0.26</v>
      </c>
      <c r="H13" s="117" t="s">
        <v>141</v>
      </c>
      <c r="I13" s="118">
        <v>7</v>
      </c>
      <c r="J13" s="119">
        <f t="shared" si="0"/>
        <v>1</v>
      </c>
      <c r="K13" s="20">
        <f>VLOOKUP(30,B7:D37,3,FALSE)</f>
        <v>48</v>
      </c>
      <c r="L13" s="110">
        <f>VLOOKUP(30,B7:D37,3,FALSE)</f>
        <v>48</v>
      </c>
      <c r="M13" s="195">
        <v>6</v>
      </c>
      <c r="N13" s="9" t="s">
        <v>147</v>
      </c>
      <c r="O13" s="16"/>
    </row>
    <row r="14" spans="1:20" ht="18.75" customHeight="1" x14ac:dyDescent="0.45">
      <c r="B14" s="115">
        <v>8</v>
      </c>
      <c r="C14" s="116">
        <v>30</v>
      </c>
      <c r="D14" s="117">
        <v>20</v>
      </c>
      <c r="E14" s="117">
        <v>22</v>
      </c>
      <c r="F14" s="134">
        <v>0.69</v>
      </c>
      <c r="G14" s="197">
        <v>0.37</v>
      </c>
      <c r="H14" s="117" t="s">
        <v>125</v>
      </c>
      <c r="I14" s="118">
        <v>8</v>
      </c>
      <c r="J14" s="119">
        <f t="shared" si="0"/>
        <v>1</v>
      </c>
      <c r="K14" s="20" t="str">
        <f>IF(VLOOKUP(12,B7:H37,7,FALSE)=0,"None",VLOOKUP(12,B7:H37,7,FALSE))</f>
        <v>None</v>
      </c>
      <c r="L14" s="110" t="str">
        <f>IF(VLOOKUP(12,B7:H37,7,FALSE)=0,"None",(VLOOKUP(12,B7:H37,7,FALSE)))</f>
        <v>None</v>
      </c>
      <c r="M14" s="194">
        <v>7</v>
      </c>
      <c r="N14" s="9" t="s">
        <v>148</v>
      </c>
      <c r="O14" s="16"/>
    </row>
    <row r="15" spans="1:20" ht="18.75" customHeight="1" x14ac:dyDescent="0.45">
      <c r="B15" s="115">
        <v>9</v>
      </c>
      <c r="C15" s="116">
        <v>45</v>
      </c>
      <c r="D15" s="117">
        <v>17</v>
      </c>
      <c r="E15" s="117">
        <v>13</v>
      </c>
      <c r="F15" s="134">
        <v>0.63</v>
      </c>
      <c r="G15" s="197">
        <v>0</v>
      </c>
      <c r="H15" s="117"/>
      <c r="I15" s="118">
        <v>9</v>
      </c>
      <c r="J15" s="119">
        <f t="shared" si="0"/>
        <v>1</v>
      </c>
      <c r="K15" s="20" t="str">
        <f>IF(VLOOKUP(18,B7:H37,7,FALSE)=0,"None",VLOOKUP(18,B7:H37,7,FALSE))</f>
        <v>Rain , Thunderstorm</v>
      </c>
      <c r="L15" s="110" t="str">
        <f>(VLOOKUP(18,B7:H37,7,FALSE))</f>
        <v>Rain , Thunderstorm</v>
      </c>
      <c r="M15" s="195">
        <v>8</v>
      </c>
      <c r="N15" s="18" t="s">
        <v>149</v>
      </c>
      <c r="O15" s="16"/>
    </row>
    <row r="16" spans="1:20" ht="18.75" customHeight="1" x14ac:dyDescent="0.45">
      <c r="B16" s="115">
        <v>10</v>
      </c>
      <c r="C16" s="116">
        <v>50</v>
      </c>
      <c r="D16" s="117">
        <v>33</v>
      </c>
      <c r="E16" s="117">
        <v>13</v>
      </c>
      <c r="F16" s="134">
        <v>0.69</v>
      </c>
      <c r="G16" s="197">
        <v>0.04</v>
      </c>
      <c r="H16" s="117" t="s">
        <v>51</v>
      </c>
      <c r="I16" s="118">
        <v>10</v>
      </c>
      <c r="J16" s="119">
        <f t="shared" si="0"/>
        <v>1</v>
      </c>
      <c r="K16" s="20">
        <f>VLOOKUP(MIN(C7:C37),C7:I37,7,FALSE)</f>
        <v>8</v>
      </c>
      <c r="L16" s="110">
        <f>LOOKUP(MIN(C7:C37),C7:C37,B7:B37)</f>
        <v>8</v>
      </c>
      <c r="M16" s="194">
        <v>9</v>
      </c>
      <c r="N16" s="9" t="s">
        <v>150</v>
      </c>
    </row>
    <row r="17" spans="2:21" ht="18.75" customHeight="1" x14ac:dyDescent="0.45">
      <c r="B17" s="115">
        <v>11</v>
      </c>
      <c r="C17" s="116">
        <v>47</v>
      </c>
      <c r="D17" s="117">
        <v>27</v>
      </c>
      <c r="E17" s="117">
        <v>14</v>
      </c>
      <c r="F17" s="134">
        <v>0.59</v>
      </c>
      <c r="G17" s="197">
        <v>0</v>
      </c>
      <c r="H17" s="117"/>
      <c r="I17" s="118">
        <v>11</v>
      </c>
      <c r="J17" s="119">
        <f t="shared" si="0"/>
        <v>1</v>
      </c>
      <c r="K17" s="20">
        <f>VLOOKUP(MAX(D7:D37),D7:I37,6,FALSE)</f>
        <v>31</v>
      </c>
      <c r="L17" s="110">
        <f>LOOKUP(MAX(D7:D37),D7:D37,B7:B37)</f>
        <v>31</v>
      </c>
      <c r="M17" s="195">
        <v>10</v>
      </c>
      <c r="N17" s="9" t="s">
        <v>151</v>
      </c>
    </row>
    <row r="18" spans="2:21" ht="18.75" customHeight="1" x14ac:dyDescent="0.45">
      <c r="B18" s="115">
        <v>12</v>
      </c>
      <c r="C18" s="116">
        <v>64</v>
      </c>
      <c r="D18" s="117">
        <v>40</v>
      </c>
      <c r="E18" s="117">
        <v>10</v>
      </c>
      <c r="F18" s="134">
        <v>0.55000000000000004</v>
      </c>
      <c r="G18" s="197">
        <v>0</v>
      </c>
      <c r="H18" s="117"/>
      <c r="I18" s="118">
        <v>12</v>
      </c>
      <c r="J18" s="119">
        <f t="shared" si="0"/>
        <v>1</v>
      </c>
      <c r="K18" s="20">
        <f>COUNTIF(H7:H37,"*Rain*")</f>
        <v>18</v>
      </c>
      <c r="L18" s="110">
        <f>COUNTIF(H7:H37,"*Rain*")</f>
        <v>18</v>
      </c>
      <c r="M18" s="194">
        <v>11</v>
      </c>
      <c r="N18" s="9" t="s">
        <v>152</v>
      </c>
    </row>
    <row r="19" spans="2:21" ht="18.75" customHeight="1" x14ac:dyDescent="0.45">
      <c r="B19" s="115">
        <v>13</v>
      </c>
      <c r="C19" s="116">
        <v>67</v>
      </c>
      <c r="D19" s="117">
        <v>47</v>
      </c>
      <c r="E19" s="117">
        <v>14</v>
      </c>
      <c r="F19" s="134">
        <v>0.49</v>
      </c>
      <c r="G19" s="197">
        <v>0</v>
      </c>
      <c r="H19" s="117"/>
      <c r="I19" s="118">
        <v>13</v>
      </c>
      <c r="J19" s="119">
        <f t="shared" si="0"/>
        <v>1</v>
      </c>
      <c r="K19" s="20">
        <f>COUNTIF(H7:H37,"")</f>
        <v>11</v>
      </c>
      <c r="L19" s="110">
        <f>COUNTBLANK(H7:H37)</f>
        <v>11</v>
      </c>
      <c r="M19" s="195">
        <v>12</v>
      </c>
      <c r="N19" s="9" t="s">
        <v>130</v>
      </c>
    </row>
    <row r="20" spans="2:21" ht="18.75" customHeight="1" x14ac:dyDescent="0.45">
      <c r="B20" s="115">
        <v>14</v>
      </c>
      <c r="C20" s="116">
        <v>53</v>
      </c>
      <c r="D20" s="117">
        <v>43</v>
      </c>
      <c r="E20" s="117">
        <v>14</v>
      </c>
      <c r="F20" s="134">
        <v>0.65</v>
      </c>
      <c r="G20" s="197">
        <v>0.32</v>
      </c>
      <c r="H20" s="117" t="s">
        <v>51</v>
      </c>
      <c r="I20" s="118">
        <v>14</v>
      </c>
      <c r="J20" s="119">
        <f t="shared" si="0"/>
        <v>1</v>
      </c>
      <c r="K20" s="20">
        <f>ROUND(AVERAGEIF(H7:H37,"*Rain*",C7:C37),1)</f>
        <v>58.4</v>
      </c>
      <c r="L20" s="202">
        <f>ROUND(AVERAGEIF(H7:H37,"*Rain*",C7:C37),1)</f>
        <v>58.4</v>
      </c>
      <c r="M20" s="194">
        <v>13</v>
      </c>
      <c r="N20" s="9" t="s">
        <v>128</v>
      </c>
    </row>
    <row r="21" spans="2:21" ht="18.75" customHeight="1" x14ac:dyDescent="0.45">
      <c r="B21" s="115">
        <v>15</v>
      </c>
      <c r="C21" s="116">
        <v>47</v>
      </c>
      <c r="D21" s="117">
        <v>38</v>
      </c>
      <c r="E21" s="117">
        <v>20</v>
      </c>
      <c r="F21" s="134">
        <v>0.88</v>
      </c>
      <c r="G21" s="197">
        <v>0.36</v>
      </c>
      <c r="H21" s="117" t="s">
        <v>142</v>
      </c>
      <c r="I21" s="118">
        <v>15</v>
      </c>
      <c r="J21" s="119">
        <f t="shared" si="0"/>
        <v>1</v>
      </c>
      <c r="K21" s="20">
        <f>ROUND(AVERAGEIF(B7:B37,"&lt;=15",D7:D37),1)</f>
        <v>33.5</v>
      </c>
      <c r="L21" s="201">
        <f>ROUND(AVERAGE(D7:D21),1)</f>
        <v>33.5</v>
      </c>
      <c r="M21" s="195">
        <v>14</v>
      </c>
      <c r="N21" s="9" t="s">
        <v>61</v>
      </c>
    </row>
    <row r="22" spans="2:21" ht="18.75" customHeight="1" x14ac:dyDescent="0.45">
      <c r="B22" s="115">
        <v>16</v>
      </c>
      <c r="C22" s="116">
        <v>50</v>
      </c>
      <c r="D22" s="117">
        <v>41</v>
      </c>
      <c r="E22" s="117">
        <v>12</v>
      </c>
      <c r="F22" s="134">
        <v>0.73</v>
      </c>
      <c r="G22" s="197" t="s">
        <v>138</v>
      </c>
      <c r="H22" s="117" t="s">
        <v>51</v>
      </c>
      <c r="I22" s="118">
        <v>16</v>
      </c>
      <c r="J22" s="119">
        <f t="shared" si="0"/>
        <v>1</v>
      </c>
      <c r="K22" s="20">
        <f>ROUND(AVERAGEIF(B7:B37,"&gt;=16",E7:E37),1)</f>
        <v>19.7</v>
      </c>
      <c r="L22" s="201">
        <f>ROUND(AVERAGE(E22:E37),1)</f>
        <v>19.7</v>
      </c>
      <c r="M22" s="194">
        <v>15</v>
      </c>
      <c r="N22" s="9" t="s">
        <v>129</v>
      </c>
    </row>
    <row r="23" spans="2:21" ht="18.75" customHeight="1" x14ac:dyDescent="0.45">
      <c r="B23" s="115">
        <v>17</v>
      </c>
      <c r="C23" s="116">
        <v>57</v>
      </c>
      <c r="D23" s="117">
        <v>39</v>
      </c>
      <c r="E23" s="117">
        <v>14</v>
      </c>
      <c r="F23" s="134">
        <v>0.55000000000000004</v>
      </c>
      <c r="G23" s="197">
        <v>0</v>
      </c>
      <c r="H23" s="117" t="s">
        <v>51</v>
      </c>
      <c r="I23" s="118">
        <v>17</v>
      </c>
      <c r="J23" s="119">
        <f t="shared" si="0"/>
        <v>1</v>
      </c>
      <c r="K23" s="20">
        <f>COUNTIF(C7:C37,"&gt;=66")</f>
        <v>8</v>
      </c>
      <c r="L23" s="110">
        <f>COUNTIF(C7:C37,"&gt;=66")</f>
        <v>8</v>
      </c>
      <c r="M23" s="195">
        <v>16</v>
      </c>
      <c r="N23" s="9" t="s">
        <v>155</v>
      </c>
    </row>
    <row r="24" spans="2:21" ht="18.75" customHeight="1" x14ac:dyDescent="0.45">
      <c r="B24" s="115">
        <v>18</v>
      </c>
      <c r="C24" s="116">
        <v>64</v>
      </c>
      <c r="D24" s="117">
        <v>49</v>
      </c>
      <c r="E24" s="117">
        <v>16</v>
      </c>
      <c r="F24" s="134">
        <v>0.7</v>
      </c>
      <c r="G24" s="197">
        <v>1.06</v>
      </c>
      <c r="H24" s="117" t="s">
        <v>124</v>
      </c>
      <c r="I24" s="118">
        <v>18</v>
      </c>
      <c r="J24" s="119">
        <f t="shared" si="0"/>
        <v>1</v>
      </c>
      <c r="K24" s="20">
        <f>COUNTIF(D7:D37,"&lt;32")</f>
        <v>8</v>
      </c>
      <c r="L24" s="110">
        <f>COUNTIF(D7:D37,"&lt;32")</f>
        <v>8</v>
      </c>
      <c r="M24" s="194">
        <v>17</v>
      </c>
      <c r="N24" s="9" t="s">
        <v>156</v>
      </c>
    </row>
    <row r="25" spans="2:21" ht="18.75" customHeight="1" x14ac:dyDescent="0.45">
      <c r="B25" s="115">
        <v>19</v>
      </c>
      <c r="C25" s="116">
        <v>54</v>
      </c>
      <c r="D25" s="117">
        <v>39</v>
      </c>
      <c r="E25" s="117">
        <v>22</v>
      </c>
      <c r="F25" s="134">
        <v>0.86</v>
      </c>
      <c r="G25" s="197">
        <v>2.13</v>
      </c>
      <c r="H25" s="117" t="s">
        <v>51</v>
      </c>
      <c r="I25" s="118">
        <v>19</v>
      </c>
      <c r="J25" s="119">
        <f t="shared" si="0"/>
        <v>1</v>
      </c>
      <c r="K25" s="20">
        <f>COUNTIF(C7:C37,"&gt;=50")-COUNTIF(C7:C37,"&gt;65")</f>
        <v>14</v>
      </c>
      <c r="L25" s="110">
        <f>COUNTIF(C7:C37,"&gt;=50")-COUNTIF(C7:C37,"&gt;65")</f>
        <v>14</v>
      </c>
      <c r="M25" s="195">
        <v>18</v>
      </c>
      <c r="N25" s="9" t="s">
        <v>157</v>
      </c>
    </row>
    <row r="26" spans="2:21" ht="18.75" customHeight="1" x14ac:dyDescent="0.45">
      <c r="B26" s="115">
        <v>20</v>
      </c>
      <c r="C26" s="116">
        <v>58</v>
      </c>
      <c r="D26" s="117">
        <v>34</v>
      </c>
      <c r="E26" s="117">
        <v>14</v>
      </c>
      <c r="F26" s="134">
        <v>0.59</v>
      </c>
      <c r="G26" s="197">
        <v>0</v>
      </c>
      <c r="H26" s="117"/>
      <c r="I26" s="118">
        <v>20</v>
      </c>
      <c r="J26" s="119">
        <f t="shared" si="0"/>
        <v>1</v>
      </c>
      <c r="K26" s="20" t="str">
        <f>VLOOKUP(MAX(E7:E37),E7:H37,4,FALSE)</f>
        <v>Rain</v>
      </c>
      <c r="L26" s="110" t="str">
        <f>VLOOKUP(MAX(E7:E37),E7:H37,4,FALSE)</f>
        <v>Rain</v>
      </c>
      <c r="M26" s="195">
        <v>19</v>
      </c>
      <c r="N26" s="9" t="s">
        <v>62</v>
      </c>
    </row>
    <row r="27" spans="2:21" ht="18.75" customHeight="1" thickBot="1" x14ac:dyDescent="0.5">
      <c r="B27" s="115">
        <v>21</v>
      </c>
      <c r="C27" s="116">
        <v>70</v>
      </c>
      <c r="D27" s="117">
        <v>36</v>
      </c>
      <c r="E27" s="117">
        <v>24</v>
      </c>
      <c r="F27" s="134">
        <v>0.5</v>
      </c>
      <c r="G27" s="197">
        <v>0</v>
      </c>
      <c r="H27" s="117"/>
      <c r="I27" s="118">
        <v>21</v>
      </c>
      <c r="J27" s="119">
        <f t="shared" si="0"/>
        <v>1</v>
      </c>
      <c r="K27" s="96">
        <f>SUMIF(B7:B38,"&gt;=11",G7:G38)-SUMIF(B7:B38,"&gt;20",G7:G38)</f>
        <v>3.8700000000000006</v>
      </c>
      <c r="L27" s="204">
        <f>SUM(G17:G26)</f>
        <v>3.87</v>
      </c>
      <c r="M27" s="195">
        <v>20</v>
      </c>
      <c r="N27" s="9" t="s">
        <v>131</v>
      </c>
      <c r="O27"/>
      <c r="P27"/>
      <c r="Q27"/>
      <c r="R27"/>
      <c r="S27"/>
      <c r="T27"/>
      <c r="U27"/>
    </row>
    <row r="28" spans="2:21" ht="18.75" customHeight="1" x14ac:dyDescent="0.45">
      <c r="B28" s="115">
        <v>22</v>
      </c>
      <c r="C28" s="116">
        <v>60</v>
      </c>
      <c r="D28" s="117">
        <v>37</v>
      </c>
      <c r="E28" s="117">
        <v>24</v>
      </c>
      <c r="F28" s="134">
        <v>0.56999999999999995</v>
      </c>
      <c r="G28" s="197">
        <v>0</v>
      </c>
      <c r="H28" s="117"/>
      <c r="I28" s="118">
        <v>22</v>
      </c>
    </row>
    <row r="29" spans="2:21" ht="18.75" customHeight="1" x14ac:dyDescent="0.45">
      <c r="B29" s="115">
        <v>23</v>
      </c>
      <c r="C29" s="116">
        <v>45</v>
      </c>
      <c r="D29" s="117">
        <v>31</v>
      </c>
      <c r="E29" s="117">
        <v>23</v>
      </c>
      <c r="F29" s="134">
        <v>0.65</v>
      </c>
      <c r="G29" s="197">
        <v>0.09</v>
      </c>
      <c r="H29" s="117" t="s">
        <v>140</v>
      </c>
      <c r="I29" s="118">
        <v>23</v>
      </c>
    </row>
    <row r="30" spans="2:21" ht="18.75" customHeight="1" x14ac:dyDescent="0.45">
      <c r="B30" s="115">
        <v>24</v>
      </c>
      <c r="C30" s="116">
        <v>46</v>
      </c>
      <c r="D30" s="117">
        <v>30</v>
      </c>
      <c r="E30" s="117">
        <v>15</v>
      </c>
      <c r="F30" s="134">
        <v>0.61</v>
      </c>
      <c r="G30" s="197">
        <v>0</v>
      </c>
      <c r="H30" s="117"/>
      <c r="I30" s="118">
        <v>24</v>
      </c>
    </row>
    <row r="31" spans="2:21" ht="18.75" customHeight="1" x14ac:dyDescent="0.45">
      <c r="B31" s="115">
        <v>25</v>
      </c>
      <c r="C31" s="116">
        <v>62</v>
      </c>
      <c r="D31" s="117">
        <v>31</v>
      </c>
      <c r="E31" s="117">
        <v>26</v>
      </c>
      <c r="F31" s="134">
        <v>0.5</v>
      </c>
      <c r="G31" s="197" t="s">
        <v>138</v>
      </c>
      <c r="H31" s="117" t="s">
        <v>51</v>
      </c>
      <c r="I31" s="118">
        <v>25</v>
      </c>
    </row>
    <row r="32" spans="2:21" ht="18.75" customHeight="1" x14ac:dyDescent="0.45">
      <c r="B32" s="115">
        <v>26</v>
      </c>
      <c r="C32" s="116">
        <v>69</v>
      </c>
      <c r="D32" s="117">
        <v>49</v>
      </c>
      <c r="E32" s="117">
        <v>20</v>
      </c>
      <c r="F32" s="134">
        <v>0.63</v>
      </c>
      <c r="G32" s="197">
        <v>0.59</v>
      </c>
      <c r="H32" s="117" t="s">
        <v>51</v>
      </c>
      <c r="I32" s="118">
        <v>26</v>
      </c>
    </row>
    <row r="33" spans="2:9" ht="18.75" customHeight="1" x14ac:dyDescent="0.45">
      <c r="B33" s="115">
        <v>27</v>
      </c>
      <c r="C33" s="116">
        <v>67</v>
      </c>
      <c r="D33" s="117">
        <v>49</v>
      </c>
      <c r="E33" s="117">
        <v>22</v>
      </c>
      <c r="F33" s="134">
        <v>0.78</v>
      </c>
      <c r="G33" s="197">
        <v>0.53</v>
      </c>
      <c r="H33" s="117" t="s">
        <v>51</v>
      </c>
      <c r="I33" s="118">
        <v>27</v>
      </c>
    </row>
    <row r="34" spans="2:9" ht="18.75" customHeight="1" x14ac:dyDescent="0.45">
      <c r="B34" s="115">
        <v>28</v>
      </c>
      <c r="C34" s="116">
        <v>67</v>
      </c>
      <c r="D34" s="117">
        <v>21</v>
      </c>
      <c r="E34" s="117">
        <v>22</v>
      </c>
      <c r="F34" s="134">
        <v>0.72</v>
      </c>
      <c r="G34" s="197">
        <v>0.7</v>
      </c>
      <c r="H34" s="117" t="s">
        <v>124</v>
      </c>
      <c r="I34" s="118">
        <v>28</v>
      </c>
    </row>
    <row r="35" spans="2:9" ht="18.75" customHeight="1" x14ac:dyDescent="0.45">
      <c r="B35" s="115">
        <v>29</v>
      </c>
      <c r="C35" s="116">
        <v>53</v>
      </c>
      <c r="D35" s="117">
        <v>35</v>
      </c>
      <c r="E35" s="117">
        <v>20</v>
      </c>
      <c r="F35" s="134">
        <v>0.53</v>
      </c>
      <c r="G35" s="197" t="s">
        <v>138</v>
      </c>
      <c r="H35" s="117"/>
      <c r="I35" s="118">
        <v>29</v>
      </c>
    </row>
    <row r="36" spans="2:9" ht="18.75" customHeight="1" x14ac:dyDescent="0.45">
      <c r="B36" s="115">
        <v>30</v>
      </c>
      <c r="C36" s="116">
        <v>61</v>
      </c>
      <c r="D36" s="117">
        <v>48</v>
      </c>
      <c r="E36" s="117">
        <v>15</v>
      </c>
      <c r="F36" s="134">
        <v>0.63</v>
      </c>
      <c r="G36" s="197">
        <v>0.03</v>
      </c>
      <c r="H36" s="117" t="s">
        <v>51</v>
      </c>
      <c r="I36" s="118">
        <v>30</v>
      </c>
    </row>
    <row r="37" spans="2:9" ht="18.75" customHeight="1" thickBot="1" x14ac:dyDescent="0.5">
      <c r="B37" s="115">
        <v>31</v>
      </c>
      <c r="C37" s="116">
        <v>69</v>
      </c>
      <c r="D37" s="117">
        <v>56</v>
      </c>
      <c r="E37" s="117">
        <v>26</v>
      </c>
      <c r="F37" s="134">
        <v>0.71</v>
      </c>
      <c r="G37" s="197">
        <v>0.28999999999999998</v>
      </c>
      <c r="H37" s="117" t="s">
        <v>51</v>
      </c>
      <c r="I37" s="118">
        <v>31</v>
      </c>
    </row>
    <row r="38" spans="2:9" ht="18.75" customHeight="1" x14ac:dyDescent="0.45">
      <c r="B38" s="109"/>
      <c r="C38" s="109"/>
      <c r="D38" s="109"/>
      <c r="E38" s="109"/>
      <c r="F38" s="109"/>
      <c r="G38" s="109"/>
      <c r="H38" s="109"/>
      <c r="I38" s="109"/>
    </row>
    <row r="39" spans="2:9" ht="15" customHeight="1" x14ac:dyDescent="0.45"/>
    <row r="40" spans="2:9" ht="15" customHeight="1" x14ac:dyDescent="0.45"/>
    <row r="41" spans="2:9" ht="15" customHeight="1" x14ac:dyDescent="0.45"/>
    <row r="42" spans="2:9" ht="15" customHeight="1" x14ac:dyDescent="0.45"/>
    <row r="43" spans="2:9" ht="15" customHeight="1" x14ac:dyDescent="0.45"/>
    <row r="54" spans="8:9" x14ac:dyDescent="0.45">
      <c r="H54" s="10"/>
      <c r="I54" s="18"/>
    </row>
  </sheetData>
  <sheetProtection algorithmName="SHA-512" hashValue="I2dJkdMa+4uVZl1Xzbu38exGX0I2Cppx3/PzWA83yq7EIpgUhrjfamC37HjZQHvVCG4iz4KhMyzyGY0vSCVipg==" saltValue="iwkmazBe5WXL209k0kc1Ug==" spinCount="100000" sheet="1" objects="1" scenarios="1" formatCells="0"/>
  <customSheetViews>
    <customSheetView guid="{F48879B3-465F-4E59-8572-F7D7277CEA75}" scale="98" showGridLines="0" topLeftCell="A4">
      <selection activeCell="J25" sqref="J25"/>
      <pageMargins left="0.75" right="0.75" top="1" bottom="1" header="0.5" footer="0.5"/>
      <pageSetup orientation="portrait" horizontalDpi="200" verticalDpi="200" r:id="rId1"/>
      <headerFooter alignWithMargins="0"/>
    </customSheetView>
    <customSheetView guid="{3B654179-D0CF-4576-A51B-BDA963916BB0}" scale="98" showGridLines="0">
      <selection activeCell="K8" sqref="K8"/>
      <pageMargins left="0.75" right="0.75" top="1" bottom="1" header="0.5" footer="0.5"/>
      <pageSetup orientation="portrait" horizontalDpi="200" verticalDpi="200" r:id="rId2"/>
      <headerFooter alignWithMargins="0"/>
    </customSheetView>
  </customSheetViews>
  <mergeCells count="2">
    <mergeCell ref="B1:I1"/>
    <mergeCell ref="B4:I5"/>
  </mergeCells>
  <phoneticPr fontId="0" type="noConversion"/>
  <pageMargins left="0.75" right="0.75" top="1" bottom="1" header="0.5" footer="0.5"/>
  <pageSetup orientation="portrait" horizontalDpi="200" verticalDpi="200" r:id="rId3"/>
  <headerFooter alignWithMargins="0"/>
  <extLst>
    <ext xmlns:x14="http://schemas.microsoft.com/office/spreadsheetml/2009/9/main" uri="{78C0D931-6437-407d-A8EE-F0AAD7539E65}">
      <x14:conditionalFormattings>
        <x14:conditionalFormatting xmlns:xm="http://schemas.microsoft.com/office/excel/2006/main">
          <x14:cfRule type="iconSet" priority="1" id="{751BB5FC-FE3B-4678-BBE2-F2F359E791A8}">
            <x14:iconSet iconSet="4Arrows" showValue="0" custom="1">
              <x14:cfvo type="percent">
                <xm:f>0</xm:f>
              </x14:cfvo>
              <x14:cfvo type="num">
                <xm:f>0</xm:f>
              </x14:cfvo>
              <x14:cfvo type="num">
                <xm:f>0</xm:f>
              </x14:cfvo>
              <x14:cfvo type="num">
                <xm:f>0</xm:f>
              </x14:cfvo>
              <x14:cfIcon iconSet="3ArrowsGray" iconId="0"/>
              <x14:cfIcon iconSet="4Arrows" iconId="1"/>
              <x14:cfIcon iconSet="4Arrows" iconId="2"/>
              <x14:cfIcon iconSet="3Arrows" iconId="2"/>
            </x14:iconSet>
          </x14:cfRule>
          <xm:sqref>L7</xm:sqref>
        </x14:conditionalFormatting>
        <x14:conditionalFormatting xmlns:xm="http://schemas.microsoft.com/office/excel/2006/main">
          <x14:cfRule type="iconSet" priority="3" id="{55C6ED29-EAE5-4C51-8378-203134199C88}">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J8:J27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55"/>
  <sheetViews>
    <sheetView showGridLines="0" zoomScale="80" zoomScaleNormal="80" workbookViewId="0">
      <selection activeCell="C9" sqref="C9"/>
    </sheetView>
  </sheetViews>
  <sheetFormatPr defaultColWidth="9.08984375" defaultRowHeight="17.5" x14ac:dyDescent="0.45"/>
  <cols>
    <col min="1" max="1" width="12.7265625" style="23" customWidth="1"/>
    <col min="2" max="2" width="26" style="23" bestFit="1" customWidth="1"/>
    <col min="3" max="6" width="12.7265625" style="23" customWidth="1"/>
    <col min="7" max="7" width="13.26953125" style="23" bestFit="1" customWidth="1"/>
    <col min="8" max="16384" width="9.08984375" style="23"/>
  </cols>
  <sheetData>
    <row r="1" spans="1:14" ht="217.4" customHeight="1" thickBot="1" x14ac:dyDescent="0.5">
      <c r="A1" s="21"/>
      <c r="B1" s="246" t="s">
        <v>134</v>
      </c>
      <c r="C1" s="247"/>
      <c r="D1" s="247"/>
      <c r="E1" s="247"/>
      <c r="F1" s="247"/>
      <c r="G1" s="247"/>
      <c r="H1" s="247"/>
      <c r="I1" s="247"/>
      <c r="J1" s="247"/>
      <c r="K1" s="247"/>
      <c r="L1" s="247"/>
      <c r="M1" s="247"/>
      <c r="N1" s="248"/>
    </row>
    <row r="2" spans="1:14" ht="15" customHeight="1" x14ac:dyDescent="0.45"/>
    <row r="3" spans="1:14" ht="15" customHeight="1" thickBot="1" x14ac:dyDescent="0.5"/>
    <row r="4" spans="1:14" s="26" customFormat="1" ht="21.65" customHeight="1" thickBot="1" x14ac:dyDescent="0.5">
      <c r="A4" s="23"/>
      <c r="B4" s="242" t="s">
        <v>0</v>
      </c>
      <c r="C4" s="243"/>
      <c r="D4" s="249" t="s">
        <v>71</v>
      </c>
      <c r="E4" s="23"/>
      <c r="F4" s="240" t="s">
        <v>34</v>
      </c>
      <c r="G4" s="241"/>
      <c r="H4" s="23"/>
      <c r="I4" s="23"/>
      <c r="L4" s="175" t="s">
        <v>71</v>
      </c>
      <c r="M4" s="175" t="s">
        <v>76</v>
      </c>
    </row>
    <row r="5" spans="1:14" ht="21.65" customHeight="1" thickBot="1" x14ac:dyDescent="0.5">
      <c r="B5" s="244"/>
      <c r="C5" s="245"/>
      <c r="D5" s="250"/>
      <c r="F5" s="36" t="s">
        <v>1</v>
      </c>
      <c r="G5" s="37" t="s">
        <v>40</v>
      </c>
      <c r="L5" s="173" t="s">
        <v>75</v>
      </c>
      <c r="M5" s="174">
        <v>0</v>
      </c>
    </row>
    <row r="6" spans="1:14" ht="21.65" customHeight="1" thickBot="1" x14ac:dyDescent="0.5">
      <c r="B6" s="169" t="s">
        <v>2</v>
      </c>
      <c r="C6" s="31" t="s">
        <v>4</v>
      </c>
      <c r="D6" s="168" t="s">
        <v>73</v>
      </c>
      <c r="F6" s="97" t="s">
        <v>4</v>
      </c>
      <c r="G6" s="187">
        <f ca="1">RANDBETWEEN(1.53,3.57)*0.7</f>
        <v>2.0999999999999996</v>
      </c>
      <c r="H6" s="26"/>
      <c r="L6" s="164" t="s">
        <v>73</v>
      </c>
      <c r="M6" s="165">
        <v>0.04</v>
      </c>
    </row>
    <row r="7" spans="1:14" ht="21.65" customHeight="1" thickBot="1" x14ac:dyDescent="0.5">
      <c r="B7" s="171" t="s">
        <v>5</v>
      </c>
      <c r="C7" s="190">
        <v>4</v>
      </c>
      <c r="D7" s="40"/>
      <c r="F7" s="98" t="s">
        <v>6</v>
      </c>
      <c r="G7" s="188">
        <f ca="1">RANDBETWEEN(1.53,3.57)*0.9</f>
        <v>2.7</v>
      </c>
      <c r="L7" s="164" t="s">
        <v>77</v>
      </c>
      <c r="M7" s="165">
        <v>6.5000000000000002E-2</v>
      </c>
    </row>
    <row r="8" spans="1:14" ht="21.65" customHeight="1" thickBot="1" x14ac:dyDescent="0.5">
      <c r="B8" s="183"/>
      <c r="C8" s="126"/>
      <c r="D8" s="39" t="s">
        <v>52</v>
      </c>
      <c r="F8" s="98" t="s">
        <v>3</v>
      </c>
      <c r="G8" s="188">
        <f ca="1">RANDBETWEEN(1.53,3.57)*1.2</f>
        <v>2.4</v>
      </c>
      <c r="L8" s="164" t="s">
        <v>72</v>
      </c>
      <c r="M8" s="165">
        <v>5.6000000000000001E-2</v>
      </c>
    </row>
    <row r="9" spans="1:14" ht="21.65" customHeight="1" thickBot="1" x14ac:dyDescent="0.5">
      <c r="B9" s="169" t="s">
        <v>7</v>
      </c>
      <c r="C9" s="32">
        <f ca="1">VLOOKUP($C$6,$F$6:$G$9,2,FALSE)</f>
        <v>2.0999999999999996</v>
      </c>
      <c r="D9" s="41">
        <f ca="1">IF(ISERROR(VLOOKUP(C6,F6:G9,2,FALSE)),"",VLOOKUP(C6,F6:G9,2,FALSE))</f>
        <v>2.0999999999999996</v>
      </c>
      <c r="E9" s="125">
        <f ca="1">(D9=C9)*1</f>
        <v>1</v>
      </c>
      <c r="F9" s="99" t="s">
        <v>8</v>
      </c>
      <c r="G9" s="189">
        <f ca="1">RANDBETWEEN(1.53,3.57)*1.4</f>
        <v>4.1999999999999993</v>
      </c>
      <c r="L9" s="164" t="s">
        <v>78</v>
      </c>
      <c r="M9" s="165">
        <v>7.4999999999999997E-2</v>
      </c>
    </row>
    <row r="10" spans="1:14" ht="21.65" customHeight="1" thickBot="1" x14ac:dyDescent="0.5">
      <c r="B10" s="170" t="s">
        <v>9</v>
      </c>
      <c r="C10" s="33">
        <f ca="1">VLOOKUP($C$6,$F$6:$G$9,2,FALSE)*$C$7</f>
        <v>8.3999999999999986</v>
      </c>
      <c r="D10" s="42">
        <f ca="1">IF(ISERROR(D9*C7),"",D9*C7)</f>
        <v>8.3999999999999986</v>
      </c>
      <c r="E10" s="125">
        <f t="shared" ref="E10:E16" ca="1" si="0">(D10=C10)*1</f>
        <v>1</v>
      </c>
      <c r="F10" s="38"/>
      <c r="G10" s="38"/>
      <c r="L10" s="164" t="s">
        <v>79</v>
      </c>
      <c r="M10" s="165">
        <v>2.9000000000000001E-2</v>
      </c>
    </row>
    <row r="11" spans="1:14" ht="21.65" customHeight="1" thickBot="1" x14ac:dyDescent="0.5">
      <c r="B11" s="170" t="s">
        <v>10</v>
      </c>
      <c r="C11" s="176">
        <f ca="1">VLOOKUP($C$10,$F$13:$G$16,2,TRUE)</f>
        <v>0</v>
      </c>
      <c r="D11" s="43">
        <f ca="1">IF(ISERROR(VLOOKUP(D10,F13:G16,2)),"",VLOOKUP(D10,F13:G16,2))</f>
        <v>0</v>
      </c>
      <c r="E11" s="125">
        <f t="shared" ca="1" si="0"/>
        <v>1</v>
      </c>
      <c r="F11" s="240" t="s">
        <v>35</v>
      </c>
      <c r="G11" s="241"/>
      <c r="L11" s="164" t="s">
        <v>80</v>
      </c>
      <c r="M11" s="165">
        <v>6.3500000000000001E-2</v>
      </c>
    </row>
    <row r="12" spans="1:14" ht="21.65" customHeight="1" thickBot="1" x14ac:dyDescent="0.5">
      <c r="B12" s="170" t="s">
        <v>11</v>
      </c>
      <c r="C12" s="33">
        <f ca="1">$C$10*$C$11</f>
        <v>0</v>
      </c>
      <c r="D12" s="44">
        <f ca="1">IF(ISERROR(ROUND(D11*D10,2)),"",ROUND(D11*D10,2))</f>
        <v>0</v>
      </c>
      <c r="E12" s="125">
        <f t="shared" ca="1" si="0"/>
        <v>1</v>
      </c>
      <c r="F12" s="36" t="s">
        <v>41</v>
      </c>
      <c r="G12" s="37" t="s">
        <v>13</v>
      </c>
      <c r="L12" s="164" t="s">
        <v>81</v>
      </c>
      <c r="M12" s="165">
        <v>5.7500000000000002E-2</v>
      </c>
    </row>
    <row r="13" spans="1:14" ht="21.65" customHeight="1" x14ac:dyDescent="0.45">
      <c r="B13" s="170" t="s">
        <v>12</v>
      </c>
      <c r="C13" s="33">
        <f ca="1">$C$10-$C$12</f>
        <v>8.3999999999999986</v>
      </c>
      <c r="D13" s="42">
        <f ca="1">IF(ISERROR(D10-D12),"",D10-D12)</f>
        <v>8.3999999999999986</v>
      </c>
      <c r="E13" s="125">
        <f t="shared" ca="1" si="0"/>
        <v>1</v>
      </c>
      <c r="F13" s="184">
        <v>0</v>
      </c>
      <c r="G13" s="198">
        <v>0</v>
      </c>
      <c r="L13" s="164" t="s">
        <v>82</v>
      </c>
      <c r="M13" s="165">
        <v>0</v>
      </c>
    </row>
    <row r="14" spans="1:14" ht="21.65" customHeight="1" thickBot="1" x14ac:dyDescent="0.5">
      <c r="B14" s="171" t="str">
        <f>D6&amp;" State Sales Tax:"</f>
        <v>AL State Sales Tax:</v>
      </c>
      <c r="C14" s="34">
        <f ca="1">ROUND((VLOOKUP($D$6,$L$5:$M$55,2,FALSE)*$C$13),2)</f>
        <v>0.34</v>
      </c>
      <c r="D14" s="45">
        <f ca="1">IF(ISERROR(ROUND(D13*VLOOKUP($D$6,$L$5:$M$62,2,FALSE),2)),"",ROUND(D13*VLOOKUP($D$6,$L$5:$M$62,2,FALSE),2))</f>
        <v>0.34</v>
      </c>
      <c r="E14" s="125">
        <f t="shared" ca="1" si="0"/>
        <v>1</v>
      </c>
      <c r="F14" s="185">
        <f ca="1">FLOOR(RANDBETWEEN(250,500),50)</f>
        <v>450</v>
      </c>
      <c r="G14" s="199">
        <v>0.05</v>
      </c>
      <c r="L14" s="164" t="s">
        <v>83</v>
      </c>
      <c r="M14" s="165">
        <v>0.06</v>
      </c>
    </row>
    <row r="15" spans="1:14" ht="21.65" customHeight="1" thickBot="1" x14ac:dyDescent="0.5">
      <c r="B15" s="183"/>
      <c r="C15" s="127"/>
      <c r="D15" s="40"/>
      <c r="E15" s="125"/>
      <c r="F15" s="185">
        <f ca="1">FLOOR(RANDBETWEEN(500,750),50)</f>
        <v>550</v>
      </c>
      <c r="G15" s="128">
        <v>0.1</v>
      </c>
      <c r="L15" s="164" t="s">
        <v>84</v>
      </c>
      <c r="M15" s="165">
        <v>0.04</v>
      </c>
    </row>
    <row r="16" spans="1:14" ht="21.65" customHeight="1" thickBot="1" x14ac:dyDescent="0.5">
      <c r="B16" s="172" t="s">
        <v>14</v>
      </c>
      <c r="C16" s="35">
        <f ca="1">$C$13+$C$14</f>
        <v>8.7399999999999984</v>
      </c>
      <c r="D16" s="46">
        <f ca="1">IF(ISERROR(D13+D14),"",D13+D14)</f>
        <v>8.7399999999999984</v>
      </c>
      <c r="E16" s="125">
        <f t="shared" ca="1" si="0"/>
        <v>1</v>
      </c>
      <c r="F16" s="186">
        <f ca="1">FLOOR(RANDBETWEEN(750,1000),50)</f>
        <v>850</v>
      </c>
      <c r="G16" s="129">
        <v>0.15</v>
      </c>
      <c r="L16" s="164" t="s">
        <v>85</v>
      </c>
      <c r="M16" s="165">
        <v>0.04</v>
      </c>
    </row>
    <row r="17" spans="1:13" ht="21.65" customHeight="1" x14ac:dyDescent="0.45">
      <c r="J17" s="26"/>
      <c r="L17" s="164" t="s">
        <v>86</v>
      </c>
      <c r="M17" s="165">
        <v>0.06</v>
      </c>
    </row>
    <row r="18" spans="1:13" s="22" customFormat="1" ht="21.65" customHeight="1" x14ac:dyDescent="0.45">
      <c r="B18" s="23"/>
      <c r="C18" s="23"/>
      <c r="D18" s="23"/>
      <c r="E18" s="23"/>
      <c r="H18" s="23"/>
      <c r="I18" s="23"/>
      <c r="J18" s="23"/>
      <c r="L18" s="164" t="s">
        <v>87</v>
      </c>
      <c r="M18" s="165">
        <v>0.06</v>
      </c>
    </row>
    <row r="19" spans="1:13" s="22" customFormat="1" ht="21.65" customHeight="1" x14ac:dyDescent="0.45">
      <c r="B19" s="23"/>
      <c r="C19" s="23"/>
      <c r="D19" s="23"/>
      <c r="E19" s="23"/>
      <c r="F19" s="27"/>
      <c r="G19" s="27"/>
      <c r="H19" s="23"/>
      <c r="I19" s="23"/>
      <c r="J19" s="23"/>
      <c r="L19" s="164" t="s">
        <v>88</v>
      </c>
      <c r="M19" s="165">
        <v>6.25E-2</v>
      </c>
    </row>
    <row r="20" spans="1:13" s="22" customFormat="1" ht="21.65" customHeight="1" x14ac:dyDescent="0.45">
      <c r="A20" s="28"/>
      <c r="J20" s="23"/>
      <c r="L20" s="164" t="s">
        <v>89</v>
      </c>
      <c r="M20" s="165">
        <v>7.0000000000000007E-2</v>
      </c>
    </row>
    <row r="21" spans="1:13" s="22" customFormat="1" ht="21.65" customHeight="1" x14ac:dyDescent="0.45">
      <c r="J21" s="23"/>
      <c r="L21" s="164" t="s">
        <v>74</v>
      </c>
      <c r="M21" s="165">
        <v>6.5000000000000002E-2</v>
      </c>
    </row>
    <row r="22" spans="1:13" s="22" customFormat="1" ht="21.65" customHeight="1" x14ac:dyDescent="0.45">
      <c r="J22" s="23"/>
      <c r="L22" s="164" t="s">
        <v>90</v>
      </c>
      <c r="M22" s="165">
        <v>0.06</v>
      </c>
    </row>
    <row r="23" spans="1:13" s="22" customFormat="1" ht="21.65" customHeight="1" x14ac:dyDescent="0.45">
      <c r="B23" s="29"/>
      <c r="J23" s="23"/>
      <c r="L23" s="164" t="s">
        <v>91</v>
      </c>
      <c r="M23" s="165">
        <v>0.05</v>
      </c>
    </row>
    <row r="24" spans="1:13" s="22" customFormat="1" ht="21.65" customHeight="1" x14ac:dyDescent="0.45">
      <c r="B24" s="29"/>
      <c r="J24" s="23"/>
      <c r="L24" s="164" t="s">
        <v>92</v>
      </c>
      <c r="M24" s="165">
        <v>6.25E-2</v>
      </c>
    </row>
    <row r="25" spans="1:13" s="22" customFormat="1" ht="21.65" customHeight="1" x14ac:dyDescent="0.45">
      <c r="B25" s="25"/>
      <c r="J25" s="23"/>
      <c r="L25" s="164" t="s">
        <v>93</v>
      </c>
      <c r="M25" s="165">
        <v>0.06</v>
      </c>
    </row>
    <row r="26" spans="1:13" s="22" customFormat="1" ht="21.65" customHeight="1" x14ac:dyDescent="0.45">
      <c r="B26" s="30"/>
      <c r="C26" s="30"/>
      <c r="D26" s="30"/>
      <c r="E26" s="30"/>
      <c r="F26" s="30"/>
      <c r="G26" s="30"/>
      <c r="H26" s="30"/>
      <c r="I26" s="30"/>
      <c r="J26" s="23"/>
      <c r="L26" s="164" t="s">
        <v>94</v>
      </c>
      <c r="M26" s="165">
        <v>5.5E-2</v>
      </c>
    </row>
    <row r="27" spans="1:13" s="22" customFormat="1" ht="21.65" customHeight="1" x14ac:dyDescent="0.45">
      <c r="J27" s="23"/>
      <c r="L27" s="164" t="s">
        <v>95</v>
      </c>
      <c r="M27" s="165">
        <v>0.06</v>
      </c>
    </row>
    <row r="28" spans="1:13" s="22" customFormat="1" ht="21.65" customHeight="1" x14ac:dyDescent="0.45">
      <c r="J28" s="23"/>
      <c r="L28" s="164" t="s">
        <v>96</v>
      </c>
      <c r="M28" s="165">
        <v>6.8750000000000006E-2</v>
      </c>
    </row>
    <row r="29" spans="1:13" s="22" customFormat="1" ht="21.65" customHeight="1" x14ac:dyDescent="0.45">
      <c r="J29" s="23"/>
      <c r="L29" s="164" t="s">
        <v>97</v>
      </c>
      <c r="M29" s="165">
        <v>4.2250000000000003E-2</v>
      </c>
    </row>
    <row r="30" spans="1:13" ht="21.65" customHeight="1" x14ac:dyDescent="0.45">
      <c r="L30" s="164" t="s">
        <v>98</v>
      </c>
      <c r="M30" s="165">
        <v>7.0000000000000007E-2</v>
      </c>
    </row>
    <row r="31" spans="1:13" ht="21.65" customHeight="1" x14ac:dyDescent="0.45">
      <c r="J31" s="22"/>
      <c r="L31" s="164" t="s">
        <v>99</v>
      </c>
      <c r="M31" s="165">
        <v>0</v>
      </c>
    </row>
    <row r="32" spans="1:13" ht="21.65" customHeight="1" x14ac:dyDescent="0.45">
      <c r="J32" s="22"/>
      <c r="L32" s="164" t="s">
        <v>100</v>
      </c>
      <c r="M32" s="165">
        <v>4.7500000000000001E-2</v>
      </c>
    </row>
    <row r="33" spans="2:13" ht="21.65" customHeight="1" x14ac:dyDescent="0.45">
      <c r="J33" s="22"/>
      <c r="L33" s="164" t="s">
        <v>101</v>
      </c>
      <c r="M33" s="165">
        <v>0.05</v>
      </c>
    </row>
    <row r="34" spans="2:13" ht="21.65" customHeight="1" x14ac:dyDescent="0.45">
      <c r="J34" s="22"/>
      <c r="L34" s="164" t="s">
        <v>102</v>
      </c>
      <c r="M34" s="165">
        <v>5.5E-2</v>
      </c>
    </row>
    <row r="35" spans="2:13" ht="21.65" customHeight="1" x14ac:dyDescent="0.45">
      <c r="J35" s="22"/>
      <c r="L35" s="164" t="s">
        <v>103</v>
      </c>
      <c r="M35" s="165">
        <v>0</v>
      </c>
    </row>
    <row r="36" spans="2:13" ht="21.65" customHeight="1" x14ac:dyDescent="0.45">
      <c r="J36" s="22"/>
      <c r="L36" s="164" t="s">
        <v>104</v>
      </c>
      <c r="M36" s="165">
        <v>7.0000000000000007E-2</v>
      </c>
    </row>
    <row r="37" spans="2:13" ht="21.65" customHeight="1" x14ac:dyDescent="0.45">
      <c r="J37" s="22"/>
      <c r="L37" s="164" t="s">
        <v>105</v>
      </c>
      <c r="M37" s="165">
        <v>5.1249999999999997E-2</v>
      </c>
    </row>
    <row r="38" spans="2:13" ht="21.65" customHeight="1" x14ac:dyDescent="0.45">
      <c r="J38" s="22"/>
      <c r="L38" s="164" t="s">
        <v>106</v>
      </c>
      <c r="M38" s="165">
        <v>6.8500000000000005E-2</v>
      </c>
    </row>
    <row r="39" spans="2:13" ht="21.65" customHeight="1" x14ac:dyDescent="0.45">
      <c r="J39" s="22"/>
      <c r="L39" s="164" t="s">
        <v>107</v>
      </c>
      <c r="M39" s="165">
        <v>0.04</v>
      </c>
    </row>
    <row r="40" spans="2:13" ht="21.65" customHeight="1" x14ac:dyDescent="0.45">
      <c r="B40" s="22"/>
      <c r="C40" s="22"/>
      <c r="D40" s="22"/>
      <c r="E40" s="22"/>
      <c r="F40" s="22"/>
      <c r="G40" s="22"/>
      <c r="H40" s="22"/>
      <c r="I40" s="22"/>
      <c r="J40" s="22"/>
      <c r="L40" s="164" t="s">
        <v>108</v>
      </c>
      <c r="M40" s="165">
        <v>5.7500000000000002E-2</v>
      </c>
    </row>
    <row r="41" spans="2:13" ht="21.65" customHeight="1" x14ac:dyDescent="0.45">
      <c r="L41" s="164" t="s">
        <v>109</v>
      </c>
      <c r="M41" s="165">
        <v>4.4999999999999998E-2</v>
      </c>
    </row>
    <row r="42" spans="2:13" ht="21.65" customHeight="1" x14ac:dyDescent="0.45">
      <c r="L42" s="164" t="s">
        <v>110</v>
      </c>
      <c r="M42" s="165">
        <v>0</v>
      </c>
    </row>
    <row r="43" spans="2:13" ht="21.65" customHeight="1" x14ac:dyDescent="0.45">
      <c r="L43" s="164" t="s">
        <v>111</v>
      </c>
      <c r="M43" s="165">
        <v>0.06</v>
      </c>
    </row>
    <row r="44" spans="2:13" ht="21.65" customHeight="1" x14ac:dyDescent="0.45">
      <c r="L44" s="164" t="s">
        <v>112</v>
      </c>
      <c r="M44" s="165">
        <v>7.0000000000000007E-2</v>
      </c>
    </row>
    <row r="45" spans="2:13" ht="21.65" customHeight="1" x14ac:dyDescent="0.45">
      <c r="L45" s="164" t="s">
        <v>113</v>
      </c>
      <c r="M45" s="165">
        <v>0.06</v>
      </c>
    </row>
    <row r="46" spans="2:13" ht="21.65" customHeight="1" x14ac:dyDescent="0.45">
      <c r="L46" s="164" t="s">
        <v>114</v>
      </c>
      <c r="M46" s="165">
        <v>4.4999999999999998E-2</v>
      </c>
    </row>
    <row r="47" spans="2:13" ht="21.65" customHeight="1" x14ac:dyDescent="0.45">
      <c r="L47" s="164" t="s">
        <v>115</v>
      </c>
      <c r="M47" s="165">
        <v>7.0000000000000007E-2</v>
      </c>
    </row>
    <row r="48" spans="2:13" ht="21.65" customHeight="1" x14ac:dyDescent="0.45">
      <c r="L48" s="164" t="s">
        <v>116</v>
      </c>
      <c r="M48" s="165">
        <v>6.25E-2</v>
      </c>
    </row>
    <row r="49" spans="12:13" ht="21.65" customHeight="1" x14ac:dyDescent="0.45">
      <c r="L49" s="164" t="s">
        <v>117</v>
      </c>
      <c r="M49" s="165">
        <v>4.7E-2</v>
      </c>
    </row>
    <row r="50" spans="12:13" ht="21.65" customHeight="1" x14ac:dyDescent="0.45">
      <c r="L50" s="164" t="s">
        <v>118</v>
      </c>
      <c r="M50" s="165">
        <v>4.2999999999999997E-2</v>
      </c>
    </row>
    <row r="51" spans="12:13" ht="21.65" customHeight="1" x14ac:dyDescent="0.45">
      <c r="L51" s="164" t="s">
        <v>119</v>
      </c>
      <c r="M51" s="165">
        <v>0.06</v>
      </c>
    </row>
    <row r="52" spans="12:13" ht="21.65" customHeight="1" x14ac:dyDescent="0.45">
      <c r="L52" s="164" t="s">
        <v>120</v>
      </c>
      <c r="M52" s="165">
        <v>6.5000000000000002E-2</v>
      </c>
    </row>
    <row r="53" spans="12:13" ht="21.65" customHeight="1" x14ac:dyDescent="0.45">
      <c r="L53" s="164" t="s">
        <v>121</v>
      </c>
      <c r="M53" s="165">
        <v>0.05</v>
      </c>
    </row>
    <row r="54" spans="12:13" ht="21.65" customHeight="1" x14ac:dyDescent="0.45">
      <c r="L54" s="164" t="s">
        <v>122</v>
      </c>
      <c r="M54" s="165">
        <v>0.06</v>
      </c>
    </row>
    <row r="55" spans="12:13" ht="21.65" customHeight="1" thickBot="1" x14ac:dyDescent="0.5">
      <c r="L55" s="166" t="s">
        <v>123</v>
      </c>
      <c r="M55" s="167">
        <v>0.04</v>
      </c>
    </row>
  </sheetData>
  <sheetProtection algorithmName="SHA-512" hashValue="23zuG1KdeySKnBa7HOAkNyh5ogYPHXGODhLa5zI5y3xJZKngtZCCqJWl1bcadgqY9NS3csNsShyO7Z2wqRKyNA==" saltValue="6tbvOMr/ZcfY+6Qb8M4NdQ==" spinCount="100000" sheet="1" objects="1" scenarios="1" formatCells="0"/>
  <customSheetViews>
    <customSheetView guid="{F48879B3-465F-4E59-8572-F7D7277CEA75}" scale="78" showGridLines="0">
      <selection activeCell="D9" sqref="D9"/>
      <pageMargins left="0.75" right="0.75" top="1" bottom="1" header="0.5" footer="0.5"/>
      <pageSetup orientation="portrait" horizontalDpi="1200" verticalDpi="1200" r:id="rId1"/>
      <headerFooter alignWithMargins="0"/>
    </customSheetView>
    <customSheetView guid="{3B654179-D0CF-4576-A51B-BDA963916BB0}" scale="78" showGridLines="0">
      <selection activeCell="D9" sqref="D9"/>
      <pageMargins left="0.75" right="0.75" top="1" bottom="1" header="0.5" footer="0.5"/>
      <pageSetup orientation="portrait" horizontalDpi="1200" verticalDpi="1200" r:id="rId2"/>
      <headerFooter alignWithMargins="0"/>
    </customSheetView>
  </customSheetViews>
  <mergeCells count="5">
    <mergeCell ref="F11:G11"/>
    <mergeCell ref="B4:C5"/>
    <mergeCell ref="B1:N1"/>
    <mergeCell ref="F4:G4"/>
    <mergeCell ref="D4:D5"/>
  </mergeCells>
  <phoneticPr fontId="0" type="noConversion"/>
  <dataValidations xWindow="357" yWindow="540" count="4">
    <dataValidation type="textLength" operator="greaterThan" allowBlank="1" showInputMessage="1" showErrorMessage="1" errorTitle="Item spelling" error="Make sure that you enter a valid Item name from the Price Table to the right." promptTitle="Item selection" prompt="Type in the name of the item you want to use in the price calculation below.  BE SURE TO CHECK YOUR SPELLING!" sqref="C6" xr:uid="{00000000-0002-0000-0200-000000000000}">
      <formula1>1</formula1>
    </dataValidation>
    <dataValidation type="whole" operator="greaterThan" allowBlank="1" showInputMessage="1" showErrorMessage="1" errorTitle="Quantity Input Error" error="Your value must be greater than 0 and must be a whole number." promptTitle="Quantity Input" prompt="Enter the quantity of items you want to use in the calculations below." sqref="C7" xr:uid="{00000000-0002-0000-0200-000001000000}">
      <formula1>0</formula1>
    </dataValidation>
    <dataValidation type="list" allowBlank="1" showInputMessage="1" showErrorMessage="1" promptTitle="State Selection" prompt="Click the down arrow next to this cell to select a state to calculate its tax." sqref="D6" xr:uid="{00000000-0002-0000-0200-000002000000}">
      <formula1>"AK,AL,AR,AZ,CA,CO,CT,DC,DE,FL,GA,HI,IA,ID,IL,IN,KS,KY,LA,MA,MD,ME,MI,MN,MO,MS,MT,NC,ND,NE,NH,NJ,NM,NV,NY,OH,OK,OR,PA,RI,SC,SD,TN,TX,UT,VA,VT,WA,WI,WV,WY"</formula1>
    </dataValidation>
    <dataValidation allowBlank="1" showInputMessage="1" showErrorMessage="1" promptTitle="State Sales Tax" prompt="Your formula should calculate the correct sales tax based on the state chosen in cell D6 and should be rounded to the nearest penny." sqref="C14" xr:uid="{00000000-0002-0000-0200-000003000000}"/>
  </dataValidations>
  <pageMargins left="0.75" right="0.75" top="1" bottom="1" header="0.5" footer="0.5"/>
  <pageSetup orientation="portrait" horizontalDpi="1200" verticalDpi="1200" r:id="rId3"/>
  <headerFooter alignWithMargins="0"/>
  <drawing r:id="rId4"/>
  <extLst>
    <ext xmlns:x14="http://schemas.microsoft.com/office/spreadsheetml/2009/9/main" uri="{78C0D931-6437-407d-A8EE-F0AAD7539E65}">
      <x14:conditionalFormattings>
        <x14:conditionalFormatting xmlns:xm="http://schemas.microsoft.com/office/excel/2006/main">
          <x14:cfRule type="iconSet" priority="1" id="{7EDFEC3B-7106-4097-98D9-11602BB1ABC0}">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E9:E16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N55"/>
  <sheetViews>
    <sheetView showGridLines="0" topLeftCell="A4" zoomScale="80" zoomScaleNormal="80" workbookViewId="0">
      <selection activeCell="C17" sqref="C17"/>
    </sheetView>
  </sheetViews>
  <sheetFormatPr defaultColWidth="9.08984375" defaultRowHeight="17.5" x14ac:dyDescent="0.45"/>
  <cols>
    <col min="1" max="1" width="12.7265625" style="23" customWidth="1"/>
    <col min="2" max="2" width="26" style="23" bestFit="1" customWidth="1"/>
    <col min="3" max="5" width="12.7265625" style="23" customWidth="1"/>
    <col min="6" max="6" width="12" style="23" bestFit="1" customWidth="1"/>
    <col min="7" max="10" width="14.26953125" style="23" customWidth="1"/>
    <col min="11" max="16384" width="9.08984375" style="23"/>
  </cols>
  <sheetData>
    <row r="1" spans="1:14" ht="201.75" customHeight="1" thickBot="1" x14ac:dyDescent="0.5">
      <c r="A1" s="21"/>
      <c r="B1" s="251" t="s">
        <v>135</v>
      </c>
      <c r="C1" s="252"/>
      <c r="D1" s="252"/>
      <c r="E1" s="252"/>
      <c r="F1" s="252"/>
      <c r="G1" s="252"/>
      <c r="H1" s="252"/>
      <c r="I1" s="252"/>
      <c r="J1" s="252"/>
      <c r="K1" s="252"/>
      <c r="L1" s="252"/>
      <c r="M1" s="252"/>
      <c r="N1" s="253"/>
    </row>
    <row r="2" spans="1:14" ht="15" customHeight="1" x14ac:dyDescent="0.45"/>
    <row r="3" spans="1:14" ht="15" customHeight="1" thickBot="1" x14ac:dyDescent="0.5"/>
    <row r="4" spans="1:14" s="26" customFormat="1" ht="22.15" customHeight="1" thickBot="1" x14ac:dyDescent="0.5">
      <c r="A4" s="23"/>
      <c r="B4" s="242" t="s">
        <v>0</v>
      </c>
      <c r="C4" s="243"/>
      <c r="D4" s="249" t="s">
        <v>71</v>
      </c>
      <c r="E4" s="23"/>
      <c r="F4" s="254" t="s">
        <v>34</v>
      </c>
      <c r="G4" s="255"/>
      <c r="H4" s="255"/>
      <c r="I4" s="255"/>
      <c r="J4" s="256"/>
      <c r="L4" s="175" t="s">
        <v>71</v>
      </c>
      <c r="M4" s="175" t="s">
        <v>76</v>
      </c>
    </row>
    <row r="5" spans="1:14" ht="22.15" customHeight="1" thickBot="1" x14ac:dyDescent="0.5">
      <c r="B5" s="244"/>
      <c r="C5" s="245"/>
      <c r="D5" s="250"/>
      <c r="F5" s="100" t="s">
        <v>1</v>
      </c>
      <c r="G5" s="101" t="s">
        <v>4</v>
      </c>
      <c r="H5" s="102" t="s">
        <v>6</v>
      </c>
      <c r="I5" s="102" t="s">
        <v>3</v>
      </c>
      <c r="J5" s="103" t="s">
        <v>8</v>
      </c>
      <c r="L5" s="173" t="s">
        <v>75</v>
      </c>
      <c r="M5" s="174">
        <v>0</v>
      </c>
    </row>
    <row r="6" spans="1:14" ht="22.15" customHeight="1" thickBot="1" x14ac:dyDescent="0.5">
      <c r="B6" s="169" t="s">
        <v>2</v>
      </c>
      <c r="C6" s="31" t="s">
        <v>4</v>
      </c>
      <c r="D6" s="168" t="s">
        <v>73</v>
      </c>
      <c r="F6" s="104" t="s">
        <v>40</v>
      </c>
      <c r="G6" s="177">
        <f ca="1">RANDBETWEEN(1.53,3.57)*0.7</f>
        <v>2.0999999999999996</v>
      </c>
      <c r="H6" s="178">
        <f ca="1">RANDBETWEEN(1.53,3.57)*0.9</f>
        <v>1.8</v>
      </c>
      <c r="I6" s="178">
        <f ca="1">RANDBETWEEN(1.53,3.57)*1.2</f>
        <v>3.5999999999999996</v>
      </c>
      <c r="J6" s="179">
        <f ca="1">RANDBETWEEN(1.53,3.57)*1.4</f>
        <v>2.8</v>
      </c>
      <c r="L6" s="164" t="s">
        <v>73</v>
      </c>
      <c r="M6" s="165">
        <v>0.04</v>
      </c>
    </row>
    <row r="7" spans="1:14" ht="22.15" customHeight="1" thickBot="1" x14ac:dyDescent="0.5">
      <c r="B7" s="171" t="s">
        <v>5</v>
      </c>
      <c r="C7" s="190">
        <v>4</v>
      </c>
      <c r="L7" s="164" t="s">
        <v>77</v>
      </c>
      <c r="M7" s="165">
        <v>6.5000000000000002E-2</v>
      </c>
    </row>
    <row r="8" spans="1:14" ht="22.15" customHeight="1" thickBot="1" x14ac:dyDescent="0.5">
      <c r="B8" s="183"/>
      <c r="C8" s="126"/>
      <c r="D8" s="39" t="s">
        <v>52</v>
      </c>
      <c r="L8" s="164" t="s">
        <v>72</v>
      </c>
      <c r="M8" s="165">
        <v>5.6000000000000001E-2</v>
      </c>
    </row>
    <row r="9" spans="1:14" ht="22.15" customHeight="1" x14ac:dyDescent="0.45">
      <c r="B9" s="169" t="s">
        <v>7</v>
      </c>
      <c r="C9" s="32">
        <f ca="1">HLOOKUP($C$6,G5:J6,2,FALSE)</f>
        <v>2.0999999999999996</v>
      </c>
      <c r="D9" s="47">
        <f ca="1">IF(ISERROR(HLOOKUP(C6,G5:J6,2,FALSE)),"",HLOOKUP(C6,G5:J6,2,FALSE))</f>
        <v>2.0999999999999996</v>
      </c>
      <c r="E9" s="121">
        <f t="shared" ref="E9:E16" ca="1" si="0">(D9=C9)*1</f>
        <v>1</v>
      </c>
      <c r="L9" s="164" t="s">
        <v>78</v>
      </c>
      <c r="M9" s="165">
        <v>7.4999999999999997E-2</v>
      </c>
    </row>
    <row r="10" spans="1:14" ht="22.15" customHeight="1" thickBot="1" x14ac:dyDescent="0.5">
      <c r="B10" s="170" t="s">
        <v>9</v>
      </c>
      <c r="C10" s="33">
        <f ca="1">HLOOKUP($C$6,G5:J6,2,FALSE)*$C$7</f>
        <v>8.3999999999999986</v>
      </c>
      <c r="D10" s="48">
        <f ca="1">IF(ISERROR(D9*C7),"",D9*C7)</f>
        <v>8.3999999999999986</v>
      </c>
      <c r="E10" s="121">
        <f t="shared" ca="1" si="0"/>
        <v>1</v>
      </c>
      <c r="F10" s="27"/>
      <c r="G10" s="27"/>
      <c r="L10" s="164" t="s">
        <v>79</v>
      </c>
      <c r="M10" s="165">
        <v>2.9000000000000001E-2</v>
      </c>
    </row>
    <row r="11" spans="1:14" ht="22.15" customHeight="1" thickBot="1" x14ac:dyDescent="0.5">
      <c r="B11" s="170" t="s">
        <v>10</v>
      </c>
      <c r="C11" s="176">
        <f ca="1">HLOOKUP($C$10,$G$12:$J$13,2,TRUE)</f>
        <v>0</v>
      </c>
      <c r="D11" s="49">
        <f ca="1">IF(ISERROR(HLOOKUP(D10,G12:J13,2)),"",HLOOKUP(D10,G12:J13,2))</f>
        <v>0</v>
      </c>
      <c r="E11" s="121">
        <f t="shared" ca="1" si="0"/>
        <v>1</v>
      </c>
      <c r="F11" s="257" t="s">
        <v>35</v>
      </c>
      <c r="G11" s="258"/>
      <c r="H11" s="258"/>
      <c r="I11" s="258"/>
      <c r="J11" s="259"/>
      <c r="L11" s="164" t="s">
        <v>80</v>
      </c>
      <c r="M11" s="165">
        <v>6.3500000000000001E-2</v>
      </c>
    </row>
    <row r="12" spans="1:14" ht="22.15" customHeight="1" x14ac:dyDescent="0.45">
      <c r="B12" s="170" t="s">
        <v>11</v>
      </c>
      <c r="C12" s="33">
        <f ca="1">$C$10*$C$11</f>
        <v>0</v>
      </c>
      <c r="D12" s="50">
        <f ca="1">IF(ISERROR(ROUND(D11*D10,2)),"",ROUND(D11*D10,2))</f>
        <v>0</v>
      </c>
      <c r="E12" s="121">
        <f t="shared" ca="1" si="0"/>
        <v>1</v>
      </c>
      <c r="F12" s="100" t="s">
        <v>41</v>
      </c>
      <c r="G12" s="180">
        <v>0</v>
      </c>
      <c r="H12" s="181">
        <f ca="1">FLOOR(RANDBETWEEN(250,500),50)</f>
        <v>350</v>
      </c>
      <c r="I12" s="181">
        <f ca="1">FLOOR(RANDBETWEEN(500,750),50)</f>
        <v>650</v>
      </c>
      <c r="J12" s="182">
        <f ca="1">FLOOR(RANDBETWEEN(750,1000),50)</f>
        <v>800</v>
      </c>
      <c r="L12" s="164" t="s">
        <v>81</v>
      </c>
      <c r="M12" s="165">
        <v>5.7500000000000002E-2</v>
      </c>
    </row>
    <row r="13" spans="1:14" ht="22.15" customHeight="1" thickBot="1" x14ac:dyDescent="0.5">
      <c r="B13" s="170" t="s">
        <v>12</v>
      </c>
      <c r="C13" s="33">
        <f ca="1">$C$10-$C$12</f>
        <v>8.3999999999999986</v>
      </c>
      <c r="D13" s="48">
        <f ca="1">IF(ISERROR(D10-D12),"",D10-D12)</f>
        <v>8.3999999999999986</v>
      </c>
      <c r="E13" s="121">
        <f t="shared" ca="1" si="0"/>
        <v>1</v>
      </c>
      <c r="F13" s="104" t="s">
        <v>13</v>
      </c>
      <c r="G13" s="105">
        <v>0</v>
      </c>
      <c r="H13" s="106">
        <v>0.05</v>
      </c>
      <c r="I13" s="106">
        <v>0.1</v>
      </c>
      <c r="J13" s="107">
        <v>0.15</v>
      </c>
      <c r="L13" s="164" t="s">
        <v>82</v>
      </c>
      <c r="M13" s="165">
        <v>0</v>
      </c>
    </row>
    <row r="14" spans="1:14" ht="22.15" customHeight="1" thickBot="1" x14ac:dyDescent="0.5">
      <c r="B14" s="171" t="str">
        <f>D6&amp;" State Sales Tax:"</f>
        <v>AL State Sales Tax:</v>
      </c>
      <c r="C14" s="34">
        <f ca="1">ROUND(VLOOKUP($D$6,$L$5:$M$55,2)*$C$13,2)</f>
        <v>0.34</v>
      </c>
      <c r="D14" s="51">
        <f ca="1">IF(ISERROR(ROUND(D13*VLOOKUP($D$6,$L$5:$M$62,2,FALSE),2)),"",ROUND(D13*VLOOKUP($D$6,$L$5:$M$62,2,FALSE),2))</f>
        <v>0.34</v>
      </c>
      <c r="E14" s="121">
        <f t="shared" ca="1" si="0"/>
        <v>1</v>
      </c>
      <c r="L14" s="164" t="s">
        <v>83</v>
      </c>
      <c r="M14" s="165">
        <v>0.06</v>
      </c>
    </row>
    <row r="15" spans="1:14" ht="22.15" customHeight="1" thickBot="1" x14ac:dyDescent="0.5">
      <c r="B15" s="183"/>
      <c r="C15" s="127"/>
      <c r="E15" s="121"/>
      <c r="L15" s="164" t="s">
        <v>84</v>
      </c>
      <c r="M15" s="165">
        <v>0.04</v>
      </c>
    </row>
    <row r="16" spans="1:14" ht="22.15" customHeight="1" thickBot="1" x14ac:dyDescent="0.5">
      <c r="B16" s="172" t="s">
        <v>14</v>
      </c>
      <c r="C16" s="35">
        <f ca="1">$C$13+$C$14</f>
        <v>8.7399999999999984</v>
      </c>
      <c r="D16" s="52">
        <f ca="1">IF(ISERROR(D14+D13),"",D14+D13)</f>
        <v>8.7399999999999984</v>
      </c>
      <c r="E16" s="121">
        <f t="shared" ca="1" si="0"/>
        <v>1</v>
      </c>
      <c r="L16" s="164" t="s">
        <v>85</v>
      </c>
      <c r="M16" s="165">
        <v>0.04</v>
      </c>
    </row>
    <row r="17" spans="1:13" ht="22.15" customHeight="1" x14ac:dyDescent="0.45">
      <c r="J17" s="26"/>
      <c r="L17" s="164" t="s">
        <v>86</v>
      </c>
      <c r="M17" s="165">
        <v>0.06</v>
      </c>
    </row>
    <row r="18" spans="1:13" s="22" customFormat="1" ht="22.15" customHeight="1" x14ac:dyDescent="0.45">
      <c r="B18" s="23"/>
      <c r="C18" s="23"/>
      <c r="D18" s="23"/>
      <c r="E18" s="23"/>
      <c r="H18" s="23"/>
      <c r="I18" s="23"/>
      <c r="J18" s="23"/>
      <c r="L18" s="164" t="s">
        <v>87</v>
      </c>
      <c r="M18" s="165">
        <v>0.06</v>
      </c>
    </row>
    <row r="19" spans="1:13" s="22" customFormat="1" ht="22.15" customHeight="1" x14ac:dyDescent="0.45">
      <c r="B19" s="23"/>
      <c r="C19" s="23"/>
      <c r="D19" s="23"/>
      <c r="E19" s="23"/>
      <c r="F19" s="23"/>
      <c r="G19" s="23"/>
      <c r="H19" s="23"/>
      <c r="I19" s="23"/>
      <c r="J19" s="23"/>
      <c r="L19" s="164" t="s">
        <v>88</v>
      </c>
      <c r="M19" s="165">
        <v>6.25E-2</v>
      </c>
    </row>
    <row r="20" spans="1:13" s="22" customFormat="1" ht="22.15" customHeight="1" x14ac:dyDescent="0.45">
      <c r="A20" s="28"/>
      <c r="J20" s="23"/>
      <c r="L20" s="164" t="s">
        <v>89</v>
      </c>
      <c r="M20" s="165">
        <v>7.0000000000000007E-2</v>
      </c>
    </row>
    <row r="21" spans="1:13" s="22" customFormat="1" ht="22.15" customHeight="1" x14ac:dyDescent="0.45">
      <c r="J21" s="23"/>
      <c r="L21" s="164" t="s">
        <v>74</v>
      </c>
      <c r="M21" s="165">
        <v>6.5000000000000002E-2</v>
      </c>
    </row>
    <row r="22" spans="1:13" s="22" customFormat="1" ht="22.15" customHeight="1" x14ac:dyDescent="0.45">
      <c r="J22" s="23"/>
      <c r="L22" s="164" t="s">
        <v>90</v>
      </c>
      <c r="M22" s="165">
        <v>0.06</v>
      </c>
    </row>
    <row r="23" spans="1:13" s="22" customFormat="1" ht="22.15" customHeight="1" x14ac:dyDescent="0.45">
      <c r="B23" s="29"/>
      <c r="J23" s="23"/>
      <c r="L23" s="164" t="s">
        <v>91</v>
      </c>
      <c r="M23" s="165">
        <v>0.05</v>
      </c>
    </row>
    <row r="24" spans="1:13" s="22" customFormat="1" ht="22.15" customHeight="1" x14ac:dyDescent="0.45">
      <c r="B24" s="29"/>
      <c r="J24" s="23"/>
      <c r="L24" s="164" t="s">
        <v>92</v>
      </c>
      <c r="M24" s="165">
        <v>6.25E-2</v>
      </c>
    </row>
    <row r="25" spans="1:13" s="22" customFormat="1" ht="22.15" customHeight="1" x14ac:dyDescent="0.45">
      <c r="B25" s="25"/>
      <c r="J25" s="23"/>
      <c r="L25" s="164" t="s">
        <v>93</v>
      </c>
      <c r="M25" s="165">
        <v>0.06</v>
      </c>
    </row>
    <row r="26" spans="1:13" s="22" customFormat="1" ht="22.15" customHeight="1" x14ac:dyDescent="0.45">
      <c r="B26" s="30"/>
      <c r="C26" s="30"/>
      <c r="D26" s="30"/>
      <c r="E26" s="30"/>
      <c r="F26" s="30"/>
      <c r="G26" s="30"/>
      <c r="H26" s="30"/>
      <c r="I26" s="30"/>
      <c r="J26" s="23"/>
      <c r="L26" s="164" t="s">
        <v>94</v>
      </c>
      <c r="M26" s="165">
        <v>5.5E-2</v>
      </c>
    </row>
    <row r="27" spans="1:13" s="22" customFormat="1" ht="22.15" customHeight="1" x14ac:dyDescent="0.45">
      <c r="J27" s="23"/>
      <c r="L27" s="164" t="s">
        <v>95</v>
      </c>
      <c r="M27" s="165">
        <v>0.06</v>
      </c>
    </row>
    <row r="28" spans="1:13" s="22" customFormat="1" ht="22.15" customHeight="1" x14ac:dyDescent="0.45">
      <c r="J28" s="23"/>
      <c r="L28" s="164" t="s">
        <v>96</v>
      </c>
      <c r="M28" s="165">
        <v>6.8750000000000006E-2</v>
      </c>
    </row>
    <row r="29" spans="1:13" s="22" customFormat="1" ht="22.15" customHeight="1" x14ac:dyDescent="0.45">
      <c r="J29" s="23"/>
      <c r="L29" s="164" t="s">
        <v>97</v>
      </c>
      <c r="M29" s="165">
        <v>4.2250000000000003E-2</v>
      </c>
    </row>
    <row r="30" spans="1:13" ht="22.15" customHeight="1" x14ac:dyDescent="0.45">
      <c r="L30" s="164" t="s">
        <v>98</v>
      </c>
      <c r="M30" s="165">
        <v>7.0000000000000007E-2</v>
      </c>
    </row>
    <row r="31" spans="1:13" ht="22.15" customHeight="1" x14ac:dyDescent="0.45">
      <c r="J31" s="22"/>
      <c r="L31" s="164" t="s">
        <v>99</v>
      </c>
      <c r="M31" s="165">
        <v>0</v>
      </c>
    </row>
    <row r="32" spans="1:13" ht="22.15" customHeight="1" x14ac:dyDescent="0.45">
      <c r="J32" s="22"/>
      <c r="L32" s="164" t="s">
        <v>100</v>
      </c>
      <c r="M32" s="165">
        <v>4.7500000000000001E-2</v>
      </c>
    </row>
    <row r="33" spans="2:13" ht="22.15" customHeight="1" x14ac:dyDescent="0.45">
      <c r="J33" s="22"/>
      <c r="L33" s="164" t="s">
        <v>101</v>
      </c>
      <c r="M33" s="165">
        <v>0.05</v>
      </c>
    </row>
    <row r="34" spans="2:13" ht="22.15" customHeight="1" x14ac:dyDescent="0.45">
      <c r="J34" s="22"/>
      <c r="L34" s="164" t="s">
        <v>102</v>
      </c>
      <c r="M34" s="165">
        <v>5.5E-2</v>
      </c>
    </row>
    <row r="35" spans="2:13" ht="22.15" customHeight="1" x14ac:dyDescent="0.45">
      <c r="J35" s="22"/>
      <c r="L35" s="164" t="s">
        <v>103</v>
      </c>
      <c r="M35" s="165">
        <v>0</v>
      </c>
    </row>
    <row r="36" spans="2:13" ht="22.15" customHeight="1" x14ac:dyDescent="0.45">
      <c r="J36" s="22"/>
      <c r="L36" s="164" t="s">
        <v>104</v>
      </c>
      <c r="M36" s="165">
        <v>7.0000000000000007E-2</v>
      </c>
    </row>
    <row r="37" spans="2:13" ht="22.15" customHeight="1" x14ac:dyDescent="0.45">
      <c r="J37" s="22"/>
      <c r="L37" s="164" t="s">
        <v>105</v>
      </c>
      <c r="M37" s="165">
        <v>5.1249999999999997E-2</v>
      </c>
    </row>
    <row r="38" spans="2:13" ht="22.15" customHeight="1" x14ac:dyDescent="0.45">
      <c r="J38" s="22"/>
      <c r="L38" s="164" t="s">
        <v>106</v>
      </c>
      <c r="M38" s="165">
        <v>6.8500000000000005E-2</v>
      </c>
    </row>
    <row r="39" spans="2:13" ht="22.15" customHeight="1" x14ac:dyDescent="0.45">
      <c r="J39" s="22"/>
      <c r="L39" s="164" t="s">
        <v>107</v>
      </c>
      <c r="M39" s="165">
        <v>0.04</v>
      </c>
    </row>
    <row r="40" spans="2:13" ht="22.15" customHeight="1" x14ac:dyDescent="0.45">
      <c r="B40" s="22"/>
      <c r="C40" s="22"/>
      <c r="D40" s="22"/>
      <c r="E40" s="22"/>
      <c r="F40" s="22"/>
      <c r="G40" s="22"/>
      <c r="H40" s="22"/>
      <c r="I40" s="22"/>
      <c r="J40" s="22"/>
      <c r="L40" s="164" t="s">
        <v>108</v>
      </c>
      <c r="M40" s="165">
        <v>5.7500000000000002E-2</v>
      </c>
    </row>
    <row r="41" spans="2:13" ht="22.15" customHeight="1" x14ac:dyDescent="0.45">
      <c r="L41" s="164" t="s">
        <v>109</v>
      </c>
      <c r="M41" s="165">
        <v>4.4999999999999998E-2</v>
      </c>
    </row>
    <row r="42" spans="2:13" ht="22.15" customHeight="1" x14ac:dyDescent="0.45">
      <c r="L42" s="164" t="s">
        <v>110</v>
      </c>
      <c r="M42" s="165">
        <v>0</v>
      </c>
    </row>
    <row r="43" spans="2:13" ht="22.15" customHeight="1" x14ac:dyDescent="0.45">
      <c r="L43" s="164" t="s">
        <v>111</v>
      </c>
      <c r="M43" s="165">
        <v>0.06</v>
      </c>
    </row>
    <row r="44" spans="2:13" ht="22.15" customHeight="1" x14ac:dyDescent="0.45">
      <c r="L44" s="164" t="s">
        <v>112</v>
      </c>
      <c r="M44" s="165">
        <v>7.0000000000000007E-2</v>
      </c>
    </row>
    <row r="45" spans="2:13" ht="22.15" customHeight="1" x14ac:dyDescent="0.45">
      <c r="L45" s="164" t="s">
        <v>113</v>
      </c>
      <c r="M45" s="165">
        <v>0.06</v>
      </c>
    </row>
    <row r="46" spans="2:13" ht="22.15" customHeight="1" x14ac:dyDescent="0.45">
      <c r="L46" s="164" t="s">
        <v>114</v>
      </c>
      <c r="M46" s="165">
        <v>4.4999999999999998E-2</v>
      </c>
    </row>
    <row r="47" spans="2:13" ht="22.15" customHeight="1" x14ac:dyDescent="0.45">
      <c r="L47" s="164" t="s">
        <v>115</v>
      </c>
      <c r="M47" s="165">
        <v>7.0000000000000007E-2</v>
      </c>
    </row>
    <row r="48" spans="2:13" ht="22.15" customHeight="1" x14ac:dyDescent="0.45">
      <c r="L48" s="164" t="s">
        <v>116</v>
      </c>
      <c r="M48" s="165">
        <v>6.25E-2</v>
      </c>
    </row>
    <row r="49" spans="12:13" ht="22.15" customHeight="1" x14ac:dyDescent="0.45">
      <c r="L49" s="164" t="s">
        <v>117</v>
      </c>
      <c r="M49" s="165">
        <v>4.7E-2</v>
      </c>
    </row>
    <row r="50" spans="12:13" ht="22.15" customHeight="1" x14ac:dyDescent="0.45">
      <c r="L50" s="164" t="s">
        <v>118</v>
      </c>
      <c r="M50" s="165">
        <v>4.2999999999999997E-2</v>
      </c>
    </row>
    <row r="51" spans="12:13" ht="22.15" customHeight="1" x14ac:dyDescent="0.45">
      <c r="L51" s="164" t="s">
        <v>119</v>
      </c>
      <c r="M51" s="165">
        <v>0.06</v>
      </c>
    </row>
    <row r="52" spans="12:13" ht="22.15" customHeight="1" x14ac:dyDescent="0.45">
      <c r="L52" s="164" t="s">
        <v>120</v>
      </c>
      <c r="M52" s="165">
        <v>6.5000000000000002E-2</v>
      </c>
    </row>
    <row r="53" spans="12:13" ht="22.15" customHeight="1" x14ac:dyDescent="0.45">
      <c r="L53" s="164" t="s">
        <v>121</v>
      </c>
      <c r="M53" s="165">
        <v>0.05</v>
      </c>
    </row>
    <row r="54" spans="12:13" ht="22.15" customHeight="1" x14ac:dyDescent="0.45">
      <c r="L54" s="164" t="s">
        <v>122</v>
      </c>
      <c r="M54" s="165">
        <v>0.06</v>
      </c>
    </row>
    <row r="55" spans="12:13" ht="22.15" customHeight="1" thickBot="1" x14ac:dyDescent="0.5">
      <c r="L55" s="166" t="s">
        <v>123</v>
      </c>
      <c r="M55" s="167">
        <v>0.04</v>
      </c>
    </row>
  </sheetData>
  <sheetProtection algorithmName="SHA-512" hashValue="kkgMqEUNw9gZ8ErzlghzcHvJ2CvmsIZzFJVPvKljXK6zb+Dh+vwK4cQGGVGmfLWDVrNKlsraK0YI1nKs73ceOQ==" saltValue="DSWbzaKv03KcUte3pUIWOQ==" spinCount="100000" sheet="1" objects="1" scenarios="1" formatCells="0"/>
  <customSheetViews>
    <customSheetView guid="{F48879B3-465F-4E59-8572-F7D7277CEA75}" scale="81" showGridLines="0">
      <selection activeCell="C9" sqref="C9"/>
      <pageMargins left="0.75" right="0.75" top="1" bottom="1" header="0.5" footer="0.5"/>
      <pageSetup orientation="portrait" horizontalDpi="1200" verticalDpi="1200" r:id="rId1"/>
      <headerFooter alignWithMargins="0"/>
    </customSheetView>
    <customSheetView guid="{3B654179-D0CF-4576-A51B-BDA963916BB0}" scale="81" showGridLines="0">
      <selection activeCell="C9" sqref="C9"/>
      <pageMargins left="0.75" right="0.75" top="1" bottom="1" header="0.5" footer="0.5"/>
      <pageSetup orientation="portrait" horizontalDpi="1200" verticalDpi="1200" r:id="rId2"/>
      <headerFooter alignWithMargins="0"/>
    </customSheetView>
  </customSheetViews>
  <mergeCells count="5">
    <mergeCell ref="B1:N1"/>
    <mergeCell ref="B4:C5"/>
    <mergeCell ref="F4:J4"/>
    <mergeCell ref="F11:J11"/>
    <mergeCell ref="D4:D5"/>
  </mergeCells>
  <dataValidations xWindow="839" yWindow="1226" count="4">
    <dataValidation type="textLength" operator="greaterThan" allowBlank="1" showInputMessage="1" showErrorMessage="1" errorTitle="Item Spelling" error="Make sure that you enter a valid Item name from the Price Table to the right." promptTitle="Item Selection" prompt="Type in the name of the item you want to use in the price calculation below.  BE SURE TO CHECK YOUR SPELLING!" sqref="C6" xr:uid="{00000000-0002-0000-0300-000000000000}">
      <formula1>1</formula1>
    </dataValidation>
    <dataValidation type="whole" operator="greaterThan" allowBlank="1" showInputMessage="1" showErrorMessage="1" errorTitle="Quantity Input Error" error="Your value must be greater than 0 and must be a whole number." promptTitle="Quantity Input" prompt="Enter the quantity of items you want to use in the calculations below." sqref="C7" xr:uid="{00000000-0002-0000-0300-000001000000}">
      <formula1>0</formula1>
    </dataValidation>
    <dataValidation type="list" allowBlank="1" showInputMessage="1" showErrorMessage="1" promptTitle="State Selection" prompt="Click the down arrow next to this cell to select a state to calculate its tax." sqref="D6" xr:uid="{00000000-0002-0000-0300-000002000000}">
      <formula1>"AK,AL,AR,AZ,CA,CO,CT,DC,DE,FL,GA,HI,IA,ID,IL,IN,KS,KY,LA,MA,MD,ME,MI,MN,MO,MS,MT,NC,ND,NE,NH,NJ,NM,NV,NY,OH,OK,OR,PA,RI,SC,SD,TN,TX,UT,VA,VT,WA,WI,WV,WY"</formula1>
    </dataValidation>
    <dataValidation allowBlank="1" showInputMessage="1" showErrorMessage="1" promptTitle="State Sales Tax" prompt="Your formula should calculate the correct sales tax based on the state chosen in cell D6 and should be rounded to the nearest penny." sqref="C14" xr:uid="{00000000-0002-0000-0300-000003000000}"/>
  </dataValidations>
  <pageMargins left="0.75" right="0.75" top="1" bottom="1" header="0.5" footer="0.5"/>
  <pageSetup orientation="portrait" horizontalDpi="1200" verticalDpi="1200" r:id="rId3"/>
  <headerFooter alignWithMargins="0"/>
  <extLst>
    <ext xmlns:x14="http://schemas.microsoft.com/office/spreadsheetml/2009/9/main" uri="{78C0D931-6437-407d-A8EE-F0AAD7539E65}">
      <x14:conditionalFormattings>
        <x14:conditionalFormatting xmlns:xm="http://schemas.microsoft.com/office/excel/2006/main">
          <x14:cfRule type="iconSet" priority="1" id="{83C38C9F-2F8B-4799-9B9B-D5E354B00393}">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E9:E16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H36"/>
  <sheetViews>
    <sheetView zoomScaleNormal="100" workbookViewId="0">
      <selection activeCell="C8" sqref="C8"/>
    </sheetView>
  </sheetViews>
  <sheetFormatPr defaultColWidth="9.08984375" defaultRowHeight="14.5" x14ac:dyDescent="0.35"/>
  <cols>
    <col min="1" max="1" width="7.26953125" style="2" customWidth="1"/>
    <col min="2" max="2" width="15.7265625" style="2" customWidth="1"/>
    <col min="3" max="3" width="17" style="2" customWidth="1"/>
    <col min="4" max="4" width="19.7265625" style="2" bestFit="1" customWidth="1"/>
    <col min="5" max="8" width="15.7265625" style="2" customWidth="1"/>
    <col min="9" max="16384" width="9.08984375" style="2"/>
  </cols>
  <sheetData>
    <row r="1" spans="1:8" ht="117.75" customHeight="1" thickBot="1" x14ac:dyDescent="0.4">
      <c r="A1" s="1"/>
      <c r="B1" s="269" t="s">
        <v>136</v>
      </c>
      <c r="C1" s="270"/>
      <c r="D1" s="270"/>
      <c r="E1" s="270"/>
      <c r="F1" s="270"/>
      <c r="G1" s="270"/>
      <c r="H1" s="271"/>
    </row>
    <row r="2" spans="1:8" ht="15" customHeight="1" x14ac:dyDescent="0.35"/>
    <row r="3" spans="1:8" ht="15" customHeight="1" thickBot="1" x14ac:dyDescent="0.4"/>
    <row r="4" spans="1:8" ht="22.5" customHeight="1" thickBot="1" x14ac:dyDescent="0.4">
      <c r="B4" s="263" t="s">
        <v>43</v>
      </c>
      <c r="C4" s="264"/>
      <c r="D4"/>
      <c r="E4"/>
      <c r="F4" s="260" t="s">
        <v>42</v>
      </c>
      <c r="G4" s="261"/>
      <c r="H4" s="262"/>
    </row>
    <row r="5" spans="1:8" ht="22.5" customHeight="1" thickBot="1" x14ac:dyDescent="0.4">
      <c r="B5" s="265"/>
      <c r="C5" s="266"/>
      <c r="D5" s="39" t="s">
        <v>52</v>
      </c>
      <c r="F5" s="267" t="s">
        <v>46</v>
      </c>
      <c r="G5" s="260" t="s">
        <v>54</v>
      </c>
      <c r="H5" s="262"/>
    </row>
    <row r="6" spans="1:8" ht="22.5" customHeight="1" thickBot="1" x14ac:dyDescent="0.4">
      <c r="B6" s="5" t="s">
        <v>15</v>
      </c>
      <c r="C6" s="58">
        <v>21</v>
      </c>
      <c r="F6" s="268"/>
      <c r="G6" s="53" t="s">
        <v>53</v>
      </c>
      <c r="H6" s="54" t="s">
        <v>55</v>
      </c>
    </row>
    <row r="7" spans="1:8" ht="22.5" customHeight="1" thickBot="1" x14ac:dyDescent="0.4">
      <c r="B7" s="6" t="s">
        <v>16</v>
      </c>
      <c r="C7" s="59" t="s">
        <v>18</v>
      </c>
      <c r="F7" s="55" t="s">
        <v>17</v>
      </c>
      <c r="G7" s="158">
        <v>60</v>
      </c>
      <c r="H7" s="159">
        <v>75</v>
      </c>
    </row>
    <row r="8" spans="1:8" ht="22.5" customHeight="1" thickBot="1" x14ac:dyDescent="0.5">
      <c r="B8" s="6" t="s">
        <v>44</v>
      </c>
      <c r="C8" s="60">
        <f>VLOOKUP($C$7,$F$7:$H$10,IF($C$6&gt;18,3,2),FALSE)</f>
        <v>35</v>
      </c>
      <c r="D8" s="108">
        <f>IF(ISERROR(VLOOKUP(C7,F7:H10,IF(AND(C6&lt;=18,C6&gt;0),2,IF(C6&lt;=0,"xxx",3)),FALSE)),"",VLOOKUP(C7,F7:H10,IF(AND(C6&lt;=18,C6&gt;0),2,IF(C6&lt;=0,"xxx",3)),FALSE))</f>
        <v>35</v>
      </c>
      <c r="E8" s="120">
        <f>(D8=C8)*1</f>
        <v>1</v>
      </c>
      <c r="F8" s="56" t="s">
        <v>50</v>
      </c>
      <c r="G8" s="160">
        <v>40</v>
      </c>
      <c r="H8" s="161">
        <v>50</v>
      </c>
    </row>
    <row r="9" spans="1:8" ht="22.5" customHeight="1" thickBot="1" x14ac:dyDescent="0.5">
      <c r="B9" s="7" t="s">
        <v>45</v>
      </c>
      <c r="C9" s="135">
        <f>IF(ISERROR(C6),"INVALID AGE!",IF(ISERROR(C7),"INVALID LOCATION!",VLOOKUP($C$7,$F$7:$H$10,IF($C$6&gt;18,3,2),FALSE)))</f>
        <v>35</v>
      </c>
      <c r="D9" s="108">
        <f>IF(OR(C6="",C7=""),"",IF(C6&lt;=0,"INVALID AGE!",IF(ISERROR(VLOOKUP(C7,F7:H10,IF(AND(C6&lt;=18,C6&gt;0),2,3),FALSE)),"INVALID LOCATION!",VLOOKUP(C7,F7:H10,IF(AND(C6&lt;=18,C6&gt;0),2,3),FALSE))))</f>
        <v>35</v>
      </c>
      <c r="E9" s="120"/>
      <c r="F9" s="56" t="s">
        <v>18</v>
      </c>
      <c r="G9" s="160">
        <v>25</v>
      </c>
      <c r="H9" s="161">
        <v>35</v>
      </c>
    </row>
    <row r="10" spans="1:8" ht="22.5" customHeight="1" thickBot="1" x14ac:dyDescent="0.4">
      <c r="F10" s="57" t="s">
        <v>19</v>
      </c>
      <c r="G10" s="162">
        <v>10</v>
      </c>
      <c r="H10" s="163">
        <v>15</v>
      </c>
    </row>
    <row r="11" spans="1:8" ht="15" customHeight="1" x14ac:dyDescent="0.35"/>
    <row r="12" spans="1:8" ht="15" customHeight="1" x14ac:dyDescent="0.35"/>
    <row r="13" spans="1:8" ht="15" customHeight="1" x14ac:dyDescent="0.35"/>
    <row r="14" spans="1:8" ht="15" customHeight="1" x14ac:dyDescent="0.35"/>
    <row r="18" spans="1:6" ht="12.75" customHeight="1" x14ac:dyDescent="0.35">
      <c r="A18" s="4"/>
    </row>
    <row r="20" spans="1:6" x14ac:dyDescent="0.35">
      <c r="B20" s="3"/>
      <c r="C20" s="3"/>
      <c r="D20" s="3"/>
      <c r="E20" s="3"/>
    </row>
    <row r="21" spans="1:6" x14ac:dyDescent="0.35">
      <c r="B21" s="3"/>
      <c r="C21" s="3"/>
      <c r="D21" s="3"/>
      <c r="E21" s="3"/>
    </row>
    <row r="22" spans="1:6" ht="12.75" customHeight="1" x14ac:dyDescent="0.35">
      <c r="A22" s="4"/>
      <c r="B22" s="3"/>
      <c r="C22" s="3"/>
      <c r="D22" s="3"/>
      <c r="E22" s="3"/>
    </row>
    <row r="24" spans="1:6" x14ac:dyDescent="0.35">
      <c r="B24" s="3"/>
      <c r="C24" s="3"/>
      <c r="D24" s="3"/>
      <c r="E24" s="3"/>
    </row>
    <row r="25" spans="1:6" ht="12.75" customHeight="1" x14ac:dyDescent="0.35">
      <c r="F25" s="3"/>
    </row>
    <row r="26" spans="1:6" x14ac:dyDescent="0.35">
      <c r="F26" s="3"/>
    </row>
    <row r="27" spans="1:6" x14ac:dyDescent="0.35">
      <c r="F27" s="3"/>
    </row>
    <row r="29" spans="1:6" x14ac:dyDescent="0.35">
      <c r="B29" s="3"/>
      <c r="C29" s="3"/>
      <c r="D29" s="3"/>
      <c r="E29" s="3"/>
      <c r="F29" s="3"/>
    </row>
    <row r="30" spans="1:6" x14ac:dyDescent="0.35">
      <c r="B30" s="3"/>
      <c r="C30" s="3"/>
      <c r="D30" s="3"/>
      <c r="E30" s="3"/>
      <c r="F30" s="3"/>
    </row>
    <row r="31" spans="1:6" x14ac:dyDescent="0.35">
      <c r="B31" s="4"/>
      <c r="C31" s="3"/>
      <c r="D31" s="3"/>
      <c r="E31" s="3"/>
      <c r="F31" s="3"/>
    </row>
    <row r="32" spans="1:6" x14ac:dyDescent="0.35">
      <c r="C32" s="3"/>
      <c r="D32" s="3"/>
      <c r="E32" s="3"/>
      <c r="F32" s="3"/>
    </row>
    <row r="33" spans="3:6" x14ac:dyDescent="0.35">
      <c r="C33" s="3"/>
      <c r="D33" s="3"/>
      <c r="E33" s="3"/>
      <c r="F33" s="3"/>
    </row>
    <row r="34" spans="3:6" x14ac:dyDescent="0.35">
      <c r="C34" s="3"/>
      <c r="D34" s="3"/>
      <c r="E34" s="3"/>
      <c r="F34" s="3"/>
    </row>
    <row r="35" spans="3:6" x14ac:dyDescent="0.35">
      <c r="C35" s="3"/>
      <c r="D35" s="3"/>
      <c r="E35" s="3"/>
      <c r="F35" s="3"/>
    </row>
    <row r="36" spans="3:6" x14ac:dyDescent="0.35">
      <c r="F36" s="3"/>
    </row>
  </sheetData>
  <sheetProtection algorithmName="SHA-512" hashValue="JAcvPWFvrxF21M7ANXPjgtFg/nFsMnKqjXjW/jc/Wus6CkpEvkhqGNiM3MY4BsmNl+NRIVj5DnDOk8G2OtYaqw==" saltValue="W06G3nhiJa8vWnkvgmtHOg==" spinCount="100000" sheet="1" objects="1" scenarios="1" formatCells="0"/>
  <customSheetViews>
    <customSheetView guid="{F48879B3-465F-4E59-8572-F7D7277CEA75}" scale="121">
      <selection activeCell="C9" sqref="C9"/>
      <pageMargins left="0.75" right="0.75" top="1" bottom="1" header="0.5" footer="0.5"/>
      <pageSetup orientation="portrait" horizontalDpi="1200" verticalDpi="1200" r:id="rId1"/>
      <headerFooter alignWithMargins="0"/>
    </customSheetView>
    <customSheetView guid="{3B654179-D0CF-4576-A51B-BDA963916BB0}" scale="121">
      <selection activeCell="C9" sqref="C9"/>
      <pageMargins left="0.75" right="0.75" top="1" bottom="1" header="0.5" footer="0.5"/>
      <pageSetup orientation="portrait" horizontalDpi="1200" verticalDpi="1200" r:id="rId2"/>
      <headerFooter alignWithMargins="0"/>
    </customSheetView>
  </customSheetViews>
  <mergeCells count="5">
    <mergeCell ref="F4:H4"/>
    <mergeCell ref="B4:C5"/>
    <mergeCell ref="F5:F6"/>
    <mergeCell ref="G5:H5"/>
    <mergeCell ref="B1:H1"/>
  </mergeCells>
  <phoneticPr fontId="2" type="noConversion"/>
  <dataValidations count="2">
    <dataValidation allowBlank="1" showInputMessage="1" showErrorMessage="1" promptTitle="Age Entry" prompt="Type in any age to test your formula(s)." sqref="C6" xr:uid="{00000000-0002-0000-0400-000000000000}"/>
    <dataValidation allowBlank="1" showInputMessage="1" showErrorMessage="1" promptTitle="Ticket Location Entry" prompt="Type in a valid Ticket Location to test your formula(s).  Once you verify your formula(s) work, change the spelling to test for an incorrectly spelled location." sqref="C7" xr:uid="{00000000-0002-0000-0400-000001000000}"/>
  </dataValidations>
  <pageMargins left="0.75" right="0.75" top="1" bottom="1" header="0.5" footer="0.5"/>
  <pageSetup orientation="portrait" horizontalDpi="1200" verticalDpi="1200" r:id="rId3"/>
  <headerFooter alignWithMargins="0"/>
  <extLst>
    <ext xmlns:x14="http://schemas.microsoft.com/office/spreadsheetml/2009/9/main" uri="{78C0D931-6437-407d-A8EE-F0AAD7539E65}">
      <x14:conditionalFormattings>
        <x14:conditionalFormatting xmlns:xm="http://schemas.microsoft.com/office/excel/2006/main">
          <x14:cfRule type="iconSet" priority="1" id="{88EF8C2C-32D8-4BFB-8593-EEFE85BE175A}">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E8:E9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O33"/>
  <sheetViews>
    <sheetView showGridLines="0" tabSelected="1" zoomScale="60" zoomScaleNormal="60" workbookViewId="0">
      <selection activeCell="E9" sqref="E9"/>
    </sheetView>
  </sheetViews>
  <sheetFormatPr defaultColWidth="9.08984375" defaultRowHeight="16" x14ac:dyDescent="0.45"/>
  <cols>
    <col min="1" max="1" width="12.7265625" style="24" customWidth="1"/>
    <col min="2" max="2" width="27" style="24" bestFit="1" customWidth="1"/>
    <col min="3" max="6" width="10.7265625" style="24" customWidth="1"/>
    <col min="7" max="7" width="3.26953125" style="24" customWidth="1"/>
    <col min="8" max="9" width="15.7265625" style="24" customWidth="1"/>
    <col min="10" max="10" width="20" style="24" customWidth="1"/>
    <col min="11" max="11" width="10.7265625" style="24" customWidth="1"/>
    <col min="12" max="12" width="28.7265625" style="24" bestFit="1" customWidth="1"/>
    <col min="13" max="15" width="10.7265625" style="24" customWidth="1"/>
    <col min="16" max="16384" width="9.08984375" style="24"/>
  </cols>
  <sheetData>
    <row r="1" spans="1:15" ht="196.5" customHeight="1" thickBot="1" x14ac:dyDescent="0.5">
      <c r="A1" s="61"/>
      <c r="B1" s="281" t="s">
        <v>70</v>
      </c>
      <c r="C1" s="282"/>
      <c r="D1" s="282"/>
      <c r="E1" s="282"/>
      <c r="F1" s="282"/>
      <c r="G1" s="282"/>
      <c r="H1" s="282"/>
      <c r="I1" s="282"/>
      <c r="J1" s="282"/>
      <c r="K1" s="282"/>
      <c r="L1" s="282"/>
      <c r="M1" s="282"/>
      <c r="N1" s="282"/>
      <c r="O1" s="283"/>
    </row>
    <row r="2" spans="1:15" ht="15" customHeight="1" thickBot="1" x14ac:dyDescent="0.5"/>
    <row r="3" spans="1:15" ht="15" customHeight="1" thickBot="1" x14ac:dyDescent="0.5">
      <c r="L3" s="278" t="s">
        <v>52</v>
      </c>
      <c r="M3" s="279"/>
      <c r="N3" s="279"/>
      <c r="O3" s="280"/>
    </row>
    <row r="4" spans="1:15" ht="22.5" customHeight="1" thickBot="1" x14ac:dyDescent="0.5">
      <c r="B4" s="242" t="s">
        <v>30</v>
      </c>
      <c r="C4" s="287"/>
      <c r="D4" s="287"/>
      <c r="E4" s="243"/>
      <c r="H4" s="289" t="s">
        <v>36</v>
      </c>
      <c r="I4" s="290"/>
      <c r="J4" s="291"/>
      <c r="L4" s="272" t="s">
        <v>30</v>
      </c>
      <c r="M4" s="273"/>
      <c r="N4" s="273"/>
      <c r="O4" s="274"/>
    </row>
    <row r="5" spans="1:15" ht="22.5" customHeight="1" thickBot="1" x14ac:dyDescent="0.5">
      <c r="B5" s="244"/>
      <c r="C5" s="288"/>
      <c r="D5" s="288"/>
      <c r="E5" s="245"/>
      <c r="H5" s="67" t="s">
        <v>21</v>
      </c>
      <c r="I5" s="68" t="s">
        <v>22</v>
      </c>
      <c r="J5" s="69" t="s">
        <v>37</v>
      </c>
      <c r="L5" s="275"/>
      <c r="M5" s="276"/>
      <c r="N5" s="276"/>
      <c r="O5" s="277"/>
    </row>
    <row r="6" spans="1:15" ht="22.5" customHeight="1" x14ac:dyDescent="0.45">
      <c r="B6" s="78" t="s">
        <v>20</v>
      </c>
      <c r="C6" s="130">
        <f t="shared" ref="C6:E6" ca="1" si="0">RANDBETWEEN(0,2500)</f>
        <v>773</v>
      </c>
      <c r="D6" s="131">
        <f t="shared" ca="1" si="0"/>
        <v>1789</v>
      </c>
      <c r="E6" s="132">
        <f t="shared" ca="1" si="0"/>
        <v>1312</v>
      </c>
      <c r="H6" s="81">
        <v>0</v>
      </c>
      <c r="I6" s="151">
        <v>29.99</v>
      </c>
      <c r="J6" s="154">
        <v>0</v>
      </c>
      <c r="L6" s="84" t="s">
        <v>20</v>
      </c>
      <c r="M6" s="85">
        <f ca="1">C6</f>
        <v>773</v>
      </c>
      <c r="N6" s="86">
        <f ca="1">D6</f>
        <v>1789</v>
      </c>
      <c r="O6" s="87">
        <f ca="1">E6</f>
        <v>1312</v>
      </c>
    </row>
    <row r="7" spans="1:15" ht="22.5" customHeight="1" x14ac:dyDescent="0.45">
      <c r="B7" s="284"/>
      <c r="C7" s="285"/>
      <c r="D7" s="285"/>
      <c r="E7" s="286"/>
      <c r="H7" s="82">
        <v>600</v>
      </c>
      <c r="I7" s="152">
        <v>39.99</v>
      </c>
      <c r="J7" s="155">
        <v>0.15</v>
      </c>
      <c r="L7" s="292"/>
      <c r="M7" s="293"/>
      <c r="N7" s="293"/>
      <c r="O7" s="294"/>
    </row>
    <row r="8" spans="1:15" ht="22.5" customHeight="1" thickBot="1" x14ac:dyDescent="0.5">
      <c r="B8" s="79" t="s">
        <v>27</v>
      </c>
      <c r="C8" s="70">
        <f ca="1">VLOOKUP(C6,H6:I8,2,TRUE)</f>
        <v>39.99</v>
      </c>
      <c r="D8" s="71">
        <f ca="1">VLOOKUP(D6,H6:I8,2,TRUE)</f>
        <v>49.99</v>
      </c>
      <c r="E8" s="72">
        <f ca="1">VLOOKUP(E6,H6:I9,2,TRUE)</f>
        <v>39.99</v>
      </c>
      <c r="F8" s="200">
        <f ca="1">1*(SUM($C8:$E8)=SUM($M8:$O8))</f>
        <v>1</v>
      </c>
      <c r="G8" s="62"/>
      <c r="H8" s="83">
        <v>1500</v>
      </c>
      <c r="I8" s="153">
        <v>49.99</v>
      </c>
      <c r="J8" s="156">
        <v>0.05</v>
      </c>
      <c r="L8" s="88" t="s">
        <v>27</v>
      </c>
      <c r="M8" s="89">
        <f ca="1">VLOOKUP(M$6,$H6:$J8,2)</f>
        <v>39.99</v>
      </c>
      <c r="N8" s="90">
        <f t="shared" ref="N8:O8" ca="1" si="1">VLOOKUP(N$6,$H6:$J8,2)</f>
        <v>49.99</v>
      </c>
      <c r="O8" s="91">
        <f t="shared" ca="1" si="1"/>
        <v>39.99</v>
      </c>
    </row>
    <row r="9" spans="1:15" ht="22.5" customHeight="1" x14ac:dyDescent="0.45">
      <c r="B9" s="79" t="s">
        <v>28</v>
      </c>
      <c r="C9" s="70">
        <f ca="1">VLOOKUP(C6,H6:J8,3,TRUE)</f>
        <v>0.15</v>
      </c>
      <c r="D9" s="71">
        <f ca="1">VLOOKUP(D6,H6:J8,3,TRUE)</f>
        <v>0.05</v>
      </c>
      <c r="E9" s="72">
        <f ca="1">VLOOKUP(E6,H6:J8,3,TRUE)</f>
        <v>0.15</v>
      </c>
      <c r="F9" s="200">
        <f t="shared" ref="F9:F17" ca="1" si="2">1*(SUM($C9:$E9)=SUM($M9:$O9))</f>
        <v>0</v>
      </c>
      <c r="L9" s="88" t="s">
        <v>28</v>
      </c>
      <c r="M9" s="89">
        <f ca="1">(M$6-VLOOKUP(M$6,$H6:$J8,1))*VLOOKUP(M$6,$H6:$J8,3)</f>
        <v>25.95</v>
      </c>
      <c r="N9" s="90">
        <f t="shared" ref="N9:O9" ca="1" si="3">(N$6-VLOOKUP(N$6,$H6:$J8,1))*VLOOKUP(N$6,$H6:$J8,3)</f>
        <v>14.450000000000001</v>
      </c>
      <c r="O9" s="91">
        <f t="shared" ca="1" si="3"/>
        <v>106.8</v>
      </c>
    </row>
    <row r="10" spans="1:15" ht="22.5" customHeight="1" x14ac:dyDescent="0.45">
      <c r="B10" s="79" t="s">
        <v>23</v>
      </c>
      <c r="C10" s="73" t="s">
        <v>49</v>
      </c>
      <c r="D10" s="71" t="s">
        <v>49</v>
      </c>
      <c r="E10" s="72" t="s">
        <v>49</v>
      </c>
      <c r="F10" s="200">
        <f t="shared" si="2"/>
        <v>0</v>
      </c>
      <c r="L10" s="88" t="s">
        <v>23</v>
      </c>
      <c r="M10" s="136">
        <f>$J$13</f>
        <v>4.95</v>
      </c>
      <c r="N10" s="90">
        <f t="shared" ref="N10:O10" si="4">$J$13</f>
        <v>4.95</v>
      </c>
      <c r="O10" s="91">
        <f t="shared" si="4"/>
        <v>4.95</v>
      </c>
    </row>
    <row r="11" spans="1:15" ht="22.5" customHeight="1" thickBot="1" x14ac:dyDescent="0.5">
      <c r="B11" s="284"/>
      <c r="C11" s="285"/>
      <c r="D11" s="285"/>
      <c r="E11" s="286"/>
      <c r="F11" s="200"/>
      <c r="L11" s="292"/>
      <c r="M11" s="293"/>
      <c r="N11" s="293"/>
      <c r="O11" s="294"/>
    </row>
    <row r="12" spans="1:15" ht="22.5" customHeight="1" thickBot="1" x14ac:dyDescent="0.5">
      <c r="B12" s="79" t="s">
        <v>29</v>
      </c>
      <c r="C12" s="70" t="s">
        <v>49</v>
      </c>
      <c r="D12" s="71" t="s">
        <v>49</v>
      </c>
      <c r="E12" s="72" t="s">
        <v>49</v>
      </c>
      <c r="F12" s="200">
        <f t="shared" ca="1" si="2"/>
        <v>0</v>
      </c>
      <c r="H12" s="299" t="s">
        <v>31</v>
      </c>
      <c r="I12" s="300"/>
      <c r="J12" s="301"/>
      <c r="L12" s="88" t="s">
        <v>29</v>
      </c>
      <c r="M12" s="89">
        <f ca="1">SUM(M$8:M$10)</f>
        <v>70.89</v>
      </c>
      <c r="N12" s="90">
        <f t="shared" ref="N12:O12" ca="1" si="5">SUM(N$8:N$10)</f>
        <v>69.39</v>
      </c>
      <c r="O12" s="91">
        <f t="shared" ca="1" si="5"/>
        <v>151.73999999999998</v>
      </c>
    </row>
    <row r="13" spans="1:15" ht="22.5" customHeight="1" x14ac:dyDescent="0.45">
      <c r="B13" s="284"/>
      <c r="C13" s="285"/>
      <c r="D13" s="285"/>
      <c r="E13" s="286"/>
      <c r="F13" s="200"/>
      <c r="H13" s="295" t="s">
        <v>47</v>
      </c>
      <c r="I13" s="296"/>
      <c r="J13" s="157">
        <v>4.95</v>
      </c>
      <c r="L13" s="292"/>
      <c r="M13" s="293"/>
      <c r="N13" s="293"/>
      <c r="O13" s="294"/>
    </row>
    <row r="14" spans="1:15" ht="22.5" customHeight="1" thickBot="1" x14ac:dyDescent="0.5">
      <c r="B14" s="79" t="s">
        <v>38</v>
      </c>
      <c r="C14" s="70" t="s">
        <v>49</v>
      </c>
      <c r="D14" s="71" t="s">
        <v>49</v>
      </c>
      <c r="E14" s="72" t="s">
        <v>49</v>
      </c>
      <c r="F14" s="200">
        <f t="shared" ca="1" si="2"/>
        <v>0</v>
      </c>
      <c r="H14" s="297" t="s">
        <v>65</v>
      </c>
      <c r="I14" s="298"/>
      <c r="J14" s="77">
        <v>0.06</v>
      </c>
      <c r="L14" s="88" t="s">
        <v>38</v>
      </c>
      <c r="M14" s="89">
        <f ca="1">ROUND(M$12*$J$14,2)</f>
        <v>4.25</v>
      </c>
      <c r="N14" s="90">
        <f ca="1">ROUND(N$12*$J$14,2)</f>
        <v>4.16</v>
      </c>
      <c r="O14" s="91">
        <f ca="1">ROUND(O$12*$J$14,2)</f>
        <v>9.1</v>
      </c>
    </row>
    <row r="15" spans="1:15" ht="22.5" customHeight="1" x14ac:dyDescent="0.45">
      <c r="B15" s="79" t="s">
        <v>25</v>
      </c>
      <c r="C15" s="70" t="s">
        <v>49</v>
      </c>
      <c r="D15" s="71" t="s">
        <v>49</v>
      </c>
      <c r="E15" s="72" t="s">
        <v>49</v>
      </c>
      <c r="F15" s="200">
        <f t="shared" ca="1" si="2"/>
        <v>0</v>
      </c>
      <c r="L15" s="88" t="s">
        <v>25</v>
      </c>
      <c r="M15" s="89">
        <f ca="1">M$12+M$14</f>
        <v>75.14</v>
      </c>
      <c r="N15" s="90">
        <f t="shared" ref="N15:O15" ca="1" si="6">N$12+N$14</f>
        <v>73.55</v>
      </c>
      <c r="O15" s="91">
        <f t="shared" ca="1" si="6"/>
        <v>160.83999999999997</v>
      </c>
    </row>
    <row r="16" spans="1:15" ht="22.5" customHeight="1" x14ac:dyDescent="0.45">
      <c r="B16" s="284"/>
      <c r="C16" s="285"/>
      <c r="D16" s="285"/>
      <c r="E16" s="286"/>
      <c r="F16" s="200"/>
      <c r="L16" s="292"/>
      <c r="M16" s="293"/>
      <c r="N16" s="293"/>
      <c r="O16" s="294"/>
    </row>
    <row r="17" spans="2:15" s="63" customFormat="1" ht="22.5" customHeight="1" thickBot="1" x14ac:dyDescent="0.5">
      <c r="B17" s="80" t="s">
        <v>26</v>
      </c>
      <c r="C17" s="74" t="s">
        <v>49</v>
      </c>
      <c r="D17" s="75" t="s">
        <v>49</v>
      </c>
      <c r="E17" s="76" t="s">
        <v>49</v>
      </c>
      <c r="F17" s="200">
        <f t="shared" ca="1" si="2"/>
        <v>0</v>
      </c>
      <c r="G17" s="24"/>
      <c r="H17" s="24" t="s">
        <v>24</v>
      </c>
      <c r="I17" s="24"/>
      <c r="J17" s="24"/>
      <c r="K17" s="24"/>
      <c r="L17" s="92" t="s">
        <v>26</v>
      </c>
      <c r="M17" s="93">
        <f ca="1">ROUND(M$15/M$6,2)</f>
        <v>0.1</v>
      </c>
      <c r="N17" s="94">
        <f ca="1">ROUND(N$15/N$6,2)</f>
        <v>0.04</v>
      </c>
      <c r="O17" s="95">
        <f ca="1">ROUND(O$15/O$6,2)</f>
        <v>0.12</v>
      </c>
    </row>
    <row r="18" spans="2:15" s="63" customFormat="1" x14ac:dyDescent="0.45">
      <c r="F18" s="24"/>
      <c r="G18" s="24"/>
      <c r="H18" s="24"/>
      <c r="I18" s="24"/>
      <c r="J18" s="24"/>
      <c r="K18" s="24"/>
    </row>
    <row r="19" spans="2:15" s="63" customFormat="1" x14ac:dyDescent="0.45">
      <c r="C19" s="24"/>
      <c r="D19" s="24"/>
      <c r="E19" s="24"/>
      <c r="F19" s="24"/>
      <c r="G19" s="24"/>
      <c r="H19" s="24"/>
      <c r="I19" s="24"/>
      <c r="J19" s="24"/>
      <c r="K19" s="24"/>
    </row>
    <row r="20" spans="2:15" s="63" customFormat="1" x14ac:dyDescent="0.45">
      <c r="C20" s="24"/>
      <c r="D20" s="24"/>
      <c r="E20" s="24"/>
      <c r="F20" s="24"/>
      <c r="G20" s="24"/>
      <c r="K20" s="24"/>
    </row>
    <row r="21" spans="2:15" s="63" customFormat="1" x14ac:dyDescent="0.45">
      <c r="C21" s="24"/>
      <c r="D21" s="24"/>
      <c r="E21" s="24"/>
      <c r="F21" s="24"/>
      <c r="G21" s="24"/>
      <c r="K21" s="24"/>
    </row>
    <row r="22" spans="2:15" s="63" customFormat="1" x14ac:dyDescent="0.45">
      <c r="B22" s="24"/>
      <c r="C22" s="24"/>
      <c r="D22" s="24"/>
      <c r="E22" s="24"/>
      <c r="F22" s="24"/>
      <c r="G22" s="24"/>
      <c r="K22" s="24"/>
    </row>
    <row r="23" spans="2:15" s="63" customFormat="1" x14ac:dyDescent="0.25"/>
    <row r="24" spans="2:15" s="63" customFormat="1" x14ac:dyDescent="0.25"/>
    <row r="25" spans="2:15" s="63" customFormat="1" x14ac:dyDescent="0.25">
      <c r="B25" s="64"/>
    </row>
    <row r="26" spans="2:15" s="63" customFormat="1" x14ac:dyDescent="0.25">
      <c r="B26" s="64"/>
    </row>
    <row r="27" spans="2:15" s="63" customFormat="1" x14ac:dyDescent="0.25">
      <c r="B27" s="64"/>
    </row>
    <row r="28" spans="2:15" s="63" customFormat="1" x14ac:dyDescent="0.25"/>
    <row r="29" spans="2:15" s="63" customFormat="1" x14ac:dyDescent="0.25">
      <c r="B29" s="65"/>
    </row>
    <row r="30" spans="2:15" s="63" customFormat="1" x14ac:dyDescent="0.25">
      <c r="B30" s="64"/>
    </row>
    <row r="31" spans="2:15" s="63" customFormat="1" x14ac:dyDescent="0.25">
      <c r="B31" s="64"/>
    </row>
    <row r="32" spans="2:15" s="63" customFormat="1" x14ac:dyDescent="0.25">
      <c r="H32" s="66"/>
      <c r="I32" s="66"/>
      <c r="J32" s="66"/>
    </row>
    <row r="33" spans="2:11" x14ac:dyDescent="0.45">
      <c r="B33" s="66"/>
      <c r="C33" s="66"/>
      <c r="D33" s="66"/>
      <c r="E33" s="66"/>
      <c r="F33" s="66"/>
      <c r="G33" s="66"/>
      <c r="K33" s="63"/>
    </row>
  </sheetData>
  <sheetProtection algorithmName="SHA-512" hashValue="SRkF5MzdqfJvpLSfP1O75Z7hmH0Q7WkQvO3bOEOuNzWLy6YAAfhEf8coniDhsh3bUehcYZwbTkXALNJPWKKAzA==" saltValue="fSZLOmv35MyO9xSs6zNXgQ==" spinCount="100000" sheet="1" objects="1" scenarios="1" formatCells="0"/>
  <customSheetViews>
    <customSheetView guid="{F48879B3-465F-4E59-8572-F7D7277CEA75}" scale="74" showGridLines="0">
      <selection activeCell="G12" sqref="G12:I12"/>
      <pageMargins left="0.75" right="0.75" top="1" bottom="1" header="0.5" footer="0.5"/>
      <pageSetup orientation="portrait" horizontalDpi="1200" verticalDpi="1200" r:id="rId1"/>
      <headerFooter alignWithMargins="0"/>
    </customSheetView>
    <customSheetView guid="{3B654179-D0CF-4576-A51B-BDA963916BB0}" scale="74" showGridLines="0">
      <selection activeCell="G12" sqref="G12:I12"/>
      <pageMargins left="0.75" right="0.75" top="1" bottom="1" header="0.5" footer="0.5"/>
      <pageSetup orientation="portrait" horizontalDpi="1200" verticalDpi="1200" r:id="rId2"/>
      <headerFooter alignWithMargins="0"/>
    </customSheetView>
  </customSheetViews>
  <mergeCells count="16">
    <mergeCell ref="B16:E16"/>
    <mergeCell ref="L7:O7"/>
    <mergeCell ref="L11:O11"/>
    <mergeCell ref="L13:O13"/>
    <mergeCell ref="L16:O16"/>
    <mergeCell ref="H13:I13"/>
    <mergeCell ref="H14:I14"/>
    <mergeCell ref="B13:E13"/>
    <mergeCell ref="H12:J12"/>
    <mergeCell ref="L4:O5"/>
    <mergeCell ref="L3:O3"/>
    <mergeCell ref="B1:O1"/>
    <mergeCell ref="B7:E7"/>
    <mergeCell ref="B11:E11"/>
    <mergeCell ref="B4:E5"/>
    <mergeCell ref="H4:J4"/>
  </mergeCells>
  <phoneticPr fontId="2" type="noConversion"/>
  <pageMargins left="0.75" right="0.75" top="1" bottom="1" header="0.5" footer="0.5"/>
  <pageSetup orientation="portrait" horizontalDpi="1200" verticalDpi="1200" r:id="rId3"/>
  <headerFooter alignWithMargins="0"/>
  <extLst>
    <ext xmlns:x14="http://schemas.microsoft.com/office/spreadsheetml/2009/9/main" uri="{78C0D931-6437-407d-A8EE-F0AAD7539E65}">
      <x14:conditionalFormattings>
        <x14:conditionalFormatting xmlns:xm="http://schemas.microsoft.com/office/excel/2006/main">
          <x14:cfRule type="iconSet" priority="1" id="{803E72A7-3707-4A8B-B82A-C054E3AD409F}">
            <x14:iconSet iconSet="3Symbols2" showValue="0" custom="1">
              <x14:cfvo type="percent">
                <xm:f>0</xm:f>
              </x14:cfvo>
              <x14:cfvo type="num">
                <xm:f>0</xm:f>
              </x14:cfvo>
              <x14:cfvo type="num">
                <xm:f>1</xm:f>
              </x14:cfvo>
              <x14:cfIcon iconSet="3Symbols2" iconId="1"/>
              <x14:cfIcon iconSet="3Symbols2" iconId="0"/>
              <x14:cfIcon iconSet="3Symbols2" iconId="2"/>
            </x14:iconSet>
          </x14:cfRule>
          <xm:sqref>F8:F17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ID</vt:lpstr>
      <vt:lpstr>Part 1</vt:lpstr>
      <vt:lpstr>Part 2</vt:lpstr>
      <vt:lpstr>Part 3</vt:lpstr>
      <vt:lpstr>Part 4</vt:lpstr>
      <vt:lpstr>Part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McIntosh,Warren D</dc:creator>
  <cp:lastModifiedBy>Emily Wantland</cp:lastModifiedBy>
  <cp:lastPrinted>1901-01-01T04:00:00Z</cp:lastPrinted>
  <dcterms:created xsi:type="dcterms:W3CDTF">1901-01-01T04:00:00Z</dcterms:created>
  <dcterms:modified xsi:type="dcterms:W3CDTF">2018-07-30T18:23:08Z</dcterms:modified>
</cp:coreProperties>
</file>